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showInkAnnotation="0" codeName="ThisWorkbook" defaultThemeVersion="124226"/>
  <mc:AlternateContent xmlns:mc="http://schemas.openxmlformats.org/markup-compatibility/2006">
    <mc:Choice Requires="x15">
      <x15ac:absPath xmlns:x15ac="http://schemas.microsoft.com/office/spreadsheetml/2010/11/ac" url="C:\Users\pbgs2\OneDrive\Documents\California Supportive Housing\LIHTC\24 R1 4%\CSH Edes Housing\For Submission\"/>
    </mc:Choice>
  </mc:AlternateContent>
  <xr:revisionPtr revIDLastSave="0" documentId="13_ncr:1_{0BD8A253-5A1C-467F-9E69-A0173E118652}" xr6:coauthVersionLast="47" xr6:coauthVersionMax="47" xr10:uidLastSave="{00000000-0000-0000-0000-000000000000}"/>
  <bookViews>
    <workbookView xWindow="-103" yWindow="-103" windowWidth="22149" windowHeight="11829" firstSheet="4"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442" i="3" l="1"/>
  <c r="H606" i="3"/>
  <c r="S37" i="4"/>
  <c r="S36" i="4"/>
  <c r="S34" i="4"/>
  <c r="E35" i="4"/>
  <c r="E29" i="4"/>
  <c r="E34" i="4"/>
  <c r="I421" i="3" l="1"/>
  <c r="AA598" i="3" l="1"/>
  <c r="AH495" i="3"/>
  <c r="AA297" i="3"/>
  <c r="AA296" i="3"/>
  <c r="A66" i="7"/>
  <c r="Q630" i="3" l="1"/>
  <c r="B189" i="20"/>
  <c r="L75" i="4" l="1"/>
  <c r="L279" i="3"/>
  <c r="M256" i="3"/>
  <c r="M248" i="3"/>
  <c r="AA918" i="3" l="1"/>
  <c r="H648" i="3" l="1"/>
  <c r="C560" i="3"/>
  <c r="AA917" i="3" l="1"/>
  <c r="Q629" i="3"/>
  <c r="Q628" i="3"/>
  <c r="Q627" i="3"/>
  <c r="S68" i="4" l="1"/>
  <c r="S67" i="4"/>
  <c r="S66" i="4"/>
  <c r="S43" i="4"/>
  <c r="S14" i="4"/>
  <c r="S53" i="4"/>
  <c r="S52" i="4"/>
  <c r="S51" i="4"/>
  <c r="S48" i="4"/>
  <c r="S47" i="4"/>
  <c r="E53" i="4"/>
  <c r="E52" i="4"/>
  <c r="E51" i="4"/>
  <c r="E48" i="4"/>
  <c r="E47" i="4"/>
  <c r="E49" i="4" l="1"/>
  <c r="E50" i="4"/>
  <c r="S65" i="4"/>
  <c r="E84" i="4"/>
  <c r="E41" i="4"/>
  <c r="E40" i="4"/>
  <c r="E13" i="4"/>
  <c r="E4" i="4" l="1"/>
  <c r="C627" i="3" l="1"/>
  <c r="H590" i="3"/>
  <c r="AA582" i="3"/>
  <c r="H582" i="3"/>
  <c r="AA573" i="3"/>
  <c r="H573" i="3"/>
  <c r="AM559" i="3" l="1"/>
  <c r="K9" i="4"/>
  <c r="H291" i="3"/>
  <c r="M255" i="3"/>
  <c r="L278" i="3"/>
  <c r="M247" i="3"/>
  <c r="H290" i="3"/>
  <c r="H288" i="3"/>
  <c r="AD189" i="20" l="1"/>
  <c r="L65" i="21"/>
  <c r="BQ98" i="27" l="1"/>
  <c r="BQ97" i="27"/>
  <c r="BQ96" i="27"/>
  <c r="X752" i="3"/>
  <c r="AH752" i="3"/>
  <c r="BG701" i="3"/>
  <c r="BT701" i="3"/>
  <c r="BT702" i="3"/>
  <c r="BA700" i="3"/>
  <c r="BA701" i="3"/>
  <c r="AJ1019" i="3"/>
  <c r="P18" i="21"/>
  <c r="P20" i="27" l="1" a="1"/>
  <c r="P20" i="27" s="1"/>
  <c r="P19" i="27" a="1"/>
  <c r="P19" i="27" s="1"/>
  <c r="AO13" i="27"/>
  <c r="N11"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AX679" i="20" l="1"/>
  <c r="AX678" i="20"/>
  <c r="AJ700"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28" i="3"/>
  <c r="AH725" i="3"/>
  <c r="AH724"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C5" i="7"/>
  <c r="C7" i="7"/>
  <c r="C9" i="7"/>
  <c r="A40" i="7"/>
  <c r="E33" i="7"/>
  <c r="E32" i="7"/>
  <c r="E31" i="7"/>
  <c r="E30" i="7"/>
  <c r="E27" i="7"/>
  <c r="E26" i="7"/>
  <c r="W847" i="3"/>
  <c r="W855" i="3"/>
  <c r="W862" i="3"/>
  <c r="E19" i="7"/>
  <c r="W872" i="3"/>
  <c r="W879" i="3"/>
  <c r="Z817" i="3"/>
  <c r="E8" i="7" s="1"/>
  <c r="AC773" i="3"/>
  <c r="AC774" i="3"/>
  <c r="AC775" i="3"/>
  <c r="AC776" i="3"/>
  <c r="AC787" i="3"/>
  <c r="AC788" i="3"/>
  <c r="AC789" i="3"/>
  <c r="AC790" i="3"/>
  <c r="AC791" i="3"/>
  <c r="AC792" i="3"/>
  <c r="AC793" i="3"/>
  <c r="AC794" i="3"/>
  <c r="AC795" i="3"/>
  <c r="AC796" i="3"/>
  <c r="T25" i="15"/>
  <c r="AD7" i="15" s="1"/>
  <c r="CB796" i="3"/>
  <c r="R988" i="3" s="1"/>
  <c r="BN597" i="3"/>
  <c r="BN598" i="3"/>
  <c r="BN599" i="3"/>
  <c r="BN600" i="3"/>
  <c r="BN601" i="3"/>
  <c r="BN602" i="3"/>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D64" i="15"/>
  <c r="AD67" i="15"/>
  <c r="W700" i="3"/>
  <c r="BG226" i="3"/>
  <c r="BG227" i="3"/>
  <c r="BG228" i="3"/>
  <c r="BG229" i="3"/>
  <c r="BG230" i="3"/>
  <c r="BG232" i="3"/>
  <c r="BG233" i="3"/>
  <c r="BG234" i="3"/>
  <c r="BG236" i="3"/>
  <c r="BG237" i="3"/>
  <c r="BG238" i="3"/>
  <c r="BG239" i="3"/>
  <c r="BG240" i="3"/>
  <c r="BG241" i="3"/>
  <c r="M232"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G67" i="21" s="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E69" i="4" s="1"/>
  <c r="E70" i="4" s="1"/>
  <c r="R66" i="4"/>
  <c r="R67" i="4"/>
  <c r="R68" i="4"/>
  <c r="A104" i="11"/>
  <c r="C101" i="11"/>
  <c r="D101" i="11" s="1"/>
  <c r="C102" i="11"/>
  <c r="D102" i="11" s="1"/>
  <c r="C103" i="11"/>
  <c r="C104" i="11"/>
  <c r="D104" i="11" s="1"/>
  <c r="B101" i="11"/>
  <c r="B102" i="11"/>
  <c r="B103" i="11"/>
  <c r="B104" i="11"/>
  <c r="C85" i="11"/>
  <c r="C87" i="11"/>
  <c r="C88" i="11"/>
  <c r="C89" i="11"/>
  <c r="C90" i="11"/>
  <c r="C91" i="11"/>
  <c r="C92" i="11"/>
  <c r="C93" i="11"/>
  <c r="C94" i="11"/>
  <c r="C95" i="11"/>
  <c r="C96" i="11"/>
  <c r="B85" i="11"/>
  <c r="B87" i="11"/>
  <c r="B88" i="11"/>
  <c r="B89" i="11"/>
  <c r="B90" i="11"/>
  <c r="B91" i="11"/>
  <c r="B92" i="11"/>
  <c r="B93" i="11"/>
  <c r="B94" i="11"/>
  <c r="B95" i="11"/>
  <c r="B96" i="11"/>
  <c r="A70" i="11"/>
  <c r="C67" i="11"/>
  <c r="C68" i="11"/>
  <c r="C69" i="11"/>
  <c r="C70" i="11"/>
  <c r="C71" i="11" s="1"/>
  <c r="B67" i="11"/>
  <c r="B68" i="11"/>
  <c r="B69" i="11"/>
  <c r="B70" i="11"/>
  <c r="A62" i="11"/>
  <c r="A54" i="11"/>
  <c r="A38" i="11"/>
  <c r="A26" i="11"/>
  <c r="C35" i="11"/>
  <c r="D35" i="11" s="1"/>
  <c r="C36" i="11"/>
  <c r="C37" i="11"/>
  <c r="C38" i="11"/>
  <c r="D38" i="11" s="1"/>
  <c r="B35" i="11"/>
  <c r="B36" i="11"/>
  <c r="B37" i="11"/>
  <c r="B38" i="11"/>
  <c r="C24" i="11"/>
  <c r="C25" i="11"/>
  <c r="C26" i="11"/>
  <c r="B25" i="11"/>
  <c r="D25" i="11" s="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I100" i="13" s="1"/>
  <c r="H101" i="13"/>
  <c r="I101" i="13" s="1"/>
  <c r="H102" i="13"/>
  <c r="I102" i="13" s="1"/>
  <c r="H103" i="13"/>
  <c r="I103" i="13" s="1"/>
  <c r="E100" i="13"/>
  <c r="F100" i="13" s="1"/>
  <c r="E101" i="13"/>
  <c r="F101" i="13" s="1"/>
  <c r="E102" i="13"/>
  <c r="F102" i="13" s="1"/>
  <c r="E103" i="13"/>
  <c r="F103" i="13" s="1"/>
  <c r="B100" i="13"/>
  <c r="B101" i="13"/>
  <c r="B102" i="13"/>
  <c r="B103" i="13"/>
  <c r="A69" i="13"/>
  <c r="H66" i="13"/>
  <c r="H67" i="13"/>
  <c r="H68" i="13"/>
  <c r="H69" i="13"/>
  <c r="E66" i="13"/>
  <c r="F66" i="13" s="1"/>
  <c r="E67" i="13"/>
  <c r="F67" i="13" s="1"/>
  <c r="E68" i="13"/>
  <c r="F68" i="13" s="1"/>
  <c r="B66" i="13"/>
  <c r="C66" i="13" s="1"/>
  <c r="B67" i="13"/>
  <c r="C67" i="13" s="1"/>
  <c r="B68" i="13"/>
  <c r="C68" i="13" s="1"/>
  <c r="B69" i="13"/>
  <c r="C69" i="13" s="1"/>
  <c r="A53" i="13"/>
  <c r="H36" i="13"/>
  <c r="E36" i="13"/>
  <c r="B36" i="13"/>
  <c r="H24" i="13"/>
  <c r="E24" i="13"/>
  <c r="B24" i="13"/>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12" i="20"/>
  <c r="AQ113" i="20"/>
  <c r="AQ114" i="20"/>
  <c r="AQ115" i="20"/>
  <c r="AQ116" i="20"/>
  <c r="AQ117" i="20"/>
  <c r="AQ118" i="20"/>
  <c r="AQ119" i="20"/>
  <c r="AQ120" i="20"/>
  <c r="AQ121" i="20"/>
  <c r="AQ122" i="20"/>
  <c r="AQ123" i="20"/>
  <c r="AQ124" i="20"/>
  <c r="AQ125" i="20"/>
  <c r="AQ126" i="20"/>
  <c r="AQ127" i="20"/>
  <c r="AQ128" i="20"/>
  <c r="AQ129" i="20"/>
  <c r="AQ130"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R10" i="4"/>
  <c r="R84" i="4"/>
  <c r="S84" i="4" s="1"/>
  <c r="E84" i="13" s="1"/>
  <c r="F84" i="13" s="1"/>
  <c r="B59" i="4"/>
  <c r="E59" i="4" s="1"/>
  <c r="R59" i="4" s="1"/>
  <c r="C80" i="11"/>
  <c r="C81" i="11"/>
  <c r="B80" i="11"/>
  <c r="B81" i="11"/>
  <c r="I96" i="13"/>
  <c r="J96" i="13"/>
  <c r="J81" i="13"/>
  <c r="I81" i="13"/>
  <c r="G81" i="13"/>
  <c r="D81" i="13"/>
  <c r="H80" i="13"/>
  <c r="B80" i="13"/>
  <c r="C80" i="13" s="1"/>
  <c r="D81" i="4"/>
  <c r="F81" i="4"/>
  <c r="G81" i="4"/>
  <c r="H81" i="4"/>
  <c r="I81" i="4"/>
  <c r="J81" i="4"/>
  <c r="K81" i="4"/>
  <c r="L81" i="4"/>
  <c r="M81" i="4"/>
  <c r="N81" i="4"/>
  <c r="O81" i="4"/>
  <c r="P81" i="4"/>
  <c r="Q81" i="4"/>
  <c r="T81" i="4"/>
  <c r="H81" i="13"/>
  <c r="C81" i="4"/>
  <c r="B80" i="4"/>
  <c r="E80" i="4" s="1"/>
  <c r="R80" i="4" s="1"/>
  <c r="S80" i="4" s="1"/>
  <c r="E80" i="13" s="1"/>
  <c r="F80"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H106"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65" i="13"/>
  <c r="F65" i="13" s="1"/>
  <c r="E53" i="13"/>
  <c r="F53" i="13" s="1"/>
  <c r="E52" i="13"/>
  <c r="F52" i="13" s="1"/>
  <c r="E51" i="13"/>
  <c r="F51" i="13" s="1"/>
  <c r="E48" i="13"/>
  <c r="F48" i="13" s="1"/>
  <c r="E47" i="13"/>
  <c r="F47" i="13" s="1"/>
  <c r="E43" i="13"/>
  <c r="E37" i="13"/>
  <c r="E34" i="13"/>
  <c r="E27" i="13"/>
  <c r="E25" i="13"/>
  <c r="E22" i="13"/>
  <c r="E15" i="13"/>
  <c r="E14" i="13"/>
  <c r="E10" i="13"/>
  <c r="B95" i="13"/>
  <c r="C95" i="13" s="1"/>
  <c r="B94" i="13"/>
  <c r="C94" i="13" s="1"/>
  <c r="B93" i="13"/>
  <c r="C93" i="13" s="1"/>
  <c r="B92" i="13"/>
  <c r="C92" i="13" s="1"/>
  <c r="B91" i="13"/>
  <c r="C91" i="13" s="1"/>
  <c r="B90" i="13"/>
  <c r="C90" i="13" s="1"/>
  <c r="B89" i="13"/>
  <c r="C89" i="13" s="1"/>
  <c r="B88" i="13"/>
  <c r="C88" i="13" s="1"/>
  <c r="B87" i="13"/>
  <c r="C87" i="13" s="1"/>
  <c r="B86" i="13"/>
  <c r="C86" i="13" s="1"/>
  <c r="B84" i="13"/>
  <c r="C84" i="13" s="1"/>
  <c r="B83" i="13"/>
  <c r="C83" i="13" s="1"/>
  <c r="B79" i="13"/>
  <c r="C79" i="13" s="1"/>
  <c r="B75" i="13"/>
  <c r="C75" i="13" s="1"/>
  <c r="B74" i="13"/>
  <c r="C74" i="13" s="1"/>
  <c r="B73" i="13"/>
  <c r="C73" i="13" s="1"/>
  <c r="B72" i="13"/>
  <c r="C72" i="13" s="1"/>
  <c r="B65" i="13"/>
  <c r="C65"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2" i="4"/>
  <c r="B41" i="13"/>
  <c r="C41" i="13" s="1"/>
  <c r="B40" i="13"/>
  <c r="C40" i="13" s="1"/>
  <c r="B37" i="13"/>
  <c r="B35" i="13"/>
  <c r="C35" i="13" s="1"/>
  <c r="B34" i="13"/>
  <c r="B29" i="13"/>
  <c r="C29" i="13" s="1"/>
  <c r="B27" i="13"/>
  <c r="B25" i="13"/>
  <c r="B23" i="13"/>
  <c r="C23" i="13" s="1"/>
  <c r="B22" i="13"/>
  <c r="B17" i="13"/>
  <c r="C17" i="13" s="1"/>
  <c r="B5" i="13"/>
  <c r="B6" i="13"/>
  <c r="B7" i="13"/>
  <c r="C8" i="4"/>
  <c r="B10" i="13"/>
  <c r="B13" i="13"/>
  <c r="B14" i="13"/>
  <c r="B15" i="13"/>
  <c r="B4" i="13"/>
  <c r="C4" i="13" s="1"/>
  <c r="C8" i="13" s="1"/>
  <c r="J104" i="13"/>
  <c r="G104" i="13"/>
  <c r="D104" i="13"/>
  <c r="G96" i="13"/>
  <c r="D96" i="13"/>
  <c r="D77" i="13"/>
  <c r="J70" i="13"/>
  <c r="I70" i="13"/>
  <c r="G70" i="13"/>
  <c r="D70" i="13"/>
  <c r="D62" i="13"/>
  <c r="J54" i="13"/>
  <c r="I54" i="13"/>
  <c r="G54" i="13"/>
  <c r="D54" i="13"/>
  <c r="J42" i="13"/>
  <c r="I42" i="13"/>
  <c r="G42" i="13"/>
  <c r="D42" i="13"/>
  <c r="J38" i="13"/>
  <c r="I38" i="13"/>
  <c r="G38" i="13"/>
  <c r="D38" i="13"/>
  <c r="J26" i="13"/>
  <c r="I26" i="13"/>
  <c r="G26" i="13"/>
  <c r="D26" i="13"/>
  <c r="J11" i="13"/>
  <c r="D11" i="13"/>
  <c r="D8" i="13"/>
  <c r="D12" i="13" s="1"/>
  <c r="R103" i="4"/>
  <c r="R102" i="4"/>
  <c r="R101" i="4"/>
  <c r="R72" i="4"/>
  <c r="R73" i="4"/>
  <c r="R65" i="4"/>
  <c r="R60" i="4"/>
  <c r="R53" i="4"/>
  <c r="R52" i="4"/>
  <c r="R51" i="4"/>
  <c r="R50" i="4"/>
  <c r="S50" i="4" s="1"/>
  <c r="E50" i="13" s="1"/>
  <c r="F50" i="13" s="1"/>
  <c r="R49" i="4"/>
  <c r="S49" i="4" s="1"/>
  <c r="E49" i="13" s="1"/>
  <c r="F49" i="13" s="1"/>
  <c r="R48" i="4"/>
  <c r="R47" i="4"/>
  <c r="R43" i="4"/>
  <c r="R41" i="4"/>
  <c r="S41" i="4" s="1"/>
  <c r="E41" i="13" s="1"/>
  <c r="F41" i="13" s="1"/>
  <c r="R40" i="4"/>
  <c r="S40" i="4" s="1"/>
  <c r="E40" i="13" s="1"/>
  <c r="F40" i="13" s="1"/>
  <c r="R37" i="4"/>
  <c r="R35" i="4"/>
  <c r="S35" i="4" s="1"/>
  <c r="E35" i="13" s="1"/>
  <c r="F35" i="13" s="1"/>
  <c r="R34" i="4"/>
  <c r="R29" i="4"/>
  <c r="S29" i="4" s="1"/>
  <c r="E29" i="13" s="1"/>
  <c r="F29" i="13" s="1"/>
  <c r="R27" i="4"/>
  <c r="R25" i="4"/>
  <c r="R23" i="4"/>
  <c r="E23" i="13" s="1"/>
  <c r="F23" i="13" s="1"/>
  <c r="R22" i="4"/>
  <c r="R17" i="4"/>
  <c r="E17" i="13" s="1"/>
  <c r="F17" i="13" s="1"/>
  <c r="R15" i="4"/>
  <c r="R14" i="4"/>
  <c r="R13" i="4"/>
  <c r="S13" i="4" s="1"/>
  <c r="E13" i="13" s="1"/>
  <c r="R7" i="4"/>
  <c r="R6" i="4"/>
  <c r="R5" i="4"/>
  <c r="R4" i="4"/>
  <c r="R8" i="4" s="1"/>
  <c r="B5" i="11"/>
  <c r="C5" i="11"/>
  <c r="B6" i="11"/>
  <c r="C6" i="11"/>
  <c r="D6" i="11" s="1"/>
  <c r="B7" i="11"/>
  <c r="C7" i="11"/>
  <c r="D7" i="11" s="1"/>
  <c r="C8" i="11"/>
  <c r="D8" i="11" s="1"/>
  <c r="B8" i="11"/>
  <c r="B11" i="11"/>
  <c r="C11" i="11"/>
  <c r="B14" i="11"/>
  <c r="C14" i="11"/>
  <c r="D14" i="11" s="1"/>
  <c r="B15" i="11"/>
  <c r="C15" i="11"/>
  <c r="D15" i="11" s="1"/>
  <c r="B16" i="11"/>
  <c r="C16" i="11"/>
  <c r="B18" i="11"/>
  <c r="C18" i="11"/>
  <c r="B23" i="11"/>
  <c r="C23" i="11"/>
  <c r="D23" i="11" s="1"/>
  <c r="B24" i="11"/>
  <c r="B28" i="11"/>
  <c r="D28" i="11" s="1"/>
  <c r="C28" i="11"/>
  <c r="B30" i="11"/>
  <c r="C30" i="11"/>
  <c r="B41" i="11"/>
  <c r="C41" i="11"/>
  <c r="C42" i="11"/>
  <c r="B42" i="11"/>
  <c r="B44" i="11"/>
  <c r="C44" i="11"/>
  <c r="D44" i="11" s="1"/>
  <c r="B46" i="11"/>
  <c r="C46" i="11"/>
  <c r="B47" i="11"/>
  <c r="C47" i="11"/>
  <c r="B48" i="11"/>
  <c r="B49" i="11"/>
  <c r="B50" i="11"/>
  <c r="B51" i="11"/>
  <c r="B52" i="11"/>
  <c r="B53" i="11"/>
  <c r="C48" i="11"/>
  <c r="D48" i="11" s="1"/>
  <c r="C49" i="11"/>
  <c r="D49" i="11" s="1"/>
  <c r="C50" i="11"/>
  <c r="C51" i="11"/>
  <c r="C52" i="11"/>
  <c r="D52" i="11" s="1"/>
  <c r="C53" i="11"/>
  <c r="B57" i="11"/>
  <c r="C57" i="11"/>
  <c r="B58" i="11"/>
  <c r="C58" i="11"/>
  <c r="D58" i="11" s="1"/>
  <c r="B59" i="11"/>
  <c r="C59" i="11"/>
  <c r="B60" i="11"/>
  <c r="C60" i="11"/>
  <c r="D60" i="11" s="1"/>
  <c r="B61" i="11"/>
  <c r="D61" i="11" s="1"/>
  <c r="C61" i="11"/>
  <c r="B62" i="11"/>
  <c r="C62" i="11"/>
  <c r="B66" i="11"/>
  <c r="C66" i="11"/>
  <c r="B73" i="11"/>
  <c r="C73" i="11"/>
  <c r="D73" i="11" s="1"/>
  <c r="B74" i="11"/>
  <c r="C74" i="11"/>
  <c r="D74" i="11" s="1"/>
  <c r="B75" i="11"/>
  <c r="C75" i="11"/>
  <c r="B76" i="11"/>
  <c r="C76" i="11"/>
  <c r="B84" i="11"/>
  <c r="C84" i="11"/>
  <c r="A4" i="8"/>
  <c r="A5" i="8"/>
  <c r="A6" i="8"/>
  <c r="A7" i="8"/>
  <c r="A8" i="8"/>
  <c r="A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T26" i="4"/>
  <c r="H26" i="13"/>
  <c r="T38" i="4"/>
  <c r="H38" i="13"/>
  <c r="T42" i="4"/>
  <c r="H42" i="13"/>
  <c r="T54" i="4"/>
  <c r="H54" i="13"/>
  <c r="T70" i="4"/>
  <c r="H70" i="13"/>
  <c r="T96" i="4"/>
  <c r="H96" i="13"/>
  <c r="C54" i="4"/>
  <c r="C62" i="4"/>
  <c r="D8" i="4"/>
  <c r="D11" i="4"/>
  <c r="D26" i="4"/>
  <c r="D38" i="4"/>
  <c r="D42" i="4"/>
  <c r="D54" i="4"/>
  <c r="D62" i="4"/>
  <c r="D77" i="4"/>
  <c r="D96" i="4"/>
  <c r="D104" i="4"/>
  <c r="F2" i="4"/>
  <c r="G2" i="4"/>
  <c r="H2" i="4"/>
  <c r="I2" i="4"/>
  <c r="J2" i="4"/>
  <c r="K2" i="4"/>
  <c r="L2" i="4"/>
  <c r="M2" i="4"/>
  <c r="N2" i="4"/>
  <c r="O2" i="4"/>
  <c r="P2" i="4"/>
  <c r="Q2" i="4"/>
  <c r="B4" i="4"/>
  <c r="B5" i="4"/>
  <c r="B6" i="4"/>
  <c r="B7" i="4"/>
  <c r="E8" i="4"/>
  <c r="F8" i="4"/>
  <c r="G8" i="4"/>
  <c r="G11" i="4"/>
  <c r="H8" i="4"/>
  <c r="H11" i="4"/>
  <c r="I8" i="4"/>
  <c r="I11" i="4"/>
  <c r="J8" i="4"/>
  <c r="J26" i="4"/>
  <c r="J38" i="4"/>
  <c r="J42" i="4"/>
  <c r="J54" i="4"/>
  <c r="J62" i="4"/>
  <c r="J70" i="4"/>
  <c r="J96" i="4"/>
  <c r="J104" i="4"/>
  <c r="K8" i="4"/>
  <c r="K11" i="4"/>
  <c r="K12" i="4" s="1"/>
  <c r="L8" i="4"/>
  <c r="L11" i="4"/>
  <c r="M8" i="4"/>
  <c r="M11" i="4"/>
  <c r="N8" i="4"/>
  <c r="O8" i="4"/>
  <c r="Q8" i="4"/>
  <c r="Q11" i="4"/>
  <c r="B10" i="4"/>
  <c r="F11" i="4"/>
  <c r="F12" i="4" s="1"/>
  <c r="F42" i="4"/>
  <c r="F54" i="4"/>
  <c r="F62" i="4"/>
  <c r="N11" i="4"/>
  <c r="O11" i="4"/>
  <c r="B13" i="4"/>
  <c r="B14" i="4"/>
  <c r="B15" i="4"/>
  <c r="B17" i="4"/>
  <c r="B22" i="4"/>
  <c r="B23" i="4"/>
  <c r="B25" i="4"/>
  <c r="I26" i="4"/>
  <c r="I38" i="4"/>
  <c r="I42" i="4"/>
  <c r="I54" i="4"/>
  <c r="I62" i="4"/>
  <c r="K26" i="4"/>
  <c r="L26" i="4"/>
  <c r="M26" i="4"/>
  <c r="M38" i="4"/>
  <c r="M42" i="4"/>
  <c r="M54" i="4"/>
  <c r="M62" i="4"/>
  <c r="M70" i="4"/>
  <c r="M96" i="4"/>
  <c r="M104" i="4"/>
  <c r="N26" i="4"/>
  <c r="N38" i="4"/>
  <c r="N42" i="4"/>
  <c r="N54" i="4"/>
  <c r="N62" i="4"/>
  <c r="N70" i="4"/>
  <c r="N77" i="4"/>
  <c r="N96" i="4"/>
  <c r="N104" i="4"/>
  <c r="O26" i="4"/>
  <c r="P26" i="4"/>
  <c r="Q26" i="4"/>
  <c r="B27" i="4"/>
  <c r="B29" i="4"/>
  <c r="B34" i="4"/>
  <c r="B35" i="4"/>
  <c r="B37" i="4"/>
  <c r="K38" i="4"/>
  <c r="L38" i="4"/>
  <c r="O38" i="4"/>
  <c r="P38" i="4"/>
  <c r="P42" i="4"/>
  <c r="P54" i="4"/>
  <c r="P62" i="4"/>
  <c r="P70" i="4"/>
  <c r="P77" i="4"/>
  <c r="P96" i="4"/>
  <c r="P104" i="4"/>
  <c r="Q38" i="4"/>
  <c r="B40" i="4"/>
  <c r="B41" i="4"/>
  <c r="E42" i="4"/>
  <c r="G42" i="4"/>
  <c r="H42" i="4"/>
  <c r="K42" i="4"/>
  <c r="L42" i="4"/>
  <c r="O42" i="4"/>
  <c r="Q42" i="4"/>
  <c r="B43" i="4"/>
  <c r="B45" i="4"/>
  <c r="E45" i="4" s="1"/>
  <c r="B46" i="4"/>
  <c r="E46" i="4" s="1"/>
  <c r="R46" i="4" s="1"/>
  <c r="B47" i="4"/>
  <c r="B48" i="4"/>
  <c r="B49" i="4"/>
  <c r="B50" i="4"/>
  <c r="B51" i="4"/>
  <c r="B52" i="4"/>
  <c r="B53" i="4"/>
  <c r="G54" i="4"/>
  <c r="H54" i="4"/>
  <c r="K54" i="4"/>
  <c r="L54" i="4"/>
  <c r="O54" i="4"/>
  <c r="Q54" i="4"/>
  <c r="B56" i="4"/>
  <c r="E56" i="4" s="1"/>
  <c r="B57" i="4"/>
  <c r="E57" i="4" s="1"/>
  <c r="R57" i="4" s="1"/>
  <c r="B58" i="4"/>
  <c r="E58" i="4" s="1"/>
  <c r="R58" i="4" s="1"/>
  <c r="B60" i="4"/>
  <c r="E60" i="4" s="1"/>
  <c r="B61" i="4"/>
  <c r="E61" i="4" s="1"/>
  <c r="R61" i="4" s="1"/>
  <c r="G62" i="4"/>
  <c r="H62" i="4"/>
  <c r="K62" i="4"/>
  <c r="L62" i="4"/>
  <c r="O62" i="4"/>
  <c r="O70" i="4"/>
  <c r="O77" i="4"/>
  <c r="O96" i="4"/>
  <c r="O104" i="4"/>
  <c r="Q62" i="4"/>
  <c r="B65" i="4"/>
  <c r="F70" i="4"/>
  <c r="G70" i="4"/>
  <c r="H70" i="4"/>
  <c r="I70" i="4"/>
  <c r="K70" i="4"/>
  <c r="L70" i="4"/>
  <c r="Q70" i="4"/>
  <c r="B72" i="4"/>
  <c r="B73" i="4"/>
  <c r="B74" i="4"/>
  <c r="E74" i="4" s="1"/>
  <c r="R74" i="4" s="1"/>
  <c r="B75" i="4"/>
  <c r="E75" i="4" s="1"/>
  <c r="R75" i="4" s="1"/>
  <c r="F77" i="4"/>
  <c r="G77" i="4"/>
  <c r="H77" i="4"/>
  <c r="I77" i="4"/>
  <c r="K77" i="4"/>
  <c r="L77" i="4"/>
  <c r="L97" i="4" s="1"/>
  <c r="L105" i="4" s="1"/>
  <c r="Q77" i="4"/>
  <c r="B79" i="4"/>
  <c r="E79" i="4" s="1"/>
  <c r="R79" i="4" s="1"/>
  <c r="S79" i="4" s="1"/>
  <c r="B83" i="4"/>
  <c r="E83" i="4" s="1"/>
  <c r="R83" i="4" s="1"/>
  <c r="B84" i="4"/>
  <c r="B86" i="4"/>
  <c r="E86" i="4" s="1"/>
  <c r="R86" i="4" s="1"/>
  <c r="S86" i="4" s="1"/>
  <c r="E86" i="13" s="1"/>
  <c r="F86" i="13" s="1"/>
  <c r="B87" i="4"/>
  <c r="E87" i="4" s="1"/>
  <c r="R87" i="4" s="1"/>
  <c r="S87" i="4" s="1"/>
  <c r="E87" i="13" s="1"/>
  <c r="F87" i="13" s="1"/>
  <c r="B88" i="4"/>
  <c r="E88" i="4" s="1"/>
  <c r="R88" i="4" s="1"/>
  <c r="B89" i="4"/>
  <c r="E89" i="4" s="1"/>
  <c r="R89" i="4" s="1"/>
  <c r="S89" i="4" s="1"/>
  <c r="E89" i="13" s="1"/>
  <c r="F89" i="13" s="1"/>
  <c r="B90" i="4"/>
  <c r="E90" i="4" s="1"/>
  <c r="R90" i="4" s="1"/>
  <c r="S90" i="4" s="1"/>
  <c r="E90" i="13" s="1"/>
  <c r="F90" i="13" s="1"/>
  <c r="B91" i="4"/>
  <c r="E91" i="4" s="1"/>
  <c r="R91" i="4" s="1"/>
  <c r="S91" i="4" s="1"/>
  <c r="E91" i="13" s="1"/>
  <c r="F91" i="13" s="1"/>
  <c r="B92" i="4"/>
  <c r="E92" i="4" s="1"/>
  <c r="R92" i="4" s="1"/>
  <c r="S92" i="4" s="1"/>
  <c r="E92" i="13" s="1"/>
  <c r="F92" i="13" s="1"/>
  <c r="B93" i="4"/>
  <c r="E93" i="4" s="1"/>
  <c r="R93" i="4" s="1"/>
  <c r="S93" i="4" s="1"/>
  <c r="E93" i="13" s="1"/>
  <c r="F93" i="13" s="1"/>
  <c r="B94" i="4"/>
  <c r="E94" i="4" s="1"/>
  <c r="R94" i="4" s="1"/>
  <c r="S94" i="4" s="1"/>
  <c r="E94" i="13" s="1"/>
  <c r="F94" i="13" s="1"/>
  <c r="B95" i="4"/>
  <c r="E95" i="4" s="1"/>
  <c r="R95" i="4" s="1"/>
  <c r="S95" i="4" s="1"/>
  <c r="E95" i="13" s="1"/>
  <c r="F95" i="13" s="1"/>
  <c r="F96" i="4"/>
  <c r="G96" i="4"/>
  <c r="H96" i="4"/>
  <c r="I96" i="4"/>
  <c r="K96" i="4"/>
  <c r="L96" i="4"/>
  <c r="Q96" i="4"/>
  <c r="B101" i="4"/>
  <c r="B102" i="4"/>
  <c r="B103" i="4"/>
  <c r="F104" i="4"/>
  <c r="G104" i="4"/>
  <c r="H104" i="4"/>
  <c r="K104" i="4"/>
  <c r="L104" i="4"/>
  <c r="Q104" i="4"/>
  <c r="K108" i="4"/>
  <c r="L108" i="4"/>
  <c r="N108" i="4"/>
  <c r="O108" i="4"/>
  <c r="P108" i="4"/>
  <c r="Q108" i="4"/>
  <c r="B131" i="4"/>
  <c r="I184" i="3"/>
  <c r="W418" i="3"/>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D54" i="11"/>
  <c r="J63" i="13"/>
  <c r="J97" i="13"/>
  <c r="J105" i="13"/>
  <c r="J107" i="13"/>
  <c r="L12" i="4"/>
  <c r="L63" i="4"/>
  <c r="Q12" i="4"/>
  <c r="O63" i="4"/>
  <c r="O97" i="4"/>
  <c r="O105" i="4"/>
  <c r="G63" i="13"/>
  <c r="G97" i="13" s="1"/>
  <c r="G105" i="13" s="1"/>
  <c r="G107" i="13" s="1"/>
  <c r="D63" i="4"/>
  <c r="O12" i="4"/>
  <c r="D12" i="4"/>
  <c r="Q63" i="4"/>
  <c r="Q97" i="4"/>
  <c r="Q105" i="4"/>
  <c r="N63" i="4"/>
  <c r="N97" i="4"/>
  <c r="N105" i="4"/>
  <c r="N12" i="4"/>
  <c r="M12" i="4"/>
  <c r="P63" i="4"/>
  <c r="P97" i="4"/>
  <c r="P105" i="4"/>
  <c r="D66" i="11"/>
  <c r="D103" i="11"/>
  <c r="D16" i="11"/>
  <c r="AD199" i="20"/>
  <c r="M63" i="4"/>
  <c r="D11" i="11"/>
  <c r="D30" i="11" l="1"/>
  <c r="D36" i="11"/>
  <c r="B62" i="13"/>
  <c r="B8" i="13"/>
  <c r="B54" i="13"/>
  <c r="B81" i="4"/>
  <c r="B42" i="13"/>
  <c r="E15" i="7"/>
  <c r="G15" i="7" s="1"/>
  <c r="I15" i="7" s="1"/>
  <c r="E21" i="7"/>
  <c r="G21" i="7" s="1"/>
  <c r="I21" i="7" s="1"/>
  <c r="K21" i="7" s="1"/>
  <c r="M21" i="7" s="1"/>
  <c r="O21" i="7" s="1"/>
  <c r="Q21" i="7" s="1"/>
  <c r="S21" i="7" s="1"/>
  <c r="U21" i="7" s="1"/>
  <c r="W21" i="7" s="1"/>
  <c r="Y21" i="7" s="1"/>
  <c r="AA21" i="7" s="1"/>
  <c r="AC21" i="7" s="1"/>
  <c r="AE21" i="7" s="1"/>
  <c r="AG21" i="7" s="1"/>
  <c r="E18" i="7"/>
  <c r="G18" i="7" s="1"/>
  <c r="I18" i="7" s="1"/>
  <c r="K18" i="7" s="1"/>
  <c r="M18" i="7" s="1"/>
  <c r="O18" i="7" s="1"/>
  <c r="Q18" i="7" s="1"/>
  <c r="S18" i="7" s="1"/>
  <c r="U18" i="7" s="1"/>
  <c r="W18" i="7" s="1"/>
  <c r="Y18" i="7" s="1"/>
  <c r="AA18" i="7" s="1"/>
  <c r="AC18" i="7" s="1"/>
  <c r="AE18" i="7" s="1"/>
  <c r="AG18" i="7" s="1"/>
  <c r="E17" i="7"/>
  <c r="G17" i="7" s="1"/>
  <c r="I17" i="7" s="1"/>
  <c r="K17" i="7" s="1"/>
  <c r="M17" i="7" s="1"/>
  <c r="O17" i="7" s="1"/>
  <c r="Q17" i="7" s="1"/>
  <c r="S17" i="7" s="1"/>
  <c r="U17" i="7" s="1"/>
  <c r="W17" i="7" s="1"/>
  <c r="Y17" i="7" s="1"/>
  <c r="AA17" i="7" s="1"/>
  <c r="AC17" i="7" s="1"/>
  <c r="AE17" i="7" s="1"/>
  <c r="AG17" i="7" s="1"/>
  <c r="D95" i="11"/>
  <c r="C70" i="13"/>
  <c r="R69" i="4"/>
  <c r="S69" i="4" s="1"/>
  <c r="E69" i="13" s="1"/>
  <c r="F69" i="13" s="1"/>
  <c r="F70" i="13" s="1"/>
  <c r="C42" i="13"/>
  <c r="B70" i="4"/>
  <c r="C9" i="11"/>
  <c r="D63" i="13"/>
  <c r="D97" i="13" s="1"/>
  <c r="D105" i="13" s="1"/>
  <c r="B9" i="11"/>
  <c r="D53" i="11"/>
  <c r="C81" i="13"/>
  <c r="D89" i="11"/>
  <c r="D96" i="11"/>
  <c r="C54" i="13"/>
  <c r="C62" i="13"/>
  <c r="F42" i="13"/>
  <c r="D24" i="11"/>
  <c r="D18" i="11"/>
  <c r="D75" i="11"/>
  <c r="D88" i="11"/>
  <c r="B42" i="4"/>
  <c r="D85" i="11"/>
  <c r="D50" i="11"/>
  <c r="D62" i="11"/>
  <c r="D47" i="11"/>
  <c r="D90" i="11"/>
  <c r="D94" i="11"/>
  <c r="B8" i="4"/>
  <c r="N187" i="27" s="1"/>
  <c r="E54" i="4"/>
  <c r="S42" i="4"/>
  <c r="E42" i="13" s="1"/>
  <c r="D57" i="11"/>
  <c r="D46" i="11"/>
  <c r="R42" i="4"/>
  <c r="S81" i="4"/>
  <c r="E81" i="13" s="1"/>
  <c r="E81" i="4"/>
  <c r="D87" i="11"/>
  <c r="D41" i="11"/>
  <c r="B82" i="11"/>
  <c r="D81" i="11"/>
  <c r="C82" i="11"/>
  <c r="D76" i="11"/>
  <c r="D51" i="11"/>
  <c r="D84" i="11"/>
  <c r="R45" i="4"/>
  <c r="S45" i="4" s="1"/>
  <c r="E45" i="13" s="1"/>
  <c r="F45" i="13" s="1"/>
  <c r="E79" i="13"/>
  <c r="F79" i="13" s="1"/>
  <c r="F81" i="13" s="1"/>
  <c r="D93" i="11"/>
  <c r="D92" i="11"/>
  <c r="D91" i="11"/>
  <c r="D70" i="11"/>
  <c r="E62" i="4"/>
  <c r="D59" i="11"/>
  <c r="B62" i="4"/>
  <c r="B63" i="11"/>
  <c r="C55" i="11"/>
  <c r="S46" i="4"/>
  <c r="E46" i="13" s="1"/>
  <c r="F46" i="13" s="1"/>
  <c r="B55" i="11"/>
  <c r="C43" i="11"/>
  <c r="D97" i="4"/>
  <c r="D105" i="4" s="1"/>
  <c r="R81" i="4"/>
  <c r="B81" i="13"/>
  <c r="D80" i="11"/>
  <c r="B71" i="11"/>
  <c r="D71" i="11" s="1"/>
  <c r="R56" i="4"/>
  <c r="R62" i="4" s="1"/>
  <c r="C63" i="11"/>
  <c r="B54" i="4"/>
  <c r="B43" i="11"/>
  <c r="D42" i="11"/>
  <c r="D5" i="11"/>
  <c r="I12" i="4"/>
  <c r="H12" i="4"/>
  <c r="K63" i="4"/>
  <c r="K97" i="4" s="1"/>
  <c r="K105" i="4" s="1"/>
  <c r="I63" i="4"/>
  <c r="I97" i="4" s="1"/>
  <c r="G12" i="4"/>
  <c r="AH727" i="3"/>
  <c r="AH726" i="3"/>
  <c r="AH730" i="3"/>
  <c r="AH729" i="3"/>
  <c r="R44" i="21"/>
  <c r="AY1002" i="3"/>
  <c r="I1047" i="3" s="1"/>
  <c r="C798" i="3"/>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AJ1015" i="3"/>
  <c r="I13" i="21"/>
  <c r="BT703" i="3"/>
  <c r="BU701" i="3" s="1"/>
  <c r="BV701" i="3" s="1"/>
  <c r="AZ843" i="3"/>
  <c r="AZ851" i="3" s="1"/>
  <c r="AB223" i="20"/>
  <c r="AB239" i="20" s="1"/>
  <c r="AB241" i="20" s="1"/>
  <c r="AB243" i="20" s="1"/>
  <c r="AB249" i="20" s="1"/>
  <c r="AD198" i="20" s="1"/>
  <c r="AO65" i="20"/>
  <c r="AP364" i="20"/>
  <c r="AQ364" i="20" s="1"/>
  <c r="AK524" i="20"/>
  <c r="T802" i="20" s="1"/>
  <c r="AF802" i="20" s="1"/>
  <c r="BG703" i="3"/>
  <c r="BS632" i="3"/>
  <c r="EC648" i="3" s="1"/>
  <c r="EC597" i="3"/>
  <c r="EC632" i="3" s="1"/>
  <c r="Y7" i="15"/>
  <c r="AI7" i="15"/>
  <c r="BN632" i="3"/>
  <c r="DX669" i="3" s="1"/>
  <c r="CS632" i="3"/>
  <c r="BG632" i="3"/>
  <c r="X1047" i="3" s="1"/>
  <c r="O30" i="21"/>
  <c r="AK172" i="20"/>
  <c r="AP355" i="20"/>
  <c r="AQ355"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T30" i="2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P30" i="21" a="1"/>
  <c r="P30" i="21" s="1"/>
  <c r="DR632" i="3"/>
  <c r="S24" i="21"/>
  <c r="D26" i="11"/>
  <c r="S30" i="21"/>
  <c r="O40" i="21"/>
  <c r="T7" i="15"/>
  <c r="Q44" i="21" a="1"/>
  <c r="Q44" i="21" s="1"/>
  <c r="O36" i="21"/>
  <c r="P36" i="21" a="1"/>
  <c r="P36" i="21" s="1"/>
  <c r="S28" i="21"/>
  <c r="P40" i="21" a="1"/>
  <c r="P40"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E26" i="21"/>
  <c r="E23" i="21"/>
  <c r="F23" i="21" s="1"/>
  <c r="G23" i="21" s="1"/>
  <c r="E29" i="7" l="1"/>
  <c r="G29" i="7" s="1"/>
  <c r="AC889" i="3"/>
  <c r="E28" i="7" s="1"/>
  <c r="AS349" i="20"/>
  <c r="S70" i="4"/>
  <c r="E70" i="13" s="1"/>
  <c r="R70" i="4"/>
  <c r="D9" i="11"/>
  <c r="F54" i="13"/>
  <c r="D43" i="11"/>
  <c r="D63" i="11"/>
  <c r="D82" i="11"/>
  <c r="O29" i="7"/>
  <c r="R54" i="4"/>
  <c r="Y29" i="7"/>
  <c r="D55" i="11"/>
  <c r="S54" i="4"/>
  <c r="AY1004" i="3"/>
  <c r="BH702" i="3"/>
  <c r="BI702" i="3" s="1"/>
  <c r="BH701" i="3"/>
  <c r="BI701" i="3" s="1"/>
  <c r="BU669" i="3"/>
  <c r="BU677" i="3"/>
  <c r="BV677" i="3" s="1"/>
  <c r="BU685" i="3"/>
  <c r="BV685" i="3" s="1"/>
  <c r="BU693" i="3"/>
  <c r="BV693" i="3" s="1"/>
  <c r="BU702" i="3"/>
  <c r="BV702" i="3" s="1"/>
  <c r="BU670" i="3"/>
  <c r="BU678" i="3"/>
  <c r="BV678" i="3" s="1"/>
  <c r="BU686" i="3"/>
  <c r="BV686" i="3" s="1"/>
  <c r="BU694" i="3"/>
  <c r="BV694" i="3" s="1"/>
  <c r="BU668" i="3"/>
  <c r="BU671" i="3"/>
  <c r="BU679" i="3"/>
  <c r="BV679" i="3" s="1"/>
  <c r="BU687" i="3"/>
  <c r="BV687" i="3" s="1"/>
  <c r="BU695" i="3"/>
  <c r="BV695" i="3" s="1"/>
  <c r="BU681" i="3"/>
  <c r="BV681" i="3" s="1"/>
  <c r="BU689" i="3"/>
  <c r="BV689" i="3" s="1"/>
  <c r="BU698" i="3"/>
  <c r="BV698" i="3" s="1"/>
  <c r="BU684" i="3"/>
  <c r="BV684" i="3" s="1"/>
  <c r="BU700" i="3"/>
  <c r="BV700" i="3" s="1"/>
  <c r="BU672" i="3"/>
  <c r="BU680" i="3"/>
  <c r="BV680" i="3" s="1"/>
  <c r="BU688" i="3"/>
  <c r="BV688" i="3" s="1"/>
  <c r="BU696" i="3"/>
  <c r="BV696" i="3" s="1"/>
  <c r="BU673" i="3"/>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AX683" i="20"/>
  <c r="AY684" i="20" s="1"/>
  <c r="AS351" i="20"/>
  <c r="AS347"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53" i="3"/>
  <c r="DX657" i="3"/>
  <c r="EC639" i="3"/>
  <c r="EC652" i="3"/>
  <c r="I1051" i="3"/>
  <c r="AY1005" i="3" s="1"/>
  <c r="T804" i="20"/>
  <c r="AF804" i="20" s="1"/>
  <c r="T793" i="20"/>
  <c r="AF793" i="20" s="1"/>
  <c r="AK78" i="20"/>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2" i="3"/>
  <c r="DX641" i="3"/>
  <c r="DX656" i="3"/>
  <c r="DX652" i="3"/>
  <c r="DX647" i="3"/>
  <c r="DX655" i="3"/>
  <c r="DX644" i="3"/>
  <c r="DX654" i="3"/>
  <c r="DX648" i="3"/>
  <c r="CM633" i="3"/>
  <c r="DX651" i="3"/>
  <c r="DX650" i="3"/>
  <c r="DX643" i="3"/>
  <c r="EH653" i="3"/>
  <c r="EW651"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E27" i="21"/>
  <c r="G22" i="21"/>
  <c r="AG29" i="7" l="1"/>
  <c r="AE29" i="7"/>
  <c r="K29" i="7"/>
  <c r="I29" i="7"/>
  <c r="S29" i="7"/>
  <c r="AC29" i="7"/>
  <c r="U29" i="7"/>
  <c r="AA29" i="7"/>
  <c r="Q29" i="7"/>
  <c r="M29" i="7"/>
  <c r="W29" i="7"/>
  <c r="M28" i="7"/>
  <c r="AE28" i="7"/>
  <c r="AC28" i="7"/>
  <c r="K28" i="7"/>
  <c r="S28" i="7"/>
  <c r="Q28" i="7"/>
  <c r="I28" i="7"/>
  <c r="O28" i="7"/>
  <c r="AA28" i="7"/>
  <c r="AG28" i="7"/>
  <c r="W28" i="7"/>
  <c r="Y28" i="7"/>
  <c r="U28" i="7"/>
  <c r="G28" i="7"/>
  <c r="AK458" i="20"/>
  <c r="T806" i="20" s="1"/>
  <c r="AF806" i="20" s="1"/>
  <c r="E54" i="13"/>
  <c r="O32" i="21"/>
  <c r="P32" i="21" s="1" a="1"/>
  <c r="P32" i="21" s="1"/>
  <c r="R32" i="21" s="1"/>
  <c r="O26" i="21"/>
  <c r="P26" i="21" s="1" a="1"/>
  <c r="P26" i="21" s="1"/>
  <c r="R26" i="21" s="1"/>
  <c r="O31" i="21"/>
  <c r="P31" i="21" s="1" a="1"/>
  <c r="P31" i="21" s="1"/>
  <c r="R31" i="21" s="1"/>
  <c r="O29" i="21"/>
  <c r="P29" i="21" s="1" a="1"/>
  <c r="P29" i="21" s="1"/>
  <c r="R29" i="21" s="1"/>
  <c r="O24" i="21"/>
  <c r="P24" i="21" s="1" a="1"/>
  <c r="P24" i="21" s="1"/>
  <c r="R24" i="21" s="1"/>
  <c r="O28" i="21"/>
  <c r="P28" i="21" s="1" a="1"/>
  <c r="P28" i="21" s="1"/>
  <c r="R28" i="21" s="1"/>
  <c r="O25" i="21"/>
  <c r="P25" i="21" s="1" a="1"/>
  <c r="P25" i="21" s="1"/>
  <c r="R25" i="21" s="1"/>
  <c r="O27" i="21"/>
  <c r="P27" i="21" s="1" a="1"/>
  <c r="P27" i="21" s="1"/>
  <c r="R27" i="21" s="1"/>
  <c r="BH703" i="3"/>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AW116" i="20"/>
  <c r="AK180" i="20"/>
  <c r="T800" i="20" s="1"/>
  <c r="AF800" i="20" s="1"/>
  <c r="T794" i="20"/>
  <c r="AF794" i="20" s="1"/>
  <c r="K8" i="7"/>
  <c r="M8" i="7" s="1"/>
  <c r="EC670" i="3"/>
  <c r="J124" i="20" s="1"/>
  <c r="J127" i="20" s="1"/>
  <c r="J130" i="20" s="1"/>
  <c r="EW670" i="3"/>
  <c r="AD124" i="20" s="1"/>
  <c r="AD127" i="20" s="1"/>
  <c r="AD130" i="20" s="1"/>
  <c r="EH670" i="3"/>
  <c r="O124" i="20" s="1"/>
  <c r="O127" i="20" s="1"/>
  <c r="O130" i="20" s="1"/>
  <c r="ER670" i="3"/>
  <c r="Y124" i="20" s="1"/>
  <c r="Y127" i="20" s="1"/>
  <c r="Y130" i="20" s="1"/>
  <c r="CS634" i="3"/>
  <c r="O756" i="3" s="1"/>
  <c r="AG437" i="3" s="1"/>
  <c r="EM670" i="3"/>
  <c r="T124" i="20" s="1"/>
  <c r="T127" i="20" s="1"/>
  <c r="T130" i="20" s="1"/>
  <c r="AJ985" i="3"/>
  <c r="AB989" i="3"/>
  <c r="AJ989" i="3" s="1"/>
  <c r="G6" i="7"/>
  <c r="E7" i="7"/>
  <c r="M15" i="7"/>
  <c r="F25" i="21"/>
  <c r="G54" i="21"/>
  <c r="G56" i="21" s="1"/>
  <c r="G58" i="21" s="1"/>
  <c r="E12" i="21" s="1"/>
  <c r="F26" i="21"/>
  <c r="G26" i="21" s="1"/>
  <c r="G45" i="21"/>
  <c r="G47" i="21" s="1"/>
  <c r="G49" i="21" s="1"/>
  <c r="E11" i="21" s="1"/>
  <c r="AG439" i="3" l="1"/>
  <c r="AF418" i="3"/>
  <c r="AP571" i="20" s="1"/>
  <c r="G38" i="21"/>
  <c r="G40" i="21" s="1"/>
  <c r="E10" i="21" s="1"/>
  <c r="AP694" i="20"/>
  <c r="AP695" i="20"/>
  <c r="K9" i="7"/>
  <c r="AJ991" i="3"/>
  <c r="AB990" i="3"/>
  <c r="CS660" i="3"/>
  <c r="U362" i="20" s="1"/>
  <c r="P421" i="3"/>
  <c r="I6" i="7"/>
  <c r="G7" i="7"/>
  <c r="O15" i="7"/>
  <c r="M9" i="7"/>
  <c r="O8" i="7"/>
  <c r="G25" i="21"/>
  <c r="F24" i="21"/>
  <c r="AJ1044" i="3" l="1"/>
  <c r="AP541" i="20" s="1"/>
  <c r="AJ1031" i="3"/>
  <c r="AP576" i="20"/>
  <c r="Y596" i="20"/>
  <c r="AG443" i="3"/>
  <c r="AG444" i="3" s="1"/>
  <c r="AG450" i="3"/>
  <c r="AG440" i="3"/>
  <c r="AU183" i="27"/>
  <c r="AU184" i="27" s="1"/>
  <c r="AU185" i="27" s="1"/>
  <c r="B1059" i="3"/>
  <c r="AJ1048" i="3"/>
  <c r="AP542" i="20" s="1"/>
  <c r="AP539" i="20"/>
  <c r="K6" i="7"/>
  <c r="I7" i="7"/>
  <c r="G24" i="21"/>
  <c r="F27" i="21"/>
  <c r="G27" i="21"/>
  <c r="Q15" i="7"/>
  <c r="O9" i="7"/>
  <c r="Q8" i="7"/>
  <c r="AJ1035" i="3" l="1"/>
  <c r="I14" i="21"/>
  <c r="C757" i="3"/>
  <c r="AB212" i="3"/>
  <c r="AG441" i="3"/>
  <c r="AG445" i="3" s="1"/>
  <c r="AJ610" i="20"/>
  <c r="AK783" i="20" s="1"/>
  <c r="T808" i="20" s="1"/>
  <c r="AF808" i="20" s="1"/>
  <c r="G62" i="21"/>
  <c r="AJ1052" i="3"/>
  <c r="T24" i="15" s="1"/>
  <c r="AP543" i="20"/>
  <c r="M6" i="7"/>
  <c r="K7" i="7"/>
  <c r="S15" i="7"/>
  <c r="G95" i="21"/>
  <c r="G96" i="21" s="1"/>
  <c r="G29" i="21"/>
  <c r="G31" i="21" s="1"/>
  <c r="E9" i="21" s="1"/>
  <c r="G104" i="21"/>
  <c r="G106" i="21" s="1"/>
  <c r="G79" i="21"/>
  <c r="G64" i="21"/>
  <c r="Q9" i="7"/>
  <c r="S8" i="7"/>
  <c r="AF1013" i="3" l="1"/>
  <c r="AD27" i="15"/>
  <c r="Y27" i="15"/>
  <c r="AI27" i="15"/>
  <c r="T27" i="15"/>
  <c r="AP546" i="20"/>
  <c r="AP545" i="20" s="1"/>
  <c r="AP548" i="20" s="1"/>
  <c r="AF541" i="20" s="1"/>
  <c r="M7" i="7"/>
  <c r="O6" i="7"/>
  <c r="G69" i="21"/>
  <c r="G81" i="21"/>
  <c r="G65" i="21"/>
  <c r="U15" i="7"/>
  <c r="E14" i="21"/>
  <c r="E15" i="21" s="1"/>
  <c r="U8" i="7"/>
  <c r="S9" i="7"/>
  <c r="O7" i="7" l="1"/>
  <c r="Q6" i="7"/>
  <c r="W15" i="7"/>
  <c r="G83" i="21"/>
  <c r="E13" i="21" s="1"/>
  <c r="E16" i="21" s="1"/>
  <c r="H3" i="21" s="1"/>
  <c r="U9" i="7"/>
  <c r="W8" i="7"/>
  <c r="Q7" i="7" l="1"/>
  <c r="S6" i="7"/>
  <c r="Y15" i="7"/>
  <c r="W9" i="7"/>
  <c r="Y8" i="7"/>
  <c r="S7" i="7" l="1"/>
  <c r="U6" i="7"/>
  <c r="AA15" i="7"/>
  <c r="Y9" i="7"/>
  <c r="AA8" i="7"/>
  <c r="U7" i="7" l="1"/>
  <c r="W6" i="7"/>
  <c r="AC15" i="7"/>
  <c r="AC8" i="7"/>
  <c r="AA9" i="7"/>
  <c r="Y6" i="7" l="1"/>
  <c r="W7" i="7"/>
  <c r="AE15" i="7"/>
  <c r="AC9" i="7"/>
  <c r="AE8" i="7"/>
  <c r="Y7" i="7" l="1"/>
  <c r="AA6" i="7"/>
  <c r="AG15" i="7"/>
  <c r="AE9" i="7"/>
  <c r="AG8" i="7"/>
  <c r="AG9" i="7" s="1"/>
  <c r="AC6" i="7" l="1"/>
  <c r="AA7" i="7"/>
  <c r="AE6" i="7" l="1"/>
  <c r="AC7" i="7"/>
  <c r="AE7" i="7" l="1"/>
  <c r="AG6" i="7"/>
  <c r="AG7" i="7" l="1"/>
  <c r="BI693" i="3" l="1"/>
  <c r="BI703" i="3" l="1"/>
  <c r="AC753" i="3" s="1"/>
  <c r="E87" i="20" l="1"/>
  <c r="E88" i="20" s="1"/>
  <c r="E89" i="20" s="1"/>
  <c r="E97" i="20"/>
  <c r="E100" i="20" s="1"/>
  <c r="AP100" i="20" s="1"/>
  <c r="AK103" i="20" s="1"/>
  <c r="T795" i="20" s="1"/>
  <c r="AF795" i="20" s="1"/>
  <c r="I9" i="21" l="1"/>
  <c r="D9" i="8" l="1"/>
  <c r="X723" i="3"/>
  <c r="AH723" i="3" s="1"/>
  <c r="AQ111" i="20"/>
  <c r="DX602" i="3"/>
  <c r="DX640" i="3" s="1"/>
  <c r="BV673" i="3" l="1"/>
  <c r="M76" i="4" l="1"/>
  <c r="M77" i="4" s="1"/>
  <c r="M97" i="4" s="1"/>
  <c r="M105" i="4" s="1"/>
  <c r="M108" i="4"/>
  <c r="J11" i="4" l="1"/>
  <c r="J63" i="4" l="1"/>
  <c r="J12" i="4"/>
  <c r="I99" i="4" l="1"/>
  <c r="I104" i="4" s="1"/>
  <c r="I105" i="4" s="1"/>
  <c r="I108" i="4"/>
  <c r="F30" i="4" l="1"/>
  <c r="F38" i="4" s="1"/>
  <c r="N10" i="27" l="1"/>
  <c r="F108" i="4"/>
  <c r="F26" i="4" l="1"/>
  <c r="F63" i="4" s="1"/>
  <c r="F97" i="4" s="1"/>
  <c r="F105" i="4" s="1"/>
  <c r="G30" i="4" l="1"/>
  <c r="G108" i="4" l="1"/>
  <c r="G26" i="4" l="1"/>
  <c r="AQ106" i="20" l="1"/>
  <c r="O753" i="3"/>
  <c r="D4" i="8"/>
  <c r="X718" i="3"/>
  <c r="AH718" i="3" s="1"/>
  <c r="DX597" i="3"/>
  <c r="D5" i="8"/>
  <c r="X719" i="3"/>
  <c r="AH719" i="3" s="1"/>
  <c r="AQ107" i="20"/>
  <c r="DX598" i="3"/>
  <c r="DX636" i="3" s="1"/>
  <c r="DX599" i="3"/>
  <c r="DX637" i="3" s="1"/>
  <c r="X720" i="3"/>
  <c r="AH720" i="3" s="1"/>
  <c r="D6" i="8"/>
  <c r="AQ108" i="20"/>
  <c r="D8" i="8"/>
  <c r="X722" i="3"/>
  <c r="AH722" i="3" s="1"/>
  <c r="AQ110" i="20"/>
  <c r="DX601" i="3"/>
  <c r="DX639" i="3" s="1"/>
  <c r="D7" i="8"/>
  <c r="AQ109" i="20"/>
  <c r="X721" i="3"/>
  <c r="AH721" i="3" s="1"/>
  <c r="DX600" i="3"/>
  <c r="DX638" i="3" s="1"/>
  <c r="BV672" i="3" l="1"/>
  <c r="BV671" i="3"/>
  <c r="BV669" i="3"/>
  <c r="BV668" i="3"/>
  <c r="BV670" i="3"/>
  <c r="DX632" i="3"/>
  <c r="DX635" i="3"/>
  <c r="DX670" i="3" s="1"/>
  <c r="E124" i="20" s="1"/>
  <c r="E127" i="20" s="1"/>
  <c r="E130" i="20" s="1"/>
  <c r="E132" i="20" s="1"/>
  <c r="E133" i="20" s="1"/>
  <c r="AK137" i="20" s="1"/>
  <c r="T796" i="20" s="1"/>
  <c r="AF796" i="20" s="1"/>
  <c r="Y800" i="3"/>
  <c r="Y801" i="3"/>
  <c r="D40" i="8"/>
  <c r="BV703" i="3" l="1"/>
  <c r="AH753" i="3" s="1"/>
  <c r="W849" i="3"/>
  <c r="E4" i="7"/>
  <c r="Z818" i="3"/>
  <c r="E5" i="7" l="1"/>
  <c r="G4" i="7"/>
  <c r="AC883" i="3"/>
  <c r="E16" i="7"/>
  <c r="E22" i="7" l="1"/>
  <c r="E35" i="7" s="1"/>
  <c r="G16" i="7"/>
  <c r="AC885" i="3"/>
  <c r="I4" i="7"/>
  <c r="G5" i="7"/>
  <c r="I5" i="7" l="1"/>
  <c r="K4" i="7"/>
  <c r="I16" i="7"/>
  <c r="G22" i="7"/>
  <c r="G35" i="7" s="1"/>
  <c r="K16" i="7" l="1"/>
  <c r="I22" i="7"/>
  <c r="I35" i="7" s="1"/>
  <c r="M4" i="7"/>
  <c r="K5" i="7"/>
  <c r="M5" i="7" l="1"/>
  <c r="O4" i="7"/>
  <c r="K22" i="7"/>
  <c r="K35" i="7" s="1"/>
  <c r="M16" i="7"/>
  <c r="O16" i="7" l="1"/>
  <c r="M22" i="7"/>
  <c r="M35" i="7" s="1"/>
  <c r="O5" i="7"/>
  <c r="Q4" i="7"/>
  <c r="S4" i="7" l="1"/>
  <c r="Q5" i="7"/>
  <c r="Q16" i="7"/>
  <c r="O22" i="7"/>
  <c r="O35" i="7" s="1"/>
  <c r="S16" i="7" l="1"/>
  <c r="Q22" i="7"/>
  <c r="Q35" i="7" s="1"/>
  <c r="U4" i="7"/>
  <c r="S5" i="7"/>
  <c r="W4" i="7" l="1"/>
  <c r="U5" i="7"/>
  <c r="U16" i="7"/>
  <c r="S22" i="7"/>
  <c r="S35" i="7" s="1"/>
  <c r="W16" i="7" l="1"/>
  <c r="U22" i="7"/>
  <c r="U35" i="7" s="1"/>
  <c r="Y4" i="7"/>
  <c r="W5" i="7"/>
  <c r="Y16" i="7" l="1"/>
  <c r="W22" i="7"/>
  <c r="W35" i="7" s="1"/>
  <c r="Y5" i="7"/>
  <c r="AA4" i="7"/>
  <c r="AA5" i="7" l="1"/>
  <c r="AC4" i="7"/>
  <c r="AA16" i="7"/>
  <c r="Y22" i="7"/>
  <c r="Y35" i="7" s="1"/>
  <c r="AC5" i="7" l="1"/>
  <c r="AE4" i="7"/>
  <c r="AC16" i="7"/>
  <c r="AA22" i="7"/>
  <c r="AA35" i="7" s="1"/>
  <c r="AC22" i="7" l="1"/>
  <c r="AC35" i="7" s="1"/>
  <c r="AE16" i="7"/>
  <c r="AE5" i="7"/>
  <c r="AG4" i="7"/>
  <c r="AG5" i="7" l="1"/>
  <c r="AG16" i="7"/>
  <c r="AG22" i="7" s="1"/>
  <c r="AG35" i="7" s="1"/>
  <c r="AE22" i="7"/>
  <c r="AE35" i="7" s="1"/>
  <c r="E40" i="7" l="1"/>
  <c r="G40" i="7" l="1"/>
  <c r="G43" i="7" s="1"/>
  <c r="E43" i="7"/>
  <c r="K40" i="7"/>
  <c r="K43" i="7" s="1"/>
  <c r="M40" i="7"/>
  <c r="M43" i="7" s="1"/>
  <c r="S40" i="7"/>
  <c r="S43" i="7" s="1"/>
  <c r="I40" i="7"/>
  <c r="I43" i="7" s="1"/>
  <c r="W40" i="7"/>
  <c r="W43" i="7" s="1"/>
  <c r="U40" i="7"/>
  <c r="U43" i="7" s="1"/>
  <c r="O40" i="7"/>
  <c r="O43" i="7" s="1"/>
  <c r="AE40" i="7"/>
  <c r="AE43" i="7" s="1"/>
  <c r="AG40" i="7"/>
  <c r="AG43" i="7" s="1"/>
  <c r="AA40" i="7"/>
  <c r="AA43" i="7" s="1"/>
  <c r="AC40" i="7"/>
  <c r="AC43" i="7" s="1"/>
  <c r="Q40" i="7"/>
  <c r="Q43" i="7" s="1"/>
  <c r="Y40" i="7"/>
  <c r="Y43" i="7" s="1"/>
  <c r="AC886" i="3"/>
  <c r="C86" i="11" l="1"/>
  <c r="B85" i="13"/>
  <c r="C85" i="13" s="1"/>
  <c r="C96" i="13" s="1"/>
  <c r="C96" i="4"/>
  <c r="B85" i="4"/>
  <c r="B86" i="11"/>
  <c r="B97" i="11" s="1"/>
  <c r="C11" i="4" l="1"/>
  <c r="B9" i="13"/>
  <c r="C9" i="13" s="1"/>
  <c r="C11" i="13" s="1"/>
  <c r="E9" i="4"/>
  <c r="C10" i="11"/>
  <c r="B9" i="4"/>
  <c r="B10" i="11"/>
  <c r="B12" i="11" s="1"/>
  <c r="B96" i="13"/>
  <c r="B96" i="4"/>
  <c r="N186" i="27"/>
  <c r="N193" i="27" s="1"/>
  <c r="E85" i="4"/>
  <c r="D86" i="11"/>
  <c r="C97" i="11"/>
  <c r="D97" i="11" s="1"/>
  <c r="B13" i="11" l="1"/>
  <c r="R9" i="4"/>
  <c r="E11" i="4"/>
  <c r="C12" i="13"/>
  <c r="R85" i="4"/>
  <c r="E96" i="4"/>
  <c r="C12" i="11"/>
  <c r="D10" i="11"/>
  <c r="B11" i="13"/>
  <c r="C12" i="4"/>
  <c r="B11" i="4"/>
  <c r="S85" i="4" l="1"/>
  <c r="R96" i="4"/>
  <c r="E12" i="4"/>
  <c r="C13" i="11"/>
  <c r="D13" i="11" s="1"/>
  <c r="D12" i="11"/>
  <c r="R11" i="4"/>
  <c r="T9" i="4"/>
  <c r="B12" i="13"/>
  <c r="Q391" i="3"/>
  <c r="B12" i="4"/>
  <c r="T11" i="4" l="1"/>
  <c r="H9" i="13"/>
  <c r="I9" i="13" s="1"/>
  <c r="I11" i="13" s="1"/>
  <c r="I63" i="13" s="1"/>
  <c r="I97" i="13" s="1"/>
  <c r="R12" i="4"/>
  <c r="E85" i="13"/>
  <c r="F85" i="13" s="1"/>
  <c r="F96" i="13" s="1"/>
  <c r="S96" i="4"/>
  <c r="E96" i="13" l="1"/>
  <c r="H11" i="13"/>
  <c r="T63" i="4"/>
  <c r="H63" i="13" l="1"/>
  <c r="T97" i="4"/>
  <c r="T99" i="4" l="1"/>
  <c r="H97" i="13"/>
  <c r="T104" i="4" l="1"/>
  <c r="H99" i="13"/>
  <c r="I99" i="13" s="1"/>
  <c r="I104" i="13" s="1"/>
  <c r="I105" i="13" s="1"/>
  <c r="I107" i="13" s="1"/>
  <c r="AD11" i="15" s="1"/>
  <c r="AD23" i="15" s="1"/>
  <c r="AD26" i="15" s="1"/>
  <c r="AD28" i="15" s="1"/>
  <c r="H104" i="13" l="1"/>
  <c r="T105" i="4"/>
  <c r="H105" i="13" l="1"/>
  <c r="T107" i="4"/>
  <c r="H107" i="13" s="1"/>
  <c r="AI11" i="15" s="1"/>
  <c r="AI23" i="15" s="1"/>
  <c r="AI26" i="15" s="1"/>
  <c r="AI28" i="15" s="1"/>
  <c r="R21" i="4" l="1"/>
  <c r="E21" i="13" s="1"/>
  <c r="F21" i="13" s="1"/>
  <c r="B20" i="13"/>
  <c r="C20" i="13" s="1"/>
  <c r="C21" i="11"/>
  <c r="B21" i="11"/>
  <c r="R20" i="4"/>
  <c r="E20" i="13" s="1"/>
  <c r="F20" i="13" s="1"/>
  <c r="B20" i="4"/>
  <c r="C22" i="11"/>
  <c r="D22" i="11" s="1"/>
  <c r="B22" i="11"/>
  <c r="B21" i="13"/>
  <c r="C21" i="13" s="1"/>
  <c r="B21" i="4"/>
  <c r="D21" i="11" l="1"/>
  <c r="R19" i="4"/>
  <c r="E19" i="13" s="1"/>
  <c r="F19" i="13" s="1"/>
  <c r="B19" i="13"/>
  <c r="C19" i="13" s="1"/>
  <c r="B20" i="11"/>
  <c r="C20" i="11"/>
  <c r="D20" i="11" s="1"/>
  <c r="B19" i="4"/>
  <c r="B18" i="4"/>
  <c r="B19" i="11"/>
  <c r="B27" i="11" s="1"/>
  <c r="B18" i="13"/>
  <c r="C18" i="13" s="1"/>
  <c r="C19" i="11"/>
  <c r="C26" i="4"/>
  <c r="C26" i="13" l="1"/>
  <c r="C27" i="11"/>
  <c r="D19" i="11"/>
  <c r="D27" i="11" s="1"/>
  <c r="B26" i="4"/>
  <c r="B26" i="13"/>
  <c r="H30" i="4" l="1"/>
  <c r="J76" i="4" l="1"/>
  <c r="J108" i="4"/>
  <c r="AM560" i="3"/>
  <c r="AA948" i="3"/>
  <c r="H108" i="4"/>
  <c r="AO639" i="3"/>
  <c r="AB48" i="15" s="1"/>
  <c r="J77" i="4" l="1"/>
  <c r="J97" i="4" s="1"/>
  <c r="J105" i="4" s="1"/>
  <c r="H26" i="4"/>
  <c r="B76" i="13" l="1"/>
  <c r="C76" i="13" s="1"/>
  <c r="C77" i="13" s="1"/>
  <c r="C77" i="11"/>
  <c r="B76" i="4"/>
  <c r="E10" i="7" s="1"/>
  <c r="C77" i="4"/>
  <c r="B77" i="11"/>
  <c r="B78" i="11" s="1"/>
  <c r="E26" i="4"/>
  <c r="R18" i="4"/>
  <c r="C78" i="11" l="1"/>
  <c r="D78" i="11" s="1"/>
  <c r="D77" i="11"/>
  <c r="B77" i="13"/>
  <c r="B77" i="4"/>
  <c r="E76" i="4"/>
  <c r="R26" i="4"/>
  <c r="U10" i="7" l="1"/>
  <c r="I10" i="7"/>
  <c r="I11" i="7" s="1"/>
  <c r="I37" i="7" s="1"/>
  <c r="O10" i="7"/>
  <c r="O11" i="7" s="1"/>
  <c r="O37" i="7" s="1"/>
  <c r="Q10" i="7"/>
  <c r="Q11" i="7" s="1"/>
  <c r="Q37" i="7" s="1"/>
  <c r="K10" i="7"/>
  <c r="K11" i="7" s="1"/>
  <c r="K37" i="7" s="1"/>
  <c r="G10" i="7"/>
  <c r="G11" i="7" s="1"/>
  <c r="G37" i="7" s="1"/>
  <c r="S10" i="7"/>
  <c r="S11" i="7" s="1"/>
  <c r="S37" i="7" s="1"/>
  <c r="M10" i="7"/>
  <c r="M11" i="7" s="1"/>
  <c r="M37" i="7" s="1"/>
  <c r="E11" i="7"/>
  <c r="E37" i="7" s="1"/>
  <c r="R76" i="4"/>
  <c r="R77" i="4" s="1"/>
  <c r="E77" i="4"/>
  <c r="E18" i="13"/>
  <c r="F18" i="13" s="1"/>
  <c r="F26" i="13" s="1"/>
  <c r="S26" i="4"/>
  <c r="E45" i="7" l="1"/>
  <c r="E49" i="7"/>
  <c r="M45" i="7"/>
  <c r="M49" i="7"/>
  <c r="S49" i="7"/>
  <c r="S45" i="7"/>
  <c r="G49" i="7"/>
  <c r="G45" i="7"/>
  <c r="Q45" i="7"/>
  <c r="Q49" i="7"/>
  <c r="O49" i="7"/>
  <c r="O45" i="7"/>
  <c r="I49" i="7"/>
  <c r="I45" i="7"/>
  <c r="K49" i="7"/>
  <c r="K45" i="7"/>
  <c r="W10" i="7"/>
  <c r="U11" i="7"/>
  <c r="U37" i="7" s="1"/>
  <c r="E26" i="13"/>
  <c r="O60" i="7" l="1"/>
  <c r="O47" i="7"/>
  <c r="O48" i="7"/>
  <c r="Q47" i="7"/>
  <c r="Q60" i="7"/>
  <c r="Q48" i="7"/>
  <c r="G60" i="7"/>
  <c r="G47" i="7"/>
  <c r="G48" i="7"/>
  <c r="S47" i="7"/>
  <c r="S48" i="7"/>
  <c r="S60" i="7"/>
  <c r="M47" i="7"/>
  <c r="M48" i="7"/>
  <c r="M60" i="7"/>
  <c r="U45" i="7"/>
  <c r="U49" i="7"/>
  <c r="Y10" i="7"/>
  <c r="W11" i="7"/>
  <c r="W37" i="7" s="1"/>
  <c r="K47" i="7"/>
  <c r="K60" i="7"/>
  <c r="K48" i="7"/>
  <c r="I48" i="7"/>
  <c r="I60" i="7"/>
  <c r="I47" i="7"/>
  <c r="E47" i="7"/>
  <c r="E60" i="7"/>
  <c r="E48" i="7"/>
  <c r="S62" i="7" l="1"/>
  <c r="S66" i="7"/>
  <c r="S70" i="7" s="1"/>
  <c r="W45" i="7"/>
  <c r="W49" i="7"/>
  <c r="AA10" i="7"/>
  <c r="Y11" i="7"/>
  <c r="Y37" i="7" s="1"/>
  <c r="Q62" i="7"/>
  <c r="Q66" i="7"/>
  <c r="Q70" i="7" s="1"/>
  <c r="U48" i="7"/>
  <c r="U47" i="7"/>
  <c r="U60" i="7"/>
  <c r="K62" i="7"/>
  <c r="K66" i="7"/>
  <c r="K70" i="7" s="1"/>
  <c r="E62" i="7"/>
  <c r="E66" i="7"/>
  <c r="E70" i="7" s="1"/>
  <c r="M62" i="7"/>
  <c r="M66" i="7"/>
  <c r="M70" i="7" s="1"/>
  <c r="M72" i="7" s="1"/>
  <c r="I62" i="7"/>
  <c r="I66" i="7"/>
  <c r="I70" i="7" s="1"/>
  <c r="I72" i="7" s="1"/>
  <c r="G66" i="7"/>
  <c r="G70" i="7" s="1"/>
  <c r="G62" i="7"/>
  <c r="O62" i="7"/>
  <c r="O66" i="7"/>
  <c r="O70" i="7" s="1"/>
  <c r="G72" i="7" l="1"/>
  <c r="E72" i="7"/>
  <c r="O72" i="7"/>
  <c r="K72" i="7"/>
  <c r="S72" i="7"/>
  <c r="Q72" i="7"/>
  <c r="Y49" i="7"/>
  <c r="Y45" i="7"/>
  <c r="AC10" i="7"/>
  <c r="AA11" i="7"/>
  <c r="AA37" i="7" s="1"/>
  <c r="W60" i="7"/>
  <c r="W47" i="7"/>
  <c r="W48" i="7"/>
  <c r="U62" i="7"/>
  <c r="U66" i="7"/>
  <c r="U70" i="7" s="1"/>
  <c r="U72" i="7" s="1"/>
  <c r="W62" i="7" l="1"/>
  <c r="W66" i="7"/>
  <c r="W70" i="7" s="1"/>
  <c r="AA45" i="7"/>
  <c r="AA49" i="7"/>
  <c r="AE10" i="7"/>
  <c r="AC11" i="7"/>
  <c r="AC37" i="7" s="1"/>
  <c r="Y47" i="7"/>
  <c r="Y48" i="7"/>
  <c r="Y60" i="7"/>
  <c r="W72" i="7" l="1"/>
  <c r="Y62" i="7"/>
  <c r="Y66" i="7"/>
  <c r="Y70" i="7" s="1"/>
  <c r="AC45" i="7"/>
  <c r="AC49" i="7"/>
  <c r="AG10" i="7"/>
  <c r="AG11" i="7" s="1"/>
  <c r="AG37" i="7" s="1"/>
  <c r="AE11" i="7"/>
  <c r="AE37" i="7" s="1"/>
  <c r="AA47" i="7"/>
  <c r="AA48" i="7"/>
  <c r="AA60" i="7"/>
  <c r="Y72" i="7" l="1"/>
  <c r="AA66" i="7"/>
  <c r="AA70" i="7" s="1"/>
  <c r="AA62" i="7"/>
  <c r="AE45" i="7"/>
  <c r="AE49" i="7"/>
  <c r="AG49" i="7"/>
  <c r="AG45" i="7"/>
  <c r="AC48" i="7"/>
  <c r="AC47" i="7"/>
  <c r="AC60" i="7"/>
  <c r="AA72" i="7" l="1"/>
  <c r="AC62" i="7"/>
  <c r="AC66" i="7"/>
  <c r="AC70" i="7" s="1"/>
  <c r="AG48" i="7"/>
  <c r="AG47" i="7"/>
  <c r="AG60" i="7"/>
  <c r="AE60" i="7"/>
  <c r="AE48" i="7"/>
  <c r="AE47" i="7"/>
  <c r="AC72" i="7" l="1"/>
  <c r="AE62" i="7"/>
  <c r="AE66" i="7"/>
  <c r="AE70" i="7" s="1"/>
  <c r="AG62" i="7"/>
  <c r="AG66" i="7"/>
  <c r="AG70" i="7" s="1"/>
  <c r="AG72" i="7" l="1"/>
  <c r="AE72" i="7"/>
  <c r="H38" i="4" l="1"/>
  <c r="H63" i="4" s="1"/>
  <c r="H97" i="4" s="1"/>
  <c r="H105" i="4" s="1"/>
  <c r="G38" i="4"/>
  <c r="G63" i="4" s="1"/>
  <c r="G97" i="4" s="1"/>
  <c r="G105" i="4" s="1"/>
  <c r="B32" i="4" l="1"/>
  <c r="E33" i="4"/>
  <c r="R33" i="4" s="1"/>
  <c r="S33" i="4" s="1"/>
  <c r="E33" i="13" s="1"/>
  <c r="F33" i="13" s="1"/>
  <c r="C33" i="11" l="1"/>
  <c r="B33" i="11"/>
  <c r="B33" i="4"/>
  <c r="C34" i="11"/>
  <c r="B34" i="11"/>
  <c r="B33" i="13"/>
  <c r="C33" i="13" s="1"/>
  <c r="E32" i="4"/>
  <c r="R32" i="4" s="1"/>
  <c r="S32" i="4" s="1"/>
  <c r="E32" i="13" s="1"/>
  <c r="F32" i="13" s="1"/>
  <c r="B32" i="13"/>
  <c r="C32" i="13" s="1"/>
  <c r="D33" i="11" l="1"/>
  <c r="D34" i="11"/>
  <c r="C32" i="11" l="1"/>
  <c r="B32" i="11"/>
  <c r="B31" i="13"/>
  <c r="C31" i="13" s="1"/>
  <c r="E31" i="4"/>
  <c r="R31" i="4" s="1"/>
  <c r="S31" i="4" s="1"/>
  <c r="E31" i="13" s="1"/>
  <c r="F31" i="13" s="1"/>
  <c r="B31" i="4"/>
  <c r="B30" i="13" l="1"/>
  <c r="C30" i="13" s="1"/>
  <c r="C38" i="13" s="1"/>
  <c r="C63" i="13" s="1"/>
  <c r="C97" i="13" s="1"/>
  <c r="B31" i="11"/>
  <c r="B39" i="11" s="1"/>
  <c r="B64" i="11" s="1"/>
  <c r="B98" i="11" s="1"/>
  <c r="B30" i="4"/>
  <c r="E30" i="4"/>
  <c r="C38" i="4"/>
  <c r="C31" i="11"/>
  <c r="D32" i="11"/>
  <c r="C63" i="4" l="1"/>
  <c r="B38" i="13"/>
  <c r="B38" i="4"/>
  <c r="B63" i="4" s="1"/>
  <c r="D31" i="11"/>
  <c r="C39" i="11"/>
  <c r="E38" i="4"/>
  <c r="E63" i="4" s="1"/>
  <c r="E97" i="4" s="1"/>
  <c r="R30" i="4"/>
  <c r="C64" i="11" l="1"/>
  <c r="D39" i="11"/>
  <c r="R38" i="4"/>
  <c r="R63" i="4" s="1"/>
  <c r="R97" i="4" s="1"/>
  <c r="S30" i="4"/>
  <c r="B63" i="13"/>
  <c r="C97" i="4"/>
  <c r="B97" i="4" l="1"/>
  <c r="B97" i="13"/>
  <c r="S38" i="4"/>
  <c r="E30" i="13"/>
  <c r="F30" i="13" s="1"/>
  <c r="F38" i="13" s="1"/>
  <c r="F63" i="13" s="1"/>
  <c r="F97" i="13" s="1"/>
  <c r="D64" i="11"/>
  <c r="C98" i="11"/>
  <c r="D98" i="11" l="1"/>
  <c r="S63" i="4"/>
  <c r="E38" i="13"/>
  <c r="E63" i="13" l="1"/>
  <c r="S97" i="4"/>
  <c r="E97" i="13" l="1"/>
  <c r="S99" i="4"/>
  <c r="S104" i="4" l="1"/>
  <c r="E99" i="13"/>
  <c r="F99" i="13" s="1"/>
  <c r="F104" i="13" s="1"/>
  <c r="F105" i="13" s="1"/>
  <c r="F107" i="13" s="1"/>
  <c r="T11" i="15" l="1"/>
  <c r="T23" i="15" s="1"/>
  <c r="E104" i="13"/>
  <c r="S105" i="4"/>
  <c r="E105" i="13" l="1"/>
  <c r="S107" i="4"/>
  <c r="T26" i="15"/>
  <c r="T28" i="15" s="1"/>
  <c r="E107" i="13" l="1"/>
  <c r="Y11" i="15" s="1"/>
  <c r="Y23" i="15" s="1"/>
  <c r="AC456" i="3"/>
  <c r="AF540" i="20"/>
  <c r="AF542" i="20" s="1"/>
  <c r="AK548" i="20" s="1"/>
  <c r="T807" i="20" s="1"/>
  <c r="AF807" i="20" s="1"/>
  <c r="AE699" i="3"/>
  <c r="Y26" i="15" l="1"/>
  <c r="Y28" i="15" s="1"/>
  <c r="Y38" i="15" s="1"/>
  <c r="Y40" i="15" s="1"/>
  <c r="AD38" i="15"/>
  <c r="AD40" i="15" s="1"/>
  <c r="Y41" i="15" l="1"/>
  <c r="Y64" i="15"/>
  <c r="Y68" i="15" s="1"/>
  <c r="T29" i="15"/>
  <c r="AM558" i="3" l="1"/>
  <c r="E99" i="4"/>
  <c r="B100" i="11"/>
  <c r="B105" i="11" s="1"/>
  <c r="B106" i="11" s="1"/>
  <c r="B99" i="13"/>
  <c r="C99" i="13" s="1"/>
  <c r="C104" i="13" s="1"/>
  <c r="C105" i="13" s="1"/>
  <c r="B99" i="4"/>
  <c r="C104" i="4"/>
  <c r="C100" i="11"/>
  <c r="E104" i="4" l="1"/>
  <c r="E105" i="4" s="1"/>
  <c r="AO640" i="3" s="1"/>
  <c r="R99" i="4"/>
  <c r="R104" i="4" s="1"/>
  <c r="R105" i="4" s="1"/>
  <c r="D100" i="11"/>
  <c r="C105" i="11"/>
  <c r="B104" i="4"/>
  <c r="B104" i="13"/>
  <c r="C105" i="4"/>
  <c r="C106" i="11" l="1"/>
  <c r="D106" i="11" s="1"/>
  <c r="D105" i="11"/>
  <c r="B105" i="13"/>
  <c r="B105" i="4"/>
  <c r="AC455" i="3"/>
  <c r="AG258" i="20"/>
  <c r="AM557" i="3"/>
  <c r="AO641" i="3"/>
  <c r="AM555" i="3" s="1"/>
  <c r="E108" i="4"/>
  <c r="AM562" i="3" l="1"/>
  <c r="AA949" i="3"/>
  <c r="AD188" i="20"/>
  <c r="AD200" i="20" s="1"/>
  <c r="AM566" i="3"/>
  <c r="N183" i="27"/>
  <c r="AB47" i="15"/>
  <c r="AB49" i="15" s="1"/>
  <c r="AB255" i="20"/>
  <c r="AC454" i="3"/>
  <c r="N194" i="27" l="1"/>
  <c r="N184" i="27"/>
  <c r="F457" i="3"/>
  <c r="AG257" i="20"/>
  <c r="AG259" i="20" s="1"/>
  <c r="AK262" i="20" s="1"/>
  <c r="T801" i="20" s="1"/>
  <c r="AF801" i="20" s="1"/>
  <c r="AF810" i="20" s="1"/>
  <c r="AB54" i="15"/>
  <c r="AB55" i="15" s="1"/>
  <c r="AB56" i="15" s="1"/>
  <c r="M26" i="3" l="1"/>
  <c r="P204" i="3" s="1"/>
  <c r="AB57" i="15"/>
  <c r="AB59" i="15" l="1"/>
  <c r="AB76" i="15" s="1"/>
  <c r="AB77" i="15" l="1"/>
  <c r="I10" i="21" l="1"/>
  <c r="I11" i="21" s="1"/>
  <c r="I16" i="21" s="1"/>
  <c r="H4" i="21" s="1"/>
  <c r="M27" i="3"/>
  <c r="P205" i="3" s="1"/>
  <c r="AB78" i="15"/>
  <c r="AB80" i="15" s="1"/>
  <c r="J81" i="15" s="1"/>
  <c r="H5" i="2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6F82EB68-1758-458F-9786-B3D4E5C60534}">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<sst xmlns="http://schemas.openxmlformats.org/spreadsheetml/2006/main" count="5330" uniqueCount="2770">
  <si>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</si>
  <si>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</si>
  <si>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</si>
  <si>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</si>
  <si>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</si>
  <si>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</si>
  <si>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</si>
  <si>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</si>
  <si>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</si>
  <si>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</si>
  <si>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</si>
  <si>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</si>
  <si>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</si>
  <si>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</si>
  <si>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</si>
  <si>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</si>
  <si>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</si>
  <si>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</si>
  <si>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</si>
  <si>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</si>
  <si>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</si>
  <si>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</si>
  <si>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</si>
  <si>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</si>
  <si>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</si>
  <si>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</si>
  <si>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</si>
  <si>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</si>
  <si>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</si>
  <si>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</si>
  <si>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</si>
  <si>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</si>
  <si>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</si>
  <si>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</si>
  <si>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</si>
  <si>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</si>
  <si>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</si>
  <si>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</si>
  <si>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</si>
  <si>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</si>
  <si>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</si>
  <si>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</si>
  <si>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</si>
  <si>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</si>
  <si>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</si>
  <si>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</si>
  <si>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</si>
  <si>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</si>
  <si>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</si>
  <si>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</si>
  <si>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</si>
  <si>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</si>
  <si>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</si>
  <si>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</si>
  <si>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</si>
  <si>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</si>
  <si>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</si>
  <si>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</si>
  <si>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</si>
  <si>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</si>
  <si>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</si>
  <si>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</si>
  <si>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</si>
  <si>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</si>
  <si>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</si>
  <si>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</si>
  <si>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</si>
  <si>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</si>
  <si>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</si>
  <si>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</si>
  <si>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</si>
  <si>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</si>
  <si>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</si>
  <si>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</si>
  <si>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</si>
  <si>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</si>
  <si>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</si>
  <si>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</si>
  <si>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</si>
  <si>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</si>
  <si>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</si>
  <si>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</si>
  <si>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</si>
  <si>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</si>
  <si>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</si>
  <si>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</si>
  <si>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</si>
  <si>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</si>
  <si>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</si>
  <si>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</si>
  <si>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</si>
  <si>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</si>
  <si>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</si>
  <si>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</si>
  <si>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</si>
  <si>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</si>
  <si>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</si>
  <si>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</si>
  <si>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</si>
  <si>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</si>
  <si>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</si>
  <si>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</si>
  <si>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</si>
  <si>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</si>
  <si>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</si>
  <si>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</si>
  <si>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</si>
  <si>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</si>
  <si>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</si>
  <si>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</si>
  <si>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</si>
  <si>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</si>
  <si>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</si>
  <si>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</si>
  <si>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</si>
  <si>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</si>
  <si>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</si>
  <si>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</si>
  <si>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</si>
  <si>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</si>
  <si>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</si>
  <si>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</si>
  <si>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</si>
  <si>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</si>
  <si>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</si>
  <si>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</si>
  <si>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</si>
  <si>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</si>
  <si>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</si>
  <si>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</si>
  <si>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</si>
  <si>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</si>
  <si>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</si>
  <si>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</si>
  <si>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</si>
  <si>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</si>
  <si>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</si>
  <si>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</si>
  <si>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</si>
  <si>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</si>
  <si>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</si>
  <si>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</si>
  <si>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</si>
  <si>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</si>
  <si>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</si>
  <si>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</si>
  <si>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</si>
  <si>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</si>
  <si>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</si>
  <si>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</si>
  <si>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</si>
  <si>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</si>
  <si>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</si>
  <si>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</si>
  <si>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</si>
  <si>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</si>
  <si>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</si>
  <si>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</si>
  <si>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</si>
  <si>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</si>
  <si>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</si>
  <si>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</si>
  <si>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</si>
  <si>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</si>
  <si>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</si>
  <si>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</si>
  <si>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</si>
  <si>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</si>
  <si>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</si>
  <si>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</si>
  <si>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</si>
  <si>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</si>
  <si>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</si>
  <si>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</si>
  <si>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</si>
  <si>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</si>
  <si>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</si>
  <si>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</si>
  <si>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</si>
  <si>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</si>
  <si>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</si>
  <si>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</si>
  <si>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</si>
  <si>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</si>
  <si>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</si>
  <si>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</si>
  <si>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</si>
  <si>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</si>
  <si>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</si>
  <si>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</si>
  <si>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</si>
  <si>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</si>
  <si>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</si>
  <si>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</si>
  <si>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</si>
  <si>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</si>
  <si>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</si>
  <si>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</si>
  <si>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</si>
  <si>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</si>
  <si>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</si>
  <si>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</si>
  <si>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</si>
  <si>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</si>
  <si>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</si>
  <si>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</si>
  <si>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</si>
  <si>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</si>
  <si>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</si>
  <si>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</si>
  <si>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</si>
  <si>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</si>
  <si>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</si>
  <si>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</si>
  <si>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</si>
  <si>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</si>
  <si>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</si>
  <si>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</si>
  <si>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</si>
  <si>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</si>
  <si>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</si>
  <si>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</si>
  <si>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</si>
  <si>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</si>
  <si>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</si>
  <si>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</si>
  <si>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</si>
  <si>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</si>
  <si>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</si>
  <si>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</si>
  <si>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</si>
  <si>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</si>
  <si>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</si>
  <si>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</si>
  <si>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</si>
  <si>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</si>
  <si>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</si>
  <si>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</si>
  <si>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</si>
  <si>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</si>
  <si>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</si>
  <si>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</si>
  <si>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</si>
  <si>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</si>
  <si>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</si>
  <si>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</si>
  <si>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</si>
  <si>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</si>
  <si>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</si>
  <si>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</si>
  <si>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</si>
  <si>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</si>
  <si>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</si>
  <si>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</si>
  <si>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</si>
  <si>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</si>
  <si>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</si>
  <si>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</si>
  <si>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</si>
  <si>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</si>
  <si>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</si>
  <si>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</si>
  <si>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</si>
  <si>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</si>
  <si>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</si>
  <si>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</si>
  <si>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</si>
  <si>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</si>
  <si>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</si>
  <si>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</si>
  <si>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</si>
  <si>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</si>
  <si>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</si>
  <si>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</si>
  <si>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</si>
  <si>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</si>
  <si>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</si>
  <si>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</si>
  <si>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</si>
  <si>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</si>
  <si>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</si>
  <si>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</si>
  <si>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</si>
  <si>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</si>
  <si>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</si>
  <si>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</si>
  <si>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</si>
  <si>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</si>
  <si>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</si>
  <si>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</si>
  <si>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</si>
  <si>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</si>
  <si>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</si>
  <si>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</si>
  <si>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</si>
  <si>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</si>
  <si>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</si>
  <si>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</si>
  <si>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</si>
  <si>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</si>
  <si>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</si>
  <si>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</si>
  <si>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</si>
  <si>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</si>
  <si>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</si>
  <si>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</si>
  <si>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</si>
  <si>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</si>
  <si>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</si>
  <si>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</si>
  <si>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</si>
  <si>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</si>
  <si>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</si>
  <si>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</si>
  <si>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</si>
  <si>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</si>
  <si>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</si>
  <si>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</si>
  <si>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</si>
  <si>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</si>
  <si>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</si>
  <si>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</si>
  <si>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</si>
  <si>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</si>
  <si>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</si>
  <si>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</si>
  <si>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</si>
  <si>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</si>
  <si>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</si>
  <si>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</si>
  <si>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</si>
  <si>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</si>
  <si>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</si>
  <si>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</si>
  <si>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</si>
  <si>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</si>
  <si>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</si>
  <si>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</si>
  <si>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</si>
  <si>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</si>
  <si>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</si>
  <si>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</si>
  <si>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</si>
  <si>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</si>
  <si>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</si>
  <si>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</si>
  <si>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</si>
  <si>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</si>
  <si>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</si>
  <si>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</si>
  <si>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</si>
  <si>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</si>
  <si>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</si>
  <si>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</si>
  <si>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</si>
  <si>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</si>
  <si>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</si>
  <si>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</si>
  <si>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</si>
  <si>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</si>
  <si>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</si>
  <si>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</si>
  <si>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</si>
  <si>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</si>
  <si>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</si>
  <si>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</si>
  <si>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</si>
  <si>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</si>
  <si>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</si>
  <si>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</si>
  <si>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</si>
  <si>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</si>
  <si>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</si>
  <si>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</si>
  <si>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</si>
  <si>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</si>
  <si>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</si>
  <si>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</si>
  <si>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</si>
  <si>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</si>
  <si>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</si>
  <si>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</si>
  <si>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</si>
  <si>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</si>
  <si>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</si>
  <si>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</si>
  <si>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</si>
  <si>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</si>
  <si>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</si>
  <si>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</si>
  <si>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</si>
  <si>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</si>
  <si>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</si>
  <si>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</si>
  <si>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</si>
  <si>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</si>
  <si>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</si>
  <si>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</si>
  <si>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</si>
  <si>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</si>
  <si>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</si>
  <si>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</si>
  <si>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</si>
  <si>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</si>
  <si>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</si>
  <si>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</si>
  <si>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</si>
  <si>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</si>
  <si>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</si>
  <si>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</si>
  <si>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</si>
  <si>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</si>
  <si>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</si>
  <si>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</si>
  <si>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</si>
  <si>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</si>
  <si>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</si>
  <si>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</si>
  <si>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</si>
  <si>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</si>
  <si>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</si>
  <si>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</si>
  <si>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</si>
  <si>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</si>
  <si>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</si>
  <si>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</si>
  <si>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</si>
  <si>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</si>
  <si>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</si>
  <si>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</si>
  <si>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</si>
  <si>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</si>
  <si>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</si>
  <si>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</si>
  <si>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</si>
  <si>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</si>
  <si>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</si>
  <si>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</si>
  <si>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</si>
  <si>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</si>
  <si>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</si>
  <si>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</si>
  <si>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</si>
  <si>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</si>
  <si>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</si>
  <si>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</si>
  <si>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</si>
  <si>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</si>
  <si>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</si>
  <si>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</si>
  <si>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</si>
  <si>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</si>
  <si>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</si>
  <si>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</si>
  <si>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</si>
  <si>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</si>
  <si>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</si>
  <si>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</si>
  <si>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</si>
  <si>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</si>
  <si>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</si>
  <si>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</si>
  <si>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</si>
  <si>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</si>
  <si>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</si>
  <si>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</si>
  <si>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</si>
  <si>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</si>
  <si>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</si>
  <si>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</si>
  <si>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</si>
  <si>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</si>
  <si>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</si>
  <si>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</si>
  <si>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</si>
  <si>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</si>
  <si>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</si>
  <si>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</si>
  <si>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</si>
  <si>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</si>
  <si>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</si>
  <si>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</si>
  <si>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</si>
  <si>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</si>
  <si>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</si>
  <si>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</si>
  <si>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</si>
  <si>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</si>
  <si>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</si>
  <si>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</si>
  <si>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</si>
  <si>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</si>
  <si>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</si>
  <si>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</si>
  <si>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</si>
  <si>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</si>
  <si>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</si>
  <si>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</si>
  <si>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</si>
  <si>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</si>
  <si>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</si>
  <si>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</si>
  <si>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</si>
  <si>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</si>
  <si>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</si>
  <si>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</si>
  <si>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</si>
  <si>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</si>
  <si>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</si>
  <si>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</si>
  <si>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</si>
  <si>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</si>
  <si>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</si>
  <si>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</si>
  <si>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</si>
  <si>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</si>
  <si>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</si>
  <si>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</si>
  <si>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</si>
  <si>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</si>
  <si>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</si>
  <si>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</si>
  <si>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</si>
  <si>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</si>
  <si>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</si>
  <si>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</si>
  <si>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</si>
  <si>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</si>
  <si>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</si>
  <si>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</si>
  <si>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</si>
  <si>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</si>
  <si>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</si>
  <si>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</si>
  <si>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</si>
  <si>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</si>
  <si>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</si>
  <si>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</si>
  <si>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</si>
  <si>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</si>
  <si>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</si>
  <si>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</si>
  <si>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</si>
  <si>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</si>
  <si>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</si>
  <si>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</si>
  <si>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</si>
  <si>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</si>
  <si>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</si>
  <si>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</si>
  <si>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</si>
  <si>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</si>
  <si>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</si>
  <si>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</si>
  <si>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</si>
  <si>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</si>
  <si>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</si>
  <si>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</si>
  <si>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</si>
  <si>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</si>
  <si>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</si>
  <si>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</si>
  <si>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</si>
  <si>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</si>
  <si>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</si>
  <si>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</si>
  <si>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</si>
  <si>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</si>
  <si>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</si>
  <si>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</si>
  <si>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</si>
  <si>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</si>
  <si>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</si>
  <si>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</si>
  <si>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</si>
  <si>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</si>
  <si>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</si>
  <si>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</si>
  <si>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</si>
  <si>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</si>
  <si>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</si>
  <si>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</si>
  <si>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</si>
  <si>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</si>
  <si>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</si>
  <si>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</si>
  <si>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</si>
  <si>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</si>
  <si>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</si>
  <si>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</si>
  <si>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</si>
  <si>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</si>
  <si>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</si>
  <si>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</si>
  <si>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</si>
  <si>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</si>
  <si>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</si>
  <si>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</si>
  <si>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</si>
  <si>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</si>
  <si>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</si>
  <si>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</si>
  <si>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</si>
  <si>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</si>
  <si>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</si>
  <si>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</si>
  <si>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</si>
  <si>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</si>
  <si>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</si>
  <si>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</si>
  <si>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</si>
  <si>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</si>
  <si>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</si>
  <si>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</si>
  <si>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</si>
  <si>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</si>
  <si>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</si>
  <si>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</si>
  <si>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</si>
  <si>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</si>
  <si>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</si>
  <si>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</si>
  <si>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</si>
  <si>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</si>
  <si>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</si>
  <si>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</si>
  <si>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</si>
  <si>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</si>
  <si>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</si>
  <si>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</si>
  <si>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</si>
  <si>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</si>
  <si>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</si>
  <si>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</si>
  <si>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</si>
  <si>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</si>
  <si>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</si>
  <si>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</si>
  <si>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</si>
  <si>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</si>
  <si>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</si>
  <si>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</si>
  <si>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</si>
  <si>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</si>
  <si>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</si>
  <si>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</si>
  <si>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</si>
  <si>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</si>
  <si>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</si>
  <si>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</si>
  <si>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</si>
  <si>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</si>
  <si>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</si>
  <si>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</si>
  <si>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</si>
  <si>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</si>
  <si>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</si>
  <si>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</si>
  <si>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</si>
  <si>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</si>
  <si>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</si>
  <si>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</si>
  <si>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</si>
  <si>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</si>
  <si>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</si>
  <si>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</si>
  <si>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</si>
  <si>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</si>
  <si>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</si>
  <si>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</si>
  <si>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</si>
  <si>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</si>
  <si>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</si>
  <si>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</si>
  <si>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</si>
  <si>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</si>
  <si>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</si>
  <si>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</si>
  <si>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</si>
  <si>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</si>
  <si>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</si>
  <si>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</si>
  <si>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</si>
  <si>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</si>
  <si>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</si>
  <si>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</si>
  <si>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</si>
  <si>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</si>
  <si>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</si>
  <si>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</si>
  <si>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</si>
  <si>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</si>
  <si>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</si>
  <si>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</si>
  <si>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</si>
  <si>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</si>
  <si>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</si>
  <si>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</si>
  <si>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</si>
  <si>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</si>
  <si>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</si>
  <si>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</si>
  <si>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</si>
  <si>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</si>
  <si>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</si>
  <si>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</si>
  <si>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</si>
  <si>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</si>
  <si>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</si>
  <si>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</si>
  <si>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</si>
  <si>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</si>
  <si>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</si>
  <si>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</si>
  <si>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</si>
  <si>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</si>
  <si>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</si>
  <si>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</si>
  <si>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</si>
  <si>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</si>
  <si>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</si>
  <si>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</si>
  <si>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</si>
  <si>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</si>
  <si>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</si>
  <si>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</si>
  <si>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</si>
  <si>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</si>
  <si>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</si>
  <si>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</si>
  <si>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</si>
  <si>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</si>
  <si>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</si>
  <si>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</si>
  <si>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</si>
  <si>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</si>
  <si>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</si>
  <si>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</si>
  <si>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</si>
  <si>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</si>
  <si>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</si>
  <si>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</si>
  <si>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</si>
  <si>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</si>
  <si>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</si>
  <si>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</si>
  <si>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</si>
  <si>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</si>
  <si>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</si>
  <si>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</si>
  <si>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</si>
  <si>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</si>
  <si>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</si>
  <si>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</si>
  <si>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</si>
  <si>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</si>
  <si>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</si>
  <si>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</si>
  <si>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</si>
  <si>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</si>
  <si>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</si>
  <si>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</si>
  <si>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</si>
  <si>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</si>
  <si>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</si>
  <si>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</si>
  <si>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</si>
  <si>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</si>
  <si>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</si>
  <si>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</si>
  <si>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</si>
  <si>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</si>
  <si>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</si>
  <si>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</si>
  <si>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</si>
  <si>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</si>
  <si>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</si>
  <si>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</si>
  <si>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</si>
  <si>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</si>
  <si>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</si>
  <si>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</si>
  <si>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</si>
  <si>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</si>
  <si>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</si>
  <si>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</si>
  <si>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</si>
  <si>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</si>
  <si>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</si>
  <si>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</si>
  <si>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</si>
  <si>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</si>
  <si>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</si>
  <si>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</si>
  <si>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</si>
  <si>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</si>
  <si>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</si>
  <si>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</si>
  <si>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</si>
  <si>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</si>
  <si>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</si>
  <si>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</si>
  <si>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</si>
  <si>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</si>
  <si>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</si>
  <si>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</si>
  <si>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</si>
  <si>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</si>
  <si>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</si>
  <si>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</si>
  <si>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</si>
  <si>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</si>
  <si>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</si>
  <si>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</si>
  <si>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</si>
  <si>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</si>
  <si>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</si>
  <si>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</si>
  <si>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</si>
  <si>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</si>
  <si>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</si>
  <si>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</si>
  <si>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</si>
  <si>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</si>
  <si>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</si>
  <si>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</si>
  <si>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</si>
  <si>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</si>
  <si>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</si>
  <si>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</si>
  <si>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</si>
  <si>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</si>
  <si>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</si>
  <si>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</si>
  <si>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</si>
  <si>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</si>
  <si>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</si>
  <si>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</si>
  <si>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</si>
  <si>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</si>
  <si>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</si>
  <si>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</si>
  <si>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</si>
  <si>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</si>
  <si>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</si>
  <si>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</si>
  <si>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</si>
  <si>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</si>
  <si>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</si>
  <si>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</si>
  <si>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</si>
  <si>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</si>
  <si>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</si>
  <si>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</si>
  <si>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</si>
  <si>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</si>
  <si>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</si>
  <si>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</si>
  <si>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</si>
  <si>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</si>
  <si>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</si>
  <si>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</si>
  <si>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</si>
  <si>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</si>
  <si>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</si>
  <si>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</si>
  <si>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</si>
  <si>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</si>
  <si>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</si>
  <si>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</si>
  <si>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</si>
  <si>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</si>
  <si>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</si>
  <si>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</si>
  <si>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</si>
  <si>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</si>
  <si>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</si>
  <si>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</si>
  <si>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</si>
  <si>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</si>
  <si>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</si>
  <si>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</si>
  <si>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</si>
  <si>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</si>
  <si>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</si>
  <si>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</si>
  <si>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</si>
  <si>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</si>
  <si>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</si>
  <si>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</si>
  <si>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</si>
  <si>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</si>
  <si>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</si>
  <si>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</si>
  <si>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</si>
  <si>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</si>
  <si>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</si>
  <si>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</si>
  <si>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</si>
  <si>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</si>
  <si>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</si>
  <si>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</si>
  <si>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</si>
  <si>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</si>
  <si>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</si>
  <si>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</si>
  <si>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</si>
  <si>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</si>
  <si>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</si>
  <si>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</si>
  <si>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</si>
  <si>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</si>
  <si>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</si>
  <si>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</si>
  <si>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</si>
  <si>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</si>
  <si>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</si>
  <si>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</si>
  <si>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</si>
  <si>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</si>
  <si>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</si>
  <si>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</si>
  <si>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</si>
  <si>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</si>
  <si>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</si>
  <si>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</si>
  <si>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</si>
  <si>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</si>
  <si>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</si>
  <si>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</si>
  <si>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</si>
  <si>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</si>
  <si>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</si>
  <si>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</si>
  <si>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</si>
  <si>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</si>
  <si>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</si>
  <si>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</si>
  <si>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</si>
  <si>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</si>
  <si>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</si>
  <si>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</si>
  <si>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</si>
  <si>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</si>
  <si>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</si>
  <si>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</si>
  <si>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</si>
  <si>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</si>
  <si>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</si>
  <si>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</si>
  <si>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</si>
  <si>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</si>
  <si>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</si>
  <si>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</si>
  <si>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</si>
  <si>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</si>
  <si>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</si>
  <si>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</si>
  <si>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</si>
  <si>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</si>
  <si>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</si>
  <si>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</si>
  <si>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</si>
  <si>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</si>
  <si>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</si>
  <si>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</si>
  <si>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</si>
  <si>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</si>
  <si>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</si>
  <si>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</si>
  <si>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</si>
  <si>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</si>
  <si>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</si>
  <si>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</si>
  <si>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</si>
  <si>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</si>
  <si>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</si>
  <si>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</si>
  <si>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</si>
  <si>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</si>
  <si>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</si>
  <si>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</si>
  <si>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</si>
  <si>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</si>
  <si>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</si>
  <si>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</si>
  <si>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</si>
  <si>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</si>
  <si>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</si>
  <si>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</si>
  <si>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</si>
  <si>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</si>
  <si>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</si>
  <si>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</si>
  <si>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</si>
  <si>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</si>
  <si>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</si>
  <si>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</si>
  <si>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</si>
  <si>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</si>
  <si>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</si>
  <si>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</si>
  <si>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</si>
  <si>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</si>
  <si>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</si>
  <si>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</si>
  <si>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</si>
  <si>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</si>
  <si>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</si>
  <si>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</si>
  <si>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</si>
  <si>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</si>
  <si>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</si>
  <si>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</si>
  <si>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</si>
  <si>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</si>
  <si>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</si>
  <si>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</si>
  <si>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</si>
  <si>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</si>
  <si>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</si>
  <si>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</si>
  <si>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</si>
  <si>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</si>
  <si>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</si>
  <si>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</si>
  <si>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</si>
  <si>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</si>
  <si>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</si>
  <si>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</si>
  <si>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</si>
  <si>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</si>
  <si>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</si>
  <si>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</si>
  <si>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</si>
  <si>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</si>
  <si>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</si>
  <si>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</si>
  <si>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</si>
  <si>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</si>
  <si>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</si>
  <si>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</si>
  <si>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</si>
  <si>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</si>
  <si>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</si>
  <si>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</si>
  <si>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</si>
  <si>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</si>
  <si>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</si>
  <si>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</si>
  <si>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</si>
  <si>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</si>
  <si>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</si>
  <si>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</si>
  <si>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</si>
  <si>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</si>
  <si>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</si>
  <si>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</si>
  <si>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</si>
  <si>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</si>
  <si>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</si>
  <si>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</si>
  <si>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</si>
  <si>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</si>
  <si>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</si>
  <si>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</si>
  <si>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</si>
  <si>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</si>
  <si>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</si>
  <si>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</si>
  <si>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</si>
  <si>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</si>
  <si>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</si>
  <si>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</si>
  <si>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</si>
  <si>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</si>
  <si>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</si>
  <si>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</si>
  <si>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</si>
  <si>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</si>
  <si>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</si>
  <si>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</si>
  <si>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</si>
  <si>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</si>
  <si>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</si>
  <si>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</si>
  <si>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</si>
  <si>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</si>
  <si>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</si>
  <si>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</si>
  <si>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</si>
  <si>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</si>
  <si>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</si>
  <si>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</si>
  <si>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</si>
  <si>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</si>
  <si>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</si>
  <si>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</si>
  <si>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</si>
  <si>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</si>
  <si>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</si>
  <si>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</si>
  <si>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</si>
  <si>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</si>
  <si>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</si>
  <si>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</si>
  <si>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</si>
  <si>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</si>
  <si>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</si>
  <si>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</si>
  <si>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</si>
  <si>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</si>
  <si>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</si>
  <si>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</si>
  <si>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</si>
  <si>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</si>
  <si>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</si>
  <si>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</si>
  <si>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</si>
  <si>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</si>
  <si>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</si>
  <si>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</si>
  <si>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</si>
  <si>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</si>
  <si>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</si>
  <si>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</si>
  <si>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</si>
  <si>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</si>
  <si>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</si>
  <si>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</si>
  <si>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</si>
  <si>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</si>
  <si>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</si>
  <si>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</si>
  <si>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</si>
  <si>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</si>
  <si>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</si>
  <si>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</si>
  <si>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</si>
  <si>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</si>
  <si>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</si>
  <si>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</si>
  <si>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</si>
  <si>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</si>
  <si>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</si>
  <si>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</si>
  <si>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</si>
  <si>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</si>
  <si>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</si>
  <si>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</si>
  <si>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</si>
  <si>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</si>
  <si>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</si>
  <si>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</si>
  <si>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</si>
  <si>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</si>
  <si>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</si>
  <si>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</si>
  <si>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</si>
  <si>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</si>
  <si>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</si>
  <si>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</si>
  <si>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</si>
  <si>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</si>
  <si>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</si>
  <si>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</si>
  <si>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</si>
  <si>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</si>
  <si>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</si>
  <si>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</si>
  <si>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</si>
  <si>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</si>
  <si>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</si>
  <si>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</si>
  <si>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</si>
  <si>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</si>
  <si>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</si>
  <si>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</si>
  <si>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</si>
  <si>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</si>
  <si>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</si>
  <si>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</si>
  <si>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</si>
  <si>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</si>
  <si>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</si>
  <si>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</si>
  <si>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</si>
  <si>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</si>
  <si>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</si>
  <si>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</si>
  <si>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</si>
  <si>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</si>
  <si>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</si>
  <si>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</si>
  <si>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</si>
  <si>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</si>
  <si>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</si>
  <si>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</si>
  <si>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</si>
  <si>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</si>
  <si>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</si>
  <si>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</si>
  <si>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</si>
  <si>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</si>
  <si>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</si>
  <si>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</si>
  <si>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</si>
  <si>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</si>
  <si>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</si>
  <si>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</si>
  <si>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</si>
  <si>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</si>
  <si>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</si>
  <si>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</si>
  <si>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</si>
  <si>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</si>
  <si>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</si>
  <si>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</si>
  <si>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</si>
  <si>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</si>
  <si>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</si>
  <si>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</si>
  <si>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</si>
  <si>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</si>
  <si>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</si>
  <si>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</si>
  <si>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</si>
  <si>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</si>
  <si>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</si>
  <si>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</si>
  <si>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</si>
  <si>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</si>
  <si>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</si>
  <si>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</si>
  <si>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</si>
  <si>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</si>
  <si>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</si>
  <si>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</si>
  <si>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</si>
  <si>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</si>
  <si>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</si>
  <si>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</si>
  <si>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</si>
  <si>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</si>
  <si>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</si>
  <si>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</si>
  <si>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</si>
  <si>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</si>
  <si>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</si>
  <si>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</si>
  <si>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</si>
  <si>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</si>
  <si>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</si>
  <si>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</si>
  <si>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</si>
  <si>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</si>
  <si>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</si>
  <si>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</si>
  <si>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</si>
  <si>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</si>
  <si>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</si>
  <si>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</si>
  <si>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</si>
  <si>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</si>
  <si>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</si>
  <si>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</si>
  <si>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</si>
  <si>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</si>
  <si>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</si>
  <si>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</si>
  <si>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</si>
  <si>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</si>
  <si>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</si>
  <si>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</si>
  <si>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</si>
  <si>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</si>
  <si>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</si>
  <si>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</si>
  <si>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</si>
  <si>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</si>
  <si>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</si>
  <si>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</si>
  <si>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</si>
  <si>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</si>
  <si>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</si>
  <si>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</si>
  <si>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</si>
  <si>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</si>
  <si>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</si>
  <si>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</si>
  <si>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</si>
  <si>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</si>
  <si>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</si>
  <si>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</si>
  <si>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</si>
  <si>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</si>
  <si>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</si>
  <si>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</si>
  <si>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</si>
  <si>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</si>
  <si>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</si>
  <si>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</si>
  <si>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</si>
  <si>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</si>
  <si>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</si>
  <si>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</si>
  <si>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</si>
  <si>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</si>
  <si>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</si>
  <si>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</si>
  <si>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</si>
  <si>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</si>
  <si>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</si>
  <si>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</si>
  <si>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</si>
  <si>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</si>
  <si>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</si>
  <si>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</si>
  <si>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</si>
  <si>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</si>
  <si>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</si>
  <si>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</si>
  <si>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</si>
  <si>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</si>
  <si>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</si>
  <si>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</si>
  <si>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</si>
  <si>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</si>
  <si>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</si>
  <si>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</si>
  <si>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</si>
  <si>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</si>
  <si>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</si>
  <si>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</si>
  <si>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</si>
  <si>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</si>
  <si>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</si>
  <si>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</si>
  <si>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</si>
  <si>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</si>
  <si>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</si>
  <si>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</si>
  <si>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</si>
  <si>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</si>
  <si>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</si>
  <si>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</si>
  <si>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</si>
  <si>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</si>
  <si>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</si>
  <si>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</si>
  <si>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</si>
  <si>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</si>
  <si>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</si>
  <si>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</si>
  <si>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</si>
  <si>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</si>
  <si>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</si>
  <si>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</si>
  <si>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</si>
  <si>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</si>
  <si>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</si>
  <si>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</si>
  <si>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</si>
  <si>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</si>
  <si>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</si>
  <si>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</si>
  <si>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</si>
  <si>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</si>
  <si>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</si>
  <si>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</si>
  <si>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</si>
  <si>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</si>
  <si>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</si>
  <si>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</si>
  <si>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</si>
  <si>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</si>
  <si>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</si>
  <si>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</si>
  <si>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</si>
  <si>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</si>
  <si>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</si>
  <si>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</si>
  <si>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</si>
  <si>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</si>
  <si>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</si>
  <si>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</si>
  <si>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</si>
  <si>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</si>
  <si>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</si>
  <si>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</si>
  <si>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</si>
  <si>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</si>
  <si>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</si>
  <si>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</si>
  <si>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</si>
  <si>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</si>
  <si>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</si>
  <si>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</si>
  <si>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</si>
  <si>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</si>
  <si>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</si>
  <si>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</si>
  <si>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</si>
  <si>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</si>
  <si>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</si>
  <si>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</si>
  <si>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</si>
  <si>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</si>
  <si>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</si>
  <si>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</si>
  <si>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</si>
  <si>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</si>
  <si>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</si>
  <si>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</si>
  <si>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</si>
  <si>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</si>
  <si>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</si>
  <si>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</si>
  <si>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</si>
  <si>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</si>
  <si>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</si>
  <si>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</si>
  <si>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</si>
  <si>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</si>
  <si>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</si>
  <si>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</si>
  <si>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</si>
  <si>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</si>
  <si>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</si>
  <si>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</si>
  <si>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</si>
  <si>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</si>
  <si>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</si>
  <si>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</si>
  <si>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</si>
  <si>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</si>
  <si>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</si>
  <si>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</si>
  <si>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</si>
  <si>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</si>
  <si>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</si>
  <si>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</si>
  <si>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</si>
  <si>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</si>
  <si>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</si>
  <si>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</si>
  <si>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</si>
  <si>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</si>
  <si>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</si>
  <si>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</si>
  <si>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</si>
  <si>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</si>
  <si>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</si>
  <si>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</si>
  <si>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</si>
  <si>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</si>
  <si>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</si>
  <si>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</si>
  <si>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</si>
  <si>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</si>
  <si>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</si>
  <si>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</si>
  <si>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</si>
  <si>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</si>
  <si>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</si>
  <si>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</si>
  <si>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</si>
  <si>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</si>
  <si>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</si>
  <si>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</si>
  <si>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</si>
  <si>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</si>
  <si>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</si>
  <si>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</si>
  <si>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</si>
  <si>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</si>
  <si>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</si>
  <si>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</si>
  <si>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</si>
  <si>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</si>
  <si>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</si>
  <si>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</si>
  <si>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</si>
  <si>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</si>
  <si>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</si>
  <si>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</si>
  <si>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</si>
  <si>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</si>
  <si>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</si>
  <si>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</si>
  <si>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</si>
  <si>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</si>
  <si>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</si>
  <si>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</si>
  <si>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</si>
  <si>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</si>
  <si>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</si>
  <si>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</si>
  <si>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</si>
  <si>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</si>
  <si>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</si>
  <si>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</si>
  <si>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</si>
  <si>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</si>
  <si>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</si>
  <si>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</si>
  <si>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</si>
  <si>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</si>
  <si>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</si>
  <si>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</si>
  <si>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</si>
  <si>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</si>
  <si>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</si>
  <si>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</si>
  <si>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</si>
  <si>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</si>
  <si>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</si>
  <si>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</si>
  <si>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</si>
  <si>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</si>
  <si>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</si>
  <si>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</si>
  <si>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</si>
  <si>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</si>
  <si>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</si>
  <si>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</si>
  <si>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</si>
  <si>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</si>
  <si>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</si>
  <si>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</si>
  <si>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</si>
  <si>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</si>
  <si>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</si>
  <si>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</si>
  <si>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</si>
  <si>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</si>
  <si>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</si>
  <si>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</si>
  <si>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</si>
  <si>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</si>
  <si>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</si>
  <si>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</si>
  <si>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</si>
  <si>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</si>
  <si>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</si>
  <si>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</si>
  <si>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</si>
  <si>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</si>
  <si>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</si>
  <si>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</si>
  <si>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</si>
  <si>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</si>
  <si>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</si>
  <si>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</si>
  <si>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</si>
  <si>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</si>
  <si>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</si>
  <si>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</si>
  <si>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</si>
  <si>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</si>
  <si>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</si>
  <si>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</si>
  <si>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</si>
  <si>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</si>
  <si>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</si>
  <si>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</si>
  <si>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</si>
  <si>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</si>
  <si>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</si>
  <si>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</si>
  <si>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</si>
  <si>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</si>
  <si>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</si>
  <si>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</si>
  <si>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</si>
  <si>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</si>
  <si>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</si>
  <si>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</si>
  <si>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</si>
  <si>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</si>
  <si>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</si>
  <si>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</si>
  <si>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</si>
  <si>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</si>
  <si>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</si>
  <si>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</si>
  <si>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</si>
  <si>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</si>
  <si>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</si>
  <si>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</si>
  <si>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</si>
  <si>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</si>
  <si>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</si>
  <si>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</si>
  <si>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</si>
  <si>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</si>
  <si>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</si>
  <si>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</si>
  <si>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</si>
  <si>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</si>
  <si>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</si>
  <si>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</si>
  <si>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</si>
  <si>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</si>
  <si>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</si>
  <si>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</si>
  <si>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</si>
  <si>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</si>
  <si>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</si>
  <si>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</si>
  <si>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</si>
  <si>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</si>
  <si>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</si>
  <si>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</si>
  <si>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</si>
  <si>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</si>
  <si>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</si>
  <si>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</si>
  <si>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</si>
  <si>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</si>
  <si>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</si>
  <si>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</si>
  <si>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</si>
  <si>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</si>
  <si>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</si>
  <si>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</si>
  <si>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</si>
  <si>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</si>
  <si>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</si>
  <si>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</si>
  <si>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</si>
  <si>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</si>
  <si>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</si>
  <si>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</si>
  <si>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</si>
  <si>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</si>
  <si>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</si>
  <si>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</si>
  <si>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</si>
  <si>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</si>
  <si>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</si>
  <si>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</si>
  <si>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</si>
  <si>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</si>
  <si>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</si>
  <si>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</si>
  <si>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</si>
  <si>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</si>
  <si>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</si>
  <si>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</si>
  <si>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</si>
  <si>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</si>
  <si>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</si>
  <si>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</si>
  <si>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</si>
  <si>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</si>
  <si>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</si>
  <si>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</si>
  <si>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</si>
  <si>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</si>
  <si>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</si>
  <si>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</si>
  <si>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</si>
  <si>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</si>
  <si>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</si>
  <si>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</si>
  <si>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</si>
  <si>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</si>
  <si>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</si>
  <si>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</si>
  <si>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</si>
  <si>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</si>
  <si>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</si>
  <si>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</si>
  <si>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</si>
  <si>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</si>
  <si>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</si>
  <si>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</si>
  <si>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</si>
  <si>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</si>
  <si>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</si>
  <si>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</si>
  <si>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</si>
  <si>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</si>
  <si>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</si>
  <si>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</si>
  <si>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</si>
  <si>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</si>
  <si>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</si>
  <si>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</si>
  <si>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</si>
  <si>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</si>
  <si>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</si>
  <si>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</si>
  <si>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</si>
  <si>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</si>
  <si>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</si>
  <si>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</si>
  <si>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</si>
  <si>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</si>
  <si>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</si>
  <si>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</si>
  <si>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</si>
  <si>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</si>
  <si>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</si>
  <si>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</si>
  <si>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</si>
  <si>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</si>
  <si>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</si>
  <si>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</si>
  <si>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</si>
  <si>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</si>
  <si>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</si>
  <si>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</si>
  <si>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</si>
  <si>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</si>
  <si>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</si>
  <si>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</si>
  <si>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</si>
  <si>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</si>
  <si>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</si>
  <si>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</si>
  <si>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</si>
  <si>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</si>
  <si>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</si>
  <si>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</si>
  <si>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</si>
  <si>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</si>
  <si>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</si>
  <si>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</si>
  <si>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</si>
  <si>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</si>
  <si>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</si>
  <si>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</si>
  <si>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</si>
  <si>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</si>
  <si>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</si>
  <si>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</si>
  <si>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</si>
  <si>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</si>
  <si>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</si>
  <si>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</si>
  <si>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</si>
  <si>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</si>
  <si>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</si>
  <si>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</si>
  <si>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</si>
  <si>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</si>
  <si>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</si>
  <si>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</si>
  <si>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</si>
  <si>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</si>
  <si>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</si>
  <si>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</si>
  <si>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</si>
  <si>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</si>
  <si>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</si>
  <si>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</si>
  <si>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</si>
  <si>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</si>
  <si>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</si>
  <si>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</si>
  <si>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</si>
  <si>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</si>
  <si>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</si>
  <si>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</si>
  <si>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</si>
  <si>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</si>
  <si>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</si>
  <si>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</si>
  <si>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</si>
  <si>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</si>
  <si>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</si>
  <si>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</si>
  <si>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</si>
  <si>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</si>
  <si>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</si>
  <si>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</si>
  <si>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</si>
  <si>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</si>
  <si>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</si>
  <si>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</si>
  <si>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</si>
  <si>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</si>
  <si>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</si>
  <si>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</si>
  <si>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</si>
  <si>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</si>
  <si>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</si>
  <si>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</si>
  <si>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</si>
  <si>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</si>
  <si>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</si>
  <si>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</si>
  <si>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</si>
  <si>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</si>
  <si>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</si>
  <si>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</si>
  <si>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</si>
  <si>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</si>
  <si>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</si>
  <si>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</si>
  <si>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</si>
  <si>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</si>
  <si>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</si>
  <si>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</si>
  <si>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</si>
  <si>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</si>
  <si>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</si>
  <si>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</si>
  <si>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</si>
  <si>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</si>
  <si>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</si>
  <si>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</si>
  <si>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</si>
  <si>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</si>
  <si>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</si>
  <si>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</si>
  <si>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</si>
  <si>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</si>
  <si>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</si>
  <si>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</si>
  <si>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</si>
  <si>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</si>
  <si>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</si>
  <si>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</si>
  <si>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</si>
  <si>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</si>
  <si>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</si>
  <si>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</si>
  <si>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</si>
  <si>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</si>
  <si>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</si>
  <si>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</si>
  <si>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</si>
  <si>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</si>
  <si>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</si>
  <si>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</si>
  <si>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</si>
  <si>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</si>
  <si>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</si>
  <si>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</si>
  <si>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</si>
  <si>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</si>
  <si>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</si>
  <si>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</si>
  <si>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</si>
  <si>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</si>
  <si>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</si>
  <si>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</si>
  <si>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</si>
  <si>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</si>
  <si>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</si>
  <si>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</si>
  <si>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</si>
  <si>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</si>
  <si>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</si>
  <si>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</si>
  <si>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</si>
  <si>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</si>
  <si>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</si>
  <si>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</si>
  <si>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</si>
  <si>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</si>
  <si>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</si>
  <si>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</si>
  <si>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</si>
  <si>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</si>
  <si>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</si>
  <si>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</si>
  <si>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</si>
  <si>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</si>
  <si>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</si>
  <si>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</si>
  <si>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</si>
  <si>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</si>
  <si>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</si>
  <si>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</si>
  <si>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</si>
  <si>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</si>
  <si>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</si>
  <si>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</si>
  <si>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</si>
  <si>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</si>
  <si>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</si>
  <si>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</si>
  <si>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</si>
  <si>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</si>
  <si>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</si>
  <si>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</si>
  <si>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</si>
  <si>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</si>
  <si>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</si>
  <si>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</si>
  <si>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</si>
  <si>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</si>
  <si>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</si>
  <si>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</si>
  <si>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</si>
  <si>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</si>
  <si>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</si>
  <si>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</si>
  <si>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</si>
  <si>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</si>
  <si>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</si>
  <si>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</si>
  <si>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</si>
  <si>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</si>
  <si>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</si>
  <si>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</si>
  <si>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</si>
  <si>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</si>
  <si>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</si>
  <si>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</si>
  <si>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</si>
  <si>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</si>
  <si>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</si>
  <si>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</si>
  <si>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</si>
  <si>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</si>
  <si>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</si>
  <si>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</si>
  <si>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</si>
  <si>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</si>
  <si>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</si>
  <si>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</si>
  <si>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</si>
  <si>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</si>
  <si>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</si>
  <si>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</si>
  <si>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</si>
  <si>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</si>
  <si>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</si>
  <si>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</si>
  <si>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</si>
  <si>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</si>
  <si>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</si>
  <si>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</si>
  <si>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</si>
  <si>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</si>
  <si>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</si>
  <si>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</si>
  <si>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</si>
  <si>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</si>
  <si>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</si>
  <si>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</si>
  <si>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</si>
  <si>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</si>
  <si>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</si>
  <si>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</si>
  <si>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</si>
  <si>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</si>
  <si>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</si>
  <si>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</si>
  <si>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</si>
  <si>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</si>
  <si>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</si>
  <si>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</si>
  <si>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</si>
  <si>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</si>
  <si>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</si>
  <si>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</si>
  <si>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</si>
  <si>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</si>
  <si>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</si>
  <si>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</si>
  <si>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</si>
  <si>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</si>
  <si>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</si>
  <si>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</si>
  <si>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</si>
  <si>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</si>
  <si>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</si>
  <si>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</si>
  <si>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</si>
  <si>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</si>
  <si>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</si>
  <si>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</si>
  <si>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</si>
  <si>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</si>
  <si>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</si>
  <si>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</si>
  <si>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</si>
  <si>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</si>
  <si>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</si>
  <si>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</si>
  <si>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</si>
  <si>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</si>
  <si>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</si>
  <si>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</si>
  <si>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</si>
  <si>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</si>
  <si>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</si>
  <si>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</si>
  <si>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</si>
  <si>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</si>
  <si>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</si>
  <si>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</si>
  <si>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</si>
  <si>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</si>
  <si>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</si>
  <si>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</si>
  <si>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</si>
  <si>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</si>
  <si>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</si>
  <si>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</si>
  <si>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</si>
  <si>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</si>
  <si>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</si>
  <si>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</si>
  <si>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</si>
  <si>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</si>
  <si>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</si>
  <si>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</si>
  <si>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</si>
  <si>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</si>
  <si>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</si>
  <si>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</si>
  <si>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</si>
  <si>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</si>
  <si>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</si>
  <si>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</si>
  <si>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</si>
  <si>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</si>
  <si>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</si>
  <si>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</si>
  <si>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</si>
  <si>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</si>
  <si>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</si>
  <si>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</si>
  <si>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</si>
  <si>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</si>
  <si>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</si>
  <si>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</si>
  <si>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</si>
  <si>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</si>
  <si>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</si>
  <si>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</si>
  <si>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</si>
  <si>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</si>
  <si>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</si>
  <si>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</si>
  <si>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</si>
  <si>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</si>
  <si>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</si>
  <si>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</si>
  <si>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</si>
  <si>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</si>
  <si>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</si>
  <si>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</si>
  <si>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</si>
  <si>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</si>
  <si>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</si>
  <si>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</si>
  <si>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</si>
  <si>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</si>
  <si>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</si>
  <si>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</si>
  <si>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</si>
  <si>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</si>
  <si>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</si>
  <si>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</si>
  <si>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</si>
  <si>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</si>
  <si>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</si>
  <si>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</si>
  <si>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</si>
  <si>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</si>
  <si>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</si>
  <si>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</si>
  <si>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</si>
  <si>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</si>
  <si>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</si>
  <si>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</si>
  <si>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</si>
  <si>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</si>
  <si>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</si>
  <si>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</si>
  <si>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</si>
  <si>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</si>
  <si>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</si>
  <si>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</si>
  <si>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</si>
  <si>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</si>
  <si>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</si>
  <si>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</si>
  <si>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</si>
  <si>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</si>
  <si>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</si>
  <si>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</si>
  <si>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</si>
  <si>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</si>
  <si>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</si>
  <si>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</si>
  <si>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</si>
  <si>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</si>
  <si>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</si>
  <si>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</si>
  <si>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</si>
  <si>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</si>
  <si>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</si>
  <si>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</si>
  <si>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</si>
  <si>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</si>
  <si>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</si>
  <si>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</si>
  <si>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</si>
  <si>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</si>
  <si>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</si>
  <si>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</si>
  <si>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</si>
  <si>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</si>
  <si>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</si>
  <si>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</si>
  <si>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</si>
  <si>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</si>
  <si>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</si>
  <si>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</si>
  <si>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</si>
  <si>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</si>
  <si>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</si>
  <si>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</si>
  <si>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</si>
  <si>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</si>
  <si>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</si>
  <si>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</si>
  <si>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</si>
  <si>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</si>
  <si>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</si>
  <si>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</si>
  <si>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</si>
  <si>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</si>
  <si>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</si>
  <si>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</si>
  <si>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</si>
  <si>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</si>
  <si>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</si>
  <si>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</si>
  <si>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</si>
  <si>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</si>
  <si>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</si>
  <si>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</si>
  <si>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</si>
  <si>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</si>
  <si>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</si>
  <si>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</si>
  <si>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</si>
  <si>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</si>
  <si>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</si>
  <si>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</si>
  <si>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</si>
  <si>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</si>
  <si>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</si>
  <si>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</si>
  <si>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</si>
  <si>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</si>
  <si>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</si>
  <si>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</si>
  <si>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</si>
  <si>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</si>
  <si>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</si>
  <si>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</si>
  <si>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</si>
  <si>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</si>
  <si>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</si>
  <si>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</si>
  <si>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</si>
  <si>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</si>
  <si>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</si>
  <si>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</si>
  <si>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</si>
  <si>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</si>
  <si>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</si>
  <si>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</si>
  <si>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</si>
  <si>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</si>
  <si>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</si>
  <si>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</si>
  <si>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</si>
  <si>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</si>
  <si>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</si>
  <si>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</si>
  <si>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</si>
  <si>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</si>
  <si>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</si>
  <si>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</si>
  <si>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</si>
  <si>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</si>
  <si>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</si>
  <si>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</si>
  <si>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</si>
  <si>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</si>
  <si>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</si>
  <si>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</si>
  <si>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</si>
  <si>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</si>
  <si>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</si>
  <si>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</si>
  <si>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</si>
  <si>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</si>
  <si>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</si>
  <si>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</si>
  <si>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</si>
  <si>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</si>
  <si>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</si>
  <si>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</si>
  <si>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</si>
  <si>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</si>
  <si>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</si>
  <si>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</si>
  <si>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</si>
  <si>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</si>
  <si>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</si>
  <si>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</si>
  <si>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</si>
  <si>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</si>
  <si>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</si>
  <si>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</si>
  <si>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</si>
  <si>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</si>
  <si>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</si>
  <si>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</si>
  <si>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</si>
  <si>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</si>
  <si>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</si>
  <si>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</si>
  <si>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</si>
  <si>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</si>
  <si>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</si>
  <si>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</si>
  <si>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</si>
  <si>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</si>
  <si>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</si>
  <si>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</si>
  <si>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</si>
  <si>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</si>
  <si>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</si>
  <si>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</si>
  <si>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</si>
  <si>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</si>
  <si>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</si>
  <si>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</si>
  <si>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</si>
  <si>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</si>
  <si>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</si>
  <si>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</si>
  <si>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</si>
  <si>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</si>
  <si>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</si>
  <si>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</si>
  <si>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</si>
  <si>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</si>
  <si>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</si>
  <si>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</si>
  <si>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</si>
  <si>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</si>
  <si>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</si>
  <si>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</si>
  <si>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</si>
  <si>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</si>
  <si>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</si>
  <si>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</si>
  <si>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</si>
  <si>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</si>
  <si>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</si>
  <si>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</si>
  <si>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</si>
  <si>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</si>
  <si>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</si>
  <si>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</si>
  <si>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</si>
  <si>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</si>
  <si>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</si>
  <si>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</si>
  <si>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</si>
  <si>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</si>
  <si>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</si>
  <si>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</si>
  <si>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</si>
  <si>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</si>
  <si>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</si>
  <si>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</si>
  <si>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</si>
  <si>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</si>
  <si>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</si>
  <si>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</si>
  <si>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</si>
  <si>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</si>
  <si>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</si>
  <si>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</si>
  <si>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</si>
  <si>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</si>
  <si>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</si>
  <si>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</si>
  <si>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</si>
  <si>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</si>
  <si>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</si>
  <si>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</si>
  <si>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</si>
  <si>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</si>
  <si>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</si>
  <si>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</si>
  <si>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</si>
  <si>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</si>
  <si>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</si>
  <si>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</si>
  <si>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</si>
  <si>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</si>
  <si>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</si>
  <si>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</si>
  <si>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</si>
  <si>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</si>
  <si>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</si>
  <si>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</si>
  <si>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</si>
  <si>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</si>
  <si>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</si>
  <si>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</si>
  <si>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</si>
  <si>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</si>
  <si>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</si>
  <si>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</si>
  <si>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</si>
  <si>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</si>
  <si>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</si>
  <si>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</si>
  <si>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</si>
  <si>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</si>
  <si>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</si>
  <si>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</si>
  <si>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</si>
  <si>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</si>
  <si>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</si>
  <si>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</si>
  <si>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</si>
  <si>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</si>
  <si>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</si>
  <si>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</si>
  <si>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</si>
  <si>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</si>
  <si>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</si>
  <si>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</si>
  <si>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</si>
  <si>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</si>
  <si>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</si>
  <si>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</si>
  <si>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</si>
  <si>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</si>
  <si>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</si>
  <si>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</si>
  <si>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</si>
  <si>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</si>
  <si>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</si>
  <si>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</si>
  <si>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</si>
  <si>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</si>
  <si>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</si>
  <si>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</si>
  <si>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</si>
  <si>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</si>
  <si>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</si>
  <si>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</si>
  <si>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</si>
  <si>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</si>
  <si>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</si>
  <si>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</si>
  <si>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</si>
  <si>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</si>
  <si>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</si>
  <si>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</si>
  <si>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</si>
  <si>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</si>
  <si>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</si>
  <si>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</si>
  <si>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</si>
  <si>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</si>
  <si>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</si>
  <si>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</si>
  <si>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</si>
  <si>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</si>
  <si>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</si>
  <si>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</si>
  <si>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</si>
  <si>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</si>
  <si>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</si>
  <si>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</si>
  <si>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</si>
  <si>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</si>
  <si>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</si>
  <si>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</si>
  <si>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</si>
  <si>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</si>
  <si>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</si>
  <si>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</si>
  <si>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</si>
  <si>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</si>
  <si>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</si>
  <si>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</si>
  <si>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</si>
  <si>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</si>
  <si>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</si>
  <si>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</si>
  <si>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</si>
  <si>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</si>
  <si>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</si>
  <si>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</si>
  <si>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</si>
  <si>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</si>
  <si>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</si>
  <si>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</si>
  <si>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</si>
  <si>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</si>
  <si>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</si>
  <si>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</si>
  <si>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</si>
  <si>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</si>
  <si>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</si>
  <si>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</si>
  <si>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</si>
  <si>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</si>
  <si>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</si>
  <si>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</si>
  <si>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</si>
  <si>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</si>
  <si>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</si>
  <si>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</si>
  <si>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</si>
  <si>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</si>
  <si>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</si>
  <si>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</si>
  <si>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</si>
  <si>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</si>
  <si>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</si>
  <si>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</si>
  <si>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</si>
  <si>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</si>
  <si>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</si>
  <si>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</si>
  <si>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</si>
  <si>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</si>
  <si>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</si>
  <si>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</si>
  <si>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</si>
  <si>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</si>
  <si>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</si>
  <si>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</si>
  <si>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</si>
  <si>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</si>
  <si>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</si>
  <si>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</si>
  <si>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</si>
  <si>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</si>
  <si>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</si>
  <si>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</si>
  <si>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</si>
  <si>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</si>
  <si>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</si>
  <si>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</si>
  <si>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</si>
  <si>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</si>
  <si>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</si>
  <si>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</si>
  <si>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</si>
  <si>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</si>
  <si>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</si>
  <si>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</si>
  <si>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</si>
  <si>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</si>
  <si>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</si>
  <si>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</si>
  <si>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</si>
  <si>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</si>
  <si>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</si>
  <si>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</si>
  <si>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</si>
  <si>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</si>
  <si>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</si>
  <si>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</si>
  <si>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</si>
  <si>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</si>
  <si>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</si>
  <si>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</si>
  <si>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</si>
  <si>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</si>
  <si>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</si>
  <si>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</si>
  <si>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</si>
  <si>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</si>
  <si>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</si>
  <si>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</si>
  <si>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</si>
  <si>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</si>
  <si>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</si>
  <si>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</si>
  <si>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</si>
  <si>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</si>
  <si>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</si>
  <si>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</si>
  <si>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</si>
  <si>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</si>
  <si>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</si>
  <si>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</si>
  <si>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</si>
  <si>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</si>
  <si>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</si>
  <si>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</si>
  <si>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</si>
  <si>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</si>
  <si>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</si>
  <si>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</si>
  <si>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</si>
  <si>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</si>
  <si>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</si>
  <si>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</si>
  <si>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</si>
  <si>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</si>
  <si>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</si>
  <si>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</si>
  <si>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</si>
  <si>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</si>
  <si>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</si>
  <si>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</si>
  <si>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</si>
  <si>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</si>
  <si>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</si>
  <si>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</si>
  <si>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</si>
  <si>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</si>
  <si>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</si>
  <si>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</si>
  <si>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</si>
  <si>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</si>
  <si>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</si>
  <si>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</si>
  <si>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</si>
  <si>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</si>
  <si>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</si>
  <si>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</si>
  <si>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</si>
  <si>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</si>
  <si>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</si>
  <si>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</si>
  <si>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</si>
  <si>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</si>
  <si>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</si>
  <si>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</si>
  <si>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</si>
  <si>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</si>
  <si>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</si>
  <si>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</si>
  <si>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</si>
  <si>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</si>
  <si>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</si>
  <si>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</si>
  <si>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</si>
  <si>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</si>
  <si>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</si>
  <si>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</si>
  <si>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</si>
  <si>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</si>
  <si>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</si>
  <si>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</si>
  <si>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</si>
  <si>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</si>
  <si>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</si>
  <si>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</si>
  <si>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</si>
  <si>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</si>
  <si>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</si>
  <si>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</si>
  <si>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</si>
  <si>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</si>
  <si>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</si>
  <si>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</si>
  <si>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</si>
  <si>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</si>
  <si>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</si>
  <si>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</si>
  <si>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</si>
  <si>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</si>
  <si>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</si>
  <si>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</si>
  <si>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</si>
  <si>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</si>
  <si>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</si>
  <si>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</si>
  <si>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</si>
  <si>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</si>
  <si>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</si>
  <si>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</si>
  <si>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</si>
  <si>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</si>
  <si>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</si>
  <si>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</si>
  <si>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</si>
  <si>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</si>
  <si>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</si>
  <si>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</si>
  <si>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</si>
  <si>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</si>
  <si>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</si>
  <si>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</si>
  <si>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</si>
  <si>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</si>
  <si>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</si>
  <si>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</si>
  <si>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</si>
  <si>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</si>
  <si>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</si>
  <si>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</si>
  <si>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</si>
  <si>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</si>
  <si>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</si>
  <si>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</si>
  <si>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</si>
  <si>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</si>
  <si>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</si>
  <si>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</si>
  <si>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</si>
  <si>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</si>
  <si>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</si>
  <si>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</si>
  <si>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</si>
  <si>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</si>
  <si>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</si>
  <si>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</si>
  <si>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</si>
  <si>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</si>
  <si>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</si>
  <si>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</si>
  <si>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</si>
  <si>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</si>
  <si>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</si>
  <si>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</si>
  <si>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4% 2024 TBLs</t>
  </si>
  <si>
    <t>9% 2024 TBLs</t>
  </si>
  <si>
    <t>$500M (Farmworker Housing)</t>
  </si>
  <si>
    <t>February 26, 2024 Version</t>
  </si>
  <si>
    <t>Not Applicable</t>
  </si>
  <si>
    <t>Provided</t>
  </si>
  <si>
    <t>Oakland</t>
  </si>
  <si>
    <t>Punit Bhargava</t>
  </si>
  <si>
    <t>President and CEO</t>
  </si>
  <si>
    <t>City Of Oakland</t>
  </si>
  <si>
    <t>042-4323-007-05</t>
  </si>
  <si>
    <t>40%/60%</t>
  </si>
  <si>
    <t>CA</t>
  </si>
  <si>
    <t>Los Altos</t>
  </si>
  <si>
    <t>408-647-4720</t>
  </si>
  <si>
    <t>csh.edeshousing@gmail.com</t>
  </si>
  <si>
    <t>California Supportive Housing</t>
  </si>
  <si>
    <t>Managing GP</t>
  </si>
  <si>
    <t>Administrative GP</t>
  </si>
  <si>
    <t>Los Altos, CA, 94024</t>
  </si>
  <si>
    <t>Goldfarb Lipman</t>
  </si>
  <si>
    <t>1300 Clay Street, Eleventh Floor</t>
  </si>
  <si>
    <t>Oakland, CA, 94612</t>
  </si>
  <si>
    <t>Gabrielle B. Janssens</t>
  </si>
  <si>
    <t>(510) 836-6336</t>
  </si>
  <si>
    <t>gjanssens@goldfarblipman.com</t>
  </si>
  <si>
    <t>Partner Engineering and Science, Inc.</t>
  </si>
  <si>
    <t>2154 Torrance Blvd</t>
  </si>
  <si>
    <t>Torrance, CA  90501</t>
  </si>
  <si>
    <t>Jay Grenfell</t>
  </si>
  <si>
    <t>415-992-3755</t>
  </si>
  <si>
    <t>415-952-9421</t>
  </si>
  <si>
    <t xml:space="preserve">JGrenfell@partneresi.com </t>
  </si>
  <si>
    <t>California Muncipal Financial Authority</t>
  </si>
  <si>
    <t>2111 Palomar Airport Rd. Ste. 320</t>
  </si>
  <si>
    <t>Carlsbad, CA 92011</t>
  </si>
  <si>
    <t>Anthony Stubbs</t>
  </si>
  <si>
    <t>760-930-1333</t>
  </si>
  <si>
    <t>760-683-3390</t>
  </si>
  <si>
    <t>astubbs@cmfa-ca.com</t>
  </si>
  <si>
    <t>Oakland Alameda Hotels LLC</t>
  </si>
  <si>
    <t>Nupen Patel</t>
  </si>
  <si>
    <t>6712 Morningside Dr.</t>
  </si>
  <si>
    <t>Inner City Infill Site</t>
  </si>
  <si>
    <t>CR-2 - Regional Commercial, Affordable Housing Overlay</t>
  </si>
  <si>
    <t>Property Donation</t>
  </si>
  <si>
    <t>GreyStone[GHI] - Tax Exempt</t>
  </si>
  <si>
    <t>GreyStone[GHII] - Recycled Bonds</t>
  </si>
  <si>
    <t>GreyStone[GHII] - Taxable Bond</t>
  </si>
  <si>
    <t>Investor Equity</t>
  </si>
  <si>
    <t>GreyStone[GHII] - B-Bond</t>
  </si>
  <si>
    <t>Fixed</t>
  </si>
  <si>
    <t xml:space="preserve">14301 FNB Parkway </t>
  </si>
  <si>
    <t>Omaha</t>
  </si>
  <si>
    <t>Frank Bravo</t>
  </si>
  <si>
    <t>619.613.5527</t>
  </si>
  <si>
    <t>8400 Edes Avenue</t>
  </si>
  <si>
    <t>Houston</t>
  </si>
  <si>
    <t>(337) 212-2714</t>
  </si>
  <si>
    <t>GP Equity</t>
  </si>
  <si>
    <t>office expenses</t>
  </si>
  <si>
    <t>Cleaning</t>
  </si>
  <si>
    <t>Misc Taxes/License</t>
  </si>
  <si>
    <t>Seller Philanthropic Contribution&amp; Seller Financing</t>
  </si>
  <si>
    <t>Recycled Bonds</t>
  </si>
  <si>
    <t>Other: Owner Legal</t>
  </si>
  <si>
    <t>Additional</t>
  </si>
  <si>
    <t>FPI Management Inc.</t>
  </si>
  <si>
    <t>Recycled Private Equity Bond</t>
  </si>
  <si>
    <t>1015 Saint Joseph Ave</t>
  </si>
  <si>
    <t>CSH Edes Avenue I LLC</t>
  </si>
  <si>
    <t>CSH Edes Housing</t>
  </si>
  <si>
    <t>Legal for Perm Loan</t>
  </si>
  <si>
    <t>B-Bond</t>
  </si>
  <si>
    <t>csh.edeshousing@cshousing.org</t>
  </si>
  <si>
    <t>COSR</t>
  </si>
  <si>
    <t>Managing General Partner</t>
  </si>
  <si>
    <t>Phil Banta</t>
  </si>
  <si>
    <t>Banta Design</t>
  </si>
  <si>
    <t>Bay Area Contractors Ltd.</t>
  </si>
  <si>
    <t>FPI Management Corporation</t>
  </si>
  <si>
    <t>Jestin D. Johnson</t>
  </si>
  <si>
    <t>1 Frank H. Ogawa Plaza</t>
  </si>
  <si>
    <t>(510) 238-3301</t>
  </si>
  <si>
    <t>(510) 238-2223</t>
  </si>
  <si>
    <t>cityadministratorsoffice@oaklandca.gov</t>
  </si>
  <si>
    <t>Below residual receipts line for cash flow</t>
  </si>
  <si>
    <t>Draw from COSR</t>
  </si>
  <si>
    <t>6050 Hollis Street</t>
  </si>
  <si>
    <t>Emeryville, CA, 94608</t>
  </si>
  <si>
    <t>415-298-9461</t>
  </si>
  <si>
    <t>Geetanjli Dogra</t>
  </si>
  <si>
    <t>pbanta@bantadesign.com</t>
  </si>
  <si>
    <t>Propp Christensen Caniglia LLP</t>
  </si>
  <si>
    <t>9261 Sierra College Blvd</t>
  </si>
  <si>
    <t>916-791-2900</t>
  </si>
  <si>
    <t>Roseville, CA 95661</t>
  </si>
  <si>
    <t>Justin Gierth</t>
  </si>
  <si>
    <t>jgierth@pccllp.com</t>
  </si>
  <si>
    <t>BBG Real Estate Services</t>
  </si>
  <si>
    <t>3070 Bristol Street, Suite 615</t>
  </si>
  <si>
    <t>Costa Mesa, CA 92626</t>
  </si>
  <si>
    <t>Al Khoshbin</t>
  </si>
  <si>
    <t>714-415-0154</t>
  </si>
  <si>
    <t>akhoshbin@bbgres.com</t>
  </si>
  <si>
    <t>800 Iron Point Rd</t>
  </si>
  <si>
    <t>Folsom, CA 95630</t>
  </si>
  <si>
    <t>Chelsea Flynn</t>
  </si>
  <si>
    <t>916-850-4404</t>
  </si>
  <si>
    <t>chelsea.flynn@fpimgt.com</t>
  </si>
  <si>
    <t>Owner</t>
  </si>
  <si>
    <t>160'</t>
  </si>
  <si>
    <t>1 per unit, approved 0.74 spaces per unit</t>
  </si>
  <si>
    <t>C-2 / S13: 250 sf land / unit, Use: Hotel</t>
  </si>
  <si>
    <t>100% affordable MF, 120 sf land/unit with 80% state density bonus</t>
  </si>
  <si>
    <t>Seller Carryback</t>
  </si>
  <si>
    <t>Seller Carryback Loan</t>
  </si>
  <si>
    <t>Income from Operations</t>
  </si>
  <si>
    <t>Philanthropic Loan</t>
  </si>
  <si>
    <t>Oakland Housing Authority</t>
  </si>
  <si>
    <t>Houston TX 55409</t>
  </si>
  <si>
    <t>8400 Edes Ave</t>
  </si>
  <si>
    <t>Zen Development</t>
  </si>
  <si>
    <t>Jeremy Hoffman</t>
  </si>
  <si>
    <t>222 Redwood Drive PO Box 1082</t>
  </si>
  <si>
    <t>Woodacre, CA 94973</t>
  </si>
  <si>
    <t>TBD</t>
  </si>
  <si>
    <t>jeremy@zendevelopment.org</t>
  </si>
  <si>
    <t>510-501-4529</t>
  </si>
  <si>
    <t>There are 2 buildings, 1 with 6 stories and elevators and another 2 story building is without an elevator</t>
  </si>
  <si>
    <t>Transition age youth units will be occupied by transition aged youth</t>
  </si>
  <si>
    <t>who are either homeless or at-risk of homelessness</t>
  </si>
  <si>
    <t>Defeerred to Permanent Conversion</t>
  </si>
  <si>
    <t>Cost Certification at Conversion</t>
  </si>
  <si>
    <t>Initial Compliance Expense</t>
  </si>
  <si>
    <t>Other Third Party Reports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</si>
</sst>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17167">
    <xf numFmtId="0" fontId="0" fillId="0" borderId="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84" fillId="28"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3" borderId="0" applyNumberFormat="0" applyBorder="0" applyAlignment="0" applyProtection="0"/>
    <xf numFmtId="0" fontId="84" fillId="34"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6" fillId="36" borderId="18" applyNumberFormat="0" applyAlignment="0" applyProtection="0"/>
    <xf numFmtId="0" fontId="86" fillId="36" borderId="18" applyNumberFormat="0" applyAlignment="0" applyProtection="0"/>
    <xf numFmtId="0" fontId="87" fillId="37" borderId="19" applyNumberFormat="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59" fillId="0" borderId="0" applyFont="0" applyFill="0" applyBorder="0" applyAlignment="0" applyProtection="0"/>
    <xf numFmtId="43" fontId="23" fillId="0" borderId="0" applyFont="0" applyFill="0" applyBorder="0" applyAlignment="0" applyProtection="0"/>
    <xf numFmtId="43"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78"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alignment vertical="top"/>
    </xf>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59" fillId="0" borderId="0" applyFont="0" applyFill="0" applyBorder="0" applyAlignment="0" applyProtection="0"/>
    <xf numFmtId="44" fontId="68"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69" fillId="0" borderId="0" applyFont="0" applyFill="0" applyBorder="0" applyAlignment="0" applyProtection="0"/>
    <xf numFmtId="44" fontId="2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7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74" fillId="0" borderId="0" applyFont="0" applyFill="0" applyBorder="0" applyAlignment="0" applyProtection="0"/>
    <xf numFmtId="44" fontId="23"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20" applyNumberFormat="0" applyFill="0" applyAlignment="0" applyProtection="0"/>
    <xf numFmtId="0" fontId="90" fillId="0" borderId="20" applyNumberFormat="0" applyFill="0" applyAlignment="0" applyProtection="0"/>
    <xf numFmtId="0" fontId="91" fillId="0" borderId="21" applyNumberFormat="0" applyFill="0" applyAlignment="0" applyProtection="0"/>
    <xf numFmtId="0" fontId="91" fillId="0" borderId="21" applyNumberFormat="0" applyFill="0" applyAlignment="0" applyProtection="0"/>
    <xf numFmtId="0" fontId="92" fillId="0" borderId="22" applyNumberFormat="0" applyFill="0" applyAlignment="0" applyProtection="0"/>
    <xf numFmtId="0" fontId="92" fillId="0" borderId="22"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80" fillId="0" borderId="0" applyNumberFormat="0" applyFill="0" applyBorder="0" applyAlignment="0" applyProtection="0">
      <alignment vertical="top"/>
      <protection locked="0"/>
    </xf>
    <xf numFmtId="0" fontId="93" fillId="39" borderId="18" applyNumberFormat="0" applyAlignment="0" applyProtection="0"/>
    <xf numFmtId="0" fontId="16" fillId="0" borderId="0" applyNumberFormat="0" applyBorder="0"/>
    <xf numFmtId="0" fontId="17" fillId="0" borderId="0" applyBorder="0" applyAlignment="0"/>
    <xf numFmtId="0" fontId="18" fillId="0" borderId="0" applyFill="0" applyBorder="0" applyAlignment="0"/>
    <xf numFmtId="0" fontId="94" fillId="0" borderId="23" applyNumberFormat="0" applyFill="0" applyAlignment="0" applyProtection="0"/>
    <xf numFmtId="0" fontId="95" fillId="40" borderId="0" applyNumberFormat="0" applyBorder="0" applyAlignment="0" applyProtection="0"/>
    <xf numFmtId="0" fontId="96" fillId="0" borderId="0"/>
    <xf numFmtId="0" fontId="59" fillId="0" borderId="0"/>
    <xf numFmtId="0" fontId="96" fillId="0" borderId="0"/>
    <xf numFmtId="0" fontId="59" fillId="0" borderId="0"/>
    <xf numFmtId="0" fontId="59"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7" fillId="0" borderId="0"/>
    <xf numFmtId="0" fontId="59" fillId="0" borderId="0"/>
    <xf numFmtId="169" fontId="60" fillId="0" borderId="0"/>
    <xf numFmtId="0" fontId="83" fillId="0" borderId="0"/>
    <xf numFmtId="0" fontId="23" fillId="0" borderId="0"/>
    <xf numFmtId="0" fontId="23" fillId="0" borderId="0"/>
    <xf numFmtId="0" fontId="65" fillId="0" borderId="0"/>
    <xf numFmtId="0" fontId="59" fillId="0" borderId="0"/>
    <xf numFmtId="0" fontId="65" fillId="0" borderId="0"/>
    <xf numFmtId="0" fontId="59" fillId="0" borderId="0"/>
    <xf numFmtId="0" fontId="71" fillId="0" borderId="0"/>
    <xf numFmtId="0" fontId="59"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1" fillId="0" borderId="0"/>
    <xf numFmtId="0" fontId="83" fillId="0" borderId="0"/>
    <xf numFmtId="0" fontId="83" fillId="0" borderId="0"/>
    <xf numFmtId="0" fontId="83"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83" fillId="0" borderId="0"/>
    <xf numFmtId="0" fontId="83" fillId="0" borderId="0"/>
    <xf numFmtId="0" fontId="83" fillId="0" borderId="0"/>
    <xf numFmtId="0" fontId="83" fillId="0" borderId="0"/>
    <xf numFmtId="0" fontId="71" fillId="0" borderId="0"/>
    <xf numFmtId="0" fontId="59" fillId="0" borderId="0">
      <alignment vertical="top"/>
    </xf>
    <xf numFmtId="0" fontId="83" fillId="0" borderId="0"/>
    <xf numFmtId="0" fontId="83" fillId="0" borderId="0"/>
    <xf numFmtId="0" fontId="83" fillId="0" borderId="0"/>
    <xf numFmtId="0" fontId="83" fillId="0" borderId="0"/>
    <xf numFmtId="0" fontId="71" fillId="0" borderId="0"/>
    <xf numFmtId="0" fontId="23" fillId="0" borderId="0"/>
    <xf numFmtId="0" fontId="83" fillId="0" borderId="0"/>
    <xf numFmtId="0" fontId="23" fillId="0" borderId="0"/>
    <xf numFmtId="0" fontId="83" fillId="0" borderId="0"/>
    <xf numFmtId="0" fontId="83" fillId="0" borderId="0"/>
    <xf numFmtId="0" fontId="83" fillId="0" borderId="0"/>
    <xf numFmtId="0" fontId="83" fillId="0" borderId="0"/>
    <xf numFmtId="0" fontId="65" fillId="0" borderId="0"/>
    <xf numFmtId="0" fontId="59" fillId="0" borderId="0">
      <alignment vertical="top"/>
    </xf>
    <xf numFmtId="0" fontId="65" fillId="0" borderId="0"/>
    <xf numFmtId="0" fontId="59" fillId="0" borderId="0">
      <alignment vertical="top"/>
    </xf>
    <xf numFmtId="0" fontId="59" fillId="0" borderId="0">
      <alignment vertical="top"/>
    </xf>
    <xf numFmtId="0" fontId="83" fillId="0" borderId="0"/>
    <xf numFmtId="0" fontId="65"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59" fillId="0" borderId="0">
      <alignment vertical="top"/>
    </xf>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59" fillId="0" borderId="0">
      <alignment vertical="top"/>
    </xf>
    <xf numFmtId="0" fontId="59" fillId="0" borderId="0">
      <alignment vertical="top"/>
    </xf>
    <xf numFmtId="0" fontId="59" fillId="0" borderId="0"/>
    <xf numFmtId="0" fontId="59" fillId="0" borderId="0">
      <alignment vertical="top"/>
    </xf>
    <xf numFmtId="0" fontId="59" fillId="0" borderId="0"/>
    <xf numFmtId="0" fontId="5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14" fillId="0" borderId="0" applyProtection="0">
      <protection locked="0"/>
    </xf>
    <xf numFmtId="0" fontId="23" fillId="0" borderId="0" applyProtection="0">
      <protection locked="0"/>
    </xf>
    <xf numFmtId="0" fontId="23" fillId="0" borderId="0" applyProtection="0">
      <protection locked="0"/>
    </xf>
    <xf numFmtId="0" fontId="60" fillId="0" borderId="0"/>
    <xf numFmtId="0" fontId="14" fillId="0" borderId="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98" fillId="36" borderId="25" applyNumberFormat="0" applyAlignment="0" applyProtection="0"/>
    <xf numFmtId="0" fontId="98" fillId="36" borderId="25" applyNumberFormat="0" applyAlignment="0" applyProtection="0"/>
    <xf numFmtId="0" fontId="19" fillId="0" borderId="0" applyNumberFormat="0" applyFill="0" applyBorder="0">
      <alignment horizontal="left"/>
    </xf>
    <xf numFmtId="0" fontId="99" fillId="0" borderId="0" applyNumberFormat="0" applyFill="0" applyBorder="0" applyAlignment="0" applyProtection="0"/>
    <xf numFmtId="0" fontId="100" fillId="0" borderId="26" applyNumberFormat="0" applyFill="0" applyAlignment="0" applyProtection="0"/>
    <xf numFmtId="0" fontId="100" fillId="0" borderId="26" applyNumberFormat="0" applyFill="0" applyAlignment="0" applyProtection="0"/>
    <xf numFmtId="0" fontId="101" fillId="0" borderId="0" applyNumberFormat="0" applyFill="0" applyBorder="0" applyAlignment="0" applyProtection="0"/>
    <xf numFmtId="0" fontId="14" fillId="0" borderId="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9" fontId="14" fillId="0" borderId="0" applyFon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6"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08"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109"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9" fillId="0" borderId="0" applyNumberForma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4" fontId="14" fillId="0" borderId="0" applyFont="0" applyFill="0" applyBorder="0" applyAlignment="0" applyProtection="0"/>
    <xf numFmtId="9" fontId="118" fillId="0" borderId="0" applyFont="0" applyFill="0" applyBorder="0" applyAlignment="0" applyProtection="0"/>
    <xf numFmtId="0" fontId="118" fillId="0" borderId="0"/>
    <xf numFmtId="0" fontId="8" fillId="0" borderId="0"/>
    <xf numFmtId="0" fontId="14"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14" fillId="0" borderId="0" applyBorder="0"/>
    <xf numFmtId="43" fontId="156" fillId="0" borderId="0" applyFon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4" fontId="16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4"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0">
    <xf numFmtId="0" fontId="0" fillId="0" borderId="0" xfId="0"/>
    <xf numFmtId="0" fontId="0" fillId="0" borderId="0" xfId="0" applyAlignment="1">
      <alignment horizontal="center"/>
    </xf>
    <xf numFmtId="0" fontId="21" fillId="0" borderId="0" xfId="0" applyFont="1"/>
    <xf numFmtId="0" fontId="14" fillId="0" borderId="0" xfId="0" applyFont="1"/>
    <xf numFmtId="0" fontId="23" fillId="0" borderId="0" xfId="0" applyFont="1"/>
    <xf numFmtId="0" fontId="0" fillId="0" borderId="4" xfId="0" applyBorder="1"/>
    <xf numFmtId="0" fontId="23" fillId="0" borderId="0" xfId="0" applyFont="1" applyAlignment="1">
      <alignment horizontal="center"/>
    </xf>
    <xf numFmtId="0" fontId="14"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1" fillId="0" borderId="4" xfId="0" applyFont="1" applyBorder="1"/>
    <xf numFmtId="164" fontId="0" fillId="0" borderId="0" xfId="0" applyNumberFormat="1" applyAlignment="1">
      <alignment horizontal="right"/>
    </xf>
    <xf numFmtId="0" fontId="21" fillId="0" borderId="0" xfId="0" applyFont="1" applyAlignment="1">
      <alignment horizontal="center"/>
    </xf>
    <xf numFmtId="0" fontId="14" fillId="0" borderId="0" xfId="543"/>
    <xf numFmtId="0" fontId="23" fillId="0" borderId="0" xfId="0" applyFont="1" applyAlignment="1">
      <alignment horizontal="left" vertical="top" wrapText="1"/>
    </xf>
    <xf numFmtId="0" fontId="29" fillId="0" borderId="0" xfId="0" applyFont="1"/>
    <xf numFmtId="0" fontId="22" fillId="0" borderId="0" xfId="0" applyFont="1" applyAlignment="1">
      <alignment vertical="top"/>
    </xf>
    <xf numFmtId="0" fontId="22" fillId="0" borderId="0" xfId="0" applyFont="1" applyAlignment="1">
      <alignment vertical="top" wrapText="1"/>
    </xf>
    <xf numFmtId="0" fontId="23" fillId="0" borderId="0" xfId="0" applyFont="1" applyAlignment="1">
      <alignment horizontal="left" indent="4"/>
    </xf>
    <xf numFmtId="0" fontId="22" fillId="0" borderId="0" xfId="0" applyFont="1" applyAlignment="1">
      <alignment horizontal="left" vertical="top"/>
    </xf>
    <xf numFmtId="0" fontId="22" fillId="0" borderId="0" xfId="0" applyFont="1" applyAlignment="1">
      <alignment horizontal="left"/>
    </xf>
    <xf numFmtId="0" fontId="22" fillId="0" borderId="0" xfId="0" applyFont="1"/>
    <xf numFmtId="0" fontId="34" fillId="0" borderId="0" xfId="543" applyFont="1"/>
    <xf numFmtId="1" fontId="22" fillId="0" borderId="0" xfId="0" applyNumberFormat="1" applyFont="1" applyAlignment="1">
      <alignment horizontal="left"/>
    </xf>
    <xf numFmtId="0" fontId="24" fillId="0" borderId="0" xfId="0" applyFont="1"/>
    <xf numFmtId="1" fontId="22" fillId="0" borderId="0" xfId="0" applyNumberFormat="1" applyFont="1" applyAlignment="1">
      <alignment horizontal="right"/>
    </xf>
    <xf numFmtId="0" fontId="0" fillId="0" borderId="0" xfId="0" applyAlignment="1">
      <alignment horizontal="right"/>
    </xf>
    <xf numFmtId="0" fontId="33" fillId="0" borderId="0" xfId="0" applyFont="1"/>
    <xf numFmtId="0" fontId="26" fillId="0" borderId="0" xfId="0" applyFont="1"/>
    <xf numFmtId="172" fontId="14" fillId="0" borderId="0" xfId="543" applyNumberFormat="1"/>
    <xf numFmtId="9" fontId="14" fillId="0" borderId="0" xfId="543" applyNumberFormat="1" applyAlignment="1">
      <alignment horizontal="left"/>
    </xf>
    <xf numFmtId="168" fontId="14" fillId="0" borderId="0" xfId="543" applyNumberFormat="1"/>
    <xf numFmtId="0" fontId="23" fillId="0" borderId="0" xfId="0" applyFont="1" applyAlignment="1">
      <alignment horizontal="right"/>
    </xf>
    <xf numFmtId="0" fontId="37" fillId="0" borderId="0" xfId="0" applyFont="1"/>
    <xf numFmtId="0" fontId="23" fillId="0" borderId="0" xfId="0" applyFont="1" applyAlignment="1">
      <alignment horizontal="left"/>
    </xf>
    <xf numFmtId="0" fontId="25" fillId="0" borderId="0" xfId="0" applyFont="1"/>
    <xf numFmtId="0" fontId="27" fillId="0" borderId="0" xfId="0" applyFont="1"/>
    <xf numFmtId="0" fontId="21"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1" fillId="0" borderId="1" xfId="0" applyFont="1" applyBorder="1" applyAlignment="1">
      <alignment horizontal="center" wrapText="1"/>
    </xf>
    <xf numFmtId="0" fontId="21"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1" fillId="0" borderId="4" xfId="0" applyFont="1" applyBorder="1" applyAlignment="1">
      <alignment horizontal="center"/>
    </xf>
    <xf numFmtId="0" fontId="30" fillId="0" borderId="3" xfId="0" applyFont="1" applyBorder="1" applyAlignment="1">
      <alignment horizontal="left"/>
    </xf>
    <xf numFmtId="0" fontId="30" fillId="0" borderId="9" xfId="0" applyFont="1" applyBorder="1" applyAlignment="1">
      <alignment horizontal="left"/>
    </xf>
    <xf numFmtId="0" fontId="21" fillId="0" borderId="4" xfId="0" applyFont="1" applyBorder="1" applyAlignment="1">
      <alignment horizontal="right"/>
    </xf>
    <xf numFmtId="0" fontId="21" fillId="0" borderId="5" xfId="0" applyFont="1" applyBorder="1" applyAlignment="1">
      <alignment horizontal="right"/>
    </xf>
    <xf numFmtId="0" fontId="30" fillId="0" borderId="0" xfId="0" applyFont="1" applyAlignment="1">
      <alignment horizontal="left"/>
    </xf>
    <xf numFmtId="0" fontId="21" fillId="0" borderId="0" xfId="0" applyFont="1" applyAlignment="1">
      <alignment horizontal="right"/>
    </xf>
    <xf numFmtId="0" fontId="21"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11" xfId="0" applyFont="1" applyBorder="1" applyAlignment="1">
      <alignment horizontal="left"/>
    </xf>
    <xf numFmtId="0" fontId="21" fillId="0" borderId="9" xfId="0" applyFont="1" applyBorder="1"/>
    <xf numFmtId="164" fontId="0" fillId="0" borderId="0" xfId="0" applyNumberFormat="1" applyAlignment="1">
      <alignment horizontal="center"/>
    </xf>
    <xf numFmtId="0" fontId="0" fillId="0" borderId="12" xfId="0" applyBorder="1"/>
    <xf numFmtId="0" fontId="23" fillId="0" borderId="3" xfId="0" applyFont="1" applyBorder="1"/>
    <xf numFmtId="0" fontId="23" fillId="0" borderId="0" xfId="543" applyFont="1"/>
    <xf numFmtId="0" fontId="39" fillId="0" borderId="0" xfId="543" applyFont="1"/>
    <xf numFmtId="49" fontId="14" fillId="0" borderId="0" xfId="543" applyNumberFormat="1"/>
    <xf numFmtId="0" fontId="37" fillId="0" borderId="0" xfId="543" applyFont="1"/>
    <xf numFmtId="168" fontId="34" fillId="0" borderId="6" xfId="543" applyNumberFormat="1" applyFont="1" applyBorder="1" applyAlignment="1">
      <alignment horizontal="left"/>
    </xf>
    <xf numFmtId="168" fontId="34" fillId="0" borderId="6" xfId="543" applyNumberFormat="1" applyFont="1" applyBorder="1" applyAlignment="1">
      <alignment horizontal="center"/>
    </xf>
    <xf numFmtId="0" fontId="14" fillId="0" borderId="8" xfId="543" applyBorder="1"/>
    <xf numFmtId="0" fontId="34" fillId="0" borderId="0" xfId="543" applyFont="1" applyAlignment="1">
      <alignment horizontal="center"/>
    </xf>
    <xf numFmtId="0" fontId="33" fillId="0" borderId="9" xfId="543" applyFont="1" applyBorder="1" applyAlignment="1">
      <alignment horizontal="left" vertical="top" wrapText="1"/>
    </xf>
    <xf numFmtId="0" fontId="33" fillId="0" borderId="6" xfId="543" applyFont="1" applyBorder="1" applyAlignment="1">
      <alignment horizontal="center" vertical="top" wrapText="1"/>
    </xf>
    <xf numFmtId="0" fontId="14" fillId="0" borderId="9" xfId="543" applyBorder="1"/>
    <xf numFmtId="0" fontId="14" fillId="0" borderId="10" xfId="543" applyBorder="1"/>
    <xf numFmtId="0" fontId="14" fillId="0" borderId="1" xfId="543" applyBorder="1"/>
    <xf numFmtId="0" fontId="34" fillId="0" borderId="2" xfId="543" applyFont="1" applyBorder="1" applyAlignment="1">
      <alignment horizontal="center"/>
    </xf>
    <xf numFmtId="0" fontId="36" fillId="0" borderId="8" xfId="543" applyFont="1" applyBorder="1" applyAlignment="1">
      <alignment horizontal="left" vertical="top" wrapText="1"/>
    </xf>
    <xf numFmtId="0" fontId="33" fillId="0" borderId="0" xfId="543" applyFont="1" applyAlignment="1">
      <alignment horizontal="center" vertical="top" wrapText="1"/>
    </xf>
    <xf numFmtId="0" fontId="14" fillId="0" borderId="12" xfId="543" applyBorder="1"/>
    <xf numFmtId="0" fontId="36" fillId="0" borderId="0" xfId="543" applyFont="1" applyAlignment="1">
      <alignment horizontal="center" vertical="top" wrapText="1"/>
    </xf>
    <xf numFmtId="0" fontId="36" fillId="0" borderId="9" xfId="543" applyFont="1" applyBorder="1" applyAlignment="1">
      <alignment horizontal="left" vertical="top" wrapText="1"/>
    </xf>
    <xf numFmtId="0" fontId="14" fillId="0" borderId="2" xfId="543" applyBorder="1"/>
    <xf numFmtId="0" fontId="14" fillId="0" borderId="7" xfId="543" applyBorder="1"/>
    <xf numFmtId="0" fontId="33" fillId="0" borderId="0" xfId="543" applyFont="1"/>
    <xf numFmtId="0" fontId="14" fillId="0" borderId="0" xfId="543" applyAlignment="1">
      <alignment horizontal="center"/>
    </xf>
    <xf numFmtId="0" fontId="22" fillId="0" borderId="6" xfId="543" applyFont="1" applyBorder="1" applyAlignment="1">
      <alignment vertical="top" wrapText="1"/>
    </xf>
    <xf numFmtId="0" fontId="23" fillId="0" borderId="0" xfId="0" applyFont="1" applyAlignment="1">
      <alignment horizontal="left" vertical="top"/>
    </xf>
    <xf numFmtId="0" fontId="0" fillId="2" borderId="2" xfId="0" applyFill="1" applyBorder="1"/>
    <xf numFmtId="0" fontId="0" fillId="2" borderId="7" xfId="0" applyFill="1" applyBorder="1"/>
    <xf numFmtId="0" fontId="21" fillId="0" borderId="6" xfId="0" applyFont="1" applyBorder="1" applyAlignment="1">
      <alignment horizontal="right"/>
    </xf>
    <xf numFmtId="0" fontId="20" fillId="0" borderId="0" xfId="0" applyFont="1" applyAlignment="1">
      <alignment horizontal="center" vertical="center"/>
    </xf>
    <xf numFmtId="0" fontId="21" fillId="0" borderId="0" xfId="0" applyFont="1" applyAlignment="1">
      <alignment vertical="top"/>
    </xf>
    <xf numFmtId="166" fontId="0" fillId="0" borderId="0" xfId="0" applyNumberFormat="1" applyAlignment="1">
      <alignment horizontal="right"/>
    </xf>
    <xf numFmtId="0" fontId="44" fillId="0" borderId="0" xfId="0" applyFont="1"/>
    <xf numFmtId="0" fontId="31" fillId="0" borderId="0" xfId="0" applyFont="1"/>
    <xf numFmtId="0" fontId="15" fillId="0" borderId="0" xfId="244" applyBorder="1" applyProtection="1"/>
    <xf numFmtId="0" fontId="15" fillId="0" borderId="0" xfId="244" applyFill="1" applyBorder="1" applyAlignment="1">
      <alignment horizontal="center" vertical="center"/>
    </xf>
    <xf numFmtId="0" fontId="14" fillId="0" borderId="3" xfId="543" applyBorder="1"/>
    <xf numFmtId="0" fontId="36" fillId="0" borderId="4" xfId="543" applyFont="1" applyBorder="1" applyAlignment="1">
      <alignment horizontal="right" vertical="top" wrapText="1"/>
    </xf>
    <xf numFmtId="0" fontId="23" fillId="0" borderId="6" xfId="0" applyFont="1" applyBorder="1"/>
    <xf numFmtId="0" fontId="23" fillId="0" borderId="2" xfId="0" applyFont="1" applyBorder="1"/>
    <xf numFmtId="0" fontId="23" fillId="0" borderId="7" xfId="0" applyFont="1" applyBorder="1"/>
    <xf numFmtId="0" fontId="23" fillId="0" borderId="12" xfId="0" applyFont="1" applyBorder="1"/>
    <xf numFmtId="0" fontId="23" fillId="0" borderId="9" xfId="0" applyFont="1" applyBorder="1"/>
    <xf numFmtId="0" fontId="23" fillId="0" borderId="10" xfId="0" applyFont="1" applyBorder="1"/>
    <xf numFmtId="0" fontId="28" fillId="0" borderId="6" xfId="0" applyFont="1" applyBorder="1" applyAlignment="1">
      <alignment vertical="top" wrapText="1"/>
    </xf>
    <xf numFmtId="0" fontId="28" fillId="0" borderId="5" xfId="0" applyFont="1" applyBorder="1" applyAlignment="1">
      <alignment vertical="top" wrapText="1"/>
    </xf>
    <xf numFmtId="0" fontId="28" fillId="0" borderId="4" xfId="0" applyFont="1" applyBorder="1" applyAlignment="1">
      <alignment vertical="top" wrapText="1"/>
    </xf>
    <xf numFmtId="0" fontId="28" fillId="2" borderId="6" xfId="0" applyFont="1" applyFill="1" applyBorder="1" applyAlignment="1">
      <alignment vertical="top" wrapText="1"/>
    </xf>
    <xf numFmtId="0" fontId="0" fillId="0" borderId="8" xfId="0" applyBorder="1"/>
    <xf numFmtId="0" fontId="21" fillId="0" borderId="2" xfId="0" applyFont="1" applyBorder="1"/>
    <xf numFmtId="0" fontId="23" fillId="0" borderId="0" xfId="0" applyFont="1" applyAlignment="1">
      <alignment vertical="top"/>
    </xf>
    <xf numFmtId="0" fontId="23" fillId="0" borderId="0" xfId="0" applyFont="1" applyAlignment="1">
      <alignment vertical="top" wrapText="1"/>
    </xf>
    <xf numFmtId="0" fontId="14" fillId="0" borderId="0" xfId="0" applyFont="1" applyAlignment="1">
      <alignment horizontal="left"/>
    </xf>
    <xf numFmtId="0" fontId="14" fillId="0" borderId="0" xfId="0" applyFont="1" applyAlignment="1">
      <alignment vertical="top"/>
    </xf>
    <xf numFmtId="0" fontId="43" fillId="0" borderId="0" xfId="0" applyFont="1"/>
    <xf numFmtId="0" fontId="14" fillId="0" borderId="3" xfId="0" applyFont="1" applyBorder="1"/>
    <xf numFmtId="0" fontId="14"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8" fillId="3" borderId="4" xfId="0" applyFont="1" applyFill="1" applyBorder="1" applyAlignment="1">
      <alignment vertical="top" wrapText="1"/>
    </xf>
    <xf numFmtId="0" fontId="28" fillId="3" borderId="5" xfId="0" applyFont="1" applyFill="1" applyBorder="1" applyAlignment="1">
      <alignment vertical="top" wrapText="1"/>
    </xf>
    <xf numFmtId="0" fontId="46" fillId="0" borderId="0" xfId="0" applyFont="1"/>
    <xf numFmtId="0" fontId="23" fillId="0" borderId="4" xfId="0" applyFont="1" applyBorder="1"/>
    <xf numFmtId="0" fontId="21" fillId="0" borderId="2" xfId="0" applyFont="1" applyBorder="1" applyAlignment="1">
      <alignment horizontal="center"/>
    </xf>
    <xf numFmtId="0" fontId="21" fillId="0" borderId="0" xfId="0" applyFont="1" applyAlignment="1">
      <alignment horizontal="center" vertical="center" wrapText="1"/>
    </xf>
    <xf numFmtId="0" fontId="21" fillId="0" borderId="7" xfId="543" applyFont="1" applyBorder="1" applyAlignment="1">
      <alignment horizontal="right"/>
    </xf>
    <xf numFmtId="0" fontId="22" fillId="0" borderId="9" xfId="543" applyFont="1" applyBorder="1"/>
    <xf numFmtId="0" fontId="23" fillId="0" borderId="6" xfId="543" applyFont="1" applyBorder="1"/>
    <xf numFmtId="0" fontId="22" fillId="0" borderId="6" xfId="543" applyFont="1" applyBorder="1" applyAlignment="1">
      <alignment horizontal="right"/>
    </xf>
    <xf numFmtId="0" fontId="21" fillId="0" borderId="0" xfId="0" applyFont="1" applyAlignment="1">
      <alignment horizontal="center" vertical="center"/>
    </xf>
    <xf numFmtId="0" fontId="23" fillId="0" borderId="0" xfId="0" applyFont="1" applyAlignment="1">
      <alignment horizontal="left" vertical="center"/>
    </xf>
    <xf numFmtId="0" fontId="52" fillId="0" borderId="3" xfId="0" applyFont="1" applyBorder="1" applyAlignment="1">
      <alignment horizontal="left" vertical="top"/>
    </xf>
    <xf numFmtId="0" fontId="52" fillId="0" borderId="13" xfId="0" applyFont="1" applyBorder="1" applyAlignment="1">
      <alignment horizontal="center" wrapText="1"/>
    </xf>
    <xf numFmtId="0" fontId="52" fillId="0" borderId="13" xfId="0" applyFont="1" applyBorder="1" applyAlignment="1">
      <alignment horizontal="center" vertical="top" wrapText="1"/>
    </xf>
    <xf numFmtId="0" fontId="52" fillId="2" borderId="13" xfId="0" applyFont="1" applyFill="1" applyBorder="1" applyAlignment="1">
      <alignment horizontal="center" wrapText="1"/>
    </xf>
    <xf numFmtId="0" fontId="53" fillId="2" borderId="11" xfId="0" applyFont="1" applyFill="1" applyBorder="1" applyAlignment="1">
      <alignment horizontal="left" vertical="top" wrapText="1"/>
    </xf>
    <xf numFmtId="0" fontId="54" fillId="4" borderId="11" xfId="0"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4" fillId="5" borderId="11" xfId="0" applyNumberFormat="1" applyFont="1" applyFill="1" applyBorder="1" applyAlignment="1" applyProtection="1">
      <alignment vertical="top" wrapText="1"/>
      <protection locked="0"/>
    </xf>
    <xf numFmtId="168" fontId="54" fillId="6" borderId="11" xfId="0" applyNumberFormat="1" applyFont="1" applyFill="1" applyBorder="1" applyAlignment="1">
      <alignment horizontal="center"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17" fillId="0" borderId="11" xfId="0" applyFont="1" applyBorder="1" applyAlignment="1">
      <alignment horizontal="right" vertical="top" wrapText="1"/>
    </xf>
    <xf numFmtId="0" fontId="54" fillId="0" borderId="11" xfId="0" applyFont="1" applyBorder="1" applyAlignment="1" applyProtection="1">
      <alignment horizontal="right" vertical="top" wrapText="1"/>
      <protection locked="0"/>
    </xf>
    <xf numFmtId="0" fontId="52" fillId="0" borderId="0" xfId="0" applyFont="1" applyAlignment="1">
      <alignment horizontal="left" vertical="top"/>
    </xf>
    <xf numFmtId="0" fontId="54" fillId="0" borderId="0" xfId="0" applyFont="1" applyAlignment="1">
      <alignment horizontal="left" vertical="top"/>
    </xf>
    <xf numFmtId="0" fontId="54" fillId="0" borderId="0" xfId="0" applyFont="1" applyAlignment="1">
      <alignment vertical="top" wrapText="1"/>
    </xf>
    <xf numFmtId="0" fontId="54" fillId="0" borderId="0" xfId="0" applyFont="1" applyAlignment="1">
      <alignment vertical="top"/>
    </xf>
    <xf numFmtId="0" fontId="52" fillId="0" borderId="0" xfId="0" applyFont="1" applyAlignment="1">
      <alignment horizontal="right" vertical="top"/>
    </xf>
    <xf numFmtId="0" fontId="54" fillId="2" borderId="0" xfId="0" applyFont="1" applyFill="1" applyAlignment="1">
      <alignment vertical="top" wrapText="1"/>
    </xf>
    <xf numFmtId="0" fontId="52" fillId="0" borderId="0" xfId="0" applyFont="1" applyAlignment="1">
      <alignment vertical="top"/>
    </xf>
    <xf numFmtId="166" fontId="23" fillId="0" borderId="0" xfId="0" applyNumberFormat="1" applyFont="1" applyAlignment="1">
      <alignment horizontal="left"/>
    </xf>
    <xf numFmtId="0" fontId="55" fillId="0" borderId="0" xfId="0" applyFont="1"/>
    <xf numFmtId="0" fontId="14" fillId="0" borderId="0" xfId="244" applyFont="1" applyFill="1" applyBorder="1" applyAlignment="1" applyProtection="1">
      <alignment horizontal="left"/>
    </xf>
    <xf numFmtId="0" fontId="45" fillId="0" borderId="0" xfId="0" applyFont="1"/>
    <xf numFmtId="0" fontId="45" fillId="0" borderId="0" xfId="244" applyFont="1" applyFill="1" applyBorder="1" applyAlignment="1" applyProtection="1">
      <alignment horizontal="left"/>
    </xf>
    <xf numFmtId="0" fontId="20" fillId="3" borderId="11" xfId="0" applyFont="1" applyFill="1" applyBorder="1" applyAlignment="1">
      <alignment vertical="top"/>
    </xf>
    <xf numFmtId="0" fontId="0" fillId="7" borderId="0" xfId="0" applyFill="1"/>
    <xf numFmtId="0" fontId="34" fillId="0" borderId="0" xfId="0" applyFont="1"/>
    <xf numFmtId="0" fontId="57" fillId="0" borderId="0" xfId="0" applyFont="1"/>
    <xf numFmtId="0" fontId="32" fillId="0" borderId="0" xfId="0" applyFont="1" applyAlignment="1">
      <alignment horizontal="center"/>
    </xf>
    <xf numFmtId="0" fontId="32" fillId="0" borderId="0" xfId="0" applyFont="1"/>
    <xf numFmtId="0" fontId="32" fillId="0" borderId="0" xfId="0" applyFont="1" applyAlignment="1">
      <alignment horizontal="left"/>
    </xf>
    <xf numFmtId="49" fontId="21" fillId="0" borderId="0" xfId="0" applyNumberFormat="1" applyFont="1" applyAlignment="1">
      <alignment horizontal="center"/>
    </xf>
    <xf numFmtId="0" fontId="49" fillId="0" borderId="0" xfId="0" applyFont="1" applyAlignment="1">
      <alignment horizontal="center"/>
    </xf>
    <xf numFmtId="0" fontId="48" fillId="0" borderId="0" xfId="244" applyFont="1" applyAlignment="1" applyProtection="1">
      <alignment horizontal="center"/>
    </xf>
    <xf numFmtId="0" fontId="23" fillId="0" borderId="0" xfId="0" quotePrefix="1" applyFont="1" applyAlignment="1">
      <alignment horizontal="left"/>
    </xf>
    <xf numFmtId="49" fontId="23" fillId="0" borderId="0" xfId="0" applyNumberFormat="1" applyFont="1" applyAlignment="1">
      <alignment horizontal="center"/>
    </xf>
    <xf numFmtId="0" fontId="21" fillId="0" borderId="0" xfId="0" quotePrefix="1" applyFont="1" applyAlignment="1">
      <alignment horizontal="center"/>
    </xf>
    <xf numFmtId="49" fontId="0" fillId="0" borderId="0" xfId="0" applyNumberFormat="1"/>
    <xf numFmtId="0" fontId="46" fillId="0" borderId="0" xfId="0" applyFont="1" applyAlignment="1">
      <alignment horizontal="left"/>
    </xf>
    <xf numFmtId="49" fontId="23" fillId="0" borderId="0" xfId="0" applyNumberFormat="1" applyFont="1"/>
    <xf numFmtId="49" fontId="21" fillId="0" borderId="0" xfId="0" applyNumberFormat="1" applyFont="1" applyAlignment="1">
      <alignment horizontal="left"/>
    </xf>
    <xf numFmtId="168" fontId="23" fillId="0" borderId="0" xfId="0" applyNumberFormat="1" applyFont="1" applyAlignment="1">
      <alignment horizontal="center"/>
    </xf>
    <xf numFmtId="168" fontId="33" fillId="0" borderId="0" xfId="0" applyNumberFormat="1" applyFont="1" applyAlignment="1">
      <alignment horizontal="left" vertical="top" wrapText="1"/>
    </xf>
    <xf numFmtId="0" fontId="51" fillId="0" borderId="3" xfId="0" applyFont="1" applyBorder="1"/>
    <xf numFmtId="168" fontId="0" fillId="0" borderId="0" xfId="0" applyNumberFormat="1" applyAlignment="1">
      <alignment horizontal="center"/>
    </xf>
    <xf numFmtId="0" fontId="34" fillId="0" borderId="0" xfId="0" applyFont="1" applyAlignment="1">
      <alignment vertical="top" wrapText="1"/>
    </xf>
    <xf numFmtId="0" fontId="52" fillId="0" borderId="4" xfId="0" applyFont="1" applyBorder="1" applyAlignment="1">
      <alignment horizontal="right"/>
    </xf>
    <xf numFmtId="0" fontId="59" fillId="0" borderId="0" xfId="0" applyFont="1"/>
    <xf numFmtId="3" fontId="23" fillId="0" borderId="0" xfId="0" applyNumberFormat="1" applyFont="1" applyAlignment="1">
      <alignment horizontal="center"/>
    </xf>
    <xf numFmtId="168" fontId="14" fillId="0" borderId="0" xfId="0" applyNumberFormat="1" applyFont="1" applyAlignment="1">
      <alignment horizontal="left" vertical="top"/>
    </xf>
    <xf numFmtId="168" fontId="23" fillId="0" borderId="0" xfId="0" applyNumberFormat="1" applyFont="1" applyAlignment="1">
      <alignment horizontal="left" vertical="top"/>
    </xf>
    <xf numFmtId="0" fontId="23" fillId="0" borderId="0" xfId="0" applyFont="1" applyAlignment="1">
      <alignment horizontal="center" vertical="center"/>
    </xf>
    <xf numFmtId="0" fontId="23" fillId="0" borderId="0" xfId="0" applyFont="1" applyAlignment="1">
      <alignment vertical="center"/>
    </xf>
    <xf numFmtId="0" fontId="0" fillId="0" borderId="0" xfId="0" applyAlignment="1">
      <alignment vertical="center"/>
    </xf>
    <xf numFmtId="0" fontId="54" fillId="0" borderId="11" xfId="0" applyFont="1" applyBorder="1" applyAlignment="1">
      <alignment horizontal="right" vertical="top"/>
    </xf>
    <xf numFmtId="0" fontId="54" fillId="0" borderId="0" xfId="0" applyFont="1" applyAlignment="1">
      <alignment horizontal="right" vertical="top" wrapText="1"/>
    </xf>
    <xf numFmtId="0" fontId="54" fillId="2" borderId="12" xfId="0" applyFont="1" applyFill="1" applyBorder="1" applyAlignment="1">
      <alignment vertical="top" wrapText="1"/>
    </xf>
    <xf numFmtId="0" fontId="54" fillId="0" borderId="14" xfId="0" applyFont="1" applyBorder="1" applyAlignment="1">
      <alignment vertical="top" wrapText="1"/>
    </xf>
    <xf numFmtId="168" fontId="54" fillId="5" borderId="11" xfId="0" applyNumberFormat="1" applyFont="1" applyFill="1" applyBorder="1" applyAlignment="1" applyProtection="1">
      <alignment vertical="top"/>
      <protection locked="0"/>
    </xf>
    <xf numFmtId="0" fontId="54" fillId="2" borderId="11" xfId="0" applyFont="1" applyFill="1" applyBorder="1" applyAlignment="1" applyProtection="1">
      <alignment vertical="top"/>
      <protection locked="0"/>
    </xf>
    <xf numFmtId="0" fontId="54" fillId="0" borderId="11" xfId="0" applyFont="1" applyBorder="1" applyAlignment="1" applyProtection="1">
      <alignment vertical="top"/>
      <protection locked="0"/>
    </xf>
    <xf numFmtId="168" fontId="54" fillId="0" borderId="11" xfId="0" applyNumberFormat="1" applyFont="1" applyBorder="1" applyAlignment="1">
      <alignment vertical="top"/>
    </xf>
    <xf numFmtId="168" fontId="54" fillId="6" borderId="11" xfId="0" applyNumberFormat="1" applyFont="1" applyFill="1" applyBorder="1" applyAlignment="1">
      <alignment horizontal="center" vertical="top"/>
    </xf>
    <xf numFmtId="0" fontId="21" fillId="0" borderId="0" xfId="542" applyFont="1" applyProtection="1">
      <protection locked="0"/>
    </xf>
    <xf numFmtId="0" fontId="14" fillId="0" borderId="0" xfId="539" applyProtection="1"/>
    <xf numFmtId="0" fontId="34" fillId="8" borderId="0" xfId="539" applyFont="1" applyFill="1" applyAlignment="1" applyProtection="1">
      <alignment horizontal="centerContinuous"/>
    </xf>
    <xf numFmtId="4" fontId="23" fillId="0" borderId="0" xfId="0" applyNumberFormat="1" applyFont="1"/>
    <xf numFmtId="0" fontId="21" fillId="0" borderId="0" xfId="543" applyFont="1"/>
    <xf numFmtId="0" fontId="23" fillId="0" borderId="0" xfId="543" applyFont="1" applyAlignment="1">
      <alignment horizontal="left"/>
    </xf>
    <xf numFmtId="0" fontId="23" fillId="0" borderId="15" xfId="0" applyFont="1" applyBorder="1"/>
    <xf numFmtId="0" fontId="23" fillId="0" borderId="11" xfId="0" applyFont="1" applyBorder="1"/>
    <xf numFmtId="2" fontId="37" fillId="0" borderId="11" xfId="0" applyNumberFormat="1" applyFont="1" applyBorder="1"/>
    <xf numFmtId="0" fontId="14" fillId="0" borderId="0" xfId="0" applyFont="1" applyProtection="1">
      <protection locked="0"/>
    </xf>
    <xf numFmtId="0" fontId="62" fillId="0" borderId="0" xfId="0" applyFont="1" applyAlignment="1">
      <alignment horizontal="center"/>
    </xf>
    <xf numFmtId="0" fontId="23" fillId="0" borderId="0" xfId="271"/>
    <xf numFmtId="0" fontId="21" fillId="0" borderId="0" xfId="271" applyFont="1"/>
    <xf numFmtId="0" fontId="23" fillId="0" borderId="0" xfId="271" applyAlignment="1">
      <alignment horizontal="left"/>
    </xf>
    <xf numFmtId="0" fontId="15" fillId="0" borderId="0" xfId="244" applyFill="1" applyBorder="1" applyProtection="1">
      <protection locked="0"/>
    </xf>
    <xf numFmtId="168" fontId="21" fillId="0" borderId="2" xfId="543" applyNumberFormat="1" applyFont="1" applyBorder="1" applyAlignment="1">
      <alignment horizontal="center" vertical="center"/>
    </xf>
    <xf numFmtId="0" fontId="36" fillId="0" borderId="0" xfId="543" applyFont="1" applyAlignment="1">
      <alignment horizontal="right" vertical="top" wrapText="1"/>
    </xf>
    <xf numFmtId="0" fontId="34" fillId="0" borderId="2" xfId="543" applyFont="1" applyBorder="1" applyAlignment="1">
      <alignment horizontal="right" vertical="top" wrapText="1"/>
    </xf>
    <xf numFmtId="0" fontId="19" fillId="0" borderId="0" xfId="0" applyFont="1"/>
    <xf numFmtId="0" fontId="64" fillId="0" borderId="0" xfId="0" applyFont="1"/>
    <xf numFmtId="0" fontId="62" fillId="0" borderId="0" xfId="0" applyFont="1"/>
    <xf numFmtId="0" fontId="34"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1" fillId="0" borderId="0" xfId="0" applyNumberFormat="1" applyFont="1" applyAlignment="1">
      <alignment horizontal="center"/>
    </xf>
    <xf numFmtId="3" fontId="0" fillId="0" borderId="0" xfId="0" applyNumberFormat="1" applyAlignment="1">
      <alignment horizontal="center"/>
    </xf>
    <xf numFmtId="3" fontId="23" fillId="0" borderId="0" xfId="0" applyNumberFormat="1" applyFont="1"/>
    <xf numFmtId="0" fontId="63" fillId="0" borderId="0" xfId="0" applyFont="1"/>
    <xf numFmtId="168" fontId="19" fillId="0" borderId="0" xfId="0" applyNumberFormat="1" applyFont="1"/>
    <xf numFmtId="10" fontId="19" fillId="0" borderId="0" xfId="0" applyNumberFormat="1" applyFont="1" applyAlignment="1">
      <alignment horizontal="center"/>
    </xf>
    <xf numFmtId="3" fontId="66" fillId="0" borderId="0" xfId="0" applyNumberFormat="1" applyFont="1"/>
    <xf numFmtId="3" fontId="19" fillId="0" borderId="0" xfId="0" applyNumberFormat="1" applyFont="1"/>
    <xf numFmtId="168" fontId="63" fillId="0" borderId="0" xfId="0" applyNumberFormat="1" applyFont="1"/>
    <xf numFmtId="168" fontId="63" fillId="0" borderId="0" xfId="0" applyNumberFormat="1" applyFont="1" applyAlignment="1">
      <alignment horizontal="center"/>
    </xf>
    <xf numFmtId="0" fontId="19" fillId="5" borderId="0" xfId="0" applyFont="1" applyFill="1" applyAlignment="1">
      <alignment horizontal="left"/>
    </xf>
    <xf numFmtId="0" fontId="19" fillId="5" borderId="0" xfId="0" applyFont="1" applyFill="1"/>
    <xf numFmtId="10" fontId="19" fillId="0" borderId="0" xfId="0" applyNumberFormat="1" applyFont="1"/>
    <xf numFmtId="172" fontId="19" fillId="0" borderId="0" xfId="0" applyNumberFormat="1" applyFont="1"/>
    <xf numFmtId="172" fontId="19" fillId="0" borderId="0" xfId="0" applyNumberFormat="1" applyFont="1" applyAlignment="1">
      <alignment horizontal="center"/>
    </xf>
    <xf numFmtId="0" fontId="19" fillId="0" borderId="6" xfId="0" applyFont="1" applyBorder="1"/>
    <xf numFmtId="10" fontId="19" fillId="0" borderId="6" xfId="0" applyNumberFormat="1" applyFont="1" applyBorder="1" applyAlignment="1">
      <alignment horizontal="center"/>
    </xf>
    <xf numFmtId="3" fontId="19" fillId="0" borderId="6" xfId="0" applyNumberFormat="1" applyFont="1" applyBorder="1"/>
    <xf numFmtId="10" fontId="23" fillId="0" borderId="0" xfId="0" applyNumberFormat="1" applyFont="1" applyAlignment="1">
      <alignment horizontal="center"/>
    </xf>
    <xf numFmtId="3" fontId="23" fillId="0" borderId="0" xfId="0" applyNumberFormat="1" applyFont="1" applyAlignment="1">
      <alignment vertical="top"/>
    </xf>
    <xf numFmtId="10" fontId="21" fillId="0" borderId="0" xfId="0" applyNumberFormat="1" applyFont="1" applyAlignment="1">
      <alignment horizontal="center"/>
    </xf>
    <xf numFmtId="0" fontId="62" fillId="0" borderId="6" xfId="0" applyFont="1" applyBorder="1" applyAlignment="1">
      <alignment horizontal="center"/>
    </xf>
    <xf numFmtId="172" fontId="23" fillId="0" borderId="0" xfId="0" applyNumberFormat="1" applyFont="1" applyAlignment="1">
      <alignment horizontal="center"/>
    </xf>
    <xf numFmtId="10" fontId="67" fillId="0" borderId="0" xfId="0" applyNumberFormat="1" applyFont="1" applyAlignment="1">
      <alignment horizontal="center"/>
    </xf>
    <xf numFmtId="4" fontId="23" fillId="0" borderId="0" xfId="271" applyNumberFormat="1" applyAlignment="1">
      <alignment horizontal="left"/>
    </xf>
    <xf numFmtId="0" fontId="23" fillId="0" borderId="0" xfId="271" applyAlignment="1">
      <alignment horizontal="center"/>
    </xf>
    <xf numFmtId="0" fontId="23" fillId="9" borderId="6" xfId="0" applyFont="1" applyFill="1" applyBorder="1"/>
    <xf numFmtId="0" fontId="23" fillId="0" borderId="4" xfId="271" applyBorder="1"/>
    <xf numFmtId="0" fontId="23" fillId="0" borderId="6" xfId="271" applyBorder="1"/>
    <xf numFmtId="0" fontId="23" fillId="0" borderId="1" xfId="0" applyFont="1" applyBorder="1"/>
    <xf numFmtId="168" fontId="23" fillId="0" borderId="3" xfId="0" applyNumberFormat="1" applyFont="1" applyBorder="1" applyAlignment="1">
      <alignment vertical="top"/>
    </xf>
    <xf numFmtId="168" fontId="23" fillId="0" borderId="4" xfId="0" applyNumberFormat="1" applyFont="1" applyBorder="1" applyAlignment="1">
      <alignment vertical="top"/>
    </xf>
    <xf numFmtId="168" fontId="23" fillId="0" borderId="5" xfId="0" applyNumberFormat="1" applyFont="1" applyBorder="1" applyAlignment="1">
      <alignment vertical="top"/>
    </xf>
    <xf numFmtId="168" fontId="23" fillId="0" borderId="8" xfId="0" applyNumberFormat="1" applyFont="1" applyBorder="1" applyAlignment="1">
      <alignment vertical="top"/>
    </xf>
    <xf numFmtId="168" fontId="23" fillId="0" borderId="0" xfId="0" applyNumberFormat="1" applyFont="1" applyAlignment="1">
      <alignment vertical="top"/>
    </xf>
    <xf numFmtId="0" fontId="23" fillId="0" borderId="0" xfId="0" applyFont="1" applyAlignment="1">
      <alignment horizontal="right" vertical="top"/>
    </xf>
    <xf numFmtId="0" fontId="23"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5" borderId="4" xfId="0" applyFont="1" applyFill="1" applyBorder="1" applyAlignment="1" applyProtection="1">
      <alignment horizontal="left" vertical="top"/>
      <protection locked="0"/>
    </xf>
    <xf numFmtId="0" fontId="23" fillId="5" borderId="5" xfId="0" applyFont="1" applyFill="1" applyBorder="1" applyAlignment="1" applyProtection="1">
      <alignment horizontal="left" vertical="top"/>
      <protection locked="0"/>
    </xf>
    <xf numFmtId="4" fontId="49" fillId="0" borderId="0" xfId="0" applyNumberFormat="1" applyFont="1" applyAlignment="1">
      <alignment horizontal="center"/>
    </xf>
    <xf numFmtId="4" fontId="23" fillId="0" borderId="0" xfId="0" applyNumberFormat="1" applyFont="1" applyAlignment="1">
      <alignment horizontal="center"/>
    </xf>
    <xf numFmtId="4" fontId="0" fillId="0" borderId="0" xfId="0" applyNumberFormat="1"/>
    <xf numFmtId="0" fontId="33" fillId="0" borderId="1" xfId="543" applyFont="1" applyBorder="1" applyAlignment="1">
      <alignment horizontal="left" vertical="top" wrapText="1"/>
    </xf>
    <xf numFmtId="0" fontId="33" fillId="0" borderId="12" xfId="543" applyFont="1" applyBorder="1" applyAlignment="1">
      <alignment horizontal="center" vertical="top" wrapText="1"/>
    </xf>
    <xf numFmtId="0" fontId="33" fillId="0" borderId="8" xfId="543" applyFont="1" applyBorder="1" applyAlignment="1">
      <alignment horizontal="left" vertical="top" wrapText="1"/>
    </xf>
    <xf numFmtId="0" fontId="28" fillId="3" borderId="4" xfId="271" applyFont="1" applyFill="1" applyBorder="1" applyAlignment="1">
      <alignment vertical="top" wrapText="1"/>
    </xf>
    <xf numFmtId="0" fontId="20" fillId="3" borderId="11" xfId="271" applyFont="1" applyFill="1" applyBorder="1" applyAlignment="1">
      <alignment vertical="top"/>
    </xf>
    <xf numFmtId="0" fontId="21" fillId="0" borderId="9" xfId="271" applyFont="1" applyBorder="1" applyAlignment="1">
      <alignment horizontal="center" wrapText="1"/>
    </xf>
    <xf numFmtId="0" fontId="28" fillId="3" borderId="4" xfId="271" applyFont="1" applyFill="1" applyBorder="1" applyAlignment="1" applyProtection="1">
      <alignment vertical="top" wrapText="1"/>
      <protection locked="0"/>
    </xf>
    <xf numFmtId="0" fontId="28" fillId="3" borderId="5" xfId="271" applyFont="1" applyFill="1" applyBorder="1" applyAlignment="1" applyProtection="1">
      <alignment vertical="top" wrapText="1"/>
      <protection locked="0"/>
    </xf>
    <xf numFmtId="0" fontId="21" fillId="0" borderId="13" xfId="271" applyFont="1" applyBorder="1" applyAlignment="1">
      <alignment horizontal="center" wrapText="1"/>
    </xf>
    <xf numFmtId="0" fontId="46" fillId="2" borderId="11" xfId="271" applyFont="1" applyFill="1" applyBorder="1" applyAlignment="1">
      <alignment horizontal="left" vertical="top" wrapText="1"/>
    </xf>
    <xf numFmtId="0" fontId="23" fillId="0" borderId="11" xfId="271" applyBorder="1" applyAlignment="1" applyProtection="1">
      <alignment vertical="top" wrapText="1"/>
      <protection locked="0"/>
    </xf>
    <xf numFmtId="168" fontId="23" fillId="5" borderId="11" xfId="271" applyNumberFormat="1" applyFill="1" applyBorder="1" applyAlignment="1" applyProtection="1">
      <alignment vertical="top" wrapText="1"/>
      <protection locked="0"/>
    </xf>
    <xf numFmtId="0" fontId="23" fillId="5" borderId="3" xfId="271" applyFill="1" applyBorder="1" applyAlignment="1" applyProtection="1">
      <alignment vertical="top" wrapText="1"/>
      <protection locked="0"/>
    </xf>
    <xf numFmtId="0" fontId="23" fillId="5" borderId="11" xfId="271" applyFill="1" applyBorder="1" applyAlignment="1" applyProtection="1">
      <alignment vertical="top" wrapText="1"/>
      <protection locked="0"/>
    </xf>
    <xf numFmtId="0" fontId="23" fillId="0" borderId="11" xfId="271" applyBorder="1" applyAlignment="1">
      <alignment horizontal="right" vertical="top" wrapText="1"/>
    </xf>
    <xf numFmtId="168" fontId="23" fillId="0" borderId="11" xfId="271" applyNumberFormat="1" applyBorder="1" applyAlignment="1">
      <alignment vertical="top" wrapText="1"/>
    </xf>
    <xf numFmtId="0" fontId="21" fillId="0" borderId="11" xfId="271" applyFont="1" applyBorder="1" applyAlignment="1">
      <alignment horizontal="right" vertical="top" wrapText="1"/>
    </xf>
    <xf numFmtId="0" fontId="23" fillId="5" borderId="11" xfId="271" applyFill="1" applyBorder="1" applyAlignment="1" applyProtection="1">
      <alignment horizontal="right" vertical="top" wrapText="1"/>
      <protection locked="0"/>
    </xf>
    <xf numFmtId="168" fontId="21" fillId="0" borderId="11" xfId="271" applyNumberFormat="1" applyFont="1" applyBorder="1" applyAlignment="1">
      <alignment vertical="top" wrapText="1"/>
    </xf>
    <xf numFmtId="0" fontId="31" fillId="0" borderId="11" xfId="271" applyFont="1" applyBorder="1" applyAlignment="1">
      <alignment horizontal="right" vertical="top" wrapText="1"/>
    </xf>
    <xf numFmtId="0" fontId="28" fillId="0" borderId="0" xfId="271" applyFont="1" applyAlignment="1" applyProtection="1">
      <alignment horizontal="right" vertical="top" wrapText="1"/>
      <protection locked="0"/>
    </xf>
    <xf numFmtId="0" fontId="28" fillId="0" borderId="0" xfId="271" applyFont="1" applyAlignment="1" applyProtection="1">
      <alignment vertical="top" wrapText="1"/>
      <protection locked="0"/>
    </xf>
    <xf numFmtId="0" fontId="23" fillId="0" borderId="5" xfId="271" applyBorder="1" applyAlignment="1" applyProtection="1">
      <alignment vertical="top" wrapText="1"/>
      <protection locked="0"/>
    </xf>
    <xf numFmtId="0" fontId="21" fillId="0" borderId="3" xfId="271" applyFont="1" applyBorder="1" applyAlignment="1">
      <alignment horizontal="left" vertical="top"/>
    </xf>
    <xf numFmtId="0" fontId="23" fillId="0" borderId="4" xfId="271" applyBorder="1" applyAlignment="1" applyProtection="1">
      <alignment horizontal="left" vertical="top"/>
      <protection locked="0"/>
    </xf>
    <xf numFmtId="0" fontId="23" fillId="0" borderId="4" xfId="271" applyBorder="1" applyAlignment="1" applyProtection="1">
      <alignment vertical="top" wrapText="1"/>
      <protection locked="0"/>
    </xf>
    <xf numFmtId="0" fontId="28" fillId="0" borderId="0" xfId="271" applyFont="1" applyAlignment="1">
      <alignment vertical="top" wrapText="1"/>
    </xf>
    <xf numFmtId="0" fontId="23" fillId="0" borderId="4" xfId="271" applyBorder="1" applyAlignment="1">
      <alignment vertical="top" wrapText="1"/>
    </xf>
    <xf numFmtId="0" fontId="46" fillId="2" borderId="11" xfId="271" applyFont="1" applyFill="1" applyBorder="1" applyAlignment="1" applyProtection="1">
      <alignment horizontal="left" vertical="top" wrapText="1"/>
      <protection locked="0"/>
    </xf>
    <xf numFmtId="0" fontId="51" fillId="0" borderId="11" xfId="0" applyFont="1" applyBorder="1" applyAlignment="1">
      <alignment horizontal="right" vertical="top" wrapText="1"/>
    </xf>
    <xf numFmtId="0" fontId="60" fillId="0" borderId="0" xfId="542"/>
    <xf numFmtId="0" fontId="23" fillId="8" borderId="0" xfId="542" quotePrefix="1" applyFont="1" applyFill="1" applyAlignment="1">
      <alignment horizontal="left"/>
    </xf>
    <xf numFmtId="0" fontId="23" fillId="8" borderId="0" xfId="542" applyFont="1" applyFill="1"/>
    <xf numFmtId="0" fontId="31" fillId="8" borderId="0" xfId="542" applyFont="1" applyFill="1"/>
    <xf numFmtId="0" fontId="51" fillId="0" borderId="11" xfId="271" applyFont="1" applyBorder="1" applyAlignment="1">
      <alignment horizontal="right" vertical="top"/>
    </xf>
    <xf numFmtId="0" fontId="51" fillId="0" borderId="11" xfId="271" applyFont="1" applyBorder="1" applyAlignment="1">
      <alignment horizontal="right" vertical="top" wrapText="1"/>
    </xf>
    <xf numFmtId="0" fontId="23" fillId="0" borderId="0" xfId="271" applyAlignment="1">
      <alignment horizontal="left" vertical="top"/>
    </xf>
    <xf numFmtId="0" fontId="21" fillId="0" borderId="0" xfId="271" applyFont="1" applyAlignment="1">
      <alignment horizontal="right"/>
    </xf>
    <xf numFmtId="0" fontId="22" fillId="0" borderId="0" xfId="271" applyFont="1" applyAlignment="1">
      <alignment horizontal="center"/>
    </xf>
    <xf numFmtId="5" fontId="23" fillId="0" borderId="0" xfId="542" applyNumberFormat="1" applyFont="1"/>
    <xf numFmtId="1" fontId="23" fillId="0" borderId="15" xfId="271" applyNumberFormat="1" applyBorder="1"/>
    <xf numFmtId="1" fontId="23" fillId="0" borderId="14" xfId="271" applyNumberFormat="1" applyBorder="1"/>
    <xf numFmtId="0" fontId="22" fillId="0" borderId="6" xfId="271" applyFont="1" applyBorder="1" applyAlignment="1">
      <alignment horizontal="left"/>
    </xf>
    <xf numFmtId="0" fontId="22" fillId="0" borderId="6" xfId="271" applyFont="1" applyBorder="1" applyAlignment="1">
      <alignment horizontal="right"/>
    </xf>
    <xf numFmtId="165" fontId="23" fillId="0" borderId="0" xfId="271" applyNumberFormat="1"/>
    <xf numFmtId="170" fontId="23" fillId="0" borderId="14" xfId="271" applyNumberFormat="1" applyBorder="1"/>
    <xf numFmtId="1" fontId="21" fillId="0" borderId="11" xfId="271" applyNumberFormat="1" applyFont="1" applyBorder="1"/>
    <xf numFmtId="165" fontId="21" fillId="0" borderId="11" xfId="271" applyNumberFormat="1" applyFont="1" applyBorder="1"/>
    <xf numFmtId="3" fontId="54" fillId="0" borderId="11" xfId="0" applyNumberFormat="1" applyFont="1" applyBorder="1" applyAlignment="1">
      <alignment vertical="top" wrapText="1"/>
    </xf>
    <xf numFmtId="166" fontId="23" fillId="0" borderId="0" xfId="0" applyNumberFormat="1" applyFont="1"/>
    <xf numFmtId="0" fontId="0" fillId="0" borderId="0" xfId="0" applyProtection="1">
      <protection locked="0"/>
    </xf>
    <xf numFmtId="0" fontId="21" fillId="0" borderId="0" xfId="271" applyFont="1" applyAlignment="1">
      <alignment horizontal="left"/>
    </xf>
    <xf numFmtId="0" fontId="19" fillId="0" borderId="0" xfId="0" applyFont="1" applyProtection="1">
      <protection locked="0"/>
    </xf>
    <xf numFmtId="0" fontId="19" fillId="0" borderId="0" xfId="271" applyFont="1" applyProtection="1">
      <protection locked="0"/>
    </xf>
    <xf numFmtId="168" fontId="19" fillId="0" borderId="0" xfId="271" applyNumberFormat="1" applyFont="1" applyProtection="1">
      <protection locked="0"/>
    </xf>
    <xf numFmtId="49" fontId="23" fillId="0" borderId="0" xfId="271" applyNumberFormat="1"/>
    <xf numFmtId="0" fontId="27" fillId="0" borderId="1" xfId="0" applyFont="1" applyBorder="1"/>
    <xf numFmtId="0" fontId="14" fillId="0" borderId="2" xfId="0" applyFont="1" applyBorder="1" applyAlignment="1">
      <alignment horizontal="left"/>
    </xf>
    <xf numFmtId="0" fontId="14" fillId="0" borderId="2" xfId="0" applyFont="1" applyBorder="1"/>
    <xf numFmtId="0" fontId="27" fillId="0" borderId="8" xfId="0" applyFont="1" applyBorder="1"/>
    <xf numFmtId="0" fontId="27" fillId="0" borderId="9" xfId="0" applyFont="1" applyBorder="1"/>
    <xf numFmtId="0" fontId="21" fillId="0" borderId="0" xfId="0" applyFont="1" applyAlignment="1">
      <alignment horizontal="left" vertical="top"/>
    </xf>
    <xf numFmtId="0" fontId="72" fillId="0" borderId="0" xfId="0" applyFont="1" applyAlignment="1">
      <alignment vertical="center" wrapText="1"/>
    </xf>
    <xf numFmtId="0" fontId="72" fillId="0" borderId="0" xfId="0" applyFont="1" applyAlignment="1">
      <alignment vertical="center"/>
    </xf>
    <xf numFmtId="0" fontId="72" fillId="0" borderId="0" xfId="0" applyFont="1" applyAlignment="1">
      <alignment horizontal="left" vertical="center" indent="1"/>
    </xf>
    <xf numFmtId="172" fontId="23" fillId="5" borderId="0" xfId="0" applyNumberFormat="1" applyFont="1" applyFill="1" applyAlignment="1">
      <alignment horizontal="center"/>
    </xf>
    <xf numFmtId="0" fontId="23" fillId="0" borderId="0" xfId="271" applyAlignment="1" applyProtection="1">
      <alignment horizontal="left"/>
      <protection locked="0"/>
    </xf>
    <xf numFmtId="0" fontId="23" fillId="0" borderId="0" xfId="0" applyFont="1" applyAlignment="1" applyProtection="1">
      <alignment horizontal="left"/>
      <protection locked="0"/>
    </xf>
    <xf numFmtId="0" fontId="73" fillId="0" borderId="0" xfId="0" applyFont="1" applyAlignment="1">
      <alignment horizontal="left" vertical="center"/>
    </xf>
    <xf numFmtId="0" fontId="33" fillId="0" borderId="2" xfId="543" applyFont="1" applyBorder="1" applyAlignment="1">
      <alignment horizontal="center" vertical="top" wrapText="1"/>
    </xf>
    <xf numFmtId="49" fontId="44" fillId="0" borderId="0" xfId="0" applyNumberFormat="1" applyFont="1" applyAlignment="1">
      <alignment horizontal="center"/>
    </xf>
    <xf numFmtId="0" fontId="49" fillId="0" borderId="0" xfId="271" applyFont="1" applyAlignment="1">
      <alignment horizontal="center"/>
    </xf>
    <xf numFmtId="49" fontId="23" fillId="0" borderId="0" xfId="271" applyNumberFormat="1" applyAlignment="1">
      <alignment horizontal="center"/>
    </xf>
    <xf numFmtId="0" fontId="51" fillId="0" borderId="0" xfId="0" applyFont="1"/>
    <xf numFmtId="5" fontId="77" fillId="0" borderId="11" xfId="541" applyNumberFormat="1" applyFont="1" applyBorder="1" applyAlignment="1" applyProtection="1">
      <alignment horizontal="center"/>
    </xf>
    <xf numFmtId="5" fontId="77" fillId="42" borderId="11" xfId="541" applyNumberFormat="1" applyFont="1" applyFill="1" applyBorder="1" applyAlignment="1" applyProtection="1">
      <alignment horizontal="center"/>
    </xf>
    <xf numFmtId="5" fontId="77" fillId="2" borderId="11" xfId="541" applyNumberFormat="1" applyFont="1" applyFill="1" applyBorder="1" applyAlignment="1" applyProtection="1">
      <alignment horizontal="center"/>
    </xf>
    <xf numFmtId="0" fontId="51" fillId="0" borderId="0" xfId="0" applyFont="1" applyAlignment="1">
      <alignment vertical="top" wrapText="1"/>
    </xf>
    <xf numFmtId="0" fontId="51" fillId="0" borderId="0" xfId="0" applyFont="1" applyAlignment="1">
      <alignment vertical="top"/>
    </xf>
    <xf numFmtId="0" fontId="51" fillId="2" borderId="0" xfId="0" applyFont="1" applyFill="1" applyAlignment="1">
      <alignment vertical="top" wrapText="1"/>
    </xf>
    <xf numFmtId="0" fontId="79" fillId="0" borderId="13" xfId="0" applyFont="1" applyBorder="1" applyAlignment="1">
      <alignment vertical="top" wrapText="1"/>
    </xf>
    <xf numFmtId="0" fontId="28" fillId="0" borderId="0" xfId="0" applyFont="1" applyAlignment="1">
      <alignment vertical="top" wrapText="1"/>
    </xf>
    <xf numFmtId="0" fontId="79" fillId="2" borderId="13" xfId="0" applyFont="1" applyFill="1" applyBorder="1" applyAlignment="1">
      <alignment vertical="top" wrapText="1"/>
    </xf>
    <xf numFmtId="0" fontId="79" fillId="0" borderId="0" xfId="0" applyFont="1" applyAlignment="1">
      <alignment vertical="top" wrapText="1"/>
    </xf>
    <xf numFmtId="0" fontId="79" fillId="2" borderId="0" xfId="0" applyFont="1" applyFill="1" applyAlignment="1">
      <alignment vertical="top" wrapText="1"/>
    </xf>
    <xf numFmtId="0" fontId="51" fillId="0" borderId="0" xfId="0" applyFont="1" applyAlignment="1">
      <alignment horizontal="right" vertical="top" wrapText="1"/>
    </xf>
    <xf numFmtId="168" fontId="51" fillId="5" borderId="6" xfId="0" applyNumberFormat="1" applyFont="1" applyFill="1" applyBorder="1" applyAlignment="1" applyProtection="1">
      <alignment horizontal="right" vertical="top" wrapText="1"/>
      <protection locked="0"/>
    </xf>
    <xf numFmtId="168" fontId="51" fillId="0" borderId="6" xfId="0" applyNumberFormat="1" applyFont="1" applyBorder="1" applyAlignment="1">
      <alignment horizontal="right" vertical="top" wrapText="1"/>
    </xf>
    <xf numFmtId="0" fontId="21" fillId="0" borderId="0" xfId="0" applyFont="1" applyAlignment="1">
      <alignment horizontal="left" vertical="top" wrapText="1"/>
    </xf>
    <xf numFmtId="0" fontId="23" fillId="0" borderId="0" xfId="0" applyFont="1" applyAlignment="1">
      <alignment horizontal="right" vertical="top" wrapText="1"/>
    </xf>
    <xf numFmtId="10" fontId="23" fillId="5" borderId="6" xfId="0" applyNumberFormat="1" applyFont="1" applyFill="1" applyBorder="1" applyAlignment="1" applyProtection="1">
      <alignment horizontal="center" vertical="top" wrapText="1"/>
      <protection locked="0"/>
    </xf>
    <xf numFmtId="0" fontId="62" fillId="0" borderId="0" xfId="0" applyFont="1" applyAlignment="1">
      <alignment horizontal="left" vertical="center"/>
    </xf>
    <xf numFmtId="0" fontId="21" fillId="0" borderId="2" xfId="543" applyFont="1" applyBorder="1" applyAlignment="1">
      <alignment horizontal="center"/>
    </xf>
    <xf numFmtId="0" fontId="0" fillId="0" borderId="0" xfId="543" applyFont="1"/>
    <xf numFmtId="0" fontId="15" fillId="0" borderId="0" xfId="244" quotePrefix="1" applyAlignment="1" applyProtection="1">
      <alignment horizontal="left"/>
    </xf>
    <xf numFmtId="168" fontId="51" fillId="0" borderId="11" xfId="0" applyNumberFormat="1" applyFont="1" applyBorder="1" applyAlignment="1">
      <alignment vertical="top" wrapText="1"/>
    </xf>
    <xf numFmtId="168" fontId="51" fillId="4" borderId="11" xfId="0" applyNumberFormat="1" applyFont="1" applyFill="1" applyBorder="1" applyAlignment="1">
      <alignment vertical="top" wrapText="1"/>
    </xf>
    <xf numFmtId="0" fontId="103" fillId="0" borderId="0" xfId="0" applyFont="1" applyAlignment="1">
      <alignment horizontal="left" vertical="top"/>
    </xf>
    <xf numFmtId="0" fontId="104" fillId="0" borderId="0" xfId="0" applyFont="1" applyAlignment="1">
      <alignment horizontal="left" vertical="top"/>
    </xf>
    <xf numFmtId="0" fontId="72" fillId="0" borderId="0" xfId="0" applyFont="1"/>
    <xf numFmtId="0" fontId="21" fillId="8" borderId="11" xfId="542" applyFont="1" applyFill="1" applyBorder="1" applyAlignment="1">
      <alignment horizontal="left"/>
    </xf>
    <xf numFmtId="0" fontId="21" fillId="8" borderId="11" xfId="542" applyFont="1" applyFill="1" applyBorder="1" applyAlignment="1">
      <alignment horizontal="center"/>
    </xf>
    <xf numFmtId="0" fontId="61" fillId="8" borderId="11" xfId="542" applyFont="1" applyFill="1" applyBorder="1" applyAlignment="1">
      <alignment horizontal="left"/>
    </xf>
    <xf numFmtId="0" fontId="61" fillId="0" borderId="11" xfId="542" applyFont="1" applyBorder="1" applyAlignment="1">
      <alignment horizontal="left"/>
    </xf>
    <xf numFmtId="0" fontId="21" fillId="0" borderId="0" xfId="271" applyFont="1" applyAlignment="1" applyProtection="1">
      <alignment horizontal="center" wrapText="1"/>
      <protection locked="0"/>
    </xf>
    <xf numFmtId="0" fontId="23" fillId="0" borderId="0" xfId="271" applyAlignment="1" applyProtection="1">
      <alignment vertical="top" wrapText="1"/>
      <protection locked="0"/>
    </xf>
    <xf numFmtId="0" fontId="21" fillId="0" borderId="0" xfId="271" applyFont="1" applyAlignment="1" applyProtection="1">
      <alignment vertical="top" wrapText="1"/>
      <protection locked="0"/>
    </xf>
    <xf numFmtId="0" fontId="21" fillId="0" borderId="8" xfId="271" applyFont="1" applyBorder="1" applyAlignment="1" applyProtection="1">
      <alignment horizontal="center" wrapText="1"/>
      <protection locked="0"/>
    </xf>
    <xf numFmtId="0" fontId="23" fillId="0" borderId="8" xfId="27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14" fillId="0" borderId="0" xfId="0" applyFont="1" applyAlignment="1">
      <alignment horizontal="center"/>
    </xf>
    <xf numFmtId="0" fontId="28" fillId="0" borderId="8" xfId="569" applyFont="1" applyBorder="1" applyAlignment="1">
      <alignment vertical="top" wrapText="1"/>
    </xf>
    <xf numFmtId="0" fontId="28" fillId="0" borderId="0" xfId="569" applyFont="1" applyAlignment="1">
      <alignment vertical="top" wrapText="1"/>
    </xf>
    <xf numFmtId="0" fontId="53" fillId="2" borderId="11" xfId="569" applyFont="1" applyFill="1" applyBorder="1" applyAlignment="1">
      <alignment horizontal="left" vertical="top" wrapText="1"/>
    </xf>
    <xf numFmtId="6" fontId="51" fillId="4" borderId="11" xfId="569" applyNumberFormat="1" applyFont="1" applyFill="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6" fontId="51" fillId="0" borderId="11" xfId="569" applyNumberFormat="1" applyFont="1" applyBorder="1" applyAlignment="1">
      <alignment vertical="top" wrapText="1"/>
    </xf>
    <xf numFmtId="6" fontId="51" fillId="5" borderId="11" xfId="569" applyNumberFormat="1" applyFont="1" applyFill="1" applyBorder="1" applyAlignment="1" applyProtection="1">
      <alignment vertical="top" wrapText="1"/>
      <protection locked="0"/>
    </xf>
    <xf numFmtId="6" fontId="51" fillId="6" borderId="11" xfId="569" applyNumberFormat="1" applyFont="1" applyFill="1" applyBorder="1" applyAlignment="1">
      <alignment horizontal="center" vertical="top" wrapText="1"/>
    </xf>
    <xf numFmtId="0" fontId="51" fillId="0" borderId="11" xfId="569" applyFont="1" applyBorder="1" applyAlignment="1">
      <alignment horizontal="right" vertical="top" wrapText="1"/>
    </xf>
    <xf numFmtId="0" fontId="52" fillId="0" borderId="11" xfId="569" applyFont="1" applyBorder="1" applyAlignment="1">
      <alignment horizontal="right" vertical="top" wrapText="1"/>
    </xf>
    <xf numFmtId="0" fontId="51" fillId="0" borderId="11" xfId="569" applyFont="1" applyBorder="1" applyAlignment="1">
      <alignment horizontal="right" vertical="top"/>
    </xf>
    <xf numFmtId="6" fontId="52" fillId="0" borderId="11" xfId="569" applyNumberFormat="1" applyFont="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0" fontId="17" fillId="0" borderId="11" xfId="569" applyFont="1" applyBorder="1" applyAlignment="1">
      <alignment horizontal="right" vertical="top" wrapText="1"/>
    </xf>
    <xf numFmtId="0" fontId="52" fillId="0" borderId="0" xfId="569" applyFont="1" applyAlignment="1">
      <alignment horizontal="left" vertical="top"/>
    </xf>
    <xf numFmtId="6" fontId="51" fillId="0" borderId="0" xfId="569" applyNumberFormat="1" applyFont="1" applyAlignment="1">
      <alignment horizontal="left" vertical="top"/>
    </xf>
    <xf numFmtId="0" fontId="104" fillId="0" borderId="0" xfId="569" applyFont="1" applyAlignment="1">
      <alignment horizontal="left" vertical="top"/>
    </xf>
    <xf numFmtId="6" fontId="51" fillId="0" borderId="0" xfId="569" applyNumberFormat="1" applyFont="1" applyAlignment="1">
      <alignment vertical="top" wrapText="1"/>
    </xf>
    <xf numFmtId="0" fontId="51" fillId="0" borderId="0" xfId="569" applyFont="1" applyAlignment="1">
      <alignment horizontal="left" vertical="top"/>
    </xf>
    <xf numFmtId="0" fontId="51" fillId="0" borderId="12" xfId="569" applyFont="1" applyBorder="1" applyAlignment="1">
      <alignment vertical="top" wrapText="1"/>
    </xf>
    <xf numFmtId="0" fontId="21" fillId="0" borderId="0" xfId="569" applyFont="1" applyAlignment="1">
      <alignment horizontal="left" vertical="top"/>
    </xf>
    <xf numFmtId="0" fontId="107" fillId="0" borderId="0" xfId="569" applyFont="1" applyAlignment="1">
      <alignment horizontal="left" vertical="top"/>
    </xf>
    <xf numFmtId="0" fontId="62" fillId="0" borderId="0" xfId="569" applyFont="1" applyAlignment="1">
      <alignment horizontal="left" vertical="center"/>
    </xf>
    <xf numFmtId="0" fontId="29" fillId="0" borderId="0" xfId="569" applyFont="1" applyAlignment="1">
      <alignment vertical="top" wrapText="1"/>
    </xf>
    <xf numFmtId="0" fontId="29" fillId="0" borderId="12" xfId="569" applyFont="1" applyBorder="1" applyAlignment="1">
      <alignment vertical="top" wrapText="1"/>
    </xf>
    <xf numFmtId="0" fontId="29" fillId="0" borderId="8" xfId="569" applyFont="1" applyBorder="1" applyAlignment="1">
      <alignment vertical="top" wrapText="1"/>
    </xf>
    <xf numFmtId="0" fontId="51" fillId="0" borderId="0" xfId="569" applyFont="1" applyAlignment="1">
      <alignment vertical="top"/>
    </xf>
    <xf numFmtId="168" fontId="51" fillId="0" borderId="0" xfId="569" applyNumberFormat="1" applyFont="1" applyAlignment="1" applyProtection="1">
      <alignment horizontal="right" vertical="top" wrapText="1"/>
      <protection locked="0"/>
    </xf>
    <xf numFmtId="0" fontId="14" fillId="0" borderId="0" xfId="569" applyAlignment="1">
      <alignment vertical="top" wrapText="1"/>
    </xf>
    <xf numFmtId="0" fontId="14" fillId="0" borderId="0" xfId="569" applyAlignment="1">
      <alignment vertical="top"/>
    </xf>
    <xf numFmtId="0" fontId="51" fillId="0" borderId="0" xfId="569" applyFont="1" applyAlignment="1">
      <alignment horizontal="right" vertical="top" wrapText="1"/>
    </xf>
    <xf numFmtId="0" fontId="21" fillId="0" borderId="0" xfId="569" applyFont="1" applyAlignment="1">
      <alignment horizontal="left" vertical="top" wrapText="1"/>
    </xf>
    <xf numFmtId="168" fontId="51" fillId="0" borderId="0" xfId="569" applyNumberFormat="1" applyFont="1" applyAlignment="1">
      <alignment horizontal="right" vertical="top" wrapText="1"/>
    </xf>
    <xf numFmtId="0" fontId="14" fillId="0" borderId="0" xfId="569" applyAlignment="1" applyProtection="1">
      <alignment horizontal="left" vertical="top" wrapText="1"/>
      <protection locked="0"/>
    </xf>
    <xf numFmtId="0" fontId="14" fillId="0" borderId="0" xfId="569" applyAlignment="1">
      <alignment horizontal="right" vertical="top" wrapText="1"/>
    </xf>
    <xf numFmtId="0" fontId="14" fillId="0" borderId="0" xfId="569" applyAlignment="1">
      <alignment horizontal="left" vertical="top"/>
    </xf>
    <xf numFmtId="0" fontId="79" fillId="0" borderId="0" xfId="569" applyFont="1" applyAlignment="1">
      <alignment vertical="top" wrapText="1"/>
    </xf>
    <xf numFmtId="0" fontId="79" fillId="0" borderId="12" xfId="569" applyFont="1" applyBorder="1" applyAlignment="1">
      <alignment vertical="top" wrapText="1"/>
    </xf>
    <xf numFmtId="0" fontId="79" fillId="0" borderId="8" xfId="569" applyFont="1" applyBorder="1" applyAlignment="1">
      <alignment vertical="top" wrapText="1"/>
    </xf>
    <xf numFmtId="0" fontId="28" fillId="0" borderId="0" xfId="569" applyFont="1" applyAlignment="1">
      <alignment horizontal="right" vertical="top" wrapText="1"/>
    </xf>
    <xf numFmtId="0" fontId="79" fillId="0" borderId="0" xfId="569" applyFont="1" applyAlignment="1">
      <alignment horizontal="right" vertical="top" wrapText="1"/>
    </xf>
    <xf numFmtId="0" fontId="52" fillId="0" borderId="3" xfId="569" applyFont="1" applyBorder="1" applyAlignment="1">
      <alignment horizontal="left"/>
    </xf>
    <xf numFmtId="0" fontId="52" fillId="0" borderId="13" xfId="569" applyFont="1" applyBorder="1" applyAlignment="1">
      <alignment horizontal="center" wrapText="1"/>
    </xf>
    <xf numFmtId="0" fontId="52" fillId="0" borderId="8" xfId="569" applyFont="1" applyBorder="1" applyAlignment="1">
      <alignment horizontal="center" wrapText="1"/>
    </xf>
    <xf numFmtId="0" fontId="52" fillId="0" borderId="0" xfId="569" applyFont="1" applyAlignment="1">
      <alignment horizontal="center" wrapText="1"/>
    </xf>
    <xf numFmtId="0" fontId="14" fillId="0" borderId="0" xfId="569"/>
    <xf numFmtId="0" fontId="20" fillId="0" borderId="0" xfId="569" applyFont="1" applyAlignment="1">
      <alignment horizontal="center" vertical="center"/>
    </xf>
    <xf numFmtId="0" fontId="21" fillId="0" borderId="0" xfId="569" applyFont="1"/>
    <xf numFmtId="0" fontId="14" fillId="0" borderId="1" xfId="569" applyBorder="1"/>
    <xf numFmtId="0" fontId="14" fillId="0" borderId="2" xfId="569" applyBorder="1"/>
    <xf numFmtId="0" fontId="14" fillId="0" borderId="8" xfId="569" applyBorder="1"/>
    <xf numFmtId="0" fontId="14" fillId="0" borderId="9" xfId="569" applyBorder="1"/>
    <xf numFmtId="0" fontId="14" fillId="0" borderId="6" xfId="569" applyBorder="1"/>
    <xf numFmtId="0" fontId="22" fillId="0" borderId="0" xfId="569" applyFont="1"/>
    <xf numFmtId="0" fontId="14" fillId="0" borderId="7" xfId="569" applyBorder="1"/>
    <xf numFmtId="0" fontId="14" fillId="0" borderId="12" xfId="569" applyBorder="1"/>
    <xf numFmtId="0" fontId="14" fillId="0" borderId="10" xfId="569" applyBorder="1"/>
    <xf numFmtId="0" fontId="22" fillId="0" borderId="0" xfId="569" applyFont="1" applyAlignment="1">
      <alignment vertical="top" wrapText="1"/>
    </xf>
    <xf numFmtId="0" fontId="14" fillId="0" borderId="0" xfId="569" applyAlignment="1">
      <alignment horizontal="right"/>
    </xf>
    <xf numFmtId="0" fontId="14" fillId="0" borderId="0" xfId="569" applyAlignment="1">
      <alignment wrapText="1"/>
    </xf>
    <xf numFmtId="0" fontId="14" fillId="0" borderId="0" xfId="569" applyAlignment="1">
      <alignment vertical="center"/>
    </xf>
    <xf numFmtId="0" fontId="38" fillId="0" borderId="0" xfId="569" applyFont="1" applyAlignment="1">
      <alignment vertical="center" wrapText="1"/>
    </xf>
    <xf numFmtId="0" fontId="32" fillId="0" borderId="0" xfId="569" applyFont="1" applyAlignment="1">
      <alignment vertical="top" wrapText="1"/>
    </xf>
    <xf numFmtId="0" fontId="21" fillId="0" borderId="0" xfId="569" applyFont="1" applyAlignment="1">
      <alignment vertical="top" wrapText="1"/>
    </xf>
    <xf numFmtId="0" fontId="22" fillId="0" borderId="0" xfId="569" applyFont="1" applyAlignment="1">
      <alignment horizontal="left" vertical="top" wrapText="1"/>
    </xf>
    <xf numFmtId="164" fontId="14" fillId="0" borderId="0" xfId="569" applyNumberFormat="1" applyAlignment="1">
      <alignment horizontal="right"/>
    </xf>
    <xf numFmtId="168" fontId="14" fillId="0" borderId="0" xfId="569" applyNumberFormat="1" applyAlignment="1">
      <alignment horizontal="right"/>
    </xf>
    <xf numFmtId="0" fontId="105" fillId="0" borderId="0" xfId="569" applyFont="1" applyAlignment="1">
      <alignment horizontal="left" vertical="top" wrapText="1"/>
    </xf>
    <xf numFmtId="168" fontId="14" fillId="0" borderId="0" xfId="569" applyNumberFormat="1" applyAlignment="1">
      <alignment wrapText="1"/>
    </xf>
    <xf numFmtId="0" fontId="19" fillId="0" borderId="11" xfId="253" applyFont="1" applyBorder="1" applyAlignment="1">
      <alignment horizontal="center" wrapText="1"/>
    </xf>
    <xf numFmtId="0" fontId="19" fillId="0" borderId="0" xfId="253" applyFont="1" applyAlignment="1">
      <alignment horizontal="center" wrapText="1"/>
    </xf>
    <xf numFmtId="3" fontId="19" fillId="0" borderId="11" xfId="271" applyNumberFormat="1" applyFont="1" applyBorder="1"/>
    <xf numFmtId="3" fontId="19" fillId="0" borderId="0" xfId="271" applyNumberFormat="1" applyFont="1"/>
    <xf numFmtId="0" fontId="63" fillId="0" borderId="0" xfId="271" applyFont="1" applyAlignment="1">
      <alignment horizontal="left"/>
    </xf>
    <xf numFmtId="0" fontId="63" fillId="0" borderId="0" xfId="271" applyFont="1" applyAlignment="1">
      <alignment horizontal="right"/>
    </xf>
    <xf numFmtId="168" fontId="19" fillId="0" borderId="11" xfId="271" applyNumberFormat="1" applyFont="1" applyBorder="1"/>
    <xf numFmtId="168" fontId="19" fillId="0" borderId="0" xfId="271" applyNumberFormat="1" applyFont="1"/>
    <xf numFmtId="0" fontId="19" fillId="0" borderId="0" xfId="271" applyFont="1"/>
    <xf numFmtId="0" fontId="51" fillId="0" borderId="0" xfId="569" applyFont="1" applyAlignment="1">
      <alignment horizontal="left"/>
    </xf>
    <xf numFmtId="0" fontId="14" fillId="0" borderId="3" xfId="569" applyBorder="1"/>
    <xf numFmtId="0" fontId="0" fillId="5" borderId="6" xfId="0" applyFill="1" applyBorder="1" applyProtection="1">
      <protection locked="0"/>
    </xf>
    <xf numFmtId="0" fontId="106" fillId="0" borderId="0" xfId="1834"/>
    <xf numFmtId="0" fontId="0" fillId="0" borderId="0" xfId="0" applyAlignment="1">
      <alignment horizontal="left" vertical="top"/>
    </xf>
    <xf numFmtId="0" fontId="105" fillId="0" borderId="0" xfId="0" applyFont="1" applyAlignment="1">
      <alignment vertical="top" wrapText="1"/>
    </xf>
    <xf numFmtId="0" fontId="51" fillId="0" borderId="0" xfId="271" applyFont="1" applyAlignment="1">
      <alignment vertical="top" wrapText="1"/>
    </xf>
    <xf numFmtId="4" fontId="14" fillId="0" borderId="0" xfId="1192" applyNumberFormat="1" applyAlignment="1">
      <alignment horizontal="left" vertical="top" wrapText="1"/>
    </xf>
    <xf numFmtId="0" fontId="14" fillId="0" borderId="0" xfId="0" applyFont="1" applyAlignment="1">
      <alignment horizontal="left" vertical="top" wrapText="1"/>
    </xf>
    <xf numFmtId="0" fontId="14" fillId="0" borderId="0" xfId="271" applyFont="1" applyAlignment="1">
      <alignment horizontal="left" vertical="top" wrapText="1"/>
    </xf>
    <xf numFmtId="0" fontId="21" fillId="0" borderId="12" xfId="543" applyFont="1" applyBorder="1" applyAlignment="1">
      <alignment horizontal="right"/>
    </xf>
    <xf numFmtId="0" fontId="33" fillId="0" borderId="0" xfId="543" applyFont="1" applyAlignment="1">
      <alignment horizontal="center"/>
    </xf>
    <xf numFmtId="4" fontId="14" fillId="0" borderId="0" xfId="569" applyNumberFormat="1" applyAlignment="1">
      <alignment horizontal="left"/>
    </xf>
    <xf numFmtId="0" fontId="14" fillId="0" borderId="0" xfId="569" applyAlignment="1">
      <alignment horizontal="left" vertical="top" wrapText="1"/>
    </xf>
    <xf numFmtId="0" fontId="14" fillId="0" borderId="0" xfId="569" applyAlignment="1">
      <alignment horizontal="left"/>
    </xf>
    <xf numFmtId="0" fontId="14" fillId="0" borderId="0" xfId="1192" applyAlignment="1">
      <alignment horizontal="left"/>
    </xf>
    <xf numFmtId="0" fontId="21" fillId="0" borderId="0" xfId="569" applyFont="1" applyAlignment="1">
      <alignment horizontal="left"/>
    </xf>
    <xf numFmtId="0" fontId="43" fillId="0" borderId="0" xfId="1192" applyFont="1"/>
    <xf numFmtId="0" fontId="51" fillId="0" borderId="11" xfId="0" applyFont="1" applyBorder="1" applyAlignment="1">
      <alignment horizontal="right" vertical="center"/>
    </xf>
    <xf numFmtId="0" fontId="14" fillId="0" borderId="0" xfId="1192" applyAlignment="1">
      <alignment horizontal="left" vertical="top" wrapText="1"/>
    </xf>
    <xf numFmtId="0" fontId="43" fillId="0" borderId="0" xfId="0" applyFont="1" applyAlignment="1">
      <alignment vertical="top" wrapText="1"/>
    </xf>
    <xf numFmtId="0" fontId="43" fillId="0" borderId="0" xfId="0" applyFont="1" applyAlignment="1">
      <alignment horizontal="left" vertical="top" wrapText="1"/>
    </xf>
    <xf numFmtId="6" fontId="52" fillId="0" borderId="0" xfId="569" applyNumberFormat="1" applyFont="1" applyAlignment="1">
      <alignment horizontal="right" vertical="top"/>
    </xf>
    <xf numFmtId="0" fontId="14" fillId="0" borderId="0" xfId="0" applyFont="1" applyAlignment="1">
      <alignment vertical="top" wrapText="1"/>
    </xf>
    <xf numFmtId="168" fontId="23" fillId="0" borderId="0" xfId="0" applyNumberFormat="1" applyFont="1" applyAlignment="1">
      <alignment horizontal="right"/>
    </xf>
    <xf numFmtId="168" fontId="23" fillId="0" borderId="28" xfId="540" applyNumberFormat="1" applyBorder="1" applyAlignment="1" applyProtection="1">
      <alignment horizontal="center"/>
    </xf>
    <xf numFmtId="168" fontId="23" fillId="0" borderId="29" xfId="540" applyNumberFormat="1" applyBorder="1" applyAlignment="1" applyProtection="1">
      <alignment horizontal="center"/>
    </xf>
    <xf numFmtId="168" fontId="23" fillId="0" borderId="30" xfId="540" applyNumberFormat="1" applyBorder="1" applyAlignment="1" applyProtection="1">
      <alignment horizontal="center"/>
    </xf>
    <xf numFmtId="168" fontId="23" fillId="0" borderId="31" xfId="540" applyNumberFormat="1" applyBorder="1" applyAlignment="1" applyProtection="1">
      <alignment horizontal="center"/>
    </xf>
    <xf numFmtId="168" fontId="23" fillId="0" borderId="32" xfId="540" applyNumberFormat="1" applyBorder="1" applyAlignment="1" applyProtection="1">
      <alignment horizontal="center"/>
    </xf>
    <xf numFmtId="168" fontId="23" fillId="0" borderId="33" xfId="540" applyNumberFormat="1" applyBorder="1" applyAlignment="1" applyProtection="1">
      <alignment horizontal="center"/>
    </xf>
    <xf numFmtId="168" fontId="23" fillId="0" borderId="34" xfId="540" applyNumberFormat="1" applyBorder="1" applyAlignment="1" applyProtection="1">
      <alignment horizontal="center"/>
    </xf>
    <xf numFmtId="168" fontId="23" fillId="0" borderId="35" xfId="540" applyNumberFormat="1" applyBorder="1" applyAlignment="1" applyProtection="1">
      <alignment horizontal="center"/>
    </xf>
    <xf numFmtId="168" fontId="23" fillId="0" borderId="36" xfId="540" applyNumberFormat="1" applyBorder="1" applyAlignment="1" applyProtection="1">
      <alignment horizontal="center"/>
    </xf>
    <xf numFmtId="168" fontId="23" fillId="0" borderId="37" xfId="540" applyNumberFormat="1" applyBorder="1" applyAlignment="1" applyProtection="1">
      <alignment horizontal="center"/>
    </xf>
    <xf numFmtId="168" fontId="23" fillId="0" borderId="38" xfId="540" applyNumberFormat="1" applyBorder="1" applyAlignment="1" applyProtection="1">
      <alignment horizontal="center"/>
    </xf>
    <xf numFmtId="168" fontId="23" fillId="0" borderId="39" xfId="540" applyNumberFormat="1" applyBorder="1" applyAlignment="1" applyProtection="1">
      <alignment horizontal="center"/>
    </xf>
    <xf numFmtId="168" fontId="23" fillId="0" borderId="40" xfId="540" applyNumberFormat="1" applyBorder="1" applyAlignment="1" applyProtection="1">
      <alignment horizontal="center"/>
    </xf>
    <xf numFmtId="168" fontId="23" fillId="0" borderId="0" xfId="540" applyNumberFormat="1" applyAlignment="1" applyProtection="1">
      <alignment horizontal="center"/>
    </xf>
    <xf numFmtId="168" fontId="23" fillId="0" borderId="14" xfId="540" applyNumberFormat="1" applyBorder="1" applyAlignment="1" applyProtection="1">
      <alignment horizontal="center"/>
    </xf>
    <xf numFmtId="168" fontId="23" fillId="0" borderId="41" xfId="540" applyNumberFormat="1" applyBorder="1" applyAlignment="1" applyProtection="1">
      <alignment horizontal="center"/>
    </xf>
    <xf numFmtId="168" fontId="23" fillId="0" borderId="42" xfId="540" applyNumberFormat="1" applyBorder="1" applyAlignment="1" applyProtection="1">
      <alignment horizontal="center"/>
    </xf>
    <xf numFmtId="168" fontId="23" fillId="0" borderId="43" xfId="540" applyNumberFormat="1" applyBorder="1" applyAlignment="1" applyProtection="1">
      <alignment horizontal="center"/>
    </xf>
    <xf numFmtId="168" fontId="23" fillId="0" borderId="44" xfId="540" applyNumberFormat="1" applyBorder="1" applyAlignment="1" applyProtection="1">
      <alignment horizontal="center"/>
    </xf>
    <xf numFmtId="0" fontId="14" fillId="0" borderId="0" xfId="1192"/>
    <xf numFmtId="0" fontId="14" fillId="0" borderId="0" xfId="0" applyFont="1" applyAlignment="1">
      <alignment wrapText="1"/>
    </xf>
    <xf numFmtId="0" fontId="43" fillId="0" borderId="0" xfId="0" applyFont="1" applyAlignment="1">
      <alignment horizontal="left" vertical="top"/>
    </xf>
    <xf numFmtId="0" fontId="43" fillId="0" borderId="0" xfId="0" applyFont="1" applyAlignment="1">
      <alignment vertical="top"/>
    </xf>
    <xf numFmtId="0" fontId="14" fillId="0" borderId="0" xfId="569" applyAlignment="1">
      <alignment horizontal="center"/>
    </xf>
    <xf numFmtId="0" fontId="32" fillId="0" borderId="0" xfId="569" applyFont="1" applyAlignment="1">
      <alignment horizontal="left"/>
    </xf>
    <xf numFmtId="0" fontId="32" fillId="0" borderId="0" xfId="569" applyFont="1" applyAlignment="1">
      <alignment horizontal="center"/>
    </xf>
    <xf numFmtId="49" fontId="21" fillId="0" borderId="0" xfId="569" applyNumberFormat="1" applyFont="1" applyAlignment="1">
      <alignment horizontal="center"/>
    </xf>
    <xf numFmtId="0" fontId="49" fillId="0" borderId="0" xfId="569" applyFont="1" applyAlignment="1">
      <alignment horizontal="center"/>
    </xf>
    <xf numFmtId="0" fontId="14" fillId="5" borderId="6" xfId="569" applyFill="1" applyBorder="1" applyProtection="1">
      <protection locked="0"/>
    </xf>
    <xf numFmtId="0" fontId="15" fillId="0" borderId="0" xfId="244" applyAlignment="1" applyProtection="1">
      <alignment horizontal="center"/>
    </xf>
    <xf numFmtId="49" fontId="14" fillId="0" borderId="0" xfId="569" applyNumberFormat="1" applyAlignment="1">
      <alignment horizontal="center"/>
    </xf>
    <xf numFmtId="0" fontId="14" fillId="0" borderId="0" xfId="569" applyAlignment="1">
      <alignment horizontal="center" vertical="center"/>
    </xf>
    <xf numFmtId="0" fontId="14" fillId="0" borderId="0" xfId="1192" applyAlignment="1">
      <alignment horizontal="center"/>
    </xf>
    <xf numFmtId="0" fontId="21" fillId="0" borderId="0" xfId="569" applyFont="1" applyAlignment="1">
      <alignment horizontal="center"/>
    </xf>
    <xf numFmtId="0" fontId="14" fillId="0" borderId="0" xfId="569" applyAlignment="1">
      <alignment horizontal="left" indent="4"/>
    </xf>
    <xf numFmtId="0" fontId="14" fillId="0" borderId="0" xfId="569" quotePrefix="1" applyAlignment="1">
      <alignment horizontal="left"/>
    </xf>
    <xf numFmtId="0" fontId="32" fillId="0" borderId="0" xfId="569" applyFont="1"/>
    <xf numFmtId="0" fontId="14" fillId="0" borderId="0" xfId="1192" applyAlignment="1" applyProtection="1">
      <alignment horizontal="left"/>
      <protection locked="0"/>
    </xf>
    <xf numFmtId="0" fontId="14" fillId="0" borderId="0" xfId="569" applyAlignment="1" applyProtection="1">
      <alignment horizontal="left"/>
      <protection locked="0"/>
    </xf>
    <xf numFmtId="49" fontId="14" fillId="0" borderId="0" xfId="1192" applyNumberFormat="1" applyAlignment="1">
      <alignment horizontal="center"/>
    </xf>
    <xf numFmtId="0" fontId="49" fillId="0" borderId="0" xfId="1192" applyFont="1" applyAlignment="1">
      <alignment horizontal="center"/>
    </xf>
    <xf numFmtId="0" fontId="21" fillId="0" borderId="0" xfId="1192" applyFont="1" applyAlignment="1">
      <alignment horizontal="left"/>
    </xf>
    <xf numFmtId="4" fontId="14" fillId="0" borderId="0" xfId="1192" applyNumberFormat="1" applyAlignment="1">
      <alignment horizontal="left"/>
    </xf>
    <xf numFmtId="0" fontId="21" fillId="0" borderId="0" xfId="569" quotePrefix="1" applyFont="1" applyAlignment="1">
      <alignment horizontal="center"/>
    </xf>
    <xf numFmtId="49" fontId="14" fillId="0" borderId="0" xfId="569" applyNumberFormat="1"/>
    <xf numFmtId="0" fontId="46" fillId="0" borderId="0" xfId="569" applyFont="1" applyAlignment="1">
      <alignment horizontal="left"/>
    </xf>
    <xf numFmtId="4" fontId="49" fillId="0" borderId="0" xfId="569" applyNumberFormat="1" applyFont="1" applyAlignment="1">
      <alignment horizontal="center"/>
    </xf>
    <xf numFmtId="4" fontId="14" fillId="0" borderId="0" xfId="569" applyNumberFormat="1" applyAlignment="1">
      <alignment horizontal="center"/>
    </xf>
    <xf numFmtId="4" fontId="14" fillId="0" borderId="0" xfId="569" applyNumberFormat="1"/>
    <xf numFmtId="0" fontId="44" fillId="0" borderId="0" xfId="569" applyFont="1" applyAlignment="1">
      <alignment horizontal="left"/>
    </xf>
    <xf numFmtId="0" fontId="15" fillId="0" borderId="0" xfId="244" applyNumberFormat="1" applyFill="1" applyAlignment="1" applyProtection="1">
      <alignment horizontal="left"/>
      <protection locked="0"/>
    </xf>
    <xf numFmtId="0" fontId="51" fillId="0" borderId="11" xfId="0" applyFont="1" applyBorder="1" applyAlignment="1" applyProtection="1">
      <alignment horizontal="right" vertical="top" wrapText="1"/>
      <protection locked="0"/>
    </xf>
    <xf numFmtId="168" fontId="54" fillId="44" borderId="11" xfId="0" applyNumberFormat="1" applyFont="1" applyFill="1" applyBorder="1" applyAlignment="1">
      <alignment vertical="top" wrapText="1"/>
    </xf>
    <xf numFmtId="0" fontId="14" fillId="0" borderId="11" xfId="271" applyFont="1" applyBorder="1" applyAlignment="1">
      <alignment horizontal="right" vertical="top" wrapText="1"/>
    </xf>
    <xf numFmtId="0" fontId="22" fillId="0" borderId="0" xfId="569" applyFont="1" applyAlignment="1">
      <alignment horizontal="left"/>
    </xf>
    <xf numFmtId="0" fontId="103" fillId="0" borderId="0" xfId="0" applyFont="1"/>
    <xf numFmtId="0" fontId="114" fillId="0" borderId="0" xfId="0" applyFont="1" applyAlignment="1">
      <alignment horizontal="left" vertical="top"/>
    </xf>
    <xf numFmtId="0" fontId="115" fillId="0" borderId="0" xfId="0" applyFont="1" applyAlignment="1">
      <alignment horizontal="left" vertical="top"/>
    </xf>
    <xf numFmtId="168" fontId="22" fillId="0" borderId="0" xfId="0" applyNumberFormat="1" applyFont="1" applyAlignment="1">
      <alignment horizontal="left" vertical="top" wrapText="1"/>
    </xf>
    <xf numFmtId="168" fontId="51" fillId="5" borderId="11" xfId="0" applyNumberFormat="1" applyFont="1" applyFill="1" applyBorder="1" applyAlignment="1">
      <alignment vertical="top" wrapText="1"/>
    </xf>
    <xf numFmtId="0" fontId="14" fillId="0" borderId="0" xfId="271" applyFont="1" applyAlignment="1">
      <alignment horizontal="left" vertical="top"/>
    </xf>
    <xf numFmtId="0" fontId="51" fillId="0" borderId="0" xfId="569" applyFont="1"/>
    <xf numFmtId="0" fontId="14" fillId="0" borderId="0" xfId="0" applyFont="1" applyAlignment="1">
      <alignment horizontal="left" vertical="top"/>
    </xf>
    <xf numFmtId="4" fontId="14" fillId="0" borderId="0" xfId="1192" applyNumberFormat="1" applyAlignment="1">
      <alignment vertical="top" wrapText="1"/>
    </xf>
    <xf numFmtId="0" fontId="21" fillId="0" borderId="16" xfId="271" applyFont="1" applyBorder="1"/>
    <xf numFmtId="0" fontId="58" fillId="0" borderId="0" xfId="569" applyFont="1"/>
    <xf numFmtId="0" fontId="38" fillId="0" borderId="0" xfId="569" applyFont="1"/>
    <xf numFmtId="0" fontId="14" fillId="0" borderId="0" xfId="1192" applyAlignment="1">
      <alignment vertical="top" wrapText="1"/>
    </xf>
    <xf numFmtId="49" fontId="14" fillId="0" borderId="0" xfId="1192" applyNumberFormat="1" applyAlignment="1">
      <alignment vertical="top" wrapText="1"/>
    </xf>
    <xf numFmtId="0" fontId="53" fillId="0" borderId="9" xfId="543" applyFont="1" applyBorder="1" applyAlignment="1">
      <alignment vertical="top"/>
    </xf>
    <xf numFmtId="0" fontId="14" fillId="0" borderId="0" xfId="0" applyFont="1" applyAlignment="1">
      <alignment vertical="center"/>
    </xf>
    <xf numFmtId="0" fontId="116" fillId="0" borderId="0" xfId="0" applyFont="1"/>
    <xf numFmtId="3" fontId="103" fillId="0" borderId="0" xfId="0" applyNumberFormat="1" applyFont="1"/>
    <xf numFmtId="0" fontId="103" fillId="0" borderId="0" xfId="0" applyFont="1" applyAlignment="1">
      <alignment horizontal="left"/>
    </xf>
    <xf numFmtId="168" fontId="117" fillId="0" borderId="0" xfId="0" applyNumberFormat="1" applyFont="1" applyAlignment="1">
      <alignment horizontal="left" vertical="top"/>
    </xf>
    <xf numFmtId="0" fontId="103" fillId="0" borderId="0" xfId="0" applyFont="1" applyAlignment="1">
      <alignment horizontal="left" vertical="center"/>
    </xf>
    <xf numFmtId="0" fontId="119" fillId="0" borderId="0" xfId="0" applyFont="1"/>
    <xf numFmtId="172" fontId="14" fillId="0" borderId="8" xfId="543" applyNumberFormat="1" applyBorder="1"/>
    <xf numFmtId="0" fontId="14" fillId="0" borderId="8" xfId="4495" applyFont="1" applyBorder="1"/>
    <xf numFmtId="0" fontId="14" fillId="0" borderId="0" xfId="4495" applyFont="1"/>
    <xf numFmtId="0" fontId="20" fillId="0" borderId="0" xfId="4495" applyFont="1" applyAlignment="1">
      <alignment horizontal="center" vertical="center"/>
    </xf>
    <xf numFmtId="0" fontId="21" fillId="0" borderId="0" xfId="4495" applyFont="1" applyAlignment="1">
      <alignment horizontal="left"/>
    </xf>
    <xf numFmtId="0" fontId="21" fillId="0" borderId="0" xfId="4495" applyFont="1"/>
    <xf numFmtId="0" fontId="24" fillId="0" borderId="0" xfId="4495" applyFont="1" applyAlignment="1">
      <alignment horizontal="center" vertical="center"/>
    </xf>
    <xf numFmtId="0" fontId="24" fillId="0" borderId="27" xfId="4495" applyFont="1" applyBorder="1" applyAlignment="1">
      <alignment horizontal="center" vertical="center"/>
    </xf>
    <xf numFmtId="0" fontId="24" fillId="0" borderId="46" xfId="4495" applyFont="1" applyBorder="1" applyAlignment="1">
      <alignment horizontal="center" vertical="center"/>
    </xf>
    <xf numFmtId="0" fontId="21" fillId="0" borderId="0" xfId="4495" applyFont="1" applyAlignment="1">
      <alignment horizontal="right"/>
    </xf>
    <xf numFmtId="0" fontId="32" fillId="0" borderId="0" xfId="4495" applyFont="1" applyAlignment="1">
      <alignment horizontal="left" vertical="center"/>
    </xf>
    <xf numFmtId="0" fontId="14" fillId="0" borderId="0" xfId="1192" quotePrefix="1" applyAlignment="1">
      <alignment horizontal="center"/>
    </xf>
    <xf numFmtId="0" fontId="44" fillId="0" borderId="0" xfId="4495" applyFont="1" applyAlignment="1">
      <alignment horizontal="left" vertical="center"/>
    </xf>
    <xf numFmtId="49" fontId="22" fillId="0" borderId="0" xfId="4495" applyNumberFormat="1" applyFont="1" applyAlignment="1">
      <alignment horizontal="left" vertical="top"/>
    </xf>
    <xf numFmtId="0" fontId="14" fillId="0" borderId="47" xfId="4495" applyFont="1" applyBorder="1" applyAlignment="1">
      <alignment horizontal="left" vertical="center"/>
    </xf>
    <xf numFmtId="0" fontId="24" fillId="0" borderId="48" xfId="4495" applyFont="1" applyBorder="1" applyAlignment="1">
      <alignment horizontal="center" vertical="center"/>
    </xf>
    <xf numFmtId="0" fontId="22" fillId="0" borderId="0" xfId="4495" applyFont="1"/>
    <xf numFmtId="0" fontId="22" fillId="0" borderId="0" xfId="4495" applyFont="1" applyAlignment="1">
      <alignment horizontal="left" vertical="top"/>
    </xf>
    <xf numFmtId="0" fontId="121" fillId="0" borderId="53" xfId="4496" applyFont="1" applyBorder="1" applyAlignment="1">
      <alignment horizontal="left" vertical="top"/>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4" fillId="0" borderId="0" xfId="4495" applyFont="1" applyAlignment="1">
      <alignment horizontal="left" vertical="center"/>
    </xf>
    <xf numFmtId="0" fontId="122" fillId="0" borderId="0" xfId="4496" applyFont="1" applyAlignment="1">
      <alignment vertical="center"/>
    </xf>
    <xf numFmtId="0" fontId="120" fillId="0" borderId="0" xfId="4496" applyFont="1"/>
    <xf numFmtId="0" fontId="120" fillId="0" borderId="0" xfId="4496" applyFont="1" applyAlignment="1">
      <alignment vertical="center"/>
    </xf>
    <xf numFmtId="0" fontId="123" fillId="0" borderId="0" xfId="4496" applyFont="1" applyAlignment="1">
      <alignment vertical="center"/>
    </xf>
    <xf numFmtId="0" fontId="14" fillId="0" borderId="0" xfId="4496" applyFont="1" applyAlignment="1">
      <alignment vertical="center"/>
    </xf>
    <xf numFmtId="0" fontId="22" fillId="0" borderId="3" xfId="4495" applyFont="1" applyBorder="1" applyAlignment="1">
      <alignment vertical="top" wrapText="1"/>
    </xf>
    <xf numFmtId="0" fontId="22" fillId="0" borderId="4" xfId="4495" applyFont="1" applyBorder="1" applyAlignment="1">
      <alignment vertical="top" wrapText="1"/>
    </xf>
    <xf numFmtId="164" fontId="118" fillId="0" borderId="4" xfId="4495" applyNumberFormat="1" applyBorder="1" applyAlignment="1">
      <alignment horizontal="right"/>
    </xf>
    <xf numFmtId="0" fontId="22" fillId="0" borderId="4" xfId="4495" applyFont="1" applyBorder="1"/>
    <xf numFmtId="0" fontId="21" fillId="0" borderId="5" xfId="4495" applyFont="1" applyBorder="1" applyAlignment="1">
      <alignment horizontal="right"/>
    </xf>
    <xf numFmtId="0" fontId="14" fillId="0" borderId="16" xfId="4495" applyFont="1" applyBorder="1"/>
    <xf numFmtId="0" fontId="14" fillId="0" borderId="16" xfId="4495" applyFont="1" applyBorder="1" applyAlignment="1">
      <alignment horizontal="left" vertical="top"/>
    </xf>
    <xf numFmtId="0" fontId="22" fillId="0" borderId="16" xfId="4495" applyFont="1" applyBorder="1" applyAlignment="1">
      <alignment horizontal="left" vertical="top" wrapText="1"/>
    </xf>
    <xf numFmtId="0" fontId="22" fillId="0" borderId="45" xfId="4495" applyFont="1" applyBorder="1" applyAlignment="1">
      <alignment horizontal="left" vertical="top" wrapText="1"/>
    </xf>
    <xf numFmtId="0" fontId="118" fillId="0" borderId="0" xfId="4495"/>
    <xf numFmtId="0" fontId="15" fillId="0" borderId="0" xfId="244" applyFill="1" applyBorder="1" applyAlignment="1" applyProtection="1">
      <alignment horizontal="left" vertical="top"/>
    </xf>
    <xf numFmtId="0" fontId="15" fillId="0" borderId="0" xfId="244" applyFill="1" applyBorder="1" applyAlignment="1" applyProtection="1">
      <alignment horizontal="left" vertical="top" wrapText="1"/>
    </xf>
    <xf numFmtId="0" fontId="22" fillId="0" borderId="0" xfId="4495" applyFont="1" applyAlignment="1">
      <alignment horizontal="left" vertical="top" wrapText="1"/>
    </xf>
    <xf numFmtId="0" fontId="22" fillId="0" borderId="0" xfId="4495" applyFont="1" applyAlignment="1">
      <alignment horizontal="right" vertical="top"/>
    </xf>
    <xf numFmtId="0" fontId="14" fillId="0" borderId="0" xfId="4495" applyFont="1" applyAlignment="1">
      <alignment vertical="center" wrapText="1"/>
    </xf>
    <xf numFmtId="0" fontId="120" fillId="0" borderId="53" xfId="4496" applyFont="1" applyBorder="1" applyAlignment="1">
      <alignment vertical="top" wrapText="1"/>
    </xf>
    <xf numFmtId="0" fontId="120" fillId="0" borderId="0" xfId="4496" applyFont="1" applyAlignment="1">
      <alignment vertical="top" wrapText="1"/>
    </xf>
    <xf numFmtId="10" fontId="120" fillId="0" borderId="0" xfId="4496" applyNumberFormat="1" applyFont="1" applyAlignment="1">
      <alignment vertical="top" wrapText="1"/>
    </xf>
    <xf numFmtId="0" fontId="120" fillId="0" borderId="54" xfId="4496" applyFont="1" applyBorder="1" applyAlignment="1">
      <alignment vertical="top" wrapText="1"/>
    </xf>
    <xf numFmtId="0" fontId="120" fillId="0" borderId="0" xfId="4496" applyFont="1" applyAlignment="1">
      <alignment vertical="top"/>
    </xf>
    <xf numFmtId="165" fontId="120" fillId="0" borderId="0" xfId="4496" applyNumberFormat="1" applyFont="1" applyAlignment="1">
      <alignment vertical="top" wrapText="1"/>
    </xf>
    <xf numFmtId="0" fontId="21" fillId="0" borderId="57" xfId="4495" applyFont="1" applyBorder="1"/>
    <xf numFmtId="0" fontId="21" fillId="0" borderId="58" xfId="4495" applyFont="1" applyBorder="1"/>
    <xf numFmtId="0" fontId="21" fillId="0" borderId="58" xfId="4495" applyFont="1" applyBorder="1" applyAlignment="1">
      <alignment horizontal="right"/>
    </xf>
    <xf numFmtId="0" fontId="21" fillId="0" borderId="59" xfId="4495" applyFont="1" applyBorder="1" applyAlignment="1">
      <alignment horizontal="right"/>
    </xf>
    <xf numFmtId="0" fontId="120" fillId="0" borderId="53" xfId="4496" applyFont="1" applyBorder="1" applyAlignment="1">
      <alignment horizontal="left" vertical="top" wrapText="1"/>
    </xf>
    <xf numFmtId="0" fontId="120" fillId="0" borderId="0" xfId="4496" applyFont="1" applyAlignment="1">
      <alignment horizontal="left" vertical="top"/>
    </xf>
    <xf numFmtId="0" fontId="24" fillId="0" borderId="57" xfId="4495" applyFont="1" applyBorder="1" applyAlignment="1">
      <alignment horizontal="center" vertical="center"/>
    </xf>
    <xf numFmtId="0" fontId="24" fillId="0" borderId="58" xfId="4495" applyFont="1" applyBorder="1" applyAlignment="1">
      <alignment horizontal="center" vertical="center"/>
    </xf>
    <xf numFmtId="0" fontId="24" fillId="0" borderId="59" xfId="4495" applyFont="1" applyBorder="1" applyAlignment="1">
      <alignment horizontal="center" vertical="center"/>
    </xf>
    <xf numFmtId="0" fontId="21" fillId="0" borderId="0" xfId="4495" applyFont="1" applyAlignment="1">
      <alignment horizontal="center"/>
    </xf>
    <xf numFmtId="0" fontId="21" fillId="0" borderId="8" xfId="4495" applyFont="1" applyBorder="1"/>
    <xf numFmtId="0" fontId="22" fillId="0" borderId="0" xfId="4495" applyFont="1" applyAlignment="1">
      <alignment horizontal="left"/>
    </xf>
    <xf numFmtId="0" fontId="21" fillId="0" borderId="0" xfId="4495" applyFont="1" applyAlignment="1">
      <alignment horizontal="center" vertical="top"/>
    </xf>
    <xf numFmtId="0" fontId="14" fillId="0" borderId="0" xfId="4495" applyFont="1" applyAlignment="1">
      <alignment horizontal="center"/>
    </xf>
    <xf numFmtId="0" fontId="30" fillId="0" borderId="0" xfId="4495" applyFont="1"/>
    <xf numFmtId="0" fontId="22" fillId="0" borderId="8" xfId="4495" applyFont="1" applyBorder="1"/>
    <xf numFmtId="0" fontId="51" fillId="0" borderId="8" xfId="4495" applyFont="1" applyBorder="1"/>
    <xf numFmtId="1" fontId="14" fillId="0" borderId="0" xfId="1192" applyNumberFormat="1"/>
    <xf numFmtId="0" fontId="14" fillId="0" borderId="3" xfId="4495" applyFont="1" applyBorder="1"/>
    <xf numFmtId="0" fontId="14" fillId="0" borderId="4" xfId="4495" applyFont="1" applyBorder="1"/>
    <xf numFmtId="0" fontId="14" fillId="0" borderId="0" xfId="1192" applyAlignment="1">
      <alignment wrapText="1"/>
    </xf>
    <xf numFmtId="0" fontId="22" fillId="0" borderId="0" xfId="4495" applyFont="1" applyAlignment="1">
      <alignment vertical="top" wrapText="1"/>
    </xf>
    <xf numFmtId="0" fontId="22" fillId="0" borderId="0" xfId="1192" applyFont="1"/>
    <xf numFmtId="0" fontId="14" fillId="0" borderId="0" xfId="4495" applyFont="1" applyAlignment="1">
      <alignment horizontal="left"/>
    </xf>
    <xf numFmtId="0" fontId="22" fillId="0" borderId="3" xfId="4495" applyFont="1" applyBorder="1"/>
    <xf numFmtId="0" fontId="14" fillId="0" borderId="4" xfId="4495" applyFont="1" applyBorder="1" applyAlignment="1">
      <alignment horizontal="right"/>
    </xf>
    <xf numFmtId="1" fontId="14" fillId="0" borderId="0" xfId="4495" applyNumberFormat="1" applyFont="1" applyAlignment="1">
      <alignment horizontal="center"/>
    </xf>
    <xf numFmtId="0" fontId="51" fillId="0" borderId="0" xfId="4495" applyFont="1"/>
    <xf numFmtId="0" fontId="14" fillId="0" borderId="0" xfId="4495" applyFont="1" applyAlignment="1">
      <alignment horizontal="right"/>
    </xf>
    <xf numFmtId="0" fontId="22" fillId="0" borderId="0" xfId="4495" applyFont="1" applyAlignment="1">
      <alignment vertical="top"/>
    </xf>
    <xf numFmtId="0" fontId="22" fillId="0" borderId="27" xfId="4495" applyFont="1" applyBorder="1"/>
    <xf numFmtId="0" fontId="21" fillId="0" borderId="0" xfId="4495" applyFont="1" applyAlignment="1">
      <alignment vertical="top"/>
    </xf>
    <xf numFmtId="0" fontId="32" fillId="0" borderId="0" xfId="4495" applyFont="1" applyAlignment="1">
      <alignment vertical="top" wrapText="1"/>
    </xf>
    <xf numFmtId="0" fontId="21" fillId="0" borderId="0" xfId="4495" applyFont="1" applyAlignment="1">
      <alignment horizontal="left" vertical="top" wrapText="1"/>
    </xf>
    <xf numFmtId="0" fontId="14" fillId="0" borderId="0" xfId="4495" applyFont="1" applyAlignment="1">
      <alignment horizontal="left" vertical="top"/>
    </xf>
    <xf numFmtId="0" fontId="32" fillId="0" borderId="0" xfId="4495" applyFont="1" applyAlignment="1">
      <alignment vertical="top"/>
    </xf>
    <xf numFmtId="0" fontId="14" fillId="0" borderId="10" xfId="4495" applyFont="1" applyBorder="1" applyAlignment="1">
      <alignment horizontal="center"/>
    </xf>
    <xf numFmtId="0" fontId="14" fillId="0" borderId="16" xfId="4495" applyFont="1" applyBorder="1" applyAlignment="1">
      <alignment horizontal="center"/>
    </xf>
    <xf numFmtId="0" fontId="30" fillId="0" borderId="16" xfId="4495" applyFont="1" applyBorder="1"/>
    <xf numFmtId="0" fontId="22" fillId="0" borderId="16" xfId="4495" applyFont="1" applyBorder="1"/>
    <xf numFmtId="0" fontId="14" fillId="0" borderId="0" xfId="4496" applyFont="1" applyAlignment="1">
      <alignment vertical="top" wrapText="1"/>
    </xf>
    <xf numFmtId="0" fontId="21" fillId="0" borderId="0" xfId="1192" applyFont="1" applyAlignment="1">
      <alignment horizontal="right"/>
    </xf>
    <xf numFmtId="0" fontId="14" fillId="0" borderId="0" xfId="4496" applyFont="1"/>
    <xf numFmtId="0" fontId="14" fillId="0" borderId="0" xfId="4496" applyFont="1" applyAlignment="1">
      <alignment horizontal="left"/>
    </xf>
    <xf numFmtId="0" fontId="14" fillId="0" borderId="0" xfId="4496" applyFont="1" applyAlignment="1">
      <alignment horizontal="right"/>
    </xf>
    <xf numFmtId="0" fontId="22" fillId="0" borderId="0" xfId="4496" applyFont="1" applyAlignment="1">
      <alignment vertical="top" wrapText="1"/>
    </xf>
    <xf numFmtId="0" fontId="14" fillId="0" borderId="4" xfId="4496" applyFont="1" applyBorder="1"/>
    <xf numFmtId="0" fontId="21" fillId="0" borderId="4" xfId="4496" applyFont="1" applyBorder="1" applyAlignment="1">
      <alignment horizontal="right"/>
    </xf>
    <xf numFmtId="0" fontId="22" fillId="0" borderId="27" xfId="4495" applyFont="1" applyBorder="1" applyAlignment="1">
      <alignment horizontal="left" vertical="top"/>
    </xf>
    <xf numFmtId="0" fontId="14" fillId="0" borderId="27" xfId="4495" applyFont="1" applyBorder="1" applyAlignment="1">
      <alignment horizontal="left" vertical="top"/>
    </xf>
    <xf numFmtId="0" fontId="21" fillId="0" borderId="27" xfId="4495" applyFont="1" applyBorder="1" applyAlignment="1">
      <alignment horizontal="right"/>
    </xf>
    <xf numFmtId="0" fontId="14" fillId="0" borderId="27" xfId="4495" applyFont="1" applyBorder="1" applyAlignment="1">
      <alignment horizontal="center"/>
    </xf>
    <xf numFmtId="0" fontId="14" fillId="0" borderId="46" xfId="4495" applyFont="1" applyBorder="1" applyAlignment="1">
      <alignment horizontal="center"/>
    </xf>
    <xf numFmtId="164" fontId="22" fillId="0" borderId="0" xfId="4495" applyNumberFormat="1" applyFont="1" applyAlignment="1">
      <alignment horizontal="left" vertical="top" wrapText="1"/>
    </xf>
    <xf numFmtId="0" fontId="25" fillId="0" borderId="0" xfId="4495" applyFont="1"/>
    <xf numFmtId="0" fontId="22" fillId="0" borderId="0" xfId="4495" applyFont="1" applyAlignment="1">
      <alignment horizontal="right"/>
    </xf>
    <xf numFmtId="0" fontId="14" fillId="0" borderId="27" xfId="543" applyBorder="1"/>
    <xf numFmtId="0" fontId="14" fillId="0" borderId="46" xfId="543" applyBorder="1"/>
    <xf numFmtId="0" fontId="21" fillId="0" borderId="0" xfId="4495" applyFont="1" applyAlignment="1">
      <alignment horizontal="left" vertical="top"/>
    </xf>
    <xf numFmtId="1" fontId="118" fillId="0" borderId="0" xfId="4495" applyNumberFormat="1"/>
    <xf numFmtId="0" fontId="14" fillId="0" borderId="0" xfId="4495" applyFont="1" applyAlignment="1">
      <alignment vertical="top" wrapText="1"/>
    </xf>
    <xf numFmtId="0" fontId="14" fillId="0" borderId="0" xfId="4495" applyFont="1" applyAlignment="1">
      <alignment horizontal="left" vertical="top" wrapText="1"/>
    </xf>
    <xf numFmtId="0" fontId="14" fillId="0" borderId="50" xfId="4495" applyFont="1" applyBorder="1" applyAlignment="1">
      <alignment vertical="top"/>
    </xf>
    <xf numFmtId="0" fontId="14" fillId="0" borderId="51" xfId="4495" applyFont="1" applyBorder="1" applyAlignment="1">
      <alignment vertical="top"/>
    </xf>
    <xf numFmtId="0" fontId="14" fillId="0" borderId="52" xfId="4495" applyFont="1" applyBorder="1" applyAlignment="1">
      <alignment vertical="top"/>
    </xf>
    <xf numFmtId="1" fontId="22" fillId="0" borderId="8" xfId="4495" applyNumberFormat="1" applyFont="1" applyBorder="1"/>
    <xf numFmtId="0" fontId="14" fillId="0" borderId="0" xfId="543" applyAlignment="1">
      <alignment vertical="top"/>
    </xf>
    <xf numFmtId="0" fontId="22" fillId="0" borderId="51" xfId="4495" applyFont="1" applyBorder="1" applyAlignment="1">
      <alignment horizontal="left" vertical="top"/>
    </xf>
    <xf numFmtId="0" fontId="22" fillId="0" borderId="52" xfId="4495" applyFont="1" applyBorder="1" applyAlignment="1">
      <alignment horizontal="left" vertical="top"/>
    </xf>
    <xf numFmtId="0" fontId="118" fillId="0" borderId="0" xfId="4495" applyAlignment="1" applyProtection="1">
      <alignment horizontal="center"/>
      <protection locked="0"/>
    </xf>
    <xf numFmtId="0" fontId="14" fillId="0" borderId="53" xfId="4495" applyFont="1" applyBorder="1" applyAlignment="1">
      <alignment vertical="top"/>
    </xf>
    <xf numFmtId="0" fontId="14" fillId="0" borderId="54" xfId="4495" applyFont="1" applyBorder="1" applyAlignment="1">
      <alignment vertical="top" wrapText="1"/>
    </xf>
    <xf numFmtId="0" fontId="59" fillId="0" borderId="53" xfId="4495" applyFont="1" applyBorder="1"/>
    <xf numFmtId="0" fontId="22" fillId="0" borderId="54" xfId="4495" applyFont="1" applyBorder="1" applyAlignment="1">
      <alignment horizontal="left" vertical="top"/>
    </xf>
    <xf numFmtId="0" fontId="14" fillId="0" borderId="53" xfId="4495" applyFont="1" applyBorder="1" applyAlignment="1">
      <alignment vertical="center" wrapText="1"/>
    </xf>
    <xf numFmtId="0" fontId="59" fillId="0" borderId="57" xfId="4495" applyFont="1" applyBorder="1"/>
    <xf numFmtId="0" fontId="22" fillId="0" borderId="58" xfId="4495" applyFont="1" applyBorder="1" applyAlignment="1">
      <alignment horizontal="left" vertical="top"/>
    </xf>
    <xf numFmtId="0" fontId="22" fillId="0" borderId="12" xfId="4495" applyFont="1" applyBorder="1"/>
    <xf numFmtId="0" fontId="14" fillId="0" borderId="57" xfId="4495" applyFont="1" applyBorder="1" applyAlignment="1">
      <alignment vertical="center"/>
    </xf>
    <xf numFmtId="0" fontId="14" fillId="0" borderId="58" xfId="4495" applyFont="1" applyBorder="1" applyAlignment="1">
      <alignment vertical="top"/>
    </xf>
    <xf numFmtId="0" fontId="14" fillId="0" borderId="59" xfId="4495" applyFont="1" applyBorder="1" applyAlignment="1">
      <alignment vertical="top"/>
    </xf>
    <xf numFmtId="0" fontId="14" fillId="0" borderId="0" xfId="4495" applyFont="1" applyAlignment="1">
      <alignment vertical="top"/>
    </xf>
    <xf numFmtId="0" fontId="22" fillId="0" borderId="4" xfId="4495" applyFont="1" applyBorder="1" applyAlignment="1">
      <alignment horizontal="left" vertical="top"/>
    </xf>
    <xf numFmtId="0" fontId="14" fillId="0" borderId="4" xfId="4495" applyFont="1" applyBorder="1" applyAlignment="1">
      <alignment horizontal="left" vertical="top"/>
    </xf>
    <xf numFmtId="0" fontId="14" fillId="0" borderId="2" xfId="4495" applyFont="1" applyBorder="1"/>
    <xf numFmtId="0" fontId="22" fillId="0" borderId="2" xfId="4495" applyFont="1" applyBorder="1"/>
    <xf numFmtId="0" fontId="14" fillId="0" borderId="2" xfId="4495" applyFont="1" applyBorder="1" applyAlignment="1">
      <alignment horizontal="center"/>
    </xf>
    <xf numFmtId="0" fontId="22" fillId="0" borderId="7" xfId="4495" applyFont="1" applyBorder="1"/>
    <xf numFmtId="0" fontId="30" fillId="0" borderId="0" xfId="4495" applyFont="1" applyAlignment="1">
      <alignment horizontal="right"/>
    </xf>
    <xf numFmtId="0" fontId="124" fillId="0" borderId="0" xfId="4495" applyFont="1" applyAlignment="1">
      <alignment horizontal="left" vertical="top" wrapText="1"/>
    </xf>
    <xf numFmtId="0" fontId="30" fillId="0" borderId="0" xfId="4495" applyFont="1" applyAlignment="1">
      <alignment horizontal="left" vertical="top"/>
    </xf>
    <xf numFmtId="0" fontId="22" fillId="0" borderId="0" xfId="4495" quotePrefix="1" applyFont="1" applyAlignment="1">
      <alignment horizontal="right"/>
    </xf>
    <xf numFmtId="0" fontId="14" fillId="0" borderId="0" xfId="4497"/>
    <xf numFmtId="0" fontId="22" fillId="0" borderId="0" xfId="4495" applyFont="1" applyAlignment="1">
      <alignment horizontal="left" vertical="top" wrapText="1" shrinkToFit="1"/>
    </xf>
    <xf numFmtId="0" fontId="118" fillId="0" borderId="0" xfId="4495" applyAlignment="1">
      <alignment vertical="top" wrapText="1"/>
    </xf>
    <xf numFmtId="0" fontId="22" fillId="0" borderId="4" xfId="4495" applyFont="1" applyBorder="1" applyAlignment="1">
      <alignment horizontal="left" vertical="top" wrapText="1" shrinkToFit="1"/>
    </xf>
    <xf numFmtId="0" fontId="30" fillId="0" borderId="8" xfId="4495" applyFont="1" applyBorder="1"/>
    <xf numFmtId="0" fontId="22" fillId="0" borderId="0" xfId="4495" applyFont="1" applyAlignment="1">
      <alignment horizontal="center"/>
    </xf>
    <xf numFmtId="0" fontId="22" fillId="0" borderId="0" xfId="4495" quotePrefix="1" applyFont="1"/>
    <xf numFmtId="0" fontId="22" fillId="0" borderId="0" xfId="4495" applyFont="1" applyAlignment="1">
      <alignment horizontal="left" vertical="top" shrinkToFit="1"/>
    </xf>
    <xf numFmtId="0" fontId="44" fillId="0" borderId="0" xfId="4495" applyFont="1"/>
    <xf numFmtId="0" fontId="22" fillId="0" borderId="3" xfId="4495" applyFont="1" applyBorder="1" applyAlignment="1">
      <alignment horizontal="center"/>
    </xf>
    <xf numFmtId="0" fontId="118" fillId="0" borderId="8" xfId="4495" applyBorder="1"/>
    <xf numFmtId="0" fontId="21" fillId="0" borderId="8" xfId="4495" applyFont="1" applyBorder="1" applyAlignment="1">
      <alignment vertical="top"/>
    </xf>
    <xf numFmtId="0" fontId="118" fillId="0" borderId="0" xfId="4495" applyAlignment="1">
      <alignment vertical="top"/>
    </xf>
    <xf numFmtId="0" fontId="21" fillId="0" borderId="4" xfId="4495" applyFont="1" applyBorder="1" applyAlignment="1">
      <alignment horizontal="center" vertical="top"/>
    </xf>
    <xf numFmtId="0" fontId="124" fillId="0" borderId="0" xfId="4495" applyFont="1" applyAlignment="1">
      <alignment horizontal="left" vertical="top"/>
    </xf>
    <xf numFmtId="0" fontId="124" fillId="0" borderId="4" xfId="4495" applyFont="1" applyBorder="1" applyAlignment="1">
      <alignment horizontal="left" vertical="top"/>
    </xf>
    <xf numFmtId="168" fontId="14" fillId="0" borderId="0" xfId="4497" applyNumberFormat="1"/>
    <xf numFmtId="1" fontId="22" fillId="0" borderId="0" xfId="4495" applyNumberFormat="1" applyFont="1" applyAlignment="1">
      <alignment horizontal="center" vertical="top"/>
    </xf>
    <xf numFmtId="0" fontId="128" fillId="0" borderId="0" xfId="4495" applyFont="1" applyAlignment="1">
      <alignment vertical="top" wrapText="1"/>
    </xf>
    <xf numFmtId="0" fontId="128" fillId="0" borderId="0" xfId="4495" applyFont="1" applyAlignment="1">
      <alignment horizontal="left" vertical="top" wrapText="1"/>
    </xf>
    <xf numFmtId="0" fontId="22" fillId="0" borderId="6" xfId="4495" applyFont="1" applyBorder="1"/>
    <xf numFmtId="1" fontId="22" fillId="0" borderId="8" xfId="4495" applyNumberFormat="1" applyFont="1" applyBorder="1" applyAlignment="1">
      <alignment horizontal="center" vertical="top"/>
    </xf>
    <xf numFmtId="0" fontId="118" fillId="0" borderId="12" xfId="4495" applyBorder="1"/>
    <xf numFmtId="0" fontId="22" fillId="0" borderId="9" xfId="4495" applyFont="1" applyBorder="1"/>
    <xf numFmtId="0" fontId="118" fillId="0" borderId="10" xfId="4495" applyBorder="1"/>
    <xf numFmtId="0" fontId="30" fillId="0" borderId="3" xfId="4495" applyFont="1" applyBorder="1"/>
    <xf numFmtId="0" fontId="21" fillId="0" borderId="4" xfId="4495" applyFont="1" applyBorder="1"/>
    <xf numFmtId="0" fontId="118" fillId="0" borderId="12" xfId="4495" applyBorder="1" applyAlignment="1">
      <alignment vertical="top"/>
    </xf>
    <xf numFmtId="0" fontId="30" fillId="0" borderId="1" xfId="4495" applyFont="1" applyBorder="1"/>
    <xf numFmtId="0" fontId="128" fillId="0" borderId="2" xfId="4495" applyFont="1" applyBorder="1" applyAlignment="1">
      <alignment horizontal="left" wrapText="1"/>
    </xf>
    <xf numFmtId="0" fontId="128" fillId="0" borderId="2" xfId="4495" applyFont="1" applyBorder="1" applyAlignment="1">
      <alignment horizontal="left"/>
    </xf>
    <xf numFmtId="0" fontId="128" fillId="0" borderId="7" xfId="4495" applyFont="1" applyBorder="1" applyAlignment="1">
      <alignment horizontal="left" wrapText="1"/>
    </xf>
    <xf numFmtId="0" fontId="128" fillId="0" borderId="0" xfId="4495" applyFont="1" applyAlignment="1">
      <alignment horizontal="left" wrapText="1"/>
    </xf>
    <xf numFmtId="0" fontId="30" fillId="0" borderId="9" xfId="4495" applyFont="1" applyBorder="1"/>
    <xf numFmtId="0" fontId="22" fillId="0" borderId="10" xfId="4495" applyFont="1" applyBorder="1"/>
    <xf numFmtId="0" fontId="128" fillId="0" borderId="0" xfId="4495" applyFont="1" applyAlignment="1">
      <alignment wrapText="1"/>
    </xf>
    <xf numFmtId="0" fontId="30" fillId="0" borderId="9" xfId="4495" applyFont="1" applyBorder="1" applyAlignment="1">
      <alignment horizontal="center"/>
    </xf>
    <xf numFmtId="0" fontId="21" fillId="0" borderId="10" xfId="4495" applyFont="1" applyBorder="1"/>
    <xf numFmtId="0" fontId="32" fillId="0" borderId="0" xfId="4495" applyFont="1"/>
    <xf numFmtId="0" fontId="22" fillId="0" borderId="50" xfId="4495" applyFont="1" applyBorder="1"/>
    <xf numFmtId="0" fontId="22" fillId="0" borderId="51" xfId="4495" applyFont="1" applyBorder="1"/>
    <xf numFmtId="1" fontId="22" fillId="0" borderId="51" xfId="4495" quotePrefix="1" applyNumberFormat="1" applyFont="1" applyBorder="1" applyAlignment="1">
      <alignment horizontal="center" vertical="top"/>
    </xf>
    <xf numFmtId="0" fontId="21" fillId="0" borderId="51" xfId="4495" applyFont="1" applyBorder="1"/>
    <xf numFmtId="0" fontId="21" fillId="0" borderId="52" xfId="4495" applyFont="1" applyBorder="1" applyAlignment="1">
      <alignment horizontal="center"/>
    </xf>
    <xf numFmtId="0" fontId="14" fillId="0" borderId="53" xfId="4495" applyFont="1" applyBorder="1"/>
    <xf numFmtId="1" fontId="22" fillId="0" borderId="0" xfId="4495" quotePrefix="1" applyNumberFormat="1" applyFont="1" applyAlignment="1">
      <alignment horizontal="center" vertical="top"/>
    </xf>
    <xf numFmtId="0" fontId="21" fillId="0" borderId="54" xfId="4495" applyFont="1" applyBorder="1" applyAlignment="1">
      <alignment horizontal="center"/>
    </xf>
    <xf numFmtId="0" fontId="30" fillId="0" borderId="0" xfId="4495" applyFont="1" applyAlignment="1">
      <alignment vertical="top"/>
    </xf>
    <xf numFmtId="0" fontId="22" fillId="0" borderId="61" xfId="4495" applyFont="1" applyBorder="1"/>
    <xf numFmtId="0" fontId="118" fillId="0" borderId="58" xfId="4495" applyBorder="1" applyAlignment="1">
      <alignment horizontal="center"/>
    </xf>
    <xf numFmtId="1" fontId="22" fillId="0" borderId="58" xfId="4495" quotePrefix="1" applyNumberFormat="1" applyFont="1" applyBorder="1" applyAlignment="1">
      <alignment horizontal="center" vertical="top"/>
    </xf>
    <xf numFmtId="0" fontId="30" fillId="0" borderId="58" xfId="4495" applyFont="1" applyBorder="1" applyAlignment="1">
      <alignment vertical="top"/>
    </xf>
    <xf numFmtId="0" fontId="22" fillId="0" borderId="58" xfId="4495" applyFont="1" applyBorder="1" applyAlignment="1">
      <alignment vertical="top" wrapText="1"/>
    </xf>
    <xf numFmtId="0" fontId="22" fillId="0" borderId="58" xfId="4495" applyFont="1" applyBorder="1"/>
    <xf numFmtId="0" fontId="21" fillId="0" borderId="58" xfId="4495" applyFont="1" applyBorder="1" applyAlignment="1">
      <alignment horizontal="center"/>
    </xf>
    <xf numFmtId="0" fontId="118" fillId="0" borderId="61" xfId="4495" applyBorder="1"/>
    <xf numFmtId="0" fontId="118" fillId="0" borderId="0" xfId="4495" applyAlignment="1">
      <alignment horizontal="center"/>
    </xf>
    <xf numFmtId="0" fontId="14" fillId="0" borderId="53" xfId="543" applyBorder="1"/>
    <xf numFmtId="0" fontId="22" fillId="0" borderId="54" xfId="4495" applyFont="1" applyBorder="1"/>
    <xf numFmtId="0" fontId="14" fillId="0" borderId="58" xfId="543" applyBorder="1"/>
    <xf numFmtId="1" fontId="22" fillId="0" borderId="58" xfId="4495" applyNumberFormat="1" applyFont="1" applyBorder="1" applyAlignment="1">
      <alignment horizontal="center" vertical="top"/>
    </xf>
    <xf numFmtId="0" fontId="30" fillId="0" borderId="58" xfId="4495" applyFont="1" applyBorder="1" applyAlignment="1">
      <alignment vertical="center"/>
    </xf>
    <xf numFmtId="0" fontId="118" fillId="0" borderId="58" xfId="4495" applyBorder="1" applyAlignment="1">
      <alignment vertical="top" wrapText="1"/>
    </xf>
    <xf numFmtId="0" fontId="14" fillId="0" borderId="58" xfId="4495" applyFont="1" applyBorder="1"/>
    <xf numFmtId="0" fontId="30" fillId="0" borderId="0" xfId="4495" applyFont="1" applyAlignment="1">
      <alignment vertical="center"/>
    </xf>
    <xf numFmtId="0" fontId="22" fillId="0" borderId="53" xfId="4495" applyFont="1" applyBorder="1"/>
    <xf numFmtId="0" fontId="14" fillId="0" borderId="57" xfId="543" applyBorder="1"/>
    <xf numFmtId="0" fontId="22" fillId="0" borderId="58" xfId="4495" applyFont="1" applyBorder="1" applyAlignment="1">
      <alignment vertical="top"/>
    </xf>
    <xf numFmtId="0" fontId="22" fillId="0" borderId="59" xfId="4495" applyFont="1" applyBorder="1"/>
    <xf numFmtId="0" fontId="22" fillId="0" borderId="57" xfId="4495" applyFont="1" applyBorder="1"/>
    <xf numFmtId="0" fontId="14" fillId="0" borderId="51" xfId="4495" applyFont="1" applyBorder="1"/>
    <xf numFmtId="0" fontId="22" fillId="0" borderId="52" xfId="4495" applyFont="1" applyBorder="1"/>
    <xf numFmtId="0" fontId="14" fillId="0" borderId="50" xfId="543" applyBorder="1"/>
    <xf numFmtId="0" fontId="14" fillId="0" borderId="51" xfId="543" applyBorder="1"/>
    <xf numFmtId="0" fontId="14" fillId="0" borderId="52" xfId="543" applyBorder="1"/>
    <xf numFmtId="0" fontId="22" fillId="0" borderId="0" xfId="4495" applyFont="1" applyAlignment="1">
      <alignment wrapText="1"/>
    </xf>
    <xf numFmtId="0" fontId="21" fillId="0" borderId="54" xfId="4495" applyFont="1" applyBorder="1" applyAlignment="1">
      <alignment horizontal="center" vertical="top"/>
    </xf>
    <xf numFmtId="0" fontId="118" fillId="0" borderId="53" xfId="4495" applyBorder="1" applyAlignment="1">
      <alignment horizontal="center"/>
    </xf>
    <xf numFmtId="2" fontId="22" fillId="0" borderId="0" xfId="4495" applyNumberFormat="1" applyFont="1" applyAlignment="1">
      <alignment horizontal="right"/>
    </xf>
    <xf numFmtId="2" fontId="22" fillId="0" borderId="8" xfId="4495" applyNumberFormat="1" applyFont="1" applyBorder="1" applyAlignment="1">
      <alignment horizontal="left"/>
    </xf>
    <xf numFmtId="0" fontId="22" fillId="0" borderId="8" xfId="4495" applyFont="1" applyBorder="1" applyAlignment="1">
      <alignment horizontal="right"/>
    </xf>
    <xf numFmtId="0" fontId="127" fillId="0" borderId="0" xfId="4495" applyFont="1"/>
    <xf numFmtId="0" fontId="118" fillId="0" borderId="57" xfId="4495" applyBorder="1" applyAlignment="1">
      <alignment horizontal="center"/>
    </xf>
    <xf numFmtId="0" fontId="21" fillId="0" borderId="59" xfId="4495" applyFont="1" applyBorder="1" applyAlignment="1">
      <alignment horizontal="center"/>
    </xf>
    <xf numFmtId="9" fontId="22" fillId="0" borderId="0" xfId="4495" applyNumberFormat="1" applyFont="1" applyAlignment="1">
      <alignment horizontal="left"/>
    </xf>
    <xf numFmtId="0" fontId="14" fillId="0" borderId="17" xfId="543" applyBorder="1"/>
    <xf numFmtId="0" fontId="14" fillId="0" borderId="16" xfId="543" applyBorder="1"/>
    <xf numFmtId="0" fontId="14" fillId="0" borderId="51" xfId="4495" quotePrefix="1" applyFont="1" applyBorder="1" applyAlignment="1">
      <alignment horizontal="center" vertical="top"/>
    </xf>
    <xf numFmtId="0" fontId="22" fillId="0" borderId="53" xfId="4495" applyFont="1" applyBorder="1" applyAlignment="1">
      <alignment horizontal="left" vertical="top"/>
    </xf>
    <xf numFmtId="0" fontId="22" fillId="0" borderId="0" xfId="4495" applyFont="1" applyAlignment="1">
      <alignment horizontal="center" vertical="top"/>
    </xf>
    <xf numFmtId="0" fontId="22" fillId="0" borderId="57" xfId="4495" applyFont="1" applyBorder="1" applyAlignment="1">
      <alignment horizontal="left" vertical="top"/>
    </xf>
    <xf numFmtId="0" fontId="22" fillId="0" borderId="58" xfId="4495" applyFont="1" applyBorder="1" applyAlignment="1">
      <alignment horizontal="center" vertical="top"/>
    </xf>
    <xf numFmtId="0" fontId="118" fillId="0" borderId="58" xfId="4495" applyBorder="1"/>
    <xf numFmtId="0" fontId="21" fillId="0" borderId="58" xfId="4495" applyFont="1" applyBorder="1" applyAlignment="1">
      <alignment vertical="top"/>
    </xf>
    <xf numFmtId="0" fontId="21" fillId="0" borderId="58" xfId="4495" applyFont="1" applyBorder="1" applyAlignment="1">
      <alignment horizontal="left" vertical="top"/>
    </xf>
    <xf numFmtId="0" fontId="21" fillId="0" borderId="51" xfId="4495" applyFont="1" applyBorder="1" applyAlignment="1">
      <alignment horizontal="left" vertical="top"/>
    </xf>
    <xf numFmtId="0" fontId="21" fillId="0" borderId="53" xfId="4495" applyFont="1" applyBorder="1" applyAlignment="1">
      <alignment horizontal="left" vertical="top"/>
    </xf>
    <xf numFmtId="0" fontId="51" fillId="0" borderId="0" xfId="4495" applyFont="1" applyAlignment="1">
      <alignment horizontal="left" vertical="top"/>
    </xf>
    <xf numFmtId="0" fontId="22" fillId="0" borderId="0" xfId="4495" quotePrefix="1" applyFont="1" applyAlignment="1">
      <alignment horizontal="center" vertical="top"/>
    </xf>
    <xf numFmtId="0" fontId="52" fillId="0" borderId="0" xfId="4495" applyFont="1" applyAlignment="1">
      <alignment horizontal="center"/>
    </xf>
    <xf numFmtId="0" fontId="52" fillId="0" borderId="0" xfId="4495" applyFont="1" applyAlignment="1">
      <alignment vertical="top"/>
    </xf>
    <xf numFmtId="0" fontId="105" fillId="0" borderId="0" xfId="4495" applyFont="1"/>
    <xf numFmtId="0" fontId="51" fillId="0" borderId="0" xfId="4495" applyFont="1" applyAlignment="1">
      <alignment vertical="top"/>
    </xf>
    <xf numFmtId="0" fontId="30" fillId="0" borderId="53" xfId="4495" applyFont="1" applyBorder="1"/>
    <xf numFmtId="2" fontId="22" fillId="0" borderId="8" xfId="4495" applyNumberFormat="1" applyFont="1" applyBorder="1" applyAlignment="1">
      <alignment horizontal="right"/>
    </xf>
    <xf numFmtId="0" fontId="21" fillId="0" borderId="50" xfId="4495" applyFont="1" applyBorder="1" applyAlignment="1">
      <alignment horizontal="left" vertical="top"/>
    </xf>
    <xf numFmtId="0" fontId="51" fillId="0" borderId="51" xfId="4495" applyFont="1" applyBorder="1" applyAlignment="1">
      <alignment horizontal="left" vertical="top"/>
    </xf>
    <xf numFmtId="0" fontId="118" fillId="0" borderId="53" xfId="4495" applyBorder="1"/>
    <xf numFmtId="0" fontId="105" fillId="0" borderId="0" xfId="4495" applyFont="1" applyAlignment="1">
      <alignment horizontal="left" vertical="top"/>
    </xf>
    <xf numFmtId="1" fontId="21" fillId="0" borderId="58" xfId="4495" applyNumberFormat="1" applyFont="1" applyBorder="1" applyAlignment="1">
      <alignment vertical="top"/>
    </xf>
    <xf numFmtId="172" fontId="21" fillId="0" borderId="8" xfId="543" applyNumberFormat="1" applyFont="1" applyBorder="1"/>
    <xf numFmtId="172" fontId="21" fillId="0" borderId="0" xfId="543" applyNumberFormat="1" applyFont="1"/>
    <xf numFmtId="0" fontId="30" fillId="0" borderId="0" xfId="4495" applyFont="1" applyAlignment="1">
      <alignment wrapText="1"/>
    </xf>
    <xf numFmtId="0" fontId="30" fillId="0" borderId="0" xfId="4495" applyFont="1" applyAlignment="1">
      <alignment horizontal="center"/>
    </xf>
    <xf numFmtId="0" fontId="30" fillId="0" borderId="0" xfId="4495" applyFont="1" applyAlignment="1">
      <alignment vertical="center" wrapText="1"/>
    </xf>
    <xf numFmtId="180" fontId="22" fillId="0" borderId="0" xfId="4495" applyNumberFormat="1" applyFont="1" applyAlignment="1">
      <alignment horizontal="center"/>
    </xf>
    <xf numFmtId="1" fontId="22" fillId="0" borderId="0" xfId="4495" applyNumberFormat="1" applyFont="1" applyAlignment="1">
      <alignment horizontal="center"/>
    </xf>
    <xf numFmtId="0" fontId="21" fillId="0" borderId="51" xfId="4495" applyFont="1" applyBorder="1" applyAlignment="1">
      <alignment horizontal="center"/>
    </xf>
    <xf numFmtId="0" fontId="21" fillId="0" borderId="51" xfId="4495" applyFont="1" applyBorder="1" applyAlignment="1">
      <alignment vertical="top"/>
    </xf>
    <xf numFmtId="0" fontId="21" fillId="0" borderId="53" xfId="4495" applyFont="1" applyBorder="1"/>
    <xf numFmtId="0" fontId="14" fillId="0" borderId="54" xfId="543" applyBorder="1"/>
    <xf numFmtId="49" fontId="22" fillId="0" borderId="0" xfId="4495" applyNumberFormat="1" applyFont="1" applyAlignment="1">
      <alignment horizontal="left" vertical="center" wrapText="1"/>
    </xf>
    <xf numFmtId="0" fontId="14" fillId="0" borderId="57" xfId="4495" applyFont="1" applyBorder="1"/>
    <xf numFmtId="1" fontId="14" fillId="0" borderId="0" xfId="4495" applyNumberFormat="1" applyFont="1" applyAlignment="1">
      <alignment vertical="center"/>
    </xf>
    <xf numFmtId="0" fontId="32" fillId="0" borderId="50" xfId="4495" applyFont="1" applyBorder="1"/>
    <xf numFmtId="0" fontId="22" fillId="0" borderId="51" xfId="4495" applyFont="1" applyBorder="1" applyAlignment="1">
      <alignment horizontal="center" vertical="top"/>
    </xf>
    <xf numFmtId="0" fontId="22" fillId="0" borderId="51" xfId="4495" applyFont="1" applyBorder="1" applyAlignment="1">
      <alignment vertical="top" wrapText="1"/>
    </xf>
    <xf numFmtId="0" fontId="22" fillId="0" borderId="51" xfId="4495" applyFont="1" applyBorder="1" applyAlignment="1">
      <alignment horizontal="left" vertical="top" wrapText="1"/>
    </xf>
    <xf numFmtId="0" fontId="14" fillId="0" borderId="0" xfId="4495" quotePrefix="1" applyFont="1" applyAlignment="1">
      <alignment horizontal="center" vertical="top"/>
    </xf>
    <xf numFmtId="1" fontId="22" fillId="0" borderId="0" xfId="4495" quotePrefix="1" applyNumberFormat="1" applyFont="1" applyAlignment="1">
      <alignment wrapText="1"/>
    </xf>
    <xf numFmtId="0" fontId="22" fillId="0" borderId="6" xfId="4495" applyFont="1" applyBorder="1" applyAlignment="1">
      <alignment horizontal="right"/>
    </xf>
    <xf numFmtId="0" fontId="120" fillId="0" borderId="0" xfId="4496" applyFont="1" applyAlignment="1">
      <alignment wrapText="1"/>
    </xf>
    <xf numFmtId="0" fontId="14" fillId="0" borderId="0" xfId="4496" applyFont="1" applyAlignment="1">
      <alignment wrapText="1"/>
    </xf>
    <xf numFmtId="0" fontId="30" fillId="0" borderId="51" xfId="4495" applyFont="1" applyBorder="1" applyAlignment="1">
      <alignment vertical="top"/>
    </xf>
    <xf numFmtId="0" fontId="14" fillId="0" borderId="51" xfId="4496" applyFont="1" applyBorder="1" applyAlignment="1">
      <alignment wrapText="1"/>
    </xf>
    <xf numFmtId="0" fontId="21" fillId="0" borderId="51" xfId="4495" applyFont="1" applyBorder="1" applyAlignment="1">
      <alignment horizontal="right"/>
    </xf>
    <xf numFmtId="0" fontId="14" fillId="0" borderId="52" xfId="4495" applyFont="1" applyBorder="1" applyAlignment="1">
      <alignment horizontal="center"/>
    </xf>
    <xf numFmtId="0" fontId="14" fillId="0" borderId="53" xfId="4495" applyFont="1" applyBorder="1" applyAlignment="1">
      <alignment horizontal="left" vertical="top"/>
    </xf>
    <xf numFmtId="0" fontId="14" fillId="0" borderId="54" xfId="4495" applyFont="1" applyBorder="1" applyAlignment="1">
      <alignment horizontal="left" vertical="top"/>
    </xf>
    <xf numFmtId="0" fontId="14" fillId="0" borderId="54" xfId="4495" applyFont="1" applyBorder="1" applyAlignment="1">
      <alignment horizontal="center"/>
    </xf>
    <xf numFmtId="0" fontId="14" fillId="0" borderId="59" xfId="4495" applyFont="1" applyBorder="1" applyAlignment="1">
      <alignment horizontal="center"/>
    </xf>
    <xf numFmtId="9" fontId="14" fillId="0" borderId="0" xfId="4496" applyNumberFormat="1" applyFont="1" applyAlignment="1">
      <alignment horizontal="center"/>
    </xf>
    <xf numFmtId="1" fontId="14" fillId="0" borderId="0" xfId="543" applyNumberFormat="1"/>
    <xf numFmtId="0" fontId="22" fillId="0" borderId="1" xfId="4495" applyFont="1" applyBorder="1"/>
    <xf numFmtId="0" fontId="21" fillId="0" borderId="0" xfId="4495" applyFont="1" applyAlignment="1">
      <alignment horizontal="center" wrapText="1"/>
    </xf>
    <xf numFmtId="0" fontId="21" fillId="0" borderId="9" xfId="4495" applyFont="1" applyBorder="1" applyAlignment="1">
      <alignment horizontal="left"/>
    </xf>
    <xf numFmtId="0" fontId="21" fillId="0" borderId="3" xfId="4495" applyFont="1" applyBorder="1" applyAlignment="1">
      <alignment horizontal="left"/>
    </xf>
    <xf numFmtId="0" fontId="21" fillId="0" borderId="4" xfId="4495" applyFont="1" applyBorder="1" applyAlignment="1">
      <alignment horizontal="left"/>
    </xf>
    <xf numFmtId="0" fontId="14" fillId="0" borderId="2" xfId="4495" applyFont="1" applyBorder="1" applyAlignment="1">
      <alignment horizontal="left"/>
    </xf>
    <xf numFmtId="0" fontId="21" fillId="0" borderId="2" xfId="4495" applyFont="1" applyBorder="1" applyAlignment="1">
      <alignment horizontal="left"/>
    </xf>
    <xf numFmtId="0" fontId="21" fillId="0" borderId="5" xfId="4495" applyFont="1" applyBorder="1" applyAlignment="1">
      <alignment horizontal="left"/>
    </xf>
    <xf numFmtId="180" fontId="62" fillId="0" borderId="0" xfId="4495" applyNumberFormat="1" applyFont="1" applyAlignment="1">
      <alignment horizontal="center" vertical="center"/>
    </xf>
    <xf numFmtId="0" fontId="14" fillId="0" borderId="12" xfId="4495" applyFont="1" applyBorder="1" applyAlignment="1">
      <alignment vertical="top"/>
    </xf>
    <xf numFmtId="0" fontId="44" fillId="0" borderId="0" xfId="4495" applyFont="1" applyAlignment="1">
      <alignment vertical="top" wrapText="1"/>
    </xf>
    <xf numFmtId="0" fontId="14" fillId="0" borderId="51" xfId="4495" applyFont="1" applyBorder="1" applyAlignment="1">
      <alignment horizontal="left" vertical="top" wrapText="1"/>
    </xf>
    <xf numFmtId="0" fontId="14" fillId="0" borderId="51" xfId="4495" applyFont="1" applyBorder="1" applyAlignment="1">
      <alignment horizontal="right"/>
    </xf>
    <xf numFmtId="0" fontId="14" fillId="0" borderId="52" xfId="4495" applyFont="1" applyBorder="1" applyAlignment="1">
      <alignment horizontal="right"/>
    </xf>
    <xf numFmtId="0" fontId="14" fillId="0" borderId="54" xfId="4495" applyFont="1" applyBorder="1" applyAlignment="1">
      <alignment horizontal="right"/>
    </xf>
    <xf numFmtId="0" fontId="14" fillId="0" borderId="58" xfId="4495" applyFont="1" applyBorder="1" applyAlignment="1">
      <alignment horizontal="left" vertical="top" wrapText="1"/>
    </xf>
    <xf numFmtId="0" fontId="14" fillId="0" borderId="58" xfId="4495" applyFont="1" applyBorder="1" applyAlignment="1">
      <alignment horizontal="right"/>
    </xf>
    <xf numFmtId="0" fontId="14" fillId="0" borderId="59" xfId="4495" applyFont="1" applyBorder="1" applyAlignment="1">
      <alignment horizontal="right"/>
    </xf>
    <xf numFmtId="0" fontId="44" fillId="0" borderId="0" xfId="4495" applyFont="1" applyAlignment="1">
      <alignment horizontal="left" vertical="top" wrapText="1"/>
    </xf>
    <xf numFmtId="0" fontId="14" fillId="0" borderId="0" xfId="1192" applyAlignment="1">
      <alignment horizontal="left" vertical="top"/>
    </xf>
    <xf numFmtId="0" fontId="32" fillId="0" borderId="0" xfId="1192" applyFont="1" applyAlignment="1">
      <alignment horizontal="left" vertical="top"/>
    </xf>
    <xf numFmtId="0" fontId="14" fillId="0" borderId="0" xfId="1192" applyAlignment="1">
      <alignment vertical="top"/>
    </xf>
    <xf numFmtId="168" fontId="14" fillId="0" borderId="0" xfId="1192" applyNumberFormat="1"/>
    <xf numFmtId="165" fontId="14" fillId="0" borderId="0" xfId="1192" applyNumberFormat="1"/>
    <xf numFmtId="165" fontId="14" fillId="0" borderId="0" xfId="1192" applyNumberFormat="1" applyAlignment="1">
      <alignment horizontal="right"/>
    </xf>
    <xf numFmtId="2" fontId="14" fillId="0" borderId="0" xfId="1192" applyNumberFormat="1"/>
    <xf numFmtId="6" fontId="14" fillId="0" borderId="0" xfId="1192" applyNumberFormat="1"/>
    <xf numFmtId="0" fontId="21" fillId="0" borderId="0" xfId="1192" applyFont="1"/>
    <xf numFmtId="0" fontId="44" fillId="0" borderId="0" xfId="1192" applyFont="1"/>
    <xf numFmtId="168" fontId="14" fillId="0" borderId="0" xfId="4495" applyNumberFormat="1" applyFont="1"/>
    <xf numFmtId="0" fontId="21" fillId="0" borderId="0" xfId="1192" applyFont="1" applyAlignment="1">
      <alignment vertical="center"/>
    </xf>
    <xf numFmtId="0" fontId="116" fillId="0" borderId="0" xfId="1192" applyFont="1" applyAlignment="1">
      <alignment horizontal="left"/>
    </xf>
    <xf numFmtId="0" fontId="113" fillId="0" borderId="0" xfId="1192" applyFont="1" applyAlignment="1">
      <alignment horizontal="left"/>
    </xf>
    <xf numFmtId="0" fontId="113" fillId="0" borderId="0" xfId="1192" applyFont="1" applyAlignment="1">
      <alignment horizontal="center"/>
    </xf>
    <xf numFmtId="168" fontId="14" fillId="0" borderId="0" xfId="1192" applyNumberFormat="1" applyAlignment="1">
      <alignment horizontal="center"/>
    </xf>
    <xf numFmtId="9" fontId="14" fillId="0" borderId="0" xfId="1192" applyNumberFormat="1"/>
    <xf numFmtId="0" fontId="14" fillId="0" borderId="0" xfId="1192" applyAlignment="1">
      <alignment horizontal="right"/>
    </xf>
    <xf numFmtId="0" fontId="14" fillId="0" borderId="53" xfId="4495" applyFont="1" applyBorder="1" applyAlignment="1">
      <alignment horizontal="left"/>
    </xf>
    <xf numFmtId="6" fontId="21" fillId="0" borderId="0" xfId="1192" applyNumberFormat="1" applyFont="1" applyAlignment="1">
      <alignment horizontal="right"/>
    </xf>
    <xf numFmtId="165" fontId="14" fillId="0" borderId="0" xfId="4495" applyNumberFormat="1" applyFont="1"/>
    <xf numFmtId="0" fontId="52" fillId="0" borderId="4" xfId="4495" applyFont="1" applyBorder="1"/>
    <xf numFmtId="0" fontId="34" fillId="0" borderId="0" xfId="543" applyFont="1" applyAlignment="1">
      <alignment vertical="center" wrapText="1"/>
    </xf>
    <xf numFmtId="1" fontId="21" fillId="0" borderId="13" xfId="271" applyNumberFormat="1" applyFont="1" applyBorder="1"/>
    <xf numFmtId="1" fontId="23" fillId="0" borderId="13" xfId="271" applyNumberFormat="1" applyBorder="1"/>
    <xf numFmtId="0" fontId="14" fillId="0" borderId="11" xfId="0" applyFont="1" applyBorder="1"/>
    <xf numFmtId="9" fontId="14" fillId="0" borderId="0" xfId="4495" applyNumberFormat="1" applyFont="1"/>
    <xf numFmtId="165" fontId="120" fillId="0" borderId="0" xfId="4496" applyNumberFormat="1" applyFont="1" applyAlignment="1">
      <alignment horizontal="center" vertical="top" wrapText="1"/>
    </xf>
    <xf numFmtId="168" fontId="120" fillId="0" borderId="0" xfId="4496" applyNumberFormat="1" applyFont="1" applyAlignment="1">
      <alignment vertical="top" wrapText="1"/>
    </xf>
    <xf numFmtId="165" fontId="120" fillId="0" borderId="64" xfId="4496" applyNumberFormat="1" applyFont="1" applyBorder="1" applyAlignment="1">
      <alignment horizontal="center" vertical="top" wrapText="1"/>
    </xf>
    <xf numFmtId="165" fontId="120" fillId="0" borderId="53" xfId="4496" applyNumberFormat="1" applyFont="1" applyBorder="1" applyAlignment="1">
      <alignment horizontal="left" vertical="top"/>
    </xf>
    <xf numFmtId="165" fontId="120" fillId="0" borderId="53" xfId="4496" applyNumberFormat="1" applyFont="1" applyBorder="1" applyAlignment="1">
      <alignment horizontal="center" vertical="top" wrapText="1"/>
    </xf>
    <xf numFmtId="168" fontId="120" fillId="0" borderId="0" xfId="4496" applyNumberFormat="1" applyFont="1" applyAlignment="1">
      <alignment vertical="top"/>
    </xf>
    <xf numFmtId="1" fontId="120" fillId="0" borderId="0" xfId="4496" applyNumberFormat="1" applyFont="1" applyAlignment="1">
      <alignment vertical="top" wrapText="1"/>
    </xf>
    <xf numFmtId="164" fontId="22" fillId="0" borderId="0" xfId="4495" applyNumberFormat="1" applyFont="1"/>
    <xf numFmtId="0" fontId="21" fillId="0" borderId="8" xfId="0" applyFont="1" applyBorder="1" applyAlignment="1">
      <alignment horizontal="center" vertical="center" wrapText="1"/>
    </xf>
    <xf numFmtId="0" fontId="21"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9" fillId="0" borderId="50" xfId="1192" applyFont="1" applyBorder="1" applyAlignment="1">
      <alignment horizontal="left"/>
    </xf>
    <xf numFmtId="0" fontId="140" fillId="0" borderId="51" xfId="4495" applyFont="1" applyBorder="1" applyAlignment="1">
      <alignment vertical="top"/>
    </xf>
    <xf numFmtId="0" fontId="139" fillId="0" borderId="51" xfId="4495" applyFont="1" applyBorder="1" applyAlignment="1">
      <alignment vertical="top" wrapText="1"/>
    </xf>
    <xf numFmtId="0" fontId="140" fillId="0" borderId="51" xfId="4495" applyFont="1" applyBorder="1"/>
    <xf numFmtId="0" fontId="140" fillId="0" borderId="53" xfId="1192" applyFont="1" applyBorder="1" applyAlignment="1">
      <alignment horizontal="left"/>
    </xf>
    <xf numFmtId="0" fontId="140" fillId="0" borderId="0" xfId="4495" applyFont="1" applyAlignment="1">
      <alignment vertical="top"/>
    </xf>
    <xf numFmtId="0" fontId="139" fillId="0" borderId="0" xfId="4495" applyFont="1" applyAlignment="1">
      <alignment vertical="top" wrapText="1"/>
    </xf>
    <xf numFmtId="0" fontId="140" fillId="0" borderId="0" xfId="4495" applyFont="1"/>
    <xf numFmtId="0" fontId="139" fillId="0" borderId="53" xfId="1192" applyFont="1" applyBorder="1" applyAlignment="1">
      <alignment horizontal="left"/>
    </xf>
    <xf numFmtId="0" fontId="139" fillId="0" borderId="57" xfId="1192" applyFont="1" applyBorder="1" applyAlignment="1">
      <alignment horizontal="left"/>
    </xf>
    <xf numFmtId="0" fontId="140" fillId="0" borderId="58" xfId="4495" applyFont="1" applyBorder="1" applyAlignment="1">
      <alignment vertical="top"/>
    </xf>
    <xf numFmtId="0" fontId="139" fillId="0" borderId="58" xfId="4495" applyFont="1" applyBorder="1" applyAlignment="1">
      <alignment vertical="top" wrapText="1"/>
    </xf>
    <xf numFmtId="0" fontId="140" fillId="0" borderId="58" xfId="4495" applyFont="1" applyBorder="1"/>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1" fillId="0" borderId="7" xfId="0" applyFont="1" applyBorder="1" applyAlignment="1">
      <alignment horizontal="right"/>
    </xf>
    <xf numFmtId="0" fontId="0" fillId="0" borderId="0" xfId="0" applyAlignment="1" applyProtection="1">
      <alignment horizontal="left" vertical="top" wrapText="1"/>
      <protection locked="0"/>
    </xf>
    <xf numFmtId="2" fontId="14" fillId="0" borderId="0" xfId="0" applyNumberFormat="1" applyFont="1"/>
    <xf numFmtId="0" fontId="14" fillId="0" borderId="9" xfId="0" applyFont="1" applyBorder="1" applyAlignment="1">
      <alignment horizontal="left"/>
    </xf>
    <xf numFmtId="0" fontId="14" fillId="0" borderId="6" xfId="0" applyFont="1" applyBorder="1"/>
    <xf numFmtId="0" fontId="14" fillId="0" borderId="9" xfId="0" applyFont="1" applyBorder="1"/>
    <xf numFmtId="0" fontId="47" fillId="0" borderId="0" xfId="0" applyFont="1" applyAlignment="1">
      <alignment horizontal="center"/>
    </xf>
    <xf numFmtId="0" fontId="20" fillId="0" borderId="0" xfId="0" applyFont="1" applyAlignment="1">
      <alignment horizontal="center" vertical="center" wrapText="1"/>
    </xf>
    <xf numFmtId="0" fontId="29" fillId="0" borderId="0" xfId="0" applyFont="1" applyAlignment="1">
      <alignment horizontal="center"/>
    </xf>
    <xf numFmtId="0" fontId="22" fillId="0" borderId="0" xfId="0" applyFont="1" applyAlignment="1">
      <alignment horizontal="center"/>
    </xf>
    <xf numFmtId="0" fontId="21" fillId="0" borderId="3" xfId="0" applyFont="1" applyBorder="1"/>
    <xf numFmtId="0" fontId="21" fillId="0" borderId="4" xfId="271" applyFont="1" applyBorder="1"/>
    <xf numFmtId="0" fontId="21" fillId="0" borderId="3" xfId="271" applyFont="1" applyBorder="1"/>
    <xf numFmtId="0" fontId="21" fillId="0" borderId="5" xfId="271" applyFont="1" applyBorder="1"/>
    <xf numFmtId="0" fontId="14" fillId="0" borderId="58" xfId="4495" applyFont="1" applyBorder="1" applyAlignment="1">
      <alignment vertical="center" wrapText="1"/>
    </xf>
    <xf numFmtId="0" fontId="14" fillId="0" borderId="59" xfId="4495" applyFont="1" applyBorder="1" applyAlignment="1">
      <alignment vertical="center" wrapText="1"/>
    </xf>
    <xf numFmtId="0" fontId="14" fillId="0" borderId="0" xfId="4495" applyFont="1" applyAlignment="1">
      <alignment horizontal="left" vertical="center" wrapText="1"/>
    </xf>
    <xf numFmtId="0" fontId="21" fillId="0" borderId="5" xfId="0" applyFont="1" applyBorder="1"/>
    <xf numFmtId="168" fontId="19" fillId="43" borderId="0" xfId="0" applyNumberFormat="1" applyFont="1" applyFill="1"/>
    <xf numFmtId="9" fontId="22" fillId="0" borderId="0" xfId="543" applyNumberFormat="1" applyFont="1" applyAlignment="1">
      <alignment horizontal="center"/>
    </xf>
    <xf numFmtId="171" fontId="14" fillId="0" borderId="0" xfId="543" applyNumberFormat="1"/>
    <xf numFmtId="171" fontId="14" fillId="0" borderId="11" xfId="543" applyNumberFormat="1" applyBorder="1"/>
    <xf numFmtId="1" fontId="14" fillId="0" borderId="11" xfId="543" applyNumberFormat="1" applyBorder="1" applyAlignment="1">
      <alignment horizontal="center"/>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41" fillId="0" borderId="8" xfId="543" applyFont="1" applyBorder="1" applyAlignment="1">
      <alignment vertical="center" wrapText="1"/>
    </xf>
    <xf numFmtId="0" fontId="41" fillId="0" borderId="0" xfId="543" applyFont="1" applyAlignment="1">
      <alignment vertical="center" wrapText="1"/>
    </xf>
    <xf numFmtId="0" fontId="41" fillId="0" borderId="12" xfId="543" applyFont="1" applyBorder="1" applyAlignment="1">
      <alignment vertical="center" wrapText="1"/>
    </xf>
    <xf numFmtId="0" fontId="41" fillId="0" borderId="9" xfId="543" applyFont="1" applyBorder="1" applyAlignment="1">
      <alignment vertical="center" wrapText="1"/>
    </xf>
    <xf numFmtId="0" fontId="41" fillId="0" borderId="6" xfId="543" applyFont="1" applyBorder="1" applyAlignment="1">
      <alignment vertical="center" wrapText="1"/>
    </xf>
    <xf numFmtId="0" fontId="41" fillId="0" borderId="10" xfId="543" applyFont="1" applyBorder="1" applyAlignment="1">
      <alignment vertical="center" wrapText="1"/>
    </xf>
    <xf numFmtId="0" fontId="34" fillId="0" borderId="12" xfId="543" applyFont="1" applyBorder="1" applyAlignment="1">
      <alignment horizontal="center" vertical="top"/>
    </xf>
    <xf numFmtId="0" fontId="35" fillId="0" borderId="7" xfId="543" applyFont="1" applyBorder="1"/>
    <xf numFmtId="0" fontId="14" fillId="0" borderId="12" xfId="543" quotePrefix="1" applyBorder="1"/>
    <xf numFmtId="0" fontId="51" fillId="0" borderId="2" xfId="569" applyFont="1" applyBorder="1" applyAlignment="1">
      <alignment vertical="top"/>
    </xf>
    <xf numFmtId="0" fontId="24" fillId="0" borderId="0" xfId="4495" applyFont="1"/>
    <xf numFmtId="0" fontId="14" fillId="0" borderId="0" xfId="4495" applyFont="1" applyAlignment="1">
      <alignment vertical="top" wrapText="1" shrinkToFit="1"/>
    </xf>
    <xf numFmtId="0" fontId="154" fillId="0" borderId="0" xfId="4495" applyFont="1"/>
    <xf numFmtId="164" fontId="14" fillId="0" borderId="0" xfId="1192" applyNumberFormat="1" applyAlignment="1">
      <alignment horizontal="right"/>
    </xf>
    <xf numFmtId="164" fontId="14" fillId="0" borderId="0" xfId="4495" applyNumberFormat="1" applyFont="1" applyAlignment="1">
      <alignment horizontal="right"/>
    </xf>
    <xf numFmtId="0" fontId="14" fillId="0" borderId="0" xfId="4495" applyFont="1" applyAlignment="1">
      <alignment horizontal="left" vertical="top" wrapText="1" shrinkToFit="1"/>
    </xf>
    <xf numFmtId="0" fontId="14" fillId="0" borderId="6" xfId="4495" applyFont="1" applyBorder="1" applyAlignment="1">
      <alignment vertical="top" wrapText="1"/>
    </xf>
    <xf numFmtId="0" fontId="154" fillId="0" borderId="4" xfId="4495" applyFont="1" applyBorder="1"/>
    <xf numFmtId="0" fontId="14" fillId="0" borderId="4" xfId="4495" applyFont="1" applyBorder="1" applyAlignment="1">
      <alignment horizontal="left" vertical="top" wrapText="1" shrinkToFit="1"/>
    </xf>
    <xf numFmtId="0" fontId="24" fillId="0" borderId="0" xfId="4495" applyFont="1" applyAlignment="1">
      <alignment horizontal="left" vertical="top"/>
    </xf>
    <xf numFmtId="0" fontId="14" fillId="0" borderId="0" xfId="4495" applyFont="1" applyAlignment="1">
      <alignment vertical="center" wrapText="1" shrinkToFit="1"/>
    </xf>
    <xf numFmtId="0" fontId="14" fillId="0" borderId="0" xfId="4495" applyFont="1" applyAlignment="1">
      <alignment horizontal="left" vertical="top" shrinkToFit="1"/>
    </xf>
    <xf numFmtId="0" fontId="14" fillId="0" borderId="0" xfId="4495" applyFont="1" applyAlignment="1">
      <alignment horizontal="left" vertical="center" shrinkToFit="1"/>
    </xf>
    <xf numFmtId="0" fontId="24" fillId="0" borderId="4" xfId="4495" applyFont="1" applyBorder="1"/>
    <xf numFmtId="0" fontId="14" fillId="0" borderId="4" xfId="4495" applyFont="1" applyBorder="1" applyAlignment="1">
      <alignment horizontal="left" vertical="top" shrinkToFit="1"/>
    </xf>
    <xf numFmtId="0" fontId="14" fillId="0" borderId="0" xfId="4495" applyFont="1" applyAlignment="1">
      <alignment vertical="center"/>
    </xf>
    <xf numFmtId="0" fontId="20" fillId="0" borderId="0" xfId="4495" applyFont="1"/>
    <xf numFmtId="0" fontId="24" fillId="0" borderId="0" xfId="4495" applyFont="1" applyAlignment="1">
      <alignment horizontal="center"/>
    </xf>
    <xf numFmtId="0" fontId="14" fillId="0" borderId="4" xfId="4495" applyFont="1" applyBorder="1" applyAlignment="1">
      <alignment horizontal="left" vertical="top" wrapText="1"/>
    </xf>
    <xf numFmtId="44" fontId="14" fillId="0" borderId="0" xfId="707" applyFont="1" applyFill="1" applyBorder="1" applyAlignment="1" applyProtection="1">
      <alignment horizontal="left" vertical="top" wrapText="1"/>
    </xf>
    <xf numFmtId="44" fontId="14" fillId="0" borderId="4" xfId="707" applyFont="1" applyFill="1" applyBorder="1" applyAlignment="1" applyProtection="1">
      <alignment horizontal="left" vertical="top" wrapText="1"/>
    </xf>
    <xf numFmtId="164" fontId="32" fillId="0" borderId="0" xfId="4495" applyNumberFormat="1" applyFont="1" applyAlignment="1">
      <alignment horizontal="left"/>
    </xf>
    <xf numFmtId="0" fontId="24" fillId="0" borderId="0" xfId="4495" applyFont="1" applyAlignment="1">
      <alignment horizontal="left"/>
    </xf>
    <xf numFmtId="0" fontId="14" fillId="0" borderId="4" xfId="4495" applyFont="1" applyBorder="1" applyAlignment="1">
      <alignment vertical="top" wrapText="1"/>
    </xf>
    <xf numFmtId="0" fontId="24" fillId="0" borderId="4" xfId="4495" applyFont="1" applyBorder="1" applyAlignment="1">
      <alignment horizontal="left" vertical="top"/>
    </xf>
    <xf numFmtId="0" fontId="14" fillId="0" borderId="0" xfId="4495" applyFont="1" applyAlignment="1">
      <alignment horizontal="left" vertical="center" wrapText="1" shrinkToFit="1"/>
    </xf>
    <xf numFmtId="0" fontId="14" fillId="0" borderId="6" xfId="4495" applyFont="1" applyBorder="1" applyAlignment="1">
      <alignment horizontal="left" vertical="top" wrapText="1"/>
    </xf>
    <xf numFmtId="2" fontId="116" fillId="0" borderId="0" xfId="0" applyNumberFormat="1" applyFont="1" applyAlignment="1">
      <alignment horizontal="center"/>
    </xf>
    <xf numFmtId="9" fontId="14" fillId="0" borderId="0" xfId="4494" applyFont="1" applyAlignment="1">
      <alignment horizontal="center"/>
    </xf>
    <xf numFmtId="3" fontId="14" fillId="0" borderId="0" xfId="0" applyNumberFormat="1" applyFont="1"/>
    <xf numFmtId="10" fontId="14" fillId="0" borderId="0" xfId="0" applyNumberFormat="1" applyFont="1" applyAlignment="1">
      <alignment horizontal="center"/>
    </xf>
    <xf numFmtId="168" fontId="14" fillId="0" borderId="0" xfId="0" applyNumberFormat="1" applyFont="1"/>
    <xf numFmtId="172" fontId="14" fillId="0" borderId="11" xfId="0" applyNumberFormat="1" applyFont="1" applyBorder="1" applyAlignment="1">
      <alignment horizontal="center"/>
    </xf>
    <xf numFmtId="168" fontId="14" fillId="5" borderId="0" xfId="0" applyNumberFormat="1" applyFont="1" applyFill="1"/>
    <xf numFmtId="3" fontId="14" fillId="5" borderId="0" xfId="0" applyNumberFormat="1" applyFont="1" applyFill="1"/>
    <xf numFmtId="0" fontId="14" fillId="5" borderId="0" xfId="0" applyFont="1" applyFill="1"/>
    <xf numFmtId="3" fontId="14" fillId="5" borderId="6" xfId="0" applyNumberFormat="1" applyFont="1" applyFill="1" applyBorder="1"/>
    <xf numFmtId="3" fontId="14" fillId="0" borderId="6" xfId="0" applyNumberFormat="1" applyFont="1" applyBorder="1"/>
    <xf numFmtId="168" fontId="14" fillId="0" borderId="0" xfId="0" applyNumberFormat="1" applyFont="1" applyAlignment="1">
      <alignment horizontal="center"/>
    </xf>
    <xf numFmtId="3" fontId="14" fillId="0" borderId="0" xfId="0" applyNumberFormat="1" applyFont="1" applyAlignment="1">
      <alignment horizontal="center"/>
    </xf>
    <xf numFmtId="0" fontId="14" fillId="0" borderId="50" xfId="4495" applyFont="1" applyBorder="1" applyAlignment="1">
      <alignment vertical="center"/>
    </xf>
    <xf numFmtId="0" fontId="14" fillId="0" borderId="51" xfId="4495" applyFont="1" applyBorder="1" applyAlignment="1">
      <alignment vertical="center"/>
    </xf>
    <xf numFmtId="0" fontId="14" fillId="0" borderId="52" xfId="4495" applyFont="1" applyBorder="1" applyAlignment="1">
      <alignment vertical="center"/>
    </xf>
    <xf numFmtId="0" fontId="14" fillId="0" borderId="54" xfId="4495" applyFont="1" applyBorder="1" applyAlignment="1">
      <alignment vertical="center" wrapText="1"/>
    </xf>
    <xf numFmtId="0" fontId="14" fillId="0" borderId="53" xfId="4495" applyFont="1" applyBorder="1" applyAlignment="1">
      <alignment vertical="top" wrapText="1"/>
    </xf>
    <xf numFmtId="0" fontId="14" fillId="0" borderId="58" xfId="0" applyFont="1" applyBorder="1" applyAlignment="1">
      <alignment horizontal="left"/>
    </xf>
    <xf numFmtId="9" fontId="14" fillId="0" borderId="0" xfId="543" applyNumberFormat="1" applyAlignment="1">
      <alignment horizontal="center"/>
    </xf>
    <xf numFmtId="0" fontId="46" fillId="0" borderId="0" xfId="4496" applyFont="1"/>
    <xf numFmtId="168" fontId="51" fillId="5" borderId="11" xfId="0" applyNumberFormat="1" applyFont="1" applyFill="1" applyBorder="1" applyAlignment="1" applyProtection="1">
      <alignment vertical="top" wrapText="1"/>
      <protection locked="0"/>
    </xf>
    <xf numFmtId="0" fontId="14" fillId="0" borderId="0" xfId="0" applyFont="1" applyAlignment="1">
      <alignment horizontal="left"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0" fontId="21" fillId="0" borderId="4" xfId="0" applyFont="1" applyBorder="1" applyAlignment="1">
      <alignment horizontal="left"/>
    </xf>
    <xf numFmtId="4" fontId="14" fillId="0" borderId="0" xfId="0" applyNumberFormat="1" applyFont="1" applyAlignment="1">
      <alignment horizontal="left"/>
    </xf>
    <xf numFmtId="43" fontId="49" fillId="0" borderId="0" xfId="4504" applyFont="1" applyAlignment="1" applyProtection="1">
      <alignment horizontal="center"/>
    </xf>
    <xf numFmtId="43" fontId="14" fillId="0" borderId="0" xfId="4504" applyFont="1" applyAlignment="1" applyProtection="1">
      <alignment horizontal="center"/>
    </xf>
    <xf numFmtId="43" fontId="14" fillId="0" borderId="0" xfId="4504" applyFont="1" applyProtection="1"/>
    <xf numFmtId="49" fontId="14" fillId="0" borderId="0" xfId="0" applyNumberFormat="1" applyFont="1"/>
    <xf numFmtId="49" fontId="14" fillId="0" borderId="0" xfId="0" applyNumberFormat="1" applyFont="1" applyAlignment="1">
      <alignment horizontal="center"/>
    </xf>
    <xf numFmtId="4" fontId="14" fillId="0" borderId="0" xfId="0" applyNumberFormat="1" applyFont="1" applyAlignment="1">
      <alignment vertical="top" wrapText="1"/>
    </xf>
    <xf numFmtId="0" fontId="14" fillId="0" borderId="0" xfId="0" quotePrefix="1" applyFont="1"/>
    <xf numFmtId="0" fontId="44" fillId="0" borderId="0" xfId="0" applyFont="1" applyAlignment="1">
      <alignment horizontal="left"/>
    </xf>
    <xf numFmtId="0" fontId="14" fillId="0" borderId="4" xfId="0" applyFont="1" applyBorder="1" applyAlignment="1">
      <alignment horizontal="left"/>
    </xf>
    <xf numFmtId="0" fontId="14" fillId="0" borderId="0" xfId="0" quotePrefix="1" applyFont="1" applyAlignment="1">
      <alignment horizontal="left"/>
    </xf>
    <xf numFmtId="0" fontId="14" fillId="0" borderId="0" xfId="0" quotePrefix="1" applyFont="1" applyAlignment="1">
      <alignment horizontal="left" vertical="top"/>
    </xf>
    <xf numFmtId="0" fontId="44" fillId="0" borderId="0" xfId="1192" applyFont="1" applyAlignment="1">
      <alignment horizontal="left"/>
    </xf>
    <xf numFmtId="0" fontId="49" fillId="0" borderId="0" xfId="0" applyFont="1" applyAlignment="1">
      <alignment horizontal="center" vertical="center"/>
    </xf>
    <xf numFmtId="49" fontId="21" fillId="0" borderId="0" xfId="0" applyNumberFormat="1" applyFont="1" applyAlignment="1">
      <alignment horizontal="center" vertical="center"/>
    </xf>
    <xf numFmtId="49" fontId="14" fillId="0" borderId="0" xfId="0" applyNumberFormat="1" applyFont="1" applyAlignment="1">
      <alignment vertical="center"/>
    </xf>
    <xf numFmtId="4" fontId="14" fillId="0" borderId="0" xfId="0" applyNumberFormat="1" applyFont="1" applyAlignment="1">
      <alignment horizontal="center"/>
    </xf>
    <xf numFmtId="4" fontId="14" fillId="0" borderId="0" xfId="0" applyNumberFormat="1" applyFont="1"/>
    <xf numFmtId="10" fontId="14" fillId="0" borderId="0" xfId="4495" applyNumberFormat="1" applyFont="1"/>
    <xf numFmtId="10" fontId="120" fillId="0" borderId="0" xfId="4496" applyNumberFormat="1" applyFont="1" applyAlignment="1">
      <alignment horizontal="center" vertical="top" wrapText="1"/>
    </xf>
    <xf numFmtId="10" fontId="120" fillId="0" borderId="64" xfId="4496" applyNumberFormat="1" applyFont="1" applyBorder="1" applyAlignment="1">
      <alignment horizontal="center" vertical="top" wrapText="1"/>
    </xf>
    <xf numFmtId="10" fontId="120"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4" fillId="0" borderId="0" xfId="1192" quotePrefix="1" applyNumberFormat="1" applyAlignment="1">
      <alignment horizontal="center"/>
    </xf>
    <xf numFmtId="0" fontId="120" fillId="0" borderId="0" xfId="4495" applyFont="1"/>
    <xf numFmtId="10" fontId="120" fillId="0" borderId="0" xfId="4495" applyNumberFormat="1" applyFont="1"/>
    <xf numFmtId="172" fontId="14" fillId="0" borderId="0" xfId="4495" applyNumberFormat="1" applyFont="1"/>
    <xf numFmtId="0" fontId="37" fillId="0" borderId="0" xfId="0" applyFont="1" applyAlignment="1">
      <alignment horizontal="center"/>
    </xf>
    <xf numFmtId="0" fontId="33" fillId="0" borderId="0" xfId="0" applyFont="1" applyAlignment="1">
      <alignment horizontal="left"/>
    </xf>
    <xf numFmtId="0" fontId="0" fillId="0" borderId="10" xfId="0" applyBorder="1" applyAlignment="1">
      <alignment horizontal="left"/>
    </xf>
    <xf numFmtId="1" fontId="14" fillId="0" borderId="0" xfId="1192" applyNumberFormat="1" applyAlignment="1">
      <alignment horizontal="center"/>
    </xf>
    <xf numFmtId="0" fontId="118" fillId="0" borderId="63" xfId="4495" applyBorder="1"/>
    <xf numFmtId="0" fontId="51" fillId="0" borderId="0" xfId="271" applyFont="1" applyAlignment="1">
      <alignment vertical="top"/>
    </xf>
    <xf numFmtId="0" fontId="21" fillId="0" borderId="11" xfId="0" applyFont="1" applyBorder="1" applyAlignment="1">
      <alignment horizontal="right" vertical="top" wrapText="1"/>
    </xf>
    <xf numFmtId="0" fontId="23" fillId="0" borderId="11" xfId="271" applyBorder="1" applyAlignment="1" applyProtection="1">
      <alignment horizontal="right" vertical="top" wrapText="1"/>
      <protection locked="0"/>
    </xf>
    <xf numFmtId="0" fontId="14" fillId="0" borderId="54" xfId="4495" applyFont="1" applyBorder="1" applyAlignment="1">
      <alignment vertical="top"/>
    </xf>
    <xf numFmtId="9" fontId="23" fillId="0" borderId="0" xfId="0" applyNumberFormat="1" applyFont="1"/>
    <xf numFmtId="0" fontId="14" fillId="0" borderId="16" xfId="569" applyBorder="1" applyAlignment="1">
      <alignment horizontal="center"/>
    </xf>
    <xf numFmtId="164" fontId="14" fillId="0" borderId="57" xfId="4495" applyNumberFormat="1" applyFont="1" applyBorder="1" applyAlignment="1">
      <alignment vertical="top" wrapText="1"/>
    </xf>
    <xf numFmtId="164" fontId="14" fillId="0" borderId="58" xfId="4495" applyNumberFormat="1" applyFont="1" applyBorder="1" applyAlignment="1">
      <alignment vertical="top" wrapText="1"/>
    </xf>
    <xf numFmtId="164" fontId="14" fillId="0" borderId="59" xfId="4495" applyNumberFormat="1" applyFont="1" applyBorder="1" applyAlignment="1">
      <alignment vertical="top" wrapText="1"/>
    </xf>
    <xf numFmtId="0" fontId="21" fillId="0" borderId="0" xfId="1192" applyFont="1" applyAlignment="1">
      <alignment horizontal="left" vertical="top" wrapText="1"/>
    </xf>
    <xf numFmtId="0" fontId="14" fillId="0" borderId="16" xfId="569" applyBorder="1"/>
    <xf numFmtId="0" fontId="14" fillId="0" borderId="4" xfId="569" applyBorder="1"/>
    <xf numFmtId="0" fontId="21" fillId="0" borderId="4" xfId="569" applyFont="1" applyBorder="1"/>
    <xf numFmtId="49" fontId="14" fillId="0" borderId="4" xfId="569" applyNumberFormat="1" applyBorder="1"/>
    <xf numFmtId="0" fontId="160" fillId="0" borderId="0" xfId="0" applyFont="1"/>
    <xf numFmtId="0" fontId="14" fillId="0" borderId="0" xfId="0" applyFont="1" applyAlignment="1">
      <alignment horizontal="right"/>
    </xf>
    <xf numFmtId="1" fontId="14" fillId="0" borderId="0" xfId="0" applyNumberFormat="1" applyFont="1" applyAlignment="1">
      <alignment horizontal="center"/>
    </xf>
    <xf numFmtId="0" fontId="21" fillId="0" borderId="0" xfId="0" applyFont="1" applyAlignment="1">
      <alignment horizontal="left" vertical="center"/>
    </xf>
    <xf numFmtId="0" fontId="14" fillId="0" borderId="0" xfId="0" applyFont="1" applyAlignment="1">
      <alignment horizontal="left" vertical="center"/>
    </xf>
    <xf numFmtId="0" fontId="21" fillId="0" borderId="0" xfId="569" applyFont="1" applyAlignment="1">
      <alignment vertical="top"/>
    </xf>
    <xf numFmtId="0" fontId="15" fillId="0" borderId="0" xfId="244" applyAlignment="1"/>
    <xf numFmtId="0" fontId="21" fillId="0" borderId="0" xfId="0" applyFont="1" applyAlignment="1">
      <alignment vertical="top" wrapText="1"/>
    </xf>
    <xf numFmtId="49" fontId="21" fillId="0" borderId="0" xfId="0" applyNumberFormat="1" applyFont="1"/>
    <xf numFmtId="49" fontId="21" fillId="0" borderId="0" xfId="0" applyNumberFormat="1" applyFont="1" applyAlignment="1">
      <alignment vertical="top"/>
    </xf>
    <xf numFmtId="0" fontId="37" fillId="0" borderId="11" xfId="0" applyFont="1" applyBorder="1"/>
    <xf numFmtId="175" fontId="14" fillId="0" borderId="0" xfId="543" applyNumberFormat="1" applyAlignment="1">
      <alignment vertical="center"/>
    </xf>
    <xf numFmtId="0" fontId="96" fillId="43" borderId="6" xfId="4496" applyFont="1" applyFill="1" applyBorder="1" applyAlignment="1" applyProtection="1">
      <alignment horizontal="center"/>
      <protection locked="0"/>
    </xf>
    <xf numFmtId="0" fontId="96" fillId="0" borderId="0" xfId="4496" applyFont="1"/>
    <xf numFmtId="0" fontId="96" fillId="0" borderId="0" xfId="4496" applyFont="1" applyAlignment="1">
      <alignment wrapText="1"/>
    </xf>
    <xf numFmtId="0" fontId="135" fillId="0" borderId="0" xfId="4496" applyFont="1"/>
    <xf numFmtId="181" fontId="136" fillId="0" borderId="0" xfId="4498" applyNumberFormat="1" applyFont="1" applyBorder="1" applyProtection="1"/>
    <xf numFmtId="0" fontId="137" fillId="0" borderId="0" xfId="4496" applyFont="1" applyAlignment="1">
      <alignment vertical="center" wrapText="1"/>
    </xf>
    <xf numFmtId="49" fontId="96" fillId="0" borderId="0" xfId="4496" applyNumberFormat="1" applyFont="1" applyAlignment="1">
      <alignment horizontal="center"/>
    </xf>
    <xf numFmtId="182" fontId="96" fillId="0" borderId="6" xfId="4496" applyNumberFormat="1" applyFont="1" applyBorder="1"/>
    <xf numFmtId="0" fontId="96" fillId="0" borderId="0" xfId="4496" applyFont="1" applyAlignment="1">
      <alignment vertical="center"/>
    </xf>
    <xf numFmtId="182" fontId="96" fillId="0" borderId="0" xfId="4496" applyNumberFormat="1" applyFont="1" applyAlignment="1">
      <alignment vertical="center"/>
    </xf>
    <xf numFmtId="175" fontId="96" fillId="0" borderId="0" xfId="4499" applyNumberFormat="1" applyFont="1" applyFill="1" applyBorder="1" applyAlignment="1" applyProtection="1">
      <alignment horizontal="left" vertical="center"/>
    </xf>
    <xf numFmtId="9" fontId="96" fillId="0" borderId="0" xfId="4499" applyFont="1" applyFill="1" applyBorder="1" applyAlignment="1" applyProtection="1">
      <alignment vertical="center"/>
    </xf>
    <xf numFmtId="183" fontId="96" fillId="0" borderId="0" xfId="4496" applyNumberFormat="1" applyFont="1" applyAlignment="1">
      <alignment vertical="center" wrapText="1"/>
    </xf>
    <xf numFmtId="9" fontId="96" fillId="0" borderId="0" xfId="4499" applyFont="1" applyBorder="1" applyAlignment="1" applyProtection="1">
      <alignment vertical="center"/>
    </xf>
    <xf numFmtId="164" fontId="96" fillId="0" borderId="0" xfId="4496" applyNumberFormat="1" applyFont="1" applyAlignment="1">
      <alignment vertical="center" wrapText="1"/>
    </xf>
    <xf numFmtId="0" fontId="96" fillId="0" borderId="0" xfId="4496" applyFont="1" applyAlignment="1">
      <alignment horizontal="center" vertical="center"/>
    </xf>
    <xf numFmtId="182" fontId="96" fillId="0" borderId="11" xfId="8722" applyNumberFormat="1" applyFont="1" applyBorder="1" applyProtection="1"/>
    <xf numFmtId="182" fontId="96" fillId="0" borderId="11" xfId="4496" applyNumberFormat="1" applyFont="1" applyBorder="1"/>
    <xf numFmtId="164" fontId="96" fillId="0" borderId="0" xfId="4496" applyNumberFormat="1" applyFont="1" applyAlignment="1">
      <alignment wrapText="1"/>
    </xf>
    <xf numFmtId="49" fontId="96" fillId="0" borderId="0" xfId="4496" applyNumberFormat="1" applyFont="1" applyAlignment="1">
      <alignment horizontal="left"/>
    </xf>
    <xf numFmtId="0" fontId="138" fillId="0" borderId="0" xfId="4496" applyFont="1"/>
    <xf numFmtId="9" fontId="96" fillId="0" borderId="11" xfId="4494" applyFont="1" applyFill="1" applyBorder="1" applyAlignment="1" applyProtection="1">
      <alignment horizontal="right"/>
    </xf>
    <xf numFmtId="182" fontId="96" fillId="0" borderId="11" xfId="4496" applyNumberFormat="1" applyFont="1" applyBorder="1" applyAlignment="1">
      <alignment horizontal="left"/>
    </xf>
    <xf numFmtId="1" fontId="96" fillId="0" borderId="0" xfId="4496" applyNumberFormat="1" applyFont="1"/>
    <xf numFmtId="2" fontId="96" fillId="0" borderId="0" xfId="4496" applyNumberFormat="1" applyFont="1" applyAlignment="1">
      <alignment horizontal="center"/>
    </xf>
    <xf numFmtId="2" fontId="96" fillId="0" borderId="0" xfId="4496" applyNumberFormat="1" applyFont="1"/>
    <xf numFmtId="0" fontId="135" fillId="45" borderId="3" xfId="4496" applyFont="1" applyFill="1" applyBorder="1" applyAlignment="1">
      <alignment horizontal="left" indent="1"/>
    </xf>
    <xf numFmtId="0" fontId="96" fillId="45" borderId="4" xfId="4496" applyFont="1" applyFill="1" applyBorder="1"/>
    <xf numFmtId="2" fontId="96" fillId="45" borderId="5" xfId="4496" applyNumberFormat="1" applyFont="1" applyFill="1" applyBorder="1"/>
    <xf numFmtId="181" fontId="96" fillId="0" borderId="0" xfId="4496" applyNumberFormat="1" applyFont="1"/>
    <xf numFmtId="165" fontId="136" fillId="0" borderId="0" xfId="4499" applyNumberFormat="1" applyFont="1" applyFill="1" applyBorder="1" applyProtection="1"/>
    <xf numFmtId="9" fontId="96" fillId="0" borderId="0" xfId="4494" applyFont="1" applyFill="1" applyProtection="1"/>
    <xf numFmtId="0" fontId="96" fillId="0" borderId="11" xfId="4496" applyFont="1" applyBorder="1" applyAlignment="1">
      <alignment horizontal="center"/>
    </xf>
    <xf numFmtId="2" fontId="96" fillId="0" borderId="11" xfId="4496" applyNumberFormat="1" applyFont="1" applyBorder="1" applyAlignment="1">
      <alignment horizontal="center"/>
    </xf>
    <xf numFmtId="0" fontId="96" fillId="0" borderId="0" xfId="4496" applyFont="1" applyAlignment="1">
      <alignment vertical="top" wrapText="1"/>
    </xf>
    <xf numFmtId="0" fontId="96" fillId="0" borderId="11" xfId="4496" applyFont="1" applyBorder="1" applyAlignment="1">
      <alignment horizontal="center" vertical="top" wrapText="1"/>
    </xf>
    <xf numFmtId="182" fontId="96" fillId="0" borderId="0" xfId="8722" applyNumberFormat="1" applyFont="1" applyBorder="1" applyProtection="1"/>
    <xf numFmtId="0" fontId="96" fillId="0" borderId="0" xfId="4496" applyFont="1" applyAlignment="1">
      <alignment horizontal="left" indent="1"/>
    </xf>
    <xf numFmtId="182" fontId="96" fillId="0" borderId="0" xfId="4496" applyNumberFormat="1" applyFont="1"/>
    <xf numFmtId="184" fontId="96" fillId="0" borderId="0" xfId="4496" applyNumberFormat="1" applyFont="1"/>
    <xf numFmtId="0" fontId="96" fillId="0" borderId="0" xfId="4496" applyFont="1" applyAlignment="1">
      <alignment horizontal="left"/>
    </xf>
    <xf numFmtId="0" fontId="96" fillId="0" borderId="0" xfId="4496" applyFont="1" applyAlignment="1">
      <alignment horizontal="center"/>
    </xf>
    <xf numFmtId="9" fontId="96" fillId="0" borderId="0" xfId="4494" applyFont="1" applyFill="1" applyBorder="1" applyProtection="1"/>
    <xf numFmtId="3" fontId="19" fillId="0" borderId="11" xfId="271" applyNumberFormat="1" applyFont="1" applyBorder="1" applyAlignment="1">
      <alignment horizontal="center"/>
    </xf>
    <xf numFmtId="3" fontId="19" fillId="43" borderId="11" xfId="271" applyNumberFormat="1" applyFont="1" applyFill="1" applyBorder="1" applyAlignment="1" applyProtection="1">
      <alignment horizontal="center"/>
      <protection locked="0"/>
    </xf>
    <xf numFmtId="3" fontId="19" fillId="43" borderId="11" xfId="271" applyNumberFormat="1" applyFont="1" applyFill="1" applyBorder="1" applyProtection="1">
      <protection locked="0"/>
    </xf>
    <xf numFmtId="0" fontId="96" fillId="0" borderId="0" xfId="4496" applyFont="1" applyAlignment="1">
      <alignment horizontal="right"/>
    </xf>
    <xf numFmtId="168" fontId="23" fillId="0" borderId="0" xfId="0" applyNumberFormat="1" applyFont="1"/>
    <xf numFmtId="0" fontId="96" fillId="0" borderId="15" xfId="4496" applyFont="1" applyBorder="1" applyAlignment="1">
      <alignment horizontal="center" vertical="top" wrapText="1"/>
    </xf>
    <xf numFmtId="2" fontId="96" fillId="0" borderId="15" xfId="4496" applyNumberFormat="1" applyFont="1" applyBorder="1" applyAlignment="1">
      <alignment horizontal="center"/>
    </xf>
    <xf numFmtId="0" fontId="96" fillId="0" borderId="15" xfId="4496" applyFont="1" applyBorder="1" applyAlignment="1">
      <alignment horizontal="center"/>
    </xf>
    <xf numFmtId="0" fontId="135" fillId="0" borderId="71" xfId="4496" applyFont="1" applyBorder="1" applyAlignment="1">
      <alignment horizontal="center" vertical="top" wrapText="1"/>
    </xf>
    <xf numFmtId="0" fontId="135" fillId="0" borderId="71" xfId="4496" applyFont="1" applyBorder="1" applyAlignment="1">
      <alignment horizontal="center"/>
    </xf>
    <xf numFmtId="0" fontId="165" fillId="0" borderId="0" xfId="4496" applyFont="1" applyAlignment="1">
      <alignment horizontal="right" vertical="center"/>
    </xf>
    <xf numFmtId="175" fontId="96" fillId="0" borderId="0" xfId="4499" applyNumberFormat="1" applyFont="1" applyFill="1" applyBorder="1" applyAlignment="1" applyProtection="1">
      <alignment horizontal="right" vertical="center"/>
    </xf>
    <xf numFmtId="5" fontId="96" fillId="0" borderId="6" xfId="4496" applyNumberFormat="1" applyFont="1" applyBorder="1" applyAlignment="1">
      <alignment vertical="center"/>
    </xf>
    <xf numFmtId="0" fontId="96" fillId="0" borderId="66" xfId="4496" applyFont="1" applyBorder="1" applyAlignment="1">
      <alignment vertical="center"/>
    </xf>
    <xf numFmtId="0" fontId="96" fillId="0" borderId="41" xfId="4496" applyFont="1" applyBorder="1" applyAlignment="1">
      <alignment vertical="center"/>
    </xf>
    <xf numFmtId="182" fontId="96" fillId="0" borderId="86" xfId="4496" applyNumberFormat="1" applyFont="1" applyBorder="1" applyAlignment="1">
      <alignment vertical="center"/>
    </xf>
    <xf numFmtId="175" fontId="96" fillId="0" borderId="42" xfId="4499" applyNumberFormat="1" applyFont="1" applyFill="1" applyBorder="1" applyAlignment="1" applyProtection="1">
      <alignment horizontal="left" vertical="center"/>
    </xf>
    <xf numFmtId="0" fontId="96" fillId="0" borderId="42" xfId="4496" applyFont="1" applyBorder="1" applyAlignment="1">
      <alignment vertical="center"/>
    </xf>
    <xf numFmtId="0" fontId="96" fillId="0" borderId="44" xfId="4496" applyFont="1" applyBorder="1" applyAlignment="1">
      <alignment vertical="center"/>
    </xf>
    <xf numFmtId="49" fontId="96" fillId="0" borderId="0" xfId="4496" applyNumberFormat="1" applyFont="1" applyAlignment="1">
      <alignment horizontal="center" vertical="center"/>
    </xf>
    <xf numFmtId="0" fontId="96" fillId="0" borderId="65" xfId="4496" applyFont="1" applyBorder="1" applyAlignment="1">
      <alignment vertical="center"/>
    </xf>
    <xf numFmtId="0" fontId="96" fillId="0" borderId="29" xfId="4496" applyFont="1" applyBorder="1" applyAlignment="1">
      <alignment vertical="center"/>
    </xf>
    <xf numFmtId="0" fontId="96" fillId="0" borderId="29" xfId="4496" applyFont="1" applyBorder="1" applyAlignment="1">
      <alignment horizontal="right" vertical="center"/>
    </xf>
    <xf numFmtId="5" fontId="96" fillId="0" borderId="29" xfId="4496" applyNumberFormat="1" applyFont="1" applyBorder="1" applyAlignment="1">
      <alignment vertical="center"/>
    </xf>
    <xf numFmtId="0" fontId="96" fillId="0" borderId="31" xfId="4496" applyFont="1" applyBorder="1" applyAlignment="1">
      <alignment vertical="center"/>
    </xf>
    <xf numFmtId="175" fontId="135" fillId="0" borderId="42" xfId="4494" applyNumberFormat="1" applyFont="1" applyFill="1" applyBorder="1" applyAlignment="1" applyProtection="1">
      <alignment horizontal="center" vertical="center"/>
    </xf>
    <xf numFmtId="0" fontId="135" fillId="0" borderId="29" xfId="4496" applyFont="1" applyBorder="1" applyAlignment="1">
      <alignment vertical="center"/>
    </xf>
    <xf numFmtId="0" fontId="135" fillId="0" borderId="0" xfId="4496" applyFont="1" applyAlignment="1">
      <alignment vertical="center"/>
    </xf>
    <xf numFmtId="0" fontId="135" fillId="0" borderId="42" xfId="4496" applyFont="1" applyBorder="1" applyAlignment="1">
      <alignment vertical="center"/>
    </xf>
    <xf numFmtId="9" fontId="135" fillId="0" borderId="42" xfId="4499" applyFont="1" applyFill="1" applyBorder="1" applyAlignment="1" applyProtection="1">
      <alignment vertical="center"/>
    </xf>
    <xf numFmtId="182" fontId="96" fillId="0" borderId="15" xfId="4496" applyNumberFormat="1" applyFont="1" applyBorder="1"/>
    <xf numFmtId="182" fontId="135" fillId="0" borderId="71" xfId="8722" applyNumberFormat="1" applyFont="1" applyBorder="1" applyProtection="1"/>
    <xf numFmtId="9" fontId="96" fillId="0" borderId="15" xfId="4494" applyFont="1" applyFill="1" applyBorder="1" applyAlignment="1" applyProtection="1">
      <alignment horizontal="right"/>
    </xf>
    <xf numFmtId="182" fontId="135" fillId="0" borderId="71" xfId="4496" applyNumberFormat="1" applyFont="1" applyBorder="1"/>
    <xf numFmtId="0" fontId="165" fillId="0" borderId="0" xfId="4496" applyFont="1" applyAlignment="1">
      <alignment horizontal="right"/>
    </xf>
    <xf numFmtId="0" fontId="96" fillId="0" borderId="0" xfId="4496" applyFont="1" applyAlignment="1">
      <alignment horizontal="right" vertical="top" wrapText="1" indent="1"/>
    </xf>
    <xf numFmtId="182" fontId="96" fillId="0" borderId="6" xfId="8722" applyNumberFormat="1" applyFont="1" applyBorder="1" applyAlignment="1" applyProtection="1">
      <alignment horizontal="center"/>
    </xf>
    <xf numFmtId="0" fontId="96" fillId="0" borderId="0" xfId="4496" applyFont="1" applyAlignment="1">
      <alignment horizontal="right" indent="1"/>
    </xf>
    <xf numFmtId="0" fontId="96" fillId="0" borderId="0" xfId="4496" applyFont="1" applyAlignment="1">
      <alignment horizontal="right" vertical="top"/>
    </xf>
    <xf numFmtId="0" fontId="135" fillId="0" borderId="0" xfId="4496" applyFont="1" applyAlignment="1">
      <alignment horizontal="right"/>
    </xf>
    <xf numFmtId="182" fontId="135" fillId="0" borderId="0" xfId="8722" applyNumberFormat="1" applyFont="1" applyBorder="1" applyAlignment="1" applyProtection="1">
      <alignment horizontal="center"/>
    </xf>
    <xf numFmtId="10" fontId="96" fillId="0" borderId="0" xfId="4494" applyNumberFormat="1" applyFont="1" applyBorder="1" applyAlignment="1" applyProtection="1">
      <alignment horizontal="center"/>
    </xf>
    <xf numFmtId="184" fontId="96" fillId="0" borderId="6" xfId="4496" applyNumberFormat="1" applyFont="1" applyBorder="1"/>
    <xf numFmtId="0" fontId="135" fillId="0" borderId="0" xfId="4496" applyFont="1" applyAlignment="1">
      <alignment horizontal="right" vertical="top"/>
    </xf>
    <xf numFmtId="182" fontId="135" fillId="0" borderId="0" xfId="4496" applyNumberFormat="1" applyFont="1"/>
    <xf numFmtId="182" fontId="96" fillId="0" borderId="6" xfId="8722" applyNumberFormat="1" applyFont="1" applyBorder="1" applyProtection="1"/>
    <xf numFmtId="184" fontId="96" fillId="0" borderId="0" xfId="4496" applyNumberFormat="1" applyFont="1" applyAlignment="1">
      <alignment horizontal="center"/>
    </xf>
    <xf numFmtId="0" fontId="96" fillId="0" borderId="6" xfId="4496" applyFont="1" applyBorder="1" applyAlignment="1">
      <alignment horizontal="right" vertical="top" wrapText="1" indent="1"/>
    </xf>
    <xf numFmtId="0" fontId="96" fillId="0" borderId="70" xfId="4496" applyFont="1" applyBorder="1" applyAlignment="1">
      <alignment horizontal="right" indent="1"/>
    </xf>
    <xf numFmtId="0" fontId="96" fillId="0" borderId="80" xfId="4496" applyFont="1" applyBorder="1" applyAlignment="1">
      <alignment horizontal="right" indent="1"/>
    </xf>
    <xf numFmtId="0" fontId="96" fillId="0" borderId="80" xfId="4496" quotePrefix="1" applyFont="1" applyBorder="1" applyAlignment="1">
      <alignment horizontal="right" indent="1"/>
    </xf>
    <xf numFmtId="0" fontId="96" fillId="0" borderId="72" xfId="4496" applyFont="1" applyBorder="1" applyAlignment="1">
      <alignment horizontal="right" indent="1"/>
    </xf>
    <xf numFmtId="182" fontId="96" fillId="0" borderId="74" xfId="4496" applyNumberFormat="1" applyFont="1" applyBorder="1"/>
    <xf numFmtId="182" fontId="96" fillId="0" borderId="91" xfId="4496" applyNumberFormat="1" applyFont="1" applyBorder="1"/>
    <xf numFmtId="182" fontId="96" fillId="0" borderId="93" xfId="4496" applyNumberFormat="1" applyFont="1" applyBorder="1"/>
    <xf numFmtId="175" fontId="21" fillId="0" borderId="0" xfId="543" applyNumberFormat="1" applyFont="1" applyAlignment="1">
      <alignment vertical="center"/>
    </xf>
    <xf numFmtId="10" fontId="135" fillId="0" borderId="0" xfId="4494" applyNumberFormat="1" applyFont="1" applyProtection="1"/>
    <xf numFmtId="0" fontId="21" fillId="0" borderId="0" xfId="1192" applyFont="1" applyAlignment="1">
      <alignment horizontal="left" indent="1"/>
    </xf>
    <xf numFmtId="168" fontId="96" fillId="0" borderId="11" xfId="4499" applyNumberFormat="1" applyFont="1" applyFill="1" applyBorder="1" applyAlignment="1" applyProtection="1">
      <alignment horizontal="left" vertical="center" indent="1"/>
    </xf>
    <xf numFmtId="168" fontId="135" fillId="0" borderId="71" xfId="4499" applyNumberFormat="1" applyFont="1" applyFill="1" applyBorder="1" applyAlignment="1" applyProtection="1">
      <alignment horizontal="left" vertical="center" indent="1"/>
    </xf>
    <xf numFmtId="182" fontId="96" fillId="0" borderId="13" xfId="4496" applyNumberFormat="1" applyFont="1" applyBorder="1"/>
    <xf numFmtId="182" fontId="96" fillId="0" borderId="73" xfId="4496" applyNumberFormat="1" applyFont="1" applyBorder="1"/>
    <xf numFmtId="0" fontId="135" fillId="0" borderId="4" xfId="4496" applyFont="1" applyBorder="1" applyAlignment="1">
      <alignment horizontal="left" indent="1"/>
    </xf>
    <xf numFmtId="0" fontId="96" fillId="0" borderId="4" xfId="4496" applyFont="1" applyBorder="1"/>
    <xf numFmtId="0" fontId="32" fillId="0" borderId="0" xfId="4495" applyFont="1" applyAlignment="1">
      <alignment vertical="center"/>
    </xf>
    <xf numFmtId="0" fontId="120" fillId="0" borderId="0" xfId="4496" applyFont="1" applyAlignment="1">
      <alignment vertical="center" wrapText="1"/>
    </xf>
    <xf numFmtId="0" fontId="19" fillId="43" borderId="0" xfId="1192" applyFont="1" applyFill="1"/>
    <xf numFmtId="3" fontId="66" fillId="43" borderId="6" xfId="1192" applyNumberFormat="1" applyFont="1" applyFill="1" applyBorder="1"/>
    <xf numFmtId="0" fontId="167" fillId="0" borderId="0" xfId="0" applyFont="1"/>
    <xf numFmtId="0" fontId="19"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1" fillId="5" borderId="11" xfId="0" applyFont="1" applyFill="1" applyBorder="1" applyAlignment="1" applyProtection="1">
      <alignment horizontal="right" vertical="top" wrapText="1"/>
      <protection locked="0"/>
    </xf>
    <xf numFmtId="0" fontId="14" fillId="43" borderId="3" xfId="569" applyFill="1" applyBorder="1"/>
    <xf numFmtId="0" fontId="174" fillId="0" borderId="0" xfId="0" applyFont="1" applyAlignment="1">
      <alignment horizontal="right"/>
    </xf>
    <xf numFmtId="1" fontId="22"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 fillId="0" borderId="0" xfId="8726"/>
    <xf numFmtId="0" fontId="101" fillId="0" borderId="0" xfId="8726" applyFont="1"/>
    <xf numFmtId="0" fontId="153" fillId="0" borderId="0" xfId="8726" applyFont="1"/>
    <xf numFmtId="0" fontId="2" fillId="48" borderId="44" xfId="8726" applyFill="1" applyBorder="1"/>
    <xf numFmtId="0" fontId="2" fillId="48" borderId="42" xfId="8726" applyFill="1" applyBorder="1"/>
    <xf numFmtId="0" fontId="2" fillId="48" borderId="41" xfId="8726" applyFill="1" applyBorder="1"/>
    <xf numFmtId="0" fontId="2" fillId="44" borderId="44" xfId="8726" applyFill="1" applyBorder="1"/>
    <xf numFmtId="0" fontId="2" fillId="44" borderId="42" xfId="8726" applyFill="1" applyBorder="1"/>
    <xf numFmtId="0" fontId="2" fillId="44" borderId="86" xfId="8726" applyFill="1" applyBorder="1"/>
    <xf numFmtId="0" fontId="2" fillId="48" borderId="0" xfId="8726" applyFill="1"/>
    <xf numFmtId="0" fontId="2" fillId="44" borderId="41" xfId="8726" applyFill="1" applyBorder="1"/>
    <xf numFmtId="0" fontId="2" fillId="44" borderId="0" xfId="8726" applyFill="1"/>
    <xf numFmtId="0" fontId="2" fillId="44" borderId="66" xfId="8726" applyFill="1" applyBorder="1"/>
    <xf numFmtId="0" fontId="2" fillId="44" borderId="0" xfId="8726" applyFill="1" applyAlignment="1">
      <alignment horizontal="left"/>
    </xf>
    <xf numFmtId="0" fontId="2" fillId="48" borderId="86" xfId="8726" applyFill="1" applyBorder="1"/>
    <xf numFmtId="0" fontId="2" fillId="48" borderId="66" xfId="8726" applyFill="1" applyBorder="1"/>
    <xf numFmtId="49" fontId="100" fillId="48" borderId="66" xfId="8726" applyNumberFormat="1" applyFont="1" applyFill="1" applyBorder="1" applyAlignment="1">
      <alignment horizontal="right" vertical="top"/>
    </xf>
    <xf numFmtId="0" fontId="100" fillId="48" borderId="0" xfId="8726" applyFont="1" applyFill="1"/>
    <xf numFmtId="0" fontId="100" fillId="48" borderId="66" xfId="8726" applyFont="1" applyFill="1" applyBorder="1"/>
    <xf numFmtId="0" fontId="100" fillId="48" borderId="41" xfId="8726" applyFont="1" applyFill="1" applyBorder="1" applyAlignment="1">
      <alignment horizontal="center"/>
    </xf>
    <xf numFmtId="0" fontId="101" fillId="48" borderId="0" xfId="8726" applyFont="1" applyFill="1"/>
    <xf numFmtId="0" fontId="2" fillId="48" borderId="69" xfId="8726" applyFill="1" applyBorder="1"/>
    <xf numFmtId="168" fontId="157" fillId="48" borderId="68" xfId="700" applyNumberFormat="1" applyFont="1" applyFill="1" applyBorder="1" applyAlignment="1" applyProtection="1">
      <protection locked="0"/>
    </xf>
    <xf numFmtId="0" fontId="162" fillId="48" borderId="0" xfId="8726" applyFont="1" applyFill="1"/>
    <xf numFmtId="0" fontId="147" fillId="47" borderId="91" xfId="8726" applyFont="1" applyFill="1" applyBorder="1" applyAlignment="1">
      <alignment horizontal="center"/>
    </xf>
    <xf numFmtId="0" fontId="147" fillId="47" borderId="11" xfId="8726" applyFont="1" applyFill="1" applyBorder="1" applyAlignment="1">
      <alignment horizontal="center"/>
    </xf>
    <xf numFmtId="0" fontId="161" fillId="47" borderId="91" xfId="8726" applyFont="1" applyFill="1" applyBorder="1"/>
    <xf numFmtId="0" fontId="161" fillId="47" borderId="11" xfId="8726" applyFont="1" applyFill="1" applyBorder="1"/>
    <xf numFmtId="0" fontId="2" fillId="45" borderId="69" xfId="8726" applyFill="1" applyBorder="1"/>
    <xf numFmtId="0" fontId="2" fillId="45" borderId="68" xfId="8726" applyFill="1" applyBorder="1"/>
    <xf numFmtId="0" fontId="100" fillId="45" borderId="68" xfId="8726" applyFont="1" applyFill="1" applyBorder="1"/>
    <xf numFmtId="0" fontId="100" fillId="45" borderId="67" xfId="8726" applyFont="1" applyFill="1" applyBorder="1"/>
    <xf numFmtId="0" fontId="100" fillId="45" borderId="69" xfId="8726" applyFont="1" applyFill="1" applyBorder="1"/>
    <xf numFmtId="0" fontId="2" fillId="48" borderId="0" xfId="8726" applyFill="1" applyAlignment="1">
      <alignment horizontal="left"/>
    </xf>
    <xf numFmtId="0" fontId="151" fillId="48" borderId="0" xfId="8726" applyFont="1" applyFill="1"/>
    <xf numFmtId="0" fontId="100" fillId="45" borderId="89" xfId="8726" applyFont="1" applyFill="1" applyBorder="1"/>
    <xf numFmtId="0" fontId="100" fillId="45" borderId="76" xfId="8726" applyFont="1" applyFill="1" applyBorder="1"/>
    <xf numFmtId="0" fontId="100" fillId="45" borderId="75" xfId="8726" applyFont="1" applyFill="1" applyBorder="1"/>
    <xf numFmtId="0" fontId="100" fillId="45" borderId="31" xfId="8726" applyFont="1" applyFill="1" applyBorder="1"/>
    <xf numFmtId="0" fontId="100" fillId="45" borderId="29" xfId="8726" applyFont="1" applyFill="1" applyBorder="1"/>
    <xf numFmtId="0" fontId="100" fillId="45" borderId="65" xfId="8726" applyFont="1" applyFill="1" applyBorder="1"/>
    <xf numFmtId="0" fontId="2" fillId="45" borderId="83" xfId="8726" applyFill="1" applyBorder="1"/>
    <xf numFmtId="0" fontId="2" fillId="45" borderId="82" xfId="8726" applyFill="1" applyBorder="1"/>
    <xf numFmtId="0" fontId="2" fillId="45" borderId="81" xfId="8726" applyFill="1" applyBorder="1"/>
    <xf numFmtId="0" fontId="100" fillId="45" borderId="81" xfId="8726" applyFont="1" applyFill="1" applyBorder="1"/>
    <xf numFmtId="0" fontId="2" fillId="45" borderId="31" xfId="8726" applyFill="1" applyBorder="1"/>
    <xf numFmtId="0" fontId="2" fillId="45" borderId="29" xfId="8726" applyFill="1" applyBorder="1"/>
    <xf numFmtId="0" fontId="2" fillId="45" borderId="67" xfId="8726" applyFill="1" applyBorder="1"/>
    <xf numFmtId="0" fontId="84" fillId="0" borderId="0" xfId="8726" applyFont="1"/>
    <xf numFmtId="0" fontId="2" fillId="45" borderId="99" xfId="8726" applyFill="1" applyBorder="1"/>
    <xf numFmtId="0" fontId="2" fillId="45" borderId="65" xfId="8726" applyFill="1" applyBorder="1"/>
    <xf numFmtId="0" fontId="100" fillId="45" borderId="28" xfId="8726" applyFont="1" applyFill="1" applyBorder="1"/>
    <xf numFmtId="0" fontId="2" fillId="52" borderId="101" xfId="8726" applyFill="1" applyBorder="1"/>
    <xf numFmtId="0" fontId="2" fillId="51" borderId="101" xfId="8726" applyFill="1" applyBorder="1"/>
    <xf numFmtId="0" fontId="100" fillId="50" borderId="100" xfId="8726" applyFont="1" applyFill="1" applyBorder="1"/>
    <xf numFmtId="0" fontId="100" fillId="0" borderId="0" xfId="8726" applyFont="1"/>
    <xf numFmtId="0" fontId="100" fillId="48" borderId="41" xfId="8726" applyFont="1" applyFill="1" applyBorder="1"/>
    <xf numFmtId="0" fontId="149" fillId="48" borderId="0" xfId="8726" applyFont="1" applyFill="1"/>
    <xf numFmtId="182" fontId="163" fillId="48" borderId="0" xfId="8727" applyNumberFormat="1" applyFont="1" applyFill="1" applyBorder="1" applyAlignment="1"/>
    <xf numFmtId="0" fontId="21" fillId="0" borderId="4" xfId="569" applyFont="1" applyBorder="1" applyAlignment="1">
      <alignment horizontal="center"/>
    </xf>
    <xf numFmtId="43" fontId="21" fillId="0" borderId="0" xfId="4504" applyFont="1" applyAlignment="1" applyProtection="1">
      <alignment horizontal="center"/>
    </xf>
    <xf numFmtId="0" fontId="21" fillId="0" borderId="0" xfId="569" applyFont="1" applyAlignment="1">
      <alignment horizontal="center" vertical="center"/>
    </xf>
    <xf numFmtId="0" fontId="21" fillId="0" borderId="16" xfId="569" applyFont="1" applyBorder="1" applyAlignment="1">
      <alignment horizontal="center"/>
    </xf>
    <xf numFmtId="49" fontId="21" fillId="0" borderId="4" xfId="569" applyNumberFormat="1" applyFont="1" applyBorder="1" applyAlignment="1">
      <alignment horizontal="center"/>
    </xf>
    <xf numFmtId="4" fontId="21" fillId="0" borderId="0" xfId="569" applyNumberFormat="1" applyFont="1" applyAlignment="1">
      <alignment horizontal="center"/>
    </xf>
    <xf numFmtId="0" fontId="14" fillId="0" borderId="0" xfId="569" applyAlignment="1">
      <alignment horizontal="center" wrapText="1"/>
    </xf>
    <xf numFmtId="0" fontId="14" fillId="5" borderId="3" xfId="0" applyFont="1" applyFill="1" applyBorder="1" applyAlignment="1" applyProtection="1">
      <alignment horizontal="left"/>
      <protection locked="0"/>
    </xf>
    <xf numFmtId="0" fontId="14" fillId="0" borderId="0" xfId="0" applyFont="1" applyAlignment="1">
      <alignment horizontal="left" vertical="top" wrapText="1"/>
    </xf>
    <xf numFmtId="0" fontId="15" fillId="0" borderId="0" xfId="244"/>
    <xf numFmtId="0" fontId="0" fillId="0" borderId="0" xfId="0"/>
    <xf numFmtId="0" fontId="14" fillId="0" borderId="0" xfId="1192" applyAlignment="1">
      <alignment horizontal="left" vertical="top" wrapText="1"/>
    </xf>
    <xf numFmtId="0" fontId="21" fillId="0" borderId="0" xfId="0" applyFont="1" applyAlignment="1">
      <alignment horizontal="left" vertical="top" wrapText="1"/>
    </xf>
    <xf numFmtId="0" fontId="43" fillId="0" borderId="0" xfId="0" applyFont="1" applyAlignment="1">
      <alignment horizontal="left" vertical="top" wrapText="1"/>
    </xf>
    <xf numFmtId="0" fontId="14" fillId="0" borderId="0" xfId="0" applyFont="1" applyAlignment="1">
      <alignment horizontal="left" wrapText="1"/>
    </xf>
    <xf numFmtId="0" fontId="15" fillId="0" borderId="0" xfId="244" applyAlignment="1" applyProtection="1">
      <alignment horizontal="left"/>
    </xf>
    <xf numFmtId="0" fontId="111" fillId="0" borderId="0" xfId="0" applyFont="1" applyAlignment="1">
      <alignment horizontal="left" wrapText="1"/>
    </xf>
    <xf numFmtId="0" fontId="23" fillId="0" borderId="0" xfId="0" applyFont="1" applyAlignment="1">
      <alignment horizontal="left" wrapText="1"/>
    </xf>
    <xf numFmtId="0" fontId="20" fillId="3" borderId="0" xfId="0" applyFont="1" applyFill="1" applyAlignment="1">
      <alignment horizontal="center" vertical="center" wrapText="1"/>
    </xf>
    <xf numFmtId="0" fontId="20" fillId="3" borderId="16" xfId="0" applyFont="1" applyFill="1" applyBorder="1" applyAlignment="1">
      <alignment horizontal="center" vertical="center" wrapText="1"/>
    </xf>
    <xf numFmtId="0" fontId="103" fillId="0" borderId="0" xfId="0" applyFont="1" applyAlignment="1">
      <alignment horizontal="left" vertical="top" wrapText="1"/>
    </xf>
    <xf numFmtId="0" fontId="32" fillId="0" borderId="0" xfId="569" applyFont="1" applyAlignment="1">
      <alignment horizontal="left"/>
    </xf>
    <xf numFmtId="4" fontId="14" fillId="0" borderId="0" xfId="569" applyNumberFormat="1" applyAlignment="1">
      <alignment horizontal="left"/>
    </xf>
    <xf numFmtId="0" fontId="14" fillId="0" borderId="0" xfId="569" applyAlignment="1">
      <alignment horizontal="left" vertical="top" wrapText="1"/>
    </xf>
    <xf numFmtId="4" fontId="32" fillId="0" borderId="0" xfId="569" applyNumberFormat="1" applyFont="1" applyAlignment="1">
      <alignment horizontal="left" vertical="top" wrapText="1"/>
    </xf>
    <xf numFmtId="4" fontId="14" fillId="0" borderId="0" xfId="569" applyNumberFormat="1" applyAlignment="1">
      <alignment horizontal="left" vertical="top" wrapText="1"/>
    </xf>
    <xf numFmtId="0" fontId="23" fillId="0" borderId="0" xfId="0" applyFont="1" applyAlignment="1">
      <alignment horizontal="left" vertical="top"/>
    </xf>
    <xf numFmtId="0" fontId="32" fillId="0" borderId="0" xfId="0" applyFont="1" applyAlignment="1">
      <alignment horizontal="left"/>
    </xf>
    <xf numFmtId="0" fontId="14" fillId="0" borderId="0" xfId="0" applyFont="1" applyAlignment="1">
      <alignment horizontal="left"/>
    </xf>
    <xf numFmtId="0" fontId="21" fillId="0" borderId="4" xfId="569" applyFont="1" applyBorder="1" applyAlignment="1">
      <alignment horizontal="left"/>
    </xf>
    <xf numFmtId="0" fontId="21" fillId="0" borderId="4" xfId="569" applyFont="1" applyBorder="1" applyAlignment="1">
      <alignment horizontal="left" vertical="top"/>
    </xf>
    <xf numFmtId="0" fontId="32" fillId="0" borderId="0" xfId="0" applyFont="1" applyAlignment="1">
      <alignment horizontal="left" wrapText="1"/>
    </xf>
    <xf numFmtId="0" fontId="14" fillId="0" borderId="0" xfId="0" applyFont="1" applyAlignment="1">
      <alignment horizontal="left" vertical="top"/>
    </xf>
    <xf numFmtId="0" fontId="21" fillId="0" borderId="0" xfId="0" applyFont="1" applyAlignment="1">
      <alignment horizontal="left"/>
    </xf>
    <xf numFmtId="0" fontId="23" fillId="0" borderId="0" xfId="0" applyFont="1" applyAlignment="1">
      <alignment horizontal="left"/>
    </xf>
    <xf numFmtId="0" fontId="15" fillId="0" borderId="0" xfId="244" quotePrefix="1" applyAlignment="1" applyProtection="1">
      <alignment horizontal="left"/>
    </xf>
    <xf numFmtId="0" fontId="21" fillId="0" borderId="4" xfId="0" applyFont="1" applyBorder="1" applyAlignment="1">
      <alignment horizontal="left"/>
    </xf>
    <xf numFmtId="0" fontId="32" fillId="0" borderId="0" xfId="569" applyFont="1" applyAlignment="1">
      <alignment horizontal="left" vertical="top"/>
    </xf>
    <xf numFmtId="0" fontId="14" fillId="0" borderId="0" xfId="569" applyAlignment="1">
      <alignment horizontal="left" vertical="top"/>
    </xf>
    <xf numFmtId="0" fontId="21" fillId="0" borderId="0" xfId="569" applyFont="1" applyAlignment="1">
      <alignment horizontal="left" vertical="top"/>
    </xf>
    <xf numFmtId="0" fontId="32" fillId="0" borderId="0" xfId="0" applyFont="1" applyAlignment="1">
      <alignment horizontal="left" vertical="top" wrapText="1"/>
    </xf>
    <xf numFmtId="4" fontId="14" fillId="0" borderId="0" xfId="0" applyNumberFormat="1" applyFont="1" applyAlignment="1">
      <alignment horizontal="left" vertical="top" wrapText="1"/>
    </xf>
    <xf numFmtId="4" fontId="32" fillId="0" borderId="0" xfId="0" applyNumberFormat="1" applyFont="1" applyAlignment="1">
      <alignment horizontal="left"/>
    </xf>
    <xf numFmtId="4" fontId="15" fillId="0" borderId="0" xfId="244" applyNumberFormat="1" applyFill="1" applyAlignment="1" applyProtection="1">
      <alignment horizontal="left"/>
    </xf>
    <xf numFmtId="0" fontId="14" fillId="0" borderId="0" xfId="271" applyFont="1" applyAlignment="1">
      <alignment horizontal="left" vertical="top" wrapText="1"/>
    </xf>
    <xf numFmtId="4" fontId="14" fillId="0" borderId="0" xfId="1192" applyNumberFormat="1" applyAlignment="1">
      <alignment horizontal="left" vertical="top" wrapText="1"/>
    </xf>
    <xf numFmtId="0" fontId="32" fillId="0" borderId="0" xfId="0" applyFont="1" applyAlignment="1">
      <alignment horizontal="center"/>
    </xf>
    <xf numFmtId="0" fontId="0" fillId="0" borderId="0" xfId="0" applyAlignment="1">
      <alignment horizontal="center"/>
    </xf>
    <xf numFmtId="0" fontId="21" fillId="0" borderId="0" xfId="0" applyFont="1" applyAlignment="1">
      <alignment horizontal="center"/>
    </xf>
    <xf numFmtId="49" fontId="14" fillId="0" borderId="0" xfId="0" applyNumberFormat="1" applyFont="1" applyAlignment="1">
      <alignment horizontal="left" vertical="top" wrapText="1"/>
    </xf>
    <xf numFmtId="49" fontId="14" fillId="0" borderId="0" xfId="1192" applyNumberFormat="1" applyAlignment="1">
      <alignment horizontal="left" vertical="top" wrapText="1"/>
    </xf>
    <xf numFmtId="0" fontId="32" fillId="0" borderId="0" xfId="569" applyFont="1" applyAlignment="1">
      <alignment horizontal="left" vertical="top" wrapText="1"/>
    </xf>
    <xf numFmtId="0" fontId="14" fillId="0" borderId="0" xfId="569" applyAlignment="1">
      <alignment horizontal="left"/>
    </xf>
    <xf numFmtId="0" fontId="15" fillId="0" borderId="0" xfId="244" applyAlignment="1">
      <alignment horizontal="left"/>
    </xf>
    <xf numFmtId="0" fontId="21" fillId="0" borderId="16" xfId="0" applyFont="1" applyBorder="1" applyAlignment="1">
      <alignment horizontal="left"/>
    </xf>
    <xf numFmtId="0" fontId="14" fillId="0" borderId="27" xfId="0" applyFont="1" applyBorder="1" applyAlignment="1">
      <alignment horizontal="left"/>
    </xf>
    <xf numFmtId="0" fontId="14" fillId="0" borderId="0" xfId="1192" applyAlignment="1">
      <alignment horizontal="left"/>
    </xf>
    <xf numFmtId="0" fontId="0" fillId="0" borderId="0" xfId="0" applyAlignment="1">
      <alignment horizontal="left" vertical="top" wrapText="1"/>
    </xf>
    <xf numFmtId="0" fontId="14" fillId="0" borderId="0" xfId="271" applyFont="1" applyAlignment="1" applyProtection="1">
      <alignment horizontal="left" vertical="top" wrapText="1"/>
      <protection locked="0"/>
    </xf>
    <xf numFmtId="0" fontId="32" fillId="0" borderId="0" xfId="1192" applyFont="1" applyAlignment="1">
      <alignment horizontal="left"/>
    </xf>
    <xf numFmtId="0" fontId="21" fillId="0" borderId="0" xfId="271" applyFont="1" applyAlignment="1">
      <alignment horizontal="left" vertical="top" wrapText="1"/>
    </xf>
    <xf numFmtId="0" fontId="112" fillId="0" borderId="0" xfId="569" applyFont="1" applyAlignment="1">
      <alignment horizontal="center"/>
    </xf>
    <xf numFmtId="0" fontId="113" fillId="0" borderId="0" xfId="569" applyFont="1"/>
    <xf numFmtId="0" fontId="14" fillId="0" borderId="0" xfId="569" applyAlignment="1">
      <alignment wrapText="1"/>
    </xf>
    <xf numFmtId="0" fontId="21" fillId="0" borderId="0" xfId="569" applyFont="1" applyAlignment="1">
      <alignment wrapText="1"/>
    </xf>
    <xf numFmtId="0" fontId="29" fillId="0" borderId="0" xfId="569" applyFont="1" applyAlignment="1">
      <alignment horizontal="center"/>
    </xf>
    <xf numFmtId="0" fontId="14" fillId="0" borderId="0" xfId="569"/>
    <xf numFmtId="0" fontId="14" fillId="0" borderId="0" xfId="1192" applyAlignment="1">
      <alignment vertical="top" wrapText="1"/>
    </xf>
    <xf numFmtId="0" fontId="32" fillId="0" borderId="0" xfId="569" applyFont="1" applyAlignment="1">
      <alignment horizontal="center"/>
    </xf>
    <xf numFmtId="0" fontId="21" fillId="0" borderId="0" xfId="569" applyFont="1" applyAlignment="1">
      <alignment horizontal="center"/>
    </xf>
    <xf numFmtId="0" fontId="14" fillId="0" borderId="15" xfId="569" applyBorder="1" applyAlignment="1">
      <alignment horizontal="center" vertical="top" wrapText="1"/>
    </xf>
    <xf numFmtId="0" fontId="14" fillId="0" borderId="14" xfId="569" applyBorder="1" applyAlignment="1">
      <alignment horizontal="center" vertical="top" wrapText="1"/>
    </xf>
    <xf numFmtId="0" fontId="14" fillId="0" borderId="13" xfId="569" applyBorder="1" applyAlignment="1">
      <alignment horizontal="center" vertical="top" wrapText="1"/>
    </xf>
    <xf numFmtId="0" fontId="14" fillId="0" borderId="0" xfId="1192" applyAlignment="1" applyProtection="1">
      <alignment horizontal="left" vertical="top" wrapText="1"/>
      <protection locked="0"/>
    </xf>
    <xf numFmtId="0" fontId="14" fillId="0" borderId="27" xfId="569" applyBorder="1" applyAlignment="1">
      <alignment horizontal="left"/>
    </xf>
    <xf numFmtId="0" fontId="15" fillId="0" borderId="0" xfId="244" applyAlignment="1" applyProtection="1">
      <alignment horizontal="left" vertical="top" wrapText="1"/>
    </xf>
    <xf numFmtId="0" fontId="21" fillId="0" borderId="0" xfId="569" applyFont="1" applyAlignment="1">
      <alignment horizontal="left"/>
    </xf>
    <xf numFmtId="0" fontId="21" fillId="0" borderId="4" xfId="0" applyFont="1" applyBorder="1" applyAlignment="1">
      <alignment horizontal="left" vertical="top"/>
    </xf>
    <xf numFmtId="0" fontId="21" fillId="0" borderId="16" xfId="569" applyFont="1" applyBorder="1" applyAlignment="1">
      <alignment horizontal="left"/>
    </xf>
    <xf numFmtId="0" fontId="14" fillId="0" borderId="0" xfId="569" applyAlignment="1">
      <alignment horizontal="left" vertical="center" wrapText="1"/>
    </xf>
    <xf numFmtId="0" fontId="21" fillId="0" borderId="0" xfId="0" applyFont="1" applyAlignment="1">
      <alignment horizontal="left" vertical="top"/>
    </xf>
    <xf numFmtId="0" fontId="15" fillId="0" borderId="0" xfId="244" applyNumberFormat="1" applyFill="1" applyAlignment="1" applyProtection="1">
      <alignment horizontal="left"/>
    </xf>
    <xf numFmtId="0" fontId="32" fillId="0" borderId="0" xfId="569" applyFont="1" applyAlignment="1">
      <alignment horizontal="left" wrapText="1"/>
    </xf>
    <xf numFmtId="0" fontId="32" fillId="0" borderId="0" xfId="569" applyFont="1" applyAlignment="1">
      <alignment horizontal="center" wrapText="1"/>
    </xf>
    <xf numFmtId="0" fontId="14" fillId="0" borderId="0" xfId="0" quotePrefix="1" applyFont="1" applyAlignment="1">
      <alignment horizontal="left" vertical="top"/>
    </xf>
    <xf numFmtId="0" fontId="14" fillId="0" borderId="0" xfId="0" quotePrefix="1" applyFont="1" applyAlignment="1">
      <alignment horizontal="left" vertical="top" wrapText="1"/>
    </xf>
    <xf numFmtId="0" fontId="14" fillId="0" borderId="0" xfId="569" applyAlignment="1">
      <alignment vertical="top" wrapText="1"/>
    </xf>
    <xf numFmtId="4" fontId="32" fillId="0" borderId="0" xfId="0" applyNumberFormat="1" applyFont="1" applyAlignment="1">
      <alignment horizontal="left" vertical="top" wrapText="1"/>
    </xf>
    <xf numFmtId="0" fontId="32" fillId="0" borderId="0" xfId="1192" applyFont="1" applyAlignment="1">
      <alignment horizontal="left" vertical="top" wrapText="1"/>
    </xf>
    <xf numFmtId="0" fontId="21" fillId="0" borderId="0" xfId="1192" applyFont="1" applyAlignment="1">
      <alignment horizontal="left" vertical="top" wrapText="1"/>
    </xf>
    <xf numFmtId="4" fontId="14" fillId="0" borderId="0" xfId="0" applyNumberFormat="1" applyFont="1" applyAlignment="1">
      <alignment horizontal="left"/>
    </xf>
    <xf numFmtId="0" fontId="21" fillId="0" borderId="0" xfId="0" applyFont="1" applyAlignment="1">
      <alignment vertical="top" wrapText="1"/>
    </xf>
    <xf numFmtId="0" fontId="14" fillId="0" borderId="0" xfId="0" applyFont="1" applyAlignment="1">
      <alignment horizontal="left" vertical="center" wrapText="1"/>
    </xf>
    <xf numFmtId="0" fontId="14" fillId="0" borderId="0" xfId="569" applyAlignment="1">
      <alignment horizontal="left" wrapText="1"/>
    </xf>
    <xf numFmtId="0" fontId="14" fillId="0" borderId="0" xfId="0" applyFont="1" applyAlignment="1">
      <alignment vertical="top" wrapText="1"/>
    </xf>
    <xf numFmtId="0" fontId="15" fillId="0" borderId="0" xfId="244" applyFill="1" applyBorder="1" applyAlignment="1">
      <alignment horizontal="left" vertical="top" wrapText="1"/>
    </xf>
    <xf numFmtId="0" fontId="32" fillId="0" borderId="0" xfId="0" applyFont="1" applyAlignment="1">
      <alignment horizontal="left" vertical="top"/>
    </xf>
    <xf numFmtId="165" fontId="23" fillId="0" borderId="1" xfId="0" applyNumberFormat="1" applyFont="1" applyBorder="1" applyAlignment="1">
      <alignment horizontal="right"/>
    </xf>
    <xf numFmtId="165" fontId="23" fillId="0" borderId="2" xfId="0" applyNumberFormat="1" applyFont="1" applyBorder="1" applyAlignment="1">
      <alignment horizontal="right"/>
    </xf>
    <xf numFmtId="165" fontId="23" fillId="0" borderId="7" xfId="0" applyNumberFormat="1" applyFont="1" applyBorder="1" applyAlignment="1">
      <alignment horizontal="right"/>
    </xf>
    <xf numFmtId="0" fontId="23" fillId="5" borderId="3" xfId="0" applyFont="1" applyFill="1" applyBorder="1" applyAlignment="1" applyProtection="1">
      <alignment horizontal="center"/>
      <protection locked="0"/>
    </xf>
    <xf numFmtId="0" fontId="23" fillId="5" borderId="4" xfId="0" applyFont="1" applyFill="1" applyBorder="1" applyAlignment="1" applyProtection="1">
      <alignment horizontal="center"/>
      <protection locked="0"/>
    </xf>
    <xf numFmtId="0" fontId="23" fillId="5" borderId="5" xfId="0" applyFont="1" applyFill="1" applyBorder="1" applyAlignment="1" applyProtection="1">
      <alignment horizontal="center"/>
      <protection locked="0"/>
    </xf>
    <xf numFmtId="0" fontId="0" fillId="0" borderId="11" xfId="0" applyBorder="1" applyAlignment="1">
      <alignment horizontal="center"/>
    </xf>
    <xf numFmtId="168" fontId="23" fillId="0" borderId="3" xfId="0" applyNumberFormat="1" applyFont="1" applyBorder="1" applyAlignment="1">
      <alignment horizontal="center"/>
    </xf>
    <xf numFmtId="168" fontId="23" fillId="0" borderId="4" xfId="0" applyNumberFormat="1" applyFont="1" applyBorder="1" applyAlignment="1">
      <alignment horizontal="center"/>
    </xf>
    <xf numFmtId="168" fontId="23" fillId="0" borderId="5" xfId="0" applyNumberFormat="1" applyFont="1" applyBorder="1" applyAlignment="1">
      <alignment horizontal="center"/>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4" fillId="0" borderId="1" xfId="0" applyFont="1" applyBorder="1" applyAlignment="1">
      <alignment horizontal="center" vertical="top" wrapText="1"/>
    </xf>
    <xf numFmtId="0" fontId="23" fillId="0" borderId="2" xfId="0" applyFont="1" applyBorder="1" applyAlignment="1">
      <alignment horizontal="center" vertical="top" wrapText="1"/>
    </xf>
    <xf numFmtId="0" fontId="23" fillId="0" borderId="7" xfId="0" applyFont="1" applyBorder="1" applyAlignment="1">
      <alignment horizontal="center" vertical="top" wrapText="1"/>
    </xf>
    <xf numFmtId="0" fontId="23" fillId="0" borderId="8" xfId="0" applyFont="1" applyBorder="1" applyAlignment="1">
      <alignment horizontal="center" vertical="top" wrapText="1"/>
    </xf>
    <xf numFmtId="0" fontId="23" fillId="0" borderId="0" xfId="0" applyFont="1" applyAlignment="1">
      <alignment horizontal="center" vertical="top" wrapText="1"/>
    </xf>
    <xf numFmtId="0" fontId="23" fillId="0" borderId="12" xfId="0" applyFont="1" applyBorder="1" applyAlignment="1">
      <alignment horizontal="center" vertical="top" wrapText="1"/>
    </xf>
    <xf numFmtId="0" fontId="23" fillId="0" borderId="9" xfId="0" applyFont="1" applyBorder="1" applyAlignment="1">
      <alignment horizontal="center" vertical="top" wrapText="1"/>
    </xf>
    <xf numFmtId="0" fontId="23" fillId="0" borderId="6" xfId="0" applyFont="1" applyBorder="1" applyAlignment="1">
      <alignment horizontal="center" vertical="top" wrapText="1"/>
    </xf>
    <xf numFmtId="0" fontId="23" fillId="0" borderId="10" xfId="0" applyFont="1" applyBorder="1" applyAlignment="1">
      <alignment horizontal="center" vertical="top" wrapText="1"/>
    </xf>
    <xf numFmtId="168" fontId="23" fillId="5" borderId="3" xfId="0" applyNumberFormat="1" applyFont="1" applyFill="1" applyBorder="1" applyAlignment="1" applyProtection="1">
      <alignment horizontal="center"/>
      <protection locked="0"/>
    </xf>
    <xf numFmtId="168" fontId="23" fillId="5" borderId="4" xfId="0" applyNumberFormat="1" applyFont="1" applyFill="1" applyBorder="1" applyAlignment="1" applyProtection="1">
      <alignment horizontal="center"/>
      <protection locked="0"/>
    </xf>
    <xf numFmtId="168" fontId="23"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23" fillId="5" borderId="4" xfId="0" applyFont="1" applyFill="1" applyBorder="1" applyAlignment="1" applyProtection="1">
      <alignment horizontal="left"/>
      <protection locked="0"/>
    </xf>
    <xf numFmtId="0" fontId="14"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6" xfId="0" applyBorder="1" applyAlignment="1">
      <alignment horizontal="left"/>
    </xf>
    <xf numFmtId="166" fontId="23" fillId="5" borderId="4" xfId="0" applyNumberFormat="1"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4" fillId="5" borderId="6" xfId="0" applyFont="1" applyFill="1" applyBorder="1" applyAlignment="1" applyProtection="1">
      <alignment horizontal="left"/>
      <protection locked="0"/>
    </xf>
    <xf numFmtId="0" fontId="23" fillId="0" borderId="1" xfId="0" applyFont="1" applyBorder="1" applyAlignment="1">
      <alignment horizontal="center" vertical="top" wrapText="1"/>
    </xf>
    <xf numFmtId="14" fontId="0" fillId="5" borderId="4" xfId="0" applyNumberFormat="1" applyFill="1" applyBorder="1" applyAlignment="1" applyProtection="1">
      <alignment horizontal="center"/>
      <protection locked="0"/>
    </xf>
    <xf numFmtId="9" fontId="23" fillId="5" borderId="3" xfId="0" applyNumberFormat="1" applyFont="1" applyFill="1" applyBorder="1" applyAlignment="1" applyProtection="1">
      <alignment horizontal="center"/>
      <protection locked="0"/>
    </xf>
    <xf numFmtId="9" fontId="23" fillId="5" borderId="4" xfId="0" applyNumberFormat="1" applyFont="1" applyFill="1" applyBorder="1" applyAlignment="1" applyProtection="1">
      <alignment horizontal="center"/>
      <protection locked="0"/>
    </xf>
    <xf numFmtId="9" fontId="23" fillId="5" borderId="5" xfId="0" applyNumberFormat="1" applyFont="1" applyFill="1" applyBorder="1" applyAlignment="1" applyProtection="1">
      <alignment horizontal="center"/>
      <protection locked="0"/>
    </xf>
    <xf numFmtId="0" fontId="14" fillId="0" borderId="3" xfId="0" applyFont="1" applyBorder="1" applyAlignment="1">
      <alignment horizontal="center"/>
    </xf>
    <xf numFmtId="0" fontId="14" fillId="0" borderId="4" xfId="0" applyFont="1" applyBorder="1" applyAlignment="1">
      <alignment horizontal="center"/>
    </xf>
    <xf numFmtId="0" fontId="14" fillId="0" borderId="5" xfId="0" applyFont="1" applyBorder="1" applyAlignment="1">
      <alignment horizontal="center"/>
    </xf>
    <xf numFmtId="0" fontId="14" fillId="0" borderId="11" xfId="0" applyFont="1" applyBorder="1" applyAlignment="1">
      <alignment horizontal="center"/>
    </xf>
    <xf numFmtId="0" fontId="23" fillId="2" borderId="11" xfId="0" applyFont="1" applyFill="1" applyBorder="1" applyAlignment="1">
      <alignment horizontal="center"/>
    </xf>
    <xf numFmtId="0" fontId="23" fillId="45" borderId="11" xfId="0" applyFont="1" applyFill="1" applyBorder="1" applyAlignment="1">
      <alignment horizontal="center"/>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3" fillId="5" borderId="11" xfId="0" applyNumberFormat="1" applyFont="1" applyFill="1" applyBorder="1" applyAlignment="1" applyProtection="1">
      <alignment horizontal="center"/>
      <protection locked="0"/>
    </xf>
    <xf numFmtId="0" fontId="14" fillId="0" borderId="3" xfId="0" applyFont="1" applyBorder="1" applyAlignment="1">
      <alignment horizontal="left"/>
    </xf>
    <xf numFmtId="0" fontId="14" fillId="0" borderId="4" xfId="0" applyFont="1" applyBorder="1" applyAlignment="1">
      <alignment horizontal="left"/>
    </xf>
    <xf numFmtId="0" fontId="14"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0" xfId="0" applyFont="1" applyAlignment="1">
      <alignment horizontal="center" vertical="center" wrapText="1"/>
    </xf>
    <xf numFmtId="0" fontId="21" fillId="0" borderId="12" xfId="0" applyFont="1" applyBorder="1" applyAlignment="1">
      <alignment horizontal="center" vertical="center" wrapText="1"/>
    </xf>
    <xf numFmtId="168" fontId="23"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3" fillId="5" borderId="9" xfId="0" applyFont="1" applyFill="1" applyBorder="1" applyAlignment="1" applyProtection="1">
      <alignment horizontal="center"/>
      <protection locked="0"/>
    </xf>
    <xf numFmtId="0" fontId="23" fillId="5" borderId="6" xfId="0" applyFont="1" applyFill="1" applyBorder="1" applyAlignment="1" applyProtection="1">
      <alignment horizontal="center"/>
      <protection locked="0"/>
    </xf>
    <xf numFmtId="0" fontId="21" fillId="0" borderId="9"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10" xfId="0" applyFont="1" applyBorder="1" applyAlignment="1">
      <alignment horizontal="center" vertical="center" wrapText="1"/>
    </xf>
    <xf numFmtId="0" fontId="14"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3" fillId="5" borderId="3" xfId="0" applyNumberFormat="1" applyFont="1" applyFill="1" applyBorder="1" applyAlignment="1" applyProtection="1">
      <alignment horizontal="right" vertical="top"/>
      <protection locked="0"/>
    </xf>
    <xf numFmtId="1" fontId="23" fillId="5" borderId="4" xfId="0" applyNumberFormat="1" applyFont="1" applyFill="1" applyBorder="1" applyAlignment="1" applyProtection="1">
      <alignment horizontal="right" vertical="top"/>
      <protection locked="0"/>
    </xf>
    <xf numFmtId="1" fontId="23" fillId="5" borderId="5" xfId="0" applyNumberFormat="1" applyFont="1" applyFill="1" applyBorder="1" applyAlignment="1" applyProtection="1">
      <alignment horizontal="right" vertical="top"/>
      <protection locked="0"/>
    </xf>
    <xf numFmtId="168" fontId="23" fillId="0" borderId="3" xfId="0" applyNumberFormat="1" applyFont="1" applyBorder="1" applyAlignment="1">
      <alignment horizontal="left" vertical="top"/>
    </xf>
    <xf numFmtId="168" fontId="23" fillId="0" borderId="4" xfId="0" applyNumberFormat="1" applyFont="1" applyBorder="1" applyAlignment="1">
      <alignment horizontal="left" vertical="top"/>
    </xf>
    <xf numFmtId="168" fontId="23" fillId="0" borderId="5"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4"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168" fontId="14" fillId="0" borderId="3" xfId="0" applyNumberFormat="1" applyFont="1" applyBorder="1" applyAlignment="1">
      <alignment horizontal="left" vertical="top"/>
    </xf>
    <xf numFmtId="168" fontId="14" fillId="0" borderId="4" xfId="0" applyNumberFormat="1" applyFont="1" applyBorder="1" applyAlignment="1">
      <alignment horizontal="left" vertical="top"/>
    </xf>
    <xf numFmtId="168" fontId="14" fillId="0" borderId="5" xfId="0" applyNumberFormat="1" applyFont="1" applyBorder="1" applyAlignment="1">
      <alignment horizontal="left" vertical="top"/>
    </xf>
    <xf numFmtId="0" fontId="14"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2" fillId="43" borderId="3" xfId="0" applyNumberFormat="1" applyFont="1" applyFill="1" applyBorder="1" applyAlignment="1" applyProtection="1">
      <alignment horizontal="center" vertical="center"/>
      <protection locked="0"/>
    </xf>
    <xf numFmtId="180" fontId="22" fillId="43" borderId="4" xfId="0" applyNumberFormat="1" applyFont="1" applyFill="1" applyBorder="1" applyAlignment="1" applyProtection="1">
      <alignment horizontal="center" vertical="center"/>
      <protection locked="0"/>
    </xf>
    <xf numFmtId="180" fontId="2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4" fillId="5" borderId="11" xfId="0" applyFont="1" applyFill="1" applyBorder="1" applyAlignment="1" applyProtection="1">
      <alignment vertical="center" wrapText="1"/>
      <protection locked="0"/>
    </xf>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23" fillId="5" borderId="11" xfId="0" applyFont="1" applyFill="1" applyBorder="1" applyAlignment="1" applyProtection="1">
      <alignment horizontal="center"/>
      <protection locked="0"/>
    </xf>
    <xf numFmtId="168" fontId="23" fillId="5" borderId="3" xfId="0" applyNumberFormat="1" applyFont="1" applyFill="1" applyBorder="1" applyAlignment="1" applyProtection="1">
      <alignment horizontal="left" vertical="top"/>
      <protection locked="0"/>
    </xf>
    <xf numFmtId="168" fontId="23" fillId="5" borderId="4" xfId="0" applyNumberFormat="1" applyFont="1" applyFill="1" applyBorder="1" applyAlignment="1" applyProtection="1">
      <alignment horizontal="left" vertical="top"/>
      <protection locked="0"/>
    </xf>
    <xf numFmtId="168" fontId="23" fillId="5" borderId="5" xfId="0" applyNumberFormat="1" applyFont="1"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51" fillId="0" borderId="2" xfId="0" applyNumberFormat="1" applyFont="1" applyBorder="1" applyAlignment="1">
      <alignment horizontal="left" vertical="top" wrapText="1"/>
    </xf>
    <xf numFmtId="168" fontId="51" fillId="0" borderId="0" xfId="0" applyNumberFormat="1" applyFont="1" applyAlignment="1">
      <alignment horizontal="left" vertical="top" wrapText="1"/>
    </xf>
    <xf numFmtId="0" fontId="14" fillId="0" borderId="3" xfId="271" applyFont="1" applyBorder="1" applyAlignment="1">
      <alignment horizontal="left"/>
    </xf>
    <xf numFmtId="0" fontId="14" fillId="0" borderId="4" xfId="271" applyFont="1" applyBorder="1" applyAlignment="1">
      <alignment horizontal="left"/>
    </xf>
    <xf numFmtId="0" fontId="14" fillId="0" borderId="5" xfId="271" applyFont="1" applyBorder="1" applyAlignment="1">
      <alignment horizontal="left"/>
    </xf>
    <xf numFmtId="0" fontId="21" fillId="0" borderId="9" xfId="0" applyFont="1" applyBorder="1" applyAlignment="1">
      <alignment horizontal="center"/>
    </xf>
    <xf numFmtId="0" fontId="21" fillId="0" borderId="6" xfId="0" applyFont="1" applyBorder="1" applyAlignment="1">
      <alignment horizontal="center"/>
    </xf>
    <xf numFmtId="0" fontId="0" fillId="43" borderId="10" xfId="0" applyFill="1" applyBorder="1" applyAlignment="1" applyProtection="1">
      <alignment horizontal="left"/>
      <protection locked="0"/>
    </xf>
    <xf numFmtId="0" fontId="21" fillId="0" borderId="10" xfId="0" applyFont="1" applyBorder="1" applyAlignment="1">
      <alignment horizontal="center"/>
    </xf>
    <xf numFmtId="165" fontId="23" fillId="5" borderId="3" xfId="0" applyNumberFormat="1" applyFont="1" applyFill="1" applyBorder="1" applyAlignment="1" applyProtection="1">
      <alignment horizontal="center"/>
      <protection locked="0"/>
    </xf>
    <xf numFmtId="165" fontId="23" fillId="5" borderId="4" xfId="0" applyNumberFormat="1" applyFont="1" applyFill="1" applyBorder="1" applyAlignment="1" applyProtection="1">
      <alignment horizontal="center"/>
      <protection locked="0"/>
    </xf>
    <xf numFmtId="165" fontId="2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23" fillId="5" borderId="6" xfId="0" applyNumberFormat="1" applyFont="1" applyFill="1" applyBorder="1" applyAlignment="1" applyProtection="1">
      <alignment horizontal="right"/>
      <protection locked="0"/>
    </xf>
    <xf numFmtId="0" fontId="33"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2" fillId="43"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4" fillId="43" borderId="4" xfId="0" applyFont="1" applyFill="1" applyBorder="1" applyAlignment="1" applyProtection="1">
      <alignment horizontal="left" wrapText="1"/>
      <protection locked="0"/>
    </xf>
    <xf numFmtId="168" fontId="170" fillId="0" borderId="0" xfId="0" applyNumberFormat="1" applyFont="1" applyAlignment="1">
      <alignment horizontal="center" vertical="center" wrapText="1"/>
    </xf>
    <xf numFmtId="10" fontId="23" fillId="0" borderId="11" xfId="0" applyNumberFormat="1" applyFont="1" applyBorder="1" applyAlignment="1">
      <alignment horizontal="center"/>
    </xf>
    <xf numFmtId="0" fontId="14" fillId="5" borderId="6" xfId="0" applyFon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14" fillId="5" borderId="11" xfId="0" applyFont="1" applyFill="1" applyBorder="1" applyAlignment="1" applyProtection="1">
      <alignment horizontal="left" vertical="center" wrapText="1"/>
      <protection locked="0"/>
    </xf>
    <xf numFmtId="0" fontId="0" fillId="0" borderId="12" xfId="0" applyBorder="1" applyAlignment="1">
      <alignment horizontal="center"/>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6" fontId="23" fillId="5" borderId="6" xfId="0" applyNumberFormat="1" applyFont="1" applyFill="1" applyBorder="1" applyAlignment="1" applyProtection="1">
      <alignment horizontal="left"/>
      <protection locked="0"/>
    </xf>
    <xf numFmtId="178" fontId="23" fillId="5" borderId="4" xfId="0" applyNumberFormat="1" applyFont="1" applyFill="1" applyBorder="1" applyAlignment="1" applyProtection="1">
      <alignment horizontal="right"/>
      <protection locked="0"/>
    </xf>
    <xf numFmtId="10" fontId="23" fillId="5" borderId="4" xfId="0" applyNumberFormat="1" applyFont="1" applyFill="1" applyBorder="1" applyAlignment="1" applyProtection="1">
      <alignment horizontal="right"/>
      <protection locked="0"/>
    </xf>
    <xf numFmtId="0" fontId="23" fillId="5" borderId="0" xfId="0" applyFont="1" applyFill="1" applyAlignment="1" applyProtection="1">
      <alignment horizontal="left" vertical="top" wrapText="1"/>
      <protection locked="0"/>
    </xf>
    <xf numFmtId="0" fontId="23" fillId="5" borderId="6" xfId="0" applyFont="1" applyFill="1" applyBorder="1" applyAlignment="1" applyProtection="1">
      <alignment horizontal="left" vertical="top" wrapText="1"/>
      <protection locked="0"/>
    </xf>
    <xf numFmtId="0" fontId="23" fillId="0" borderId="0" xfId="0" applyFont="1" applyAlignment="1">
      <alignment horizontal="left" vertical="top" wrapText="1"/>
    </xf>
    <xf numFmtId="0" fontId="23" fillId="5" borderId="6" xfId="0"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4" fillId="5" borderId="4" xfId="0" applyFont="1" applyFill="1" applyBorder="1" applyAlignment="1" applyProtection="1">
      <alignment horizontal="left"/>
      <protection locked="0"/>
    </xf>
    <xf numFmtId="1" fontId="23" fillId="5" borderId="11" xfId="0" quotePrefix="1" applyNumberFormat="1" applyFont="1" applyFill="1" applyBorder="1" applyAlignment="1" applyProtection="1">
      <alignment horizontal="center"/>
      <protection locked="0"/>
    </xf>
    <xf numFmtId="1" fontId="23" fillId="5" borderId="11" xfId="0" applyNumberFormat="1" applyFont="1" applyFill="1" applyBorder="1" applyAlignment="1" applyProtection="1">
      <alignment horizontal="center"/>
      <protection locked="0"/>
    </xf>
    <xf numFmtId="168" fontId="23" fillId="5" borderId="4" xfId="0" applyNumberFormat="1" applyFont="1" applyFill="1" applyBorder="1" applyAlignment="1" applyProtection="1">
      <alignment horizontal="right"/>
      <protection locked="0"/>
    </xf>
    <xf numFmtId="175" fontId="14" fillId="43" borderId="3" xfId="0" applyNumberFormat="1" applyFont="1" applyFill="1" applyBorder="1" applyAlignment="1" applyProtection="1">
      <alignment horizontal="center" vertical="center"/>
      <protection locked="0"/>
    </xf>
    <xf numFmtId="175" fontId="14" fillId="43" borderId="4" xfId="0" applyNumberFormat="1" applyFont="1" applyFill="1" applyBorder="1" applyAlignment="1" applyProtection="1">
      <alignment horizontal="center" vertical="center"/>
      <protection locked="0"/>
    </xf>
    <xf numFmtId="175" fontId="14" fillId="43" borderId="5" xfId="0" applyNumberFormat="1" applyFont="1" applyFill="1" applyBorder="1" applyAlignment="1" applyProtection="1">
      <alignment horizontal="center" vertical="center"/>
      <protection locked="0"/>
    </xf>
    <xf numFmtId="0" fontId="23" fillId="0" borderId="3" xfId="0" applyFont="1" applyBorder="1" applyAlignment="1">
      <alignment horizontal="center"/>
    </xf>
    <xf numFmtId="0" fontId="23" fillId="0" borderId="5" xfId="0" applyFont="1" applyBorder="1" applyAlignment="1">
      <alignment horizontal="center"/>
    </xf>
    <xf numFmtId="0" fontId="23" fillId="45" borderId="3" xfId="0" applyFont="1" applyFill="1" applyBorder="1" applyAlignment="1">
      <alignment horizontal="center"/>
    </xf>
    <xf numFmtId="0" fontId="23" fillId="45" borderId="4" xfId="0" applyFont="1" applyFill="1" applyBorder="1" applyAlignment="1">
      <alignment horizontal="center"/>
    </xf>
    <xf numFmtId="0" fontId="23" fillId="45" borderId="5" xfId="0" applyFont="1" applyFill="1" applyBorder="1" applyAlignment="1">
      <alignment horizontal="center"/>
    </xf>
    <xf numFmtId="0" fontId="37" fillId="0" borderId="3" xfId="0" applyFont="1" applyBorder="1" applyAlignment="1">
      <alignment horizontal="center"/>
    </xf>
    <xf numFmtId="0" fontId="37" fillId="0" borderId="4" xfId="0" applyFont="1" applyBorder="1" applyAlignment="1">
      <alignment horizontal="center"/>
    </xf>
    <xf numFmtId="0" fontId="37"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23" fillId="0" borderId="4" xfId="0"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75" fontId="0" fillId="5" borderId="4" xfId="0" applyNumberFormat="1" applyFill="1" applyBorder="1" applyAlignment="1" applyProtection="1">
      <alignment horizontal="left" vertical="center" wrapText="1"/>
      <protection locked="0"/>
    </xf>
    <xf numFmtId="0" fontId="14" fillId="0" borderId="11" xfId="543" applyBorder="1" applyAlignment="1">
      <alignment horizontal="center"/>
    </xf>
    <xf numFmtId="1" fontId="23" fillId="5" borderId="6" xfId="0" applyNumberFormat="1" applyFont="1" applyFill="1" applyBorder="1" applyAlignment="1" applyProtection="1">
      <alignment horizontal="right"/>
      <protection locked="0"/>
    </xf>
    <xf numFmtId="0" fontId="14" fillId="5" borderId="4" xfId="0" applyFont="1" applyFill="1" applyBorder="1" applyAlignment="1" applyProtection="1">
      <alignment horizontal="center"/>
      <protection locked="0"/>
    </xf>
    <xf numFmtId="166" fontId="14" fillId="5" borderId="6" xfId="0" applyNumberFormat="1" applyFont="1" applyFill="1" applyBorder="1" applyAlignment="1" applyProtection="1">
      <alignment horizontal="left"/>
      <protection locked="0"/>
    </xf>
    <xf numFmtId="0" fontId="14" fillId="5" borderId="6" xfId="0" applyFont="1" applyFill="1" applyBorder="1" applyAlignment="1" applyProtection="1">
      <alignment horizontal="left" wrapText="1"/>
      <protection locked="0"/>
    </xf>
    <xf numFmtId="0" fontId="23" fillId="5" borderId="6" xfId="0" applyFont="1" applyFill="1" applyBorder="1" applyAlignment="1" applyProtection="1">
      <alignment horizontal="left" wrapText="1"/>
      <protection locked="0"/>
    </xf>
    <xf numFmtId="0" fontId="14" fillId="5" borderId="6" xfId="244"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23" fillId="0" borderId="6" xfId="0" applyFont="1" applyBorder="1" applyAlignment="1">
      <alignment horizontal="left"/>
    </xf>
    <xf numFmtId="166" fontId="14" fillId="5" borderId="4" xfId="0" applyNumberFormat="1" applyFont="1" applyFill="1" applyBorder="1" applyAlignment="1" applyProtection="1">
      <alignment horizontal="left"/>
      <protection locked="0"/>
    </xf>
    <xf numFmtId="0" fontId="14" fillId="5" borderId="0" xfId="244" applyFont="1" applyFill="1" applyBorder="1" applyAlignment="1" applyProtection="1">
      <alignment horizontal="left"/>
      <protection locked="0"/>
    </xf>
    <xf numFmtId="166" fontId="23" fillId="5" borderId="6" xfId="271" applyNumberFormat="1" applyFill="1" applyBorder="1" applyAlignment="1" applyProtection="1">
      <alignment horizontal="left"/>
      <protection locked="0"/>
    </xf>
    <xf numFmtId="166" fontId="23" fillId="5" borderId="4" xfId="271" applyNumberFormat="1" applyFill="1" applyBorder="1" applyAlignment="1" applyProtection="1">
      <alignment horizontal="left"/>
      <protection locked="0"/>
    </xf>
    <xf numFmtId="0" fontId="0" fillId="5" borderId="6" xfId="0" applyFill="1" applyBorder="1" applyProtection="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67" fillId="0" borderId="0" xfId="0" applyFont="1" applyAlignment="1" applyProtection="1">
      <alignment horizontal="left" vertical="top" wrapText="1"/>
      <protection locked="0"/>
    </xf>
    <xf numFmtId="0" fontId="14"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0" fontId="14" fillId="0" borderId="6" xfId="0" applyFont="1" applyBorder="1" applyAlignment="1" applyProtection="1">
      <alignment horizontal="left"/>
      <protection locked="0"/>
    </xf>
    <xf numFmtId="0" fontId="15" fillId="0" borderId="0" xfId="244" applyFill="1" applyAlignment="1" applyProtection="1">
      <alignment horizontal="left"/>
      <protection locked="0"/>
    </xf>
    <xf numFmtId="168" fontId="14"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14" fillId="5" borderId="6" xfId="271" applyNumberFormat="1" applyFont="1" applyFill="1" applyBorder="1" applyAlignment="1" applyProtection="1">
      <alignment horizontal="left"/>
      <protection locked="0"/>
    </xf>
    <xf numFmtId="9" fontId="22" fillId="0" borderId="3" xfId="4494" applyFont="1" applyBorder="1" applyAlignment="1" applyProtection="1">
      <alignment horizontal="center"/>
    </xf>
    <xf numFmtId="9" fontId="22"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43" borderId="6" xfId="0" applyFill="1" applyBorder="1" applyAlignment="1" applyProtection="1">
      <alignment horizontal="center"/>
      <protection locked="0"/>
    </xf>
    <xf numFmtId="0" fontId="2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4" fillId="0" borderId="0" xfId="0" applyFont="1" applyAlignment="1" applyProtection="1">
      <alignment horizontal="left"/>
      <protection locked="0"/>
    </xf>
    <xf numFmtId="0" fontId="14" fillId="0" borderId="6" xfId="0" applyFont="1" applyBorder="1" applyAlignment="1">
      <alignment horizontal="left"/>
    </xf>
    <xf numFmtId="0" fontId="14" fillId="43" borderId="0" xfId="0" applyFont="1" applyFill="1" applyAlignment="1" applyProtection="1">
      <alignment horizontal="left" vertical="center" wrapText="1"/>
      <protection locked="0"/>
    </xf>
    <xf numFmtId="0" fontId="14" fillId="43" borderId="6" xfId="0" applyFont="1" applyFill="1" applyBorder="1" applyAlignment="1" applyProtection="1">
      <alignment horizontal="left" vertical="center" wrapText="1"/>
      <protection locked="0"/>
    </xf>
    <xf numFmtId="0" fontId="23" fillId="0" borderId="6" xfId="0" applyFont="1" applyBorder="1" applyAlignment="1">
      <alignment horizontal="left" wrapText="1"/>
    </xf>
    <xf numFmtId="168" fontId="14" fillId="43" borderId="3" xfId="0" applyNumberFormat="1" applyFont="1" applyFill="1" applyBorder="1" applyAlignment="1" applyProtection="1">
      <alignment horizontal="center" vertical="center"/>
      <protection locked="0"/>
    </xf>
    <xf numFmtId="168" fontId="14" fillId="43" borderId="4" xfId="0" applyNumberFormat="1" applyFont="1" applyFill="1" applyBorder="1" applyAlignment="1" applyProtection="1">
      <alignment horizontal="center" vertical="center"/>
      <protection locked="0"/>
    </xf>
    <xf numFmtId="168" fontId="14" fillId="43" borderId="5" xfId="0" applyNumberFormat="1" applyFont="1" applyFill="1" applyBorder="1" applyAlignment="1" applyProtection="1">
      <alignment horizontal="center" vertical="center"/>
      <protection locked="0"/>
    </xf>
    <xf numFmtId="0" fontId="23" fillId="5" borderId="4" xfId="0" applyFont="1" applyFill="1" applyBorder="1" applyAlignment="1" applyProtection="1">
      <alignment wrapText="1"/>
      <protection locked="0"/>
    </xf>
    <xf numFmtId="0" fontId="14" fillId="5" borderId="4" xfId="0" applyFont="1" applyFill="1" applyBorder="1" applyAlignment="1" applyProtection="1">
      <alignment wrapText="1"/>
      <protection locked="0"/>
    </xf>
    <xf numFmtId="175" fontId="14" fillId="43" borderId="3" xfId="0" applyNumberFormat="1" applyFont="1" applyFill="1" applyBorder="1" applyAlignment="1" applyProtection="1">
      <alignment horizontal="center"/>
      <protection locked="0"/>
    </xf>
    <xf numFmtId="175" fontId="14" fillId="43" borderId="4" xfId="0" applyNumberFormat="1" applyFont="1" applyFill="1" applyBorder="1" applyAlignment="1" applyProtection="1">
      <alignment horizontal="center"/>
      <protection locked="0"/>
    </xf>
    <xf numFmtId="175" fontId="14" fillId="43" borderId="5" xfId="0" applyNumberFormat="1" applyFont="1" applyFill="1" applyBorder="1" applyAlignment="1" applyProtection="1">
      <alignment horizontal="center"/>
      <protection locked="0"/>
    </xf>
    <xf numFmtId="0" fontId="14" fillId="5" borderId="11"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0" borderId="9" xfId="0" applyFont="1" applyBorder="1" applyAlignment="1">
      <alignment horizontal="right"/>
    </xf>
    <xf numFmtId="0" fontId="21" fillId="0" borderId="6" xfId="0" applyFont="1" applyBorder="1" applyAlignment="1">
      <alignment horizontal="right"/>
    </xf>
    <xf numFmtId="0" fontId="21" fillId="0" borderId="10" xfId="0" applyFont="1" applyBorder="1" applyAlignment="1">
      <alignment horizontal="right"/>
    </xf>
    <xf numFmtId="0" fontId="0" fillId="5" borderId="3" xfId="0" applyFill="1" applyBorder="1" applyAlignment="1" applyProtection="1">
      <alignment horizontal="left"/>
      <protection locked="0"/>
    </xf>
    <xf numFmtId="10" fontId="0" fillId="5" borderId="4" xfId="0" applyNumberFormat="1"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0" fillId="0" borderId="9" xfId="0" applyBorder="1" applyAlignment="1">
      <alignment horizontal="left"/>
    </xf>
    <xf numFmtId="168" fontId="0" fillId="0" borderId="11" xfId="0" applyNumberForma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5" xfId="0" applyFont="1" applyBorder="1" applyAlignment="1">
      <alignment horizontal="right"/>
    </xf>
    <xf numFmtId="164" fontId="22" fillId="5" borderId="3" xfId="0" applyNumberFormat="1" applyFont="1" applyFill="1" applyBorder="1" applyAlignment="1" applyProtection="1">
      <alignment horizontal="left"/>
      <protection locked="0"/>
    </xf>
    <xf numFmtId="164" fontId="22" fillId="5" borderId="4" xfId="0" applyNumberFormat="1" applyFont="1" applyFill="1" applyBorder="1" applyAlignment="1" applyProtection="1">
      <alignment horizontal="left"/>
      <protection locked="0"/>
    </xf>
    <xf numFmtId="164" fontId="22" fillId="5" borderId="5" xfId="0" applyNumberFormat="1" applyFont="1" applyFill="1" applyBorder="1" applyAlignment="1" applyProtection="1">
      <alignment horizontal="left"/>
      <protection locked="0"/>
    </xf>
    <xf numFmtId="0" fontId="21" fillId="0" borderId="11" xfId="0" applyFont="1" applyBorder="1" applyAlignment="1">
      <alignment horizontal="center"/>
    </xf>
    <xf numFmtId="0" fontId="14" fillId="43" borderId="11" xfId="0" applyFont="1" applyFill="1" applyBorder="1" applyAlignment="1" applyProtection="1">
      <alignment horizontal="center"/>
      <protection locked="0"/>
    </xf>
    <xf numFmtId="0" fontId="23" fillId="0" borderId="11" xfId="0" applyFont="1" applyBorder="1" applyAlignment="1">
      <alignment horizontal="center" vertical="top"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0" borderId="2" xfId="0" applyFont="1" applyBorder="1" applyAlignment="1">
      <alignment horizontal="center" wrapText="1"/>
    </xf>
    <xf numFmtId="0" fontId="21" fillId="0" borderId="7" xfId="0" applyFont="1" applyBorder="1" applyAlignment="1">
      <alignment horizontal="center" wrapText="1"/>
    </xf>
    <xf numFmtId="0" fontId="21" fillId="0" borderId="6" xfId="0" applyFont="1" applyBorder="1" applyAlignment="1">
      <alignment horizontal="center" wrapText="1"/>
    </xf>
    <xf numFmtId="0" fontId="21" fillId="0" borderId="10" xfId="0" applyFont="1" applyBorder="1" applyAlignment="1">
      <alignment horizontal="center" wrapText="1"/>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0" fontId="14" fillId="0" borderId="0" xfId="543" applyAlignment="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2" fontId="14"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1" fillId="5" borderId="3"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0" fontId="21"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21" fillId="0" borderId="2" xfId="0" applyFont="1" applyBorder="1" applyAlignment="1">
      <alignment horizontal="right"/>
    </xf>
    <xf numFmtId="0" fontId="21" fillId="0" borderId="7" xfId="0" applyFont="1" applyBorder="1" applyAlignment="1">
      <alignment horizontal="right"/>
    </xf>
    <xf numFmtId="0" fontId="21" fillId="0" borderId="1" xfId="543" applyFont="1" applyBorder="1" applyAlignment="1">
      <alignment horizontal="left" vertical="center" wrapText="1"/>
    </xf>
    <xf numFmtId="0" fontId="21" fillId="0" borderId="2" xfId="543" applyFont="1" applyBorder="1" applyAlignment="1">
      <alignment horizontal="left" vertical="center" wrapText="1"/>
    </xf>
    <xf numFmtId="0" fontId="21" fillId="0" borderId="7" xfId="543" applyFont="1" applyBorder="1" applyAlignment="1">
      <alignment horizontal="left" vertical="center" wrapText="1"/>
    </xf>
    <xf numFmtId="0" fontId="21" fillId="0" borderId="8" xfId="543" applyFont="1" applyBorder="1" applyAlignment="1">
      <alignment horizontal="left" vertical="center" wrapText="1"/>
    </xf>
    <xf numFmtId="0" fontId="21" fillId="0" borderId="0" xfId="543" applyFont="1" applyAlignment="1">
      <alignment horizontal="left" vertical="center" wrapText="1"/>
    </xf>
    <xf numFmtId="0" fontId="21" fillId="0" borderId="12" xfId="543" applyFont="1" applyBorder="1" applyAlignment="1">
      <alignment horizontal="left" vertical="center" wrapText="1"/>
    </xf>
    <xf numFmtId="168" fontId="14" fillId="0" borderId="11" xfId="543" applyNumberFormat="1" applyBorder="1" applyAlignment="1">
      <alignment horizontal="center"/>
    </xf>
    <xf numFmtId="0" fontId="21" fillId="0" borderId="3" xfId="543" applyFont="1" applyBorder="1" applyAlignment="1">
      <alignment horizontal="right"/>
    </xf>
    <xf numFmtId="0" fontId="21" fillId="0" borderId="4" xfId="543" applyFont="1" applyBorder="1" applyAlignment="1">
      <alignment horizontal="right"/>
    </xf>
    <xf numFmtId="0" fontId="21" fillId="0" borderId="5" xfId="543" applyFont="1" applyBorder="1" applyAlignment="1">
      <alignment horizontal="right"/>
    </xf>
    <xf numFmtId="0" fontId="14" fillId="5" borderId="3" xfId="543" applyFill="1" applyBorder="1" applyAlignment="1" applyProtection="1">
      <alignment horizontal="left" vertical="top" wrapText="1"/>
      <protection locked="0"/>
    </xf>
    <xf numFmtId="0" fontId="23" fillId="5" borderId="4" xfId="543" applyFont="1" applyFill="1" applyBorder="1" applyAlignment="1" applyProtection="1">
      <alignment horizontal="left" vertical="top" wrapText="1"/>
      <protection locked="0"/>
    </xf>
    <xf numFmtId="0" fontId="23" fillId="5" borderId="5" xfId="543" applyFont="1" applyFill="1" applyBorder="1" applyAlignment="1" applyProtection="1">
      <alignment horizontal="left" vertical="top" wrapText="1"/>
      <protection locked="0"/>
    </xf>
    <xf numFmtId="171" fontId="14" fillId="0" borderId="0" xfId="543" applyNumberFormat="1" applyAlignment="1">
      <alignment horizontal="center"/>
    </xf>
    <xf numFmtId="171" fontId="14" fillId="0" borderId="0" xfId="543" applyNumberFormat="1" applyAlignment="1">
      <alignment horizontal="right"/>
    </xf>
    <xf numFmtId="0" fontId="20" fillId="3" borderId="0" xfId="0" applyFont="1" applyFill="1" applyAlignment="1">
      <alignment horizontal="center" vertical="center"/>
    </xf>
    <xf numFmtId="0" fontId="0" fillId="0" borderId="3" xfId="0" applyBorder="1"/>
    <xf numFmtId="0" fontId="0" fillId="0" borderId="4" xfId="0" applyBorder="1"/>
    <xf numFmtId="0" fontId="0" fillId="0" borderId="5" xfId="0" applyBorder="1"/>
    <xf numFmtId="0" fontId="14" fillId="0" borderId="9" xfId="543" applyBorder="1" applyAlignment="1">
      <alignment horizontal="left" vertical="center" wrapText="1"/>
    </xf>
    <xf numFmtId="0" fontId="14" fillId="0" borderId="6" xfId="543" applyBorder="1" applyAlignment="1">
      <alignment horizontal="left" vertical="center" wrapText="1"/>
    </xf>
    <xf numFmtId="0" fontId="14" fillId="0" borderId="10" xfId="543" applyBorder="1" applyAlignment="1">
      <alignment horizontal="left" vertical="center" wrapText="1"/>
    </xf>
    <xf numFmtId="1" fontId="14" fillId="0" borderId="3" xfId="543" applyNumberFormat="1" applyBorder="1" applyAlignment="1">
      <alignment horizontal="center"/>
    </xf>
    <xf numFmtId="1" fontId="14" fillId="0" borderId="4" xfId="543" applyNumberFormat="1" applyBorder="1" applyAlignment="1">
      <alignment horizontal="center"/>
    </xf>
    <xf numFmtId="1" fontId="14" fillId="0" borderId="5" xfId="543" applyNumberFormat="1" applyBorder="1" applyAlignment="1">
      <alignment horizontal="center"/>
    </xf>
    <xf numFmtId="168" fontId="14" fillId="10" borderId="3" xfId="543" applyNumberFormat="1" applyFill="1" applyBorder="1" applyAlignment="1">
      <alignment horizontal="center"/>
    </xf>
    <xf numFmtId="168" fontId="14" fillId="10" borderId="4" xfId="543" applyNumberFormat="1" applyFill="1" applyBorder="1" applyAlignment="1">
      <alignment horizontal="center"/>
    </xf>
    <xf numFmtId="168" fontId="14" fillId="10" borderId="5" xfId="543" applyNumberFormat="1" applyFill="1" applyBorder="1" applyAlignment="1">
      <alignment horizontal="center"/>
    </xf>
    <xf numFmtId="0" fontId="22"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23" fillId="0" borderId="3" xfId="0" applyFont="1" applyBorder="1" applyAlignment="1">
      <alignment horizontal="left"/>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5" fontId="21" fillId="0" borderId="3" xfId="271" applyNumberFormat="1" applyFont="1" applyBorder="1" applyAlignment="1">
      <alignment horizontal="center"/>
    </xf>
    <xf numFmtId="165" fontId="21" fillId="0" borderId="4" xfId="271" applyNumberFormat="1" applyFont="1" applyBorder="1" applyAlignment="1">
      <alignment horizontal="center"/>
    </xf>
    <xf numFmtId="165" fontId="21" fillId="0" borderId="5" xfId="271" applyNumberFormat="1" applyFont="1" applyBorder="1" applyAlignment="1">
      <alignment horizontal="center"/>
    </xf>
    <xf numFmtId="168" fontId="14" fillId="5" borderId="3" xfId="0" applyNumberFormat="1" applyFont="1" applyFill="1" applyBorder="1" applyAlignment="1" applyProtection="1">
      <alignment horizontal="right"/>
      <protection locked="0"/>
    </xf>
    <xf numFmtId="168" fontId="14" fillId="5" borderId="4" xfId="0" applyNumberFormat="1" applyFont="1" applyFill="1" applyBorder="1" applyAlignment="1" applyProtection="1">
      <alignment horizontal="right"/>
      <protection locked="0"/>
    </xf>
    <xf numFmtId="168" fontId="14" fillId="5" borderId="5" xfId="0" applyNumberFormat="1" applyFont="1" applyFill="1" applyBorder="1" applyAlignment="1" applyProtection="1">
      <alignment horizontal="right"/>
      <protection locked="0"/>
    </xf>
    <xf numFmtId="0" fontId="14" fillId="0" borderId="8" xfId="543" applyBorder="1" applyAlignment="1">
      <alignment horizontal="left" vertical="top" wrapText="1"/>
    </xf>
    <xf numFmtId="0" fontId="14" fillId="0" borderId="0" xfId="543" applyAlignment="1">
      <alignment horizontal="left" vertical="top" wrapText="1"/>
    </xf>
    <xf numFmtId="0" fontId="14" fillId="0" borderId="12" xfId="543" applyBorder="1" applyAlignment="1">
      <alignment horizontal="left" vertical="top" wrapText="1"/>
    </xf>
    <xf numFmtId="0" fontId="22" fillId="0" borderId="3" xfId="543" applyFont="1" applyBorder="1" applyAlignment="1">
      <alignment horizontal="center"/>
    </xf>
    <xf numFmtId="0" fontId="22" fillId="0" borderId="5" xfId="543" applyFont="1" applyBorder="1" applyAlignment="1">
      <alignment horizontal="center"/>
    </xf>
    <xf numFmtId="1" fontId="22" fillId="0" borderId="3" xfId="543" applyNumberFormat="1" applyFont="1" applyBorder="1" applyAlignment="1">
      <alignment horizontal="center"/>
    </xf>
    <xf numFmtId="1" fontId="22" fillId="0" borderId="5" xfId="543" applyNumberFormat="1" applyFont="1" applyBorder="1" applyAlignment="1">
      <alignment horizontal="center"/>
    </xf>
    <xf numFmtId="168" fontId="14" fillId="0" borderId="1" xfId="543" applyNumberFormat="1" applyBorder="1" applyAlignment="1">
      <alignment horizontal="center" vertical="center"/>
    </xf>
    <xf numFmtId="168" fontId="14" fillId="0" borderId="2" xfId="543" applyNumberFormat="1" applyBorder="1" applyAlignment="1">
      <alignment horizontal="center" vertical="center"/>
    </xf>
    <xf numFmtId="168" fontId="14" fillId="0" borderId="7" xfId="543" applyNumberFormat="1" applyBorder="1" applyAlignment="1">
      <alignment horizontal="center" vertical="center"/>
    </xf>
    <xf numFmtId="168" fontId="14" fillId="0" borderId="8" xfId="543" applyNumberFormat="1" applyBorder="1" applyAlignment="1">
      <alignment horizontal="center" vertical="center"/>
    </xf>
    <xf numFmtId="168" fontId="14" fillId="0" borderId="0" xfId="543" applyNumberFormat="1" applyAlignment="1">
      <alignment horizontal="center" vertical="center"/>
    </xf>
    <xf numFmtId="168" fontId="14" fillId="0" borderId="12" xfId="543" applyNumberFormat="1" applyBorder="1" applyAlignment="1">
      <alignment horizontal="center" vertical="center"/>
    </xf>
    <xf numFmtId="168" fontId="14" fillId="0" borderId="9" xfId="543" applyNumberFormat="1" applyBorder="1" applyAlignment="1">
      <alignment horizontal="center" vertical="center"/>
    </xf>
    <xf numFmtId="168" fontId="14" fillId="0" borderId="6" xfId="543" applyNumberFormat="1" applyBorder="1" applyAlignment="1">
      <alignment horizontal="center" vertical="center"/>
    </xf>
    <xf numFmtId="168" fontId="14" fillId="0" borderId="10" xfId="543" applyNumberFormat="1" applyBorder="1" applyAlignment="1">
      <alignment horizontal="center" vertical="center"/>
    </xf>
    <xf numFmtId="0" fontId="33" fillId="5" borderId="3" xfId="543" applyFont="1" applyFill="1" applyBorder="1" applyAlignment="1" applyProtection="1">
      <alignment horizontal="center"/>
      <protection locked="0"/>
    </xf>
    <xf numFmtId="0" fontId="33" fillId="5" borderId="5" xfId="543" applyFont="1" applyFill="1" applyBorder="1" applyAlignment="1" applyProtection="1">
      <alignment horizontal="center"/>
      <protection locked="0"/>
    </xf>
    <xf numFmtId="0" fontId="34" fillId="0" borderId="4" xfId="543" applyFont="1" applyBorder="1" applyAlignment="1">
      <alignment horizontal="right" vertical="top" wrapText="1"/>
    </xf>
    <xf numFmtId="0" fontId="34" fillId="0" borderId="5" xfId="543" applyFont="1" applyBorder="1" applyAlignment="1">
      <alignment horizontal="right" vertical="top" wrapText="1"/>
    </xf>
    <xf numFmtId="164" fontId="33" fillId="5" borderId="3" xfId="0" applyNumberFormat="1" applyFont="1" applyFill="1" applyBorder="1" applyAlignment="1" applyProtection="1">
      <alignment horizontal="left"/>
      <protection locked="0"/>
    </xf>
    <xf numFmtId="164" fontId="33" fillId="5" borderId="4" xfId="0" applyNumberFormat="1" applyFont="1" applyFill="1" applyBorder="1" applyAlignment="1" applyProtection="1">
      <alignment horizontal="left"/>
      <protection locked="0"/>
    </xf>
    <xf numFmtId="164" fontId="33"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21" fillId="0" borderId="3" xfId="543" applyNumberFormat="1" applyFont="1" applyBorder="1" applyAlignment="1">
      <alignment horizontal="center" vertical="center"/>
    </xf>
    <xf numFmtId="168" fontId="21" fillId="0" borderId="4" xfId="543" applyNumberFormat="1" applyFont="1" applyBorder="1" applyAlignment="1">
      <alignment horizontal="center" vertical="center"/>
    </xf>
    <xf numFmtId="168" fontId="21"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33" fillId="0" borderId="3" xfId="543" applyFont="1" applyBorder="1" applyAlignment="1">
      <alignment horizontal="center"/>
    </xf>
    <xf numFmtId="0" fontId="33" fillId="0" borderId="5" xfId="543" applyFont="1" applyBorder="1" applyAlignment="1">
      <alignment horizontal="center"/>
    </xf>
    <xf numFmtId="0" fontId="21" fillId="0" borderId="1" xfId="543" applyFont="1" applyBorder="1" applyAlignment="1">
      <alignment horizontal="left" vertical="top" wrapText="1"/>
    </xf>
    <xf numFmtId="0" fontId="21" fillId="0" borderId="2" xfId="543" applyFont="1" applyBorder="1" applyAlignment="1">
      <alignment horizontal="left" vertical="top" wrapText="1"/>
    </xf>
    <xf numFmtId="0" fontId="21" fillId="0" borderId="7" xfId="543" applyFont="1" applyBorder="1" applyAlignment="1">
      <alignment horizontal="left" vertical="top" wrapText="1"/>
    </xf>
    <xf numFmtId="0" fontId="21" fillId="0" borderId="8" xfId="543" applyFont="1" applyBorder="1" applyAlignment="1">
      <alignment horizontal="left" vertical="top" wrapText="1"/>
    </xf>
    <xf numFmtId="0" fontId="21" fillId="0" borderId="0" xfId="543" applyFont="1" applyAlignment="1">
      <alignment horizontal="left" vertical="top" wrapText="1"/>
    </xf>
    <xf numFmtId="0" fontId="21" fillId="0" borderId="12" xfId="543" applyFont="1" applyBorder="1" applyAlignment="1">
      <alignment horizontal="left" vertical="top" wrapText="1"/>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0" fontId="14" fillId="0" borderId="8" xfId="543" applyBorder="1" applyAlignment="1">
      <alignment horizontal="left" vertical="center" wrapText="1"/>
    </xf>
    <xf numFmtId="0" fontId="14" fillId="0" borderId="0" xfId="543" applyAlignment="1">
      <alignment horizontal="left" vertical="center" wrapText="1"/>
    </xf>
    <xf numFmtId="0" fontId="14" fillId="0" borderId="12" xfId="543" applyBorder="1" applyAlignment="1">
      <alignment horizontal="left" vertical="center" wrapText="1"/>
    </xf>
    <xf numFmtId="0" fontId="21" fillId="0" borderId="11" xfId="0" applyFont="1" applyBorder="1" applyAlignment="1">
      <alignment horizontal="center" vertical="center" wrapText="1"/>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0" xfId="0" applyFont="1" applyAlignment="1">
      <alignment horizontal="center" vertical="center" wrapText="1"/>
    </xf>
    <xf numFmtId="0" fontId="30" fillId="0" borderId="12"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10" xfId="0" applyFont="1" applyBorder="1" applyAlignment="1">
      <alignment horizontal="center" vertical="center" wrapText="1"/>
    </xf>
    <xf numFmtId="0" fontId="14" fillId="5" borderId="5" xfId="0" applyFont="1" applyFill="1" applyBorder="1" applyAlignment="1" applyProtection="1">
      <alignment horizontal="left"/>
      <protection locked="0"/>
    </xf>
    <xf numFmtId="0" fontId="35" fillId="0" borderId="3" xfId="543" applyFont="1" applyBorder="1" applyAlignment="1">
      <alignment horizontal="center"/>
    </xf>
    <xf numFmtId="0" fontId="35" fillId="0" borderId="4" xfId="543" applyFont="1" applyBorder="1" applyAlignment="1">
      <alignment horizontal="center"/>
    </xf>
    <xf numFmtId="0" fontId="35" fillId="0" borderId="5" xfId="543" applyFont="1" applyBorder="1" applyAlignment="1">
      <alignment horizontal="center"/>
    </xf>
    <xf numFmtId="0" fontId="14" fillId="0" borderId="8" xfId="0" applyFont="1" applyBorder="1" applyAlignment="1">
      <alignment horizontal="left" wrapText="1"/>
    </xf>
    <xf numFmtId="0" fontId="14" fillId="0" borderId="12" xfId="0" applyFont="1" applyBorder="1" applyAlignment="1">
      <alignment horizontal="left" wrapText="1"/>
    </xf>
    <xf numFmtId="0" fontId="14" fillId="0" borderId="9" xfId="0" applyFont="1" applyBorder="1" applyAlignment="1">
      <alignment horizontal="left" wrapText="1"/>
    </xf>
    <xf numFmtId="0" fontId="14" fillId="0" borderId="6" xfId="0" applyFont="1" applyBorder="1" applyAlignment="1">
      <alignment horizontal="left" wrapText="1"/>
    </xf>
    <xf numFmtId="0" fontId="14" fillId="0" borderId="10" xfId="0" applyFont="1" applyBorder="1" applyAlignment="1">
      <alignment horizontal="left" wrapText="1"/>
    </xf>
    <xf numFmtId="0" fontId="52" fillId="0" borderId="1" xfId="0" applyFont="1" applyBorder="1" applyAlignment="1">
      <alignment horizontal="center" vertical="center" wrapText="1"/>
    </xf>
    <xf numFmtId="0" fontId="52" fillId="0" borderId="2" xfId="0" applyFont="1" applyBorder="1" applyAlignment="1">
      <alignment horizontal="center" vertical="center" wrapText="1"/>
    </xf>
    <xf numFmtId="0" fontId="52" fillId="0" borderId="7" xfId="0" applyFont="1" applyBorder="1" applyAlignment="1">
      <alignment horizontal="center" vertical="center" wrapText="1"/>
    </xf>
    <xf numFmtId="0" fontId="52" fillId="0" borderId="8" xfId="0" applyFont="1" applyBorder="1" applyAlignment="1">
      <alignment horizontal="center" vertical="center" wrapText="1"/>
    </xf>
    <xf numFmtId="0" fontId="52" fillId="0" borderId="0" xfId="0" applyFont="1" applyAlignment="1">
      <alignment horizontal="center" vertical="center" wrapText="1"/>
    </xf>
    <xf numFmtId="0" fontId="52" fillId="0" borderId="12" xfId="0" applyFont="1" applyBorder="1" applyAlignment="1">
      <alignment horizontal="center" vertical="center" wrapText="1"/>
    </xf>
    <xf numFmtId="0" fontId="52" fillId="0" borderId="9" xfId="0" applyFont="1" applyBorder="1" applyAlignment="1">
      <alignment horizontal="center" vertical="center" wrapText="1"/>
    </xf>
    <xf numFmtId="0" fontId="52" fillId="0" borderId="6" xfId="0" applyFont="1" applyBorder="1" applyAlignment="1">
      <alignment horizontal="center" vertical="center" wrapText="1"/>
    </xf>
    <xf numFmtId="0" fontId="52" fillId="0" borderId="10" xfId="0" applyFont="1" applyBorder="1" applyAlignment="1">
      <alignment horizontal="center" vertical="center" wrapText="1"/>
    </xf>
    <xf numFmtId="0" fontId="14" fillId="0" borderId="3" xfId="543" applyBorder="1" applyAlignment="1">
      <alignment horizontal="center"/>
    </xf>
    <xf numFmtId="0" fontId="14" fillId="0" borderId="4" xfId="543" applyBorder="1" applyAlignment="1">
      <alignment horizontal="center"/>
    </xf>
    <xf numFmtId="0" fontId="14" fillId="0" borderId="5" xfId="543" applyBorder="1" applyAlignment="1">
      <alignment horizontal="center"/>
    </xf>
    <xf numFmtId="3" fontId="23" fillId="0" borderId="11" xfId="0" applyNumberFormat="1" applyFont="1" applyBorder="1" applyAlignment="1">
      <alignment horizontal="center"/>
    </xf>
    <xf numFmtId="0" fontId="14" fillId="5" borderId="3" xfId="0" applyFont="1" applyFill="1" applyBorder="1" applyProtection="1">
      <protection locked="0"/>
    </xf>
    <xf numFmtId="0" fontId="23" fillId="0" borderId="4" xfId="0" applyFont="1" applyBorder="1" applyProtection="1">
      <protection locked="0"/>
    </xf>
    <xf numFmtId="0" fontId="23" fillId="0" borderId="5" xfId="0" applyFont="1" applyBorder="1" applyProtection="1">
      <protection locked="0"/>
    </xf>
    <xf numFmtId="0" fontId="33" fillId="5" borderId="3" xfId="543" applyFont="1" applyFill="1" applyBorder="1" applyAlignment="1">
      <alignment horizontal="center"/>
    </xf>
    <xf numFmtId="0" fontId="33" fillId="5" borderId="4" xfId="543" applyFont="1" applyFill="1" applyBorder="1" applyAlignment="1">
      <alignment horizontal="center"/>
    </xf>
    <xf numFmtId="0" fontId="33" fillId="5" borderId="5" xfId="543" applyFont="1" applyFill="1" applyBorder="1" applyAlignment="1">
      <alignment horizontal="center"/>
    </xf>
    <xf numFmtId="49" fontId="14" fillId="5" borderId="3" xfId="543" applyNumberFormat="1" applyFill="1" applyBorder="1" applyAlignment="1">
      <alignment horizontal="center"/>
    </xf>
    <xf numFmtId="49" fontId="14" fillId="5" borderId="5" xfId="543" applyNumberFormat="1" applyFill="1" applyBorder="1" applyAlignment="1">
      <alignment horizontal="center"/>
    </xf>
    <xf numFmtId="0" fontId="0" fillId="5" borderId="3" xfId="0" quotePrefix="1" applyFill="1" applyBorder="1" applyAlignment="1" applyProtection="1">
      <alignment horizontal="right"/>
      <protection locked="0"/>
    </xf>
    <xf numFmtId="0" fontId="23" fillId="5" borderId="6" xfId="271" applyFill="1" applyBorder="1" applyProtection="1">
      <protection locked="0"/>
    </xf>
    <xf numFmtId="0" fontId="21" fillId="0" borderId="1" xfId="0" applyFont="1" applyBorder="1" applyAlignment="1">
      <alignment horizontal="center" wrapText="1"/>
    </xf>
    <xf numFmtId="0" fontId="21" fillId="0" borderId="8" xfId="0" applyFont="1" applyBorder="1" applyAlignment="1">
      <alignment horizontal="center" wrapText="1"/>
    </xf>
    <xf numFmtId="0" fontId="21" fillId="0" borderId="0" xfId="0" applyFont="1" applyAlignment="1">
      <alignment horizontal="center" wrapText="1"/>
    </xf>
    <xf numFmtId="0" fontId="21" fillId="0" borderId="9" xfId="0" applyFont="1" applyBorder="1" applyAlignment="1">
      <alignment horizontal="center" wrapText="1"/>
    </xf>
    <xf numFmtId="9" fontId="14" fillId="0" borderId="0" xfId="543" applyNumberFormat="1" applyAlignment="1">
      <alignment horizontal="center" vertical="center"/>
    </xf>
    <xf numFmtId="168" fontId="14" fillId="5" borderId="3" xfId="0" applyNumberFormat="1" applyFont="1" applyFill="1" applyBorder="1" applyAlignment="1" applyProtection="1">
      <alignment horizontal="left"/>
      <protection locked="0"/>
    </xf>
    <xf numFmtId="168" fontId="14" fillId="5" borderId="4" xfId="0" applyNumberFormat="1" applyFont="1" applyFill="1" applyBorder="1" applyAlignment="1" applyProtection="1">
      <alignment horizontal="left"/>
      <protection locked="0"/>
    </xf>
    <xf numFmtId="168" fontId="14" fillId="5" borderId="5" xfId="0" applyNumberFormat="1" applyFont="1" applyFill="1" applyBorder="1" applyAlignment="1" applyProtection="1">
      <alignment horizontal="left"/>
      <protection locked="0"/>
    </xf>
    <xf numFmtId="9" fontId="14"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1" fillId="0" borderId="12" xfId="0" applyFont="1" applyBorder="1" applyAlignment="1">
      <alignment horizontal="center" wrapText="1"/>
    </xf>
    <xf numFmtId="0" fontId="33" fillId="5" borderId="3" xfId="543" applyFont="1" applyFill="1" applyBorder="1" applyAlignment="1" applyProtection="1">
      <alignment horizontal="center" vertical="top"/>
      <protection locked="0"/>
    </xf>
    <xf numFmtId="0" fontId="33" fillId="5" borderId="5" xfId="543" applyFont="1" applyFill="1" applyBorder="1" applyAlignment="1" applyProtection="1">
      <alignment horizontal="center" vertical="top"/>
      <protection locked="0"/>
    </xf>
    <xf numFmtId="168" fontId="0" fillId="0" borderId="11" xfId="0" applyNumberFormat="1" applyBorder="1"/>
    <xf numFmtId="0" fontId="22"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5" borderId="6" xfId="0" applyNumberFormat="1" applyFill="1" applyBorder="1" applyAlignment="1" applyProtection="1">
      <alignment horizontal="center"/>
      <protection locked="0"/>
    </xf>
    <xf numFmtId="0" fontId="14" fillId="0" borderId="9" xfId="543" applyBorder="1" applyAlignment="1">
      <alignment horizontal="left" vertical="top" wrapText="1"/>
    </xf>
    <xf numFmtId="0" fontId="14" fillId="0" borderId="6" xfId="543" applyBorder="1" applyAlignment="1">
      <alignment horizontal="left" vertical="top" wrapText="1"/>
    </xf>
    <xf numFmtId="0" fontId="14" fillId="0" borderId="10" xfId="543" applyBorder="1" applyAlignment="1">
      <alignment horizontal="left" vertical="top" wrapText="1"/>
    </xf>
    <xf numFmtId="0" fontId="14" fillId="2" borderId="3" xfId="543" applyFill="1" applyBorder="1" applyAlignment="1">
      <alignment horizontal="center"/>
    </xf>
    <xf numFmtId="0" fontId="14" fillId="2" borderId="4" xfId="543" applyFill="1" applyBorder="1" applyAlignment="1">
      <alignment horizontal="center"/>
    </xf>
    <xf numFmtId="0" fontId="14" fillId="2" borderId="5" xfId="543" applyFill="1" applyBorder="1" applyAlignment="1">
      <alignment horizontal="center"/>
    </xf>
    <xf numFmtId="0" fontId="33" fillId="5" borderId="9" xfId="543" applyFont="1" applyFill="1" applyBorder="1" applyAlignment="1" applyProtection="1">
      <alignment horizontal="center"/>
      <protection locked="0"/>
    </xf>
    <xf numFmtId="0" fontId="33" fillId="5" borderId="10" xfId="543" applyFont="1" applyFill="1" applyBorder="1" applyAlignment="1" applyProtection="1">
      <alignment horizontal="center"/>
      <protection locked="0"/>
    </xf>
    <xf numFmtId="168" fontId="14"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2" fillId="5" borderId="3"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2" fillId="5" borderId="5" xfId="0" applyFont="1" applyFill="1" applyBorder="1" applyAlignment="1" applyProtection="1">
      <alignment horizontal="left"/>
      <protection locked="0"/>
    </xf>
    <xf numFmtId="0" fontId="51" fillId="5" borderId="3" xfId="0" applyFont="1" applyFill="1" applyBorder="1" applyAlignment="1" applyProtection="1">
      <alignment horizontal="center"/>
      <protection locked="0"/>
    </xf>
    <xf numFmtId="0" fontId="51" fillId="5" borderId="4" xfId="0" applyFont="1" applyFill="1" applyBorder="1" applyAlignment="1" applyProtection="1">
      <alignment horizontal="center"/>
      <protection locked="0"/>
    </xf>
    <xf numFmtId="0" fontId="51" fillId="5" borderId="5" xfId="0" applyFont="1" applyFill="1" applyBorder="1" applyAlignment="1" applyProtection="1">
      <alignment horizontal="center"/>
      <protection locked="0"/>
    </xf>
    <xf numFmtId="182" fontId="22" fillId="43" borderId="11" xfId="8722" applyNumberFormat="1" applyFont="1" applyFill="1" applyBorder="1" applyAlignment="1" applyProtection="1">
      <alignment horizontal="center" vertical="center" wrapText="1"/>
      <protection locked="0"/>
    </xf>
    <xf numFmtId="0" fontId="21" fillId="10" borderId="3" xfId="543" applyFont="1" applyFill="1" applyBorder="1" applyAlignment="1">
      <alignment horizontal="center"/>
    </xf>
    <xf numFmtId="0" fontId="21" fillId="10" borderId="4" xfId="543" applyFont="1" applyFill="1" applyBorder="1" applyAlignment="1">
      <alignment horizontal="center"/>
    </xf>
    <xf numFmtId="0" fontId="21" fillId="10" borderId="5" xfId="543" applyFont="1" applyFill="1" applyBorder="1" applyAlignment="1">
      <alignment horizontal="center"/>
    </xf>
    <xf numFmtId="168" fontId="14" fillId="5" borderId="10" xfId="0" applyNumberFormat="1" applyFont="1" applyFill="1" applyBorder="1" applyAlignment="1" applyProtection="1">
      <alignment horizontal="right"/>
      <protection locked="0"/>
    </xf>
    <xf numFmtId="168" fontId="14" fillId="5" borderId="13" xfId="0" applyNumberFormat="1" applyFont="1" applyFill="1" applyBorder="1" applyAlignment="1" applyProtection="1">
      <alignment horizontal="right"/>
      <protection locked="0"/>
    </xf>
    <xf numFmtId="0" fontId="51" fillId="5" borderId="3" xfId="0" applyFont="1" applyFill="1" applyBorder="1" applyAlignment="1" applyProtection="1">
      <alignment horizontal="right"/>
      <protection locked="0"/>
    </xf>
    <xf numFmtId="0" fontId="51" fillId="5" borderId="4" xfId="0" applyFont="1" applyFill="1" applyBorder="1" applyAlignment="1" applyProtection="1">
      <alignment horizontal="right"/>
      <protection locked="0"/>
    </xf>
    <xf numFmtId="0" fontId="51" fillId="5" borderId="5" xfId="0" applyFont="1" applyFill="1" applyBorder="1" applyAlignment="1" applyProtection="1">
      <alignment horizontal="right"/>
      <protection locked="0"/>
    </xf>
    <xf numFmtId="0" fontId="34" fillId="0" borderId="1" xfId="543" applyFont="1" applyBorder="1" applyAlignment="1">
      <alignment horizontal="right"/>
    </xf>
    <xf numFmtId="0" fontId="34" fillId="0" borderId="2" xfId="543" applyFont="1" applyBorder="1" applyAlignment="1">
      <alignment horizontal="right"/>
    </xf>
    <xf numFmtId="0" fontId="34" fillId="0" borderId="7" xfId="543" applyFont="1" applyBorder="1" applyAlignment="1">
      <alignment horizontal="right"/>
    </xf>
    <xf numFmtId="0" fontId="21" fillId="0" borderId="11" xfId="0" applyFont="1" applyBorder="1" applyAlignment="1">
      <alignment horizontal="center" vertical="center"/>
    </xf>
    <xf numFmtId="172" fontId="21" fillId="0" borderId="11" xfId="0" applyNumberFormat="1" applyFont="1" applyBorder="1" applyAlignment="1">
      <alignment horizontal="center" vertical="center" wrapText="1"/>
    </xf>
    <xf numFmtId="0" fontId="14" fillId="0" borderId="0" xfId="0" applyFont="1" applyAlignment="1">
      <alignment wrapText="1"/>
    </xf>
    <xf numFmtId="0" fontId="0" fillId="5" borderId="4" xfId="0" applyFill="1" applyBorder="1" applyAlignment="1" applyProtection="1">
      <alignment horizontal="right"/>
      <protection locked="0"/>
    </xf>
    <xf numFmtId="0" fontId="23" fillId="5" borderId="4" xfId="0" applyFont="1" applyFill="1" applyBorder="1" applyAlignment="1" applyProtection="1">
      <alignment horizontal="right"/>
      <protection locked="0"/>
    </xf>
    <xf numFmtId="14" fontId="23" fillId="5" borderId="4" xfId="0" applyNumberFormat="1" applyFont="1" applyFill="1" applyBorder="1" applyAlignment="1" applyProtection="1">
      <alignment horizontal="right"/>
      <protection locked="0"/>
    </xf>
    <xf numFmtId="0" fontId="47" fillId="0" borderId="0" xfId="0" applyFont="1" applyAlignment="1">
      <alignment horizontal="center"/>
    </xf>
    <xf numFmtId="0" fontId="14" fillId="0" borderId="0" xfId="0" applyFont="1" applyAlignment="1">
      <alignment horizontal="center"/>
    </xf>
    <xf numFmtId="0" fontId="29" fillId="0" borderId="0" xfId="0" applyFont="1" applyAlignment="1">
      <alignment horizontal="center"/>
    </xf>
    <xf numFmtId="0" fontId="14" fillId="0" borderId="0" xfId="0" applyFont="1" applyAlignment="1">
      <alignment horizontal="center" vertical="top"/>
    </xf>
    <xf numFmtId="168" fontId="23" fillId="0" borderId="6" xfId="0" applyNumberFormat="1" applyFont="1" applyBorder="1" applyAlignment="1">
      <alignment horizontal="center"/>
    </xf>
    <xf numFmtId="0" fontId="22" fillId="0" borderId="0" xfId="0" applyFont="1" applyAlignment="1">
      <alignment horizontal="center"/>
    </xf>
    <xf numFmtId="0" fontId="175" fillId="0" borderId="8" xfId="543" applyFont="1" applyBorder="1" applyAlignment="1">
      <alignment horizontal="center" wrapText="1"/>
    </xf>
    <xf numFmtId="0" fontId="175" fillId="0" borderId="0" xfId="543" applyFont="1" applyAlignment="1">
      <alignment horizontal="center" wrapText="1"/>
    </xf>
    <xf numFmtId="0" fontId="175" fillId="0" borderId="12" xfId="543" applyFont="1" applyBorder="1" applyAlignment="1">
      <alignment horizontal="center" wrapText="1"/>
    </xf>
    <xf numFmtId="0" fontId="175" fillId="0" borderId="9" xfId="543" applyFont="1" applyBorder="1" applyAlignment="1">
      <alignment horizontal="center" wrapText="1"/>
    </xf>
    <xf numFmtId="0" fontId="175" fillId="0" borderId="6" xfId="543" applyFont="1" applyBorder="1" applyAlignment="1">
      <alignment horizontal="center" wrapText="1"/>
    </xf>
    <xf numFmtId="0" fontId="175" fillId="0" borderId="10" xfId="543" applyFont="1" applyBorder="1" applyAlignment="1">
      <alignment horizontal="center" wrapText="1"/>
    </xf>
    <xf numFmtId="0" fontId="175" fillId="0" borderId="8" xfId="543" applyFont="1" applyBorder="1" applyAlignment="1">
      <alignment horizontal="center" vertical="top" wrapText="1"/>
    </xf>
    <xf numFmtId="0" fontId="175" fillId="0" borderId="0" xfId="543" applyFont="1" applyAlignment="1">
      <alignment horizontal="center" vertical="top" wrapText="1"/>
    </xf>
    <xf numFmtId="0" fontId="175" fillId="0" borderId="12" xfId="543" applyFont="1" applyBorder="1" applyAlignment="1">
      <alignment horizontal="center" vertical="top" wrapText="1"/>
    </xf>
    <xf numFmtId="0" fontId="175" fillId="0" borderId="9" xfId="543" applyFont="1" applyBorder="1" applyAlignment="1">
      <alignment horizontal="center" vertical="top" wrapText="1"/>
    </xf>
    <xf numFmtId="0" fontId="175" fillId="0" borderId="6" xfId="543" applyFont="1" applyBorder="1" applyAlignment="1">
      <alignment horizontal="center" vertical="top" wrapText="1"/>
    </xf>
    <xf numFmtId="0" fontId="175" fillId="0" borderId="10" xfId="543" applyFont="1" applyBorder="1" applyAlignment="1">
      <alignment horizontal="center" vertical="top" wrapText="1"/>
    </xf>
    <xf numFmtId="0" fontId="170" fillId="0" borderId="0" xfId="0" applyFont="1" applyAlignment="1">
      <alignment horizontal="center" vertical="center" wrapText="1"/>
    </xf>
    <xf numFmtId="0" fontId="41" fillId="0" borderId="8" xfId="543" applyFont="1" applyBorder="1" applyAlignment="1">
      <alignment horizontal="center" vertical="center" wrapText="1"/>
    </xf>
    <xf numFmtId="0" fontId="41" fillId="0" borderId="0" xfId="543" applyFont="1" applyAlignment="1">
      <alignment horizontal="center" vertical="center" wrapText="1"/>
    </xf>
    <xf numFmtId="0" fontId="41" fillId="0" borderId="12" xfId="543" applyFont="1" applyBorder="1" applyAlignment="1">
      <alignment horizontal="center" vertical="center" wrapText="1"/>
    </xf>
    <xf numFmtId="0" fontId="21" fillId="0" borderId="1" xfId="0" applyFont="1" applyBorder="1" applyAlignment="1">
      <alignment horizontal="center"/>
    </xf>
    <xf numFmtId="0" fontId="21" fillId="0" borderId="2" xfId="0" applyFont="1" applyBorder="1" applyAlignment="1">
      <alignment horizontal="center"/>
    </xf>
    <xf numFmtId="0" fontId="21" fillId="0" borderId="7" xfId="0" applyFont="1" applyBorder="1" applyAlignment="1">
      <alignment horizontal="center"/>
    </xf>
    <xf numFmtId="166" fontId="0" fillId="5" borderId="6" xfId="0" applyNumberFormat="1" applyFill="1" applyBorder="1" applyAlignment="1" applyProtection="1">
      <alignment horizontal="left"/>
      <protection locked="0"/>
    </xf>
    <xf numFmtId="0" fontId="21" fillId="0" borderId="0" xfId="0" applyFont="1" applyAlignment="1">
      <alignment horizontal="center" vertical="center"/>
    </xf>
    <xf numFmtId="3" fontId="42" fillId="10" borderId="0" xfId="543" applyNumberFormat="1" applyFont="1" applyFill="1" applyAlignment="1">
      <alignment horizontal="left" vertical="center" wrapText="1"/>
    </xf>
    <xf numFmtId="1" fontId="14" fillId="0" borderId="3" xfId="0" applyNumberFormat="1" applyFont="1" applyBorder="1" applyAlignment="1">
      <alignment horizontal="center"/>
    </xf>
    <xf numFmtId="1" fontId="23" fillId="0" borderId="4" xfId="0" applyNumberFormat="1" applyFont="1" applyBorder="1" applyAlignment="1">
      <alignment horizontal="center"/>
    </xf>
    <xf numFmtId="1" fontId="23" fillId="0" borderId="5" xfId="0" applyNumberFormat="1" applyFont="1" applyBorder="1" applyAlignment="1">
      <alignment horizontal="center"/>
    </xf>
    <xf numFmtId="0" fontId="14" fillId="0" borderId="3" xfId="0" applyFont="1" applyBorder="1"/>
    <xf numFmtId="0" fontId="14" fillId="0" borderId="4" xfId="0" applyFont="1" applyBorder="1"/>
    <xf numFmtId="0" fontId="14" fillId="0" borderId="5" xfId="0" applyFont="1" applyBorder="1"/>
    <xf numFmtId="2" fontId="0" fillId="0" borderId="6" xfId="0" applyNumberFormat="1" applyBorder="1" applyAlignment="1">
      <alignment horizontal="center"/>
    </xf>
    <xf numFmtId="180" fontId="0" fillId="0" borderId="6" xfId="0" applyNumberFormat="1" applyBorder="1" applyAlignment="1">
      <alignment horizontal="center"/>
    </xf>
    <xf numFmtId="0" fontId="23" fillId="0" borderId="2" xfId="0" applyFont="1" applyBorder="1" applyAlignment="1">
      <alignment horizontal="left" vertical="top" wrapText="1"/>
    </xf>
    <xf numFmtId="177" fontId="23" fillId="5" borderId="6" xfId="0" applyNumberFormat="1" applyFont="1" applyFill="1" applyBorder="1" applyAlignment="1" applyProtection="1">
      <alignment horizontal="left" vertical="top" wrapText="1"/>
      <protection locked="0"/>
    </xf>
    <xf numFmtId="0" fontId="52" fillId="0" borderId="0" xfId="0" applyFont="1" applyAlignment="1">
      <alignment vertical="top" wrapText="1"/>
    </xf>
    <xf numFmtId="0" fontId="23" fillId="0" borderId="0" xfId="0" applyFont="1" applyAlignment="1">
      <alignment vertical="top" wrapText="1"/>
    </xf>
    <xf numFmtId="0" fontId="23" fillId="0" borderId="6" xfId="0" applyFont="1" applyBorder="1" applyAlignment="1">
      <alignment horizontal="right" vertical="top" wrapText="1"/>
    </xf>
    <xf numFmtId="0" fontId="23" fillId="0" borderId="6" xfId="0" applyFont="1" applyBorder="1" applyAlignment="1">
      <alignment vertical="top" wrapText="1"/>
    </xf>
    <xf numFmtId="0" fontId="56" fillId="2" borderId="3" xfId="0" applyFont="1" applyFill="1" applyBorder="1" applyAlignment="1">
      <alignment horizontal="center" vertical="top"/>
    </xf>
    <xf numFmtId="0" fontId="56" fillId="2" borderId="4" xfId="0" applyFont="1" applyFill="1" applyBorder="1" applyAlignment="1">
      <alignment horizontal="center" vertical="top"/>
    </xf>
    <xf numFmtId="0" fontId="56" fillId="2" borderId="5" xfId="0" applyFont="1" applyFill="1" applyBorder="1" applyAlignment="1">
      <alignment horizontal="center" vertical="top"/>
    </xf>
    <xf numFmtId="0" fontId="23" fillId="0" borderId="2" xfId="0" applyFont="1" applyBorder="1" applyAlignment="1">
      <alignment vertical="top" wrapText="1"/>
    </xf>
    <xf numFmtId="0" fontId="51" fillId="0" borderId="0" xfId="0" applyFont="1" applyAlignment="1">
      <alignment vertical="top" wrapText="1"/>
    </xf>
    <xf numFmtId="0" fontId="52" fillId="0" borderId="0" xfId="569" applyFont="1" applyAlignment="1">
      <alignment vertical="top" wrapText="1"/>
    </xf>
    <xf numFmtId="0" fontId="14" fillId="0" borderId="0" xfId="569" applyAlignment="1">
      <alignment horizontal="right" vertical="top" wrapText="1"/>
    </xf>
    <xf numFmtId="0" fontId="20" fillId="3" borderId="3" xfId="0" applyFont="1" applyFill="1" applyBorder="1" applyAlignment="1">
      <alignment horizontal="left" vertical="top"/>
    </xf>
    <xf numFmtId="0" fontId="20" fillId="3" borderId="4" xfId="0" applyFont="1" applyFill="1" applyBorder="1" applyAlignment="1">
      <alignment horizontal="left" vertical="top"/>
    </xf>
    <xf numFmtId="0" fontId="20" fillId="3" borderId="5" xfId="0" applyFont="1" applyFill="1" applyBorder="1" applyAlignment="1">
      <alignment horizontal="left" vertical="top"/>
    </xf>
    <xf numFmtId="164" fontId="14" fillId="0" borderId="50" xfId="4495" applyNumberFormat="1" applyFont="1" applyBorder="1" applyAlignment="1">
      <alignment horizontal="left" vertical="top" wrapText="1"/>
    </xf>
    <xf numFmtId="164" fontId="14" fillId="0" borderId="51" xfId="4495" applyNumberFormat="1" applyFont="1" applyBorder="1" applyAlignment="1">
      <alignment horizontal="left" vertical="top" wrapText="1"/>
    </xf>
    <xf numFmtId="164" fontId="14" fillId="0" borderId="52" xfId="4495" applyNumberFormat="1" applyFont="1" applyBorder="1" applyAlignment="1">
      <alignment horizontal="left" vertical="top" wrapText="1"/>
    </xf>
    <xf numFmtId="164" fontId="14" fillId="0" borderId="53" xfId="4495" applyNumberFormat="1" applyFont="1" applyBorder="1" applyAlignment="1">
      <alignment horizontal="left" vertical="top" wrapText="1"/>
    </xf>
    <xf numFmtId="164" fontId="14" fillId="0" borderId="0" xfId="4495" applyNumberFormat="1" applyFont="1" applyAlignment="1">
      <alignment horizontal="left" vertical="top" wrapText="1"/>
    </xf>
    <xf numFmtId="164" fontId="14" fillId="0" borderId="54" xfId="4495" applyNumberFormat="1" applyFont="1" applyBorder="1" applyAlignment="1">
      <alignment horizontal="left" vertical="top" wrapText="1"/>
    </xf>
    <xf numFmtId="164" fontId="14" fillId="0" borderId="57" xfId="4495" applyNumberFormat="1" applyFont="1" applyBorder="1" applyAlignment="1">
      <alignment horizontal="left" vertical="top" wrapText="1"/>
    </xf>
    <xf numFmtId="164" fontId="14" fillId="0" borderId="58" xfId="4495" applyNumberFormat="1" applyFont="1" applyBorder="1" applyAlignment="1">
      <alignment horizontal="left" vertical="top" wrapText="1"/>
    </xf>
    <xf numFmtId="164" fontId="14" fillId="0" borderId="59" xfId="4495" applyNumberFormat="1" applyFont="1" applyBorder="1" applyAlignment="1">
      <alignment horizontal="left" vertical="top" wrapText="1"/>
    </xf>
    <xf numFmtId="0" fontId="14" fillId="45" borderId="11" xfId="4495" applyFont="1" applyFill="1" applyBorder="1" applyAlignment="1">
      <alignment horizontal="center"/>
    </xf>
    <xf numFmtId="4" fontId="22" fillId="0" borderId="3" xfId="4495" applyNumberFormat="1" applyFont="1" applyBorder="1" applyAlignment="1">
      <alignment horizontal="center"/>
    </xf>
    <xf numFmtId="4" fontId="22" fillId="0" borderId="4" xfId="4495" applyNumberFormat="1" applyFont="1" applyBorder="1" applyAlignment="1">
      <alignment horizontal="center"/>
    </xf>
    <xf numFmtId="4" fontId="22" fillId="0" borderId="5" xfId="4495" applyNumberFormat="1" applyFont="1" applyBorder="1" applyAlignment="1">
      <alignment horizontal="center"/>
    </xf>
    <xf numFmtId="165" fontId="120" fillId="0" borderId="3" xfId="4496" applyNumberFormat="1" applyFont="1" applyBorder="1" applyAlignment="1">
      <alignment horizontal="center" vertical="top" wrapText="1"/>
    </xf>
    <xf numFmtId="165" fontId="120" fillId="0" borderId="4" xfId="4496" applyNumberFormat="1" applyFont="1" applyBorder="1" applyAlignment="1">
      <alignment horizontal="center" vertical="top" wrapText="1"/>
    </xf>
    <xf numFmtId="165" fontId="120" fillId="0" borderId="5" xfId="4496" applyNumberFormat="1" applyFont="1" applyBorder="1" applyAlignment="1">
      <alignment horizontal="center" vertical="top" wrapText="1"/>
    </xf>
    <xf numFmtId="3" fontId="14" fillId="43" borderId="6" xfId="1192" applyNumberFormat="1" applyFill="1" applyBorder="1" applyAlignment="1" applyProtection="1">
      <alignment horizontal="right"/>
      <protection locked="0"/>
    </xf>
    <xf numFmtId="168" fontId="14" fillId="0" borderId="0" xfId="1192" applyNumberFormat="1" applyAlignment="1">
      <alignment horizontal="right"/>
    </xf>
    <xf numFmtId="0" fontId="140" fillId="0" borderId="0" xfId="1192" applyFont="1" applyAlignment="1">
      <alignment horizontal="center"/>
    </xf>
    <xf numFmtId="168" fontId="14" fillId="43" borderId="6" xfId="543" applyNumberFormat="1" applyFill="1" applyBorder="1" applyAlignment="1" applyProtection="1">
      <alignment horizontal="center"/>
      <protection locked="0"/>
    </xf>
    <xf numFmtId="168" fontId="14" fillId="5" borderId="4" xfId="1192" applyNumberFormat="1" applyFill="1" applyBorder="1" applyAlignment="1" applyProtection="1">
      <alignment horizontal="center"/>
      <protection locked="0"/>
    </xf>
    <xf numFmtId="4" fontId="22" fillId="0" borderId="0" xfId="4495" applyNumberFormat="1" applyFont="1" applyAlignment="1">
      <alignment horizontal="center"/>
    </xf>
    <xf numFmtId="4" fontId="22" fillId="0" borderId="6" xfId="4495" applyNumberFormat="1" applyFont="1" applyBorder="1" applyAlignment="1">
      <alignment horizontal="center"/>
    </xf>
    <xf numFmtId="1" fontId="14" fillId="5" borderId="2" xfId="1192" applyNumberFormat="1" applyFill="1" applyBorder="1" applyAlignment="1" applyProtection="1">
      <alignment horizontal="center"/>
      <protection locked="0"/>
    </xf>
    <xf numFmtId="168" fontId="14" fillId="0" borderId="6" xfId="1192" applyNumberFormat="1" applyBorder="1" applyAlignment="1">
      <alignment horizontal="right"/>
    </xf>
    <xf numFmtId="168" fontId="14" fillId="0" borderId="4" xfId="1192" applyNumberFormat="1" applyBorder="1" applyAlignment="1">
      <alignment horizontal="right"/>
    </xf>
    <xf numFmtId="0" fontId="14" fillId="0" borderId="53" xfId="4495" applyFont="1" applyBorder="1" applyAlignment="1">
      <alignment horizontal="left" vertical="top" wrapText="1"/>
    </xf>
    <xf numFmtId="0" fontId="14" fillId="0" borderId="0" xfId="4495" applyFont="1" applyAlignment="1">
      <alignment horizontal="left" vertical="top" wrapText="1"/>
    </xf>
    <xf numFmtId="0" fontId="14" fillId="0" borderId="54" xfId="4495" applyFont="1" applyBorder="1" applyAlignment="1">
      <alignment horizontal="left" vertical="top" wrapText="1"/>
    </xf>
    <xf numFmtId="0" fontId="14" fillId="0" borderId="57" xfId="4495" applyFont="1" applyBorder="1" applyAlignment="1">
      <alignment horizontal="left" vertical="top" wrapText="1"/>
    </xf>
    <xf numFmtId="0" fontId="14" fillId="0" borderId="58" xfId="4495" applyFont="1" applyBorder="1" applyAlignment="1">
      <alignment horizontal="left" vertical="top" wrapText="1"/>
    </xf>
    <xf numFmtId="168" fontId="14" fillId="0" borderId="6" xfId="4496" applyNumberFormat="1" applyFont="1" applyBorder="1" applyAlignment="1">
      <alignment horizontal="center"/>
    </xf>
    <xf numFmtId="168" fontId="14" fillId="0" borderId="4" xfId="4496" applyNumberFormat="1" applyFont="1" applyBorder="1" applyAlignment="1">
      <alignment horizontal="center"/>
    </xf>
    <xf numFmtId="9" fontId="14" fillId="0" borderId="4" xfId="4496" applyNumberFormat="1" applyFont="1" applyBorder="1" applyAlignment="1">
      <alignment horizontal="center"/>
    </xf>
    <xf numFmtId="0" fontId="14" fillId="0" borderId="3" xfId="4495" applyFont="1" applyBorder="1" applyAlignment="1">
      <alignment horizontal="center"/>
    </xf>
    <xf numFmtId="0" fontId="14" fillId="0" borderId="4" xfId="4495" applyFont="1" applyBorder="1" applyAlignment="1">
      <alignment horizontal="center"/>
    </xf>
    <xf numFmtId="0" fontId="14" fillId="0" borderId="5" xfId="4495" applyFont="1" applyBorder="1" applyAlignment="1">
      <alignment horizontal="center"/>
    </xf>
    <xf numFmtId="0" fontId="21" fillId="0" borderId="0" xfId="4495" applyFont="1" applyAlignment="1">
      <alignment horizontal="center"/>
    </xf>
    <xf numFmtId="0" fontId="22" fillId="0" borderId="51" xfId="4495" applyFont="1" applyBorder="1" applyAlignment="1">
      <alignment horizontal="left" vertical="top" wrapText="1"/>
    </xf>
    <xf numFmtId="0" fontId="22" fillId="0" borderId="0" xfId="4495" applyFont="1" applyAlignment="1">
      <alignment horizontal="left" vertical="top" wrapText="1"/>
    </xf>
    <xf numFmtId="0" fontId="21" fillId="0" borderId="0" xfId="4495" applyFont="1" applyAlignment="1">
      <alignment horizontal="right"/>
    </xf>
    <xf numFmtId="10" fontId="22" fillId="0" borderId="2" xfId="4495" applyNumberFormat="1" applyFont="1" applyBorder="1" applyAlignment="1">
      <alignment horizontal="center"/>
    </xf>
    <xf numFmtId="0" fontId="22" fillId="0" borderId="0" xfId="4495" applyFont="1" applyAlignment="1">
      <alignment horizontal="center"/>
    </xf>
    <xf numFmtId="9" fontId="22" fillId="5" borderId="6" xfId="4495" applyNumberFormat="1" applyFont="1" applyFill="1" applyBorder="1" applyAlignment="1">
      <alignment horizontal="left"/>
    </xf>
    <xf numFmtId="0" fontId="128" fillId="0" borderId="0" xfId="4495" applyFont="1" applyAlignment="1">
      <alignment horizontal="left" vertical="top" wrapText="1"/>
    </xf>
    <xf numFmtId="0" fontId="30" fillId="42" borderId="2" xfId="4495" applyFont="1" applyFill="1" applyBorder="1" applyAlignment="1">
      <alignment horizontal="center"/>
    </xf>
    <xf numFmtId="0" fontId="30" fillId="42" borderId="6" xfId="4495" applyFont="1" applyFill="1" applyBorder="1" applyAlignment="1">
      <alignment horizontal="center"/>
    </xf>
    <xf numFmtId="0" fontId="21" fillId="0" borderId="11" xfId="4495" applyFont="1" applyBorder="1" applyAlignment="1">
      <alignment horizontal="center"/>
    </xf>
    <xf numFmtId="0" fontId="118" fillId="5" borderId="55" xfId="4495" applyFill="1" applyBorder="1" applyAlignment="1" applyProtection="1">
      <alignment horizontal="center"/>
      <protection locked="0"/>
    </xf>
    <xf numFmtId="0" fontId="118" fillId="5" borderId="6" xfId="4495" applyFill="1" applyBorder="1" applyAlignment="1" applyProtection="1">
      <alignment horizontal="center"/>
      <protection locked="0"/>
    </xf>
    <xf numFmtId="0" fontId="21" fillId="0" borderId="54" xfId="4495" applyFont="1" applyBorder="1" applyAlignment="1">
      <alignment horizontal="center"/>
    </xf>
    <xf numFmtId="0" fontId="14" fillId="5" borderId="6" xfId="4495" applyFont="1" applyFill="1" applyBorder="1" applyAlignment="1" applyProtection="1">
      <alignment horizontal="center" vertical="center" wrapText="1" shrinkToFit="1"/>
      <protection locked="0"/>
    </xf>
    <xf numFmtId="0" fontId="116" fillId="0" borderId="4" xfId="1192" applyFont="1" applyBorder="1" applyAlignment="1">
      <alignment horizontal="left"/>
    </xf>
    <xf numFmtId="0" fontId="140" fillId="0" borderId="6" xfId="1192" applyFont="1" applyBorder="1" applyAlignment="1">
      <alignment horizontal="center"/>
    </xf>
    <xf numFmtId="0" fontId="14" fillId="0" borderId="6" xfId="1192" applyBorder="1" applyAlignment="1">
      <alignment horizontal="left"/>
    </xf>
    <xf numFmtId="9" fontId="14" fillId="5" borderId="4" xfId="1192" applyNumberFormat="1" applyFill="1" applyBorder="1" applyAlignment="1" applyProtection="1">
      <alignment horizontal="left"/>
      <protection locked="0"/>
    </xf>
    <xf numFmtId="0" fontId="14" fillId="0" borderId="6" xfId="1192" applyBorder="1" applyAlignment="1">
      <alignment horizontal="right"/>
    </xf>
    <xf numFmtId="168" fontId="14" fillId="43" borderId="6" xfId="1192" applyNumberFormat="1" applyFill="1" applyBorder="1" applyAlignment="1" applyProtection="1">
      <alignment horizontal="right"/>
      <protection locked="0"/>
    </xf>
    <xf numFmtId="0" fontId="21" fillId="0" borderId="4" xfId="4495" applyFont="1" applyBorder="1" applyAlignment="1">
      <alignment horizontal="left"/>
    </xf>
    <xf numFmtId="0" fontId="21" fillId="0" borderId="5" xfId="4495" applyFont="1" applyBorder="1" applyAlignment="1">
      <alignment horizontal="left"/>
    </xf>
    <xf numFmtId="1" fontId="21" fillId="0" borderId="11" xfId="4495" applyNumberFormat="1" applyFont="1" applyBorder="1" applyAlignment="1">
      <alignment horizontal="center"/>
    </xf>
    <xf numFmtId="0" fontId="21" fillId="0" borderId="3" xfId="4495" applyFont="1" applyBorder="1" applyAlignment="1">
      <alignment horizontal="center" wrapText="1"/>
    </xf>
    <xf numFmtId="0" fontId="21" fillId="0" borderId="4" xfId="4495" applyFont="1" applyBorder="1" applyAlignment="1">
      <alignment horizontal="center" wrapText="1"/>
    </xf>
    <xf numFmtId="0" fontId="21" fillId="0" borderId="5" xfId="4495" applyFont="1" applyBorder="1" applyAlignment="1">
      <alignment horizontal="center" wrapText="1"/>
    </xf>
    <xf numFmtId="0" fontId="14" fillId="0" borderId="4" xfId="4495" applyFont="1" applyBorder="1" applyAlignment="1">
      <alignment horizontal="left"/>
    </xf>
    <xf numFmtId="0" fontId="14" fillId="0" borderId="5" xfId="4495" applyFont="1" applyBorder="1" applyAlignment="1">
      <alignment horizontal="left"/>
    </xf>
    <xf numFmtId="1" fontId="14" fillId="0" borderId="11" xfId="4495" applyNumberFormat="1" applyFont="1" applyBorder="1" applyAlignment="1">
      <alignment horizontal="center"/>
    </xf>
    <xf numFmtId="0" fontId="14" fillId="0" borderId="11" xfId="4495" applyFont="1" applyBorder="1" applyAlignment="1">
      <alignment horizontal="center"/>
    </xf>
    <xf numFmtId="1" fontId="14" fillId="46" borderId="11" xfId="4495" applyNumberFormat="1" applyFont="1" applyFill="1" applyBorder="1" applyAlignment="1">
      <alignment horizontal="center"/>
    </xf>
    <xf numFmtId="0" fontId="21" fillId="0" borderId="3" xfId="4495" applyFont="1" applyBorder="1" applyAlignment="1">
      <alignment horizontal="center"/>
    </xf>
    <xf numFmtId="0" fontId="21" fillId="0" borderId="4" xfId="4495" applyFont="1" applyBorder="1" applyAlignment="1">
      <alignment horizontal="center"/>
    </xf>
    <xf numFmtId="0" fontId="21" fillId="0" borderId="5" xfId="4495" applyFont="1" applyBorder="1" applyAlignment="1">
      <alignment horizontal="center"/>
    </xf>
    <xf numFmtId="0" fontId="21" fillId="0" borderId="3" xfId="4495" applyFont="1" applyBorder="1" applyAlignment="1">
      <alignment horizontal="left"/>
    </xf>
    <xf numFmtId="0" fontId="14" fillId="5" borderId="11" xfId="4495" applyFont="1" applyFill="1" applyBorder="1" applyAlignment="1" applyProtection="1">
      <alignment horizontal="center"/>
      <protection locked="0"/>
    </xf>
    <xf numFmtId="164" fontId="62" fillId="0" borderId="1" xfId="4495" applyNumberFormat="1" applyFont="1" applyBorder="1" applyAlignment="1">
      <alignment horizontal="right" vertical="center"/>
    </xf>
    <xf numFmtId="164" fontId="62" fillId="0" borderId="2" xfId="4495" applyNumberFormat="1" applyFont="1" applyBorder="1" applyAlignment="1">
      <alignment horizontal="right" vertical="center"/>
    </xf>
    <xf numFmtId="164" fontId="62" fillId="0" borderId="7" xfId="4495" applyNumberFormat="1" applyFont="1" applyBorder="1" applyAlignment="1">
      <alignment horizontal="right" vertical="center"/>
    </xf>
    <xf numFmtId="164" fontId="62" fillId="0" borderId="9" xfId="4495" applyNumberFormat="1" applyFont="1" applyBorder="1" applyAlignment="1">
      <alignment horizontal="right" vertical="center"/>
    </xf>
    <xf numFmtId="164" fontId="62" fillId="0" borderId="6" xfId="4495" applyNumberFormat="1" applyFont="1" applyBorder="1" applyAlignment="1">
      <alignment horizontal="right" vertical="center"/>
    </xf>
    <xf numFmtId="164" fontId="62" fillId="0" borderId="10" xfId="4495" applyNumberFormat="1" applyFont="1" applyBorder="1" applyAlignment="1">
      <alignment horizontal="right" vertical="center"/>
    </xf>
    <xf numFmtId="180" fontId="62" fillId="0" borderId="1" xfId="4495" applyNumberFormat="1" applyFont="1" applyBorder="1" applyAlignment="1">
      <alignment horizontal="center" vertical="center"/>
    </xf>
    <xf numFmtId="180" fontId="62" fillId="0" borderId="2" xfId="4495" applyNumberFormat="1" applyFont="1" applyBorder="1" applyAlignment="1">
      <alignment horizontal="center" vertical="center"/>
    </xf>
    <xf numFmtId="180" fontId="62" fillId="0" borderId="7" xfId="4495" applyNumberFormat="1" applyFont="1" applyBorder="1" applyAlignment="1">
      <alignment horizontal="center" vertical="center"/>
    </xf>
    <xf numFmtId="180" fontId="62" fillId="0" borderId="9" xfId="4495" applyNumberFormat="1" applyFont="1" applyBorder="1" applyAlignment="1">
      <alignment horizontal="center" vertical="center"/>
    </xf>
    <xf numFmtId="180" fontId="62" fillId="0" borderId="6" xfId="4495" applyNumberFormat="1" applyFont="1" applyBorder="1" applyAlignment="1">
      <alignment horizontal="center" vertical="center"/>
    </xf>
    <xf numFmtId="180" fontId="62" fillId="0" borderId="10" xfId="4495" applyNumberFormat="1" applyFont="1" applyBorder="1" applyAlignment="1">
      <alignment horizontal="center" vertical="center"/>
    </xf>
    <xf numFmtId="1" fontId="21" fillId="0" borderId="4" xfId="4495" applyNumberFormat="1" applyFont="1" applyBorder="1" applyAlignment="1">
      <alignment horizontal="center" wrapText="1"/>
    </xf>
    <xf numFmtId="0" fontId="14" fillId="0" borderId="50" xfId="4496" applyFont="1" applyBorder="1" applyAlignment="1">
      <alignment horizontal="left" wrapText="1"/>
    </xf>
    <xf numFmtId="0" fontId="14" fillId="0" borderId="51" xfId="4496" applyFont="1" applyBorder="1" applyAlignment="1">
      <alignment horizontal="left" wrapText="1"/>
    </xf>
    <xf numFmtId="0" fontId="14" fillId="0" borderId="52" xfId="4496" applyFont="1" applyBorder="1" applyAlignment="1">
      <alignment horizontal="left" wrapText="1"/>
    </xf>
    <xf numFmtId="0" fontId="14" fillId="0" borderId="53" xfId="4496" applyFont="1" applyBorder="1" applyAlignment="1">
      <alignment horizontal="left" wrapText="1"/>
    </xf>
    <xf numFmtId="0" fontId="14" fillId="0" borderId="0" xfId="4496" applyFont="1" applyAlignment="1">
      <alignment horizontal="left" wrapText="1"/>
    </xf>
    <xf numFmtId="0" fontId="14" fillId="0" borderId="54" xfId="4496" applyFont="1" applyBorder="1" applyAlignment="1">
      <alignment horizontal="left" wrapText="1"/>
    </xf>
    <xf numFmtId="0" fontId="14" fillId="0" borderId="57" xfId="4496" applyFont="1" applyBorder="1" applyAlignment="1">
      <alignment horizontal="left" wrapText="1"/>
    </xf>
    <xf numFmtId="0" fontId="14" fillId="0" borderId="58" xfId="4496" applyFont="1" applyBorder="1" applyAlignment="1">
      <alignment horizontal="left" wrapText="1"/>
    </xf>
    <xf numFmtId="0" fontId="14" fillId="0" borderId="59" xfId="4496" applyFont="1" applyBorder="1" applyAlignment="1">
      <alignment horizontal="left" wrapText="1"/>
    </xf>
    <xf numFmtId="1" fontId="14" fillId="0" borderId="4" xfId="4496" applyNumberFormat="1" applyFont="1" applyBorder="1" applyAlignment="1">
      <alignment horizontal="center"/>
    </xf>
    <xf numFmtId="1" fontId="14" fillId="0" borderId="5" xfId="4496" applyNumberFormat="1" applyFont="1" applyBorder="1" applyAlignment="1">
      <alignment horizontal="center"/>
    </xf>
    <xf numFmtId="49" fontId="20" fillId="3" borderId="2" xfId="4495" applyNumberFormat="1" applyFont="1" applyFill="1" applyBorder="1" applyAlignment="1">
      <alignment horizontal="center" vertical="center" wrapText="1"/>
    </xf>
    <xf numFmtId="49" fontId="20" fillId="3" borderId="2" xfId="4495" applyNumberFormat="1" applyFont="1" applyFill="1" applyBorder="1" applyAlignment="1">
      <alignment horizontal="center" vertical="center"/>
    </xf>
    <xf numFmtId="49" fontId="20" fillId="3" borderId="0" xfId="4495" applyNumberFormat="1" applyFont="1" applyFill="1" applyAlignment="1">
      <alignment horizontal="center" vertical="center"/>
    </xf>
    <xf numFmtId="0" fontId="21" fillId="0" borderId="1" xfId="4495" applyFont="1" applyBorder="1" applyAlignment="1">
      <alignment horizontal="center" wrapText="1"/>
    </xf>
    <xf numFmtId="0" fontId="21" fillId="0" borderId="2" xfId="4495" applyFont="1" applyBorder="1" applyAlignment="1">
      <alignment horizontal="center" wrapText="1"/>
    </xf>
    <xf numFmtId="0" fontId="21" fillId="0" borderId="7" xfId="4495" applyFont="1" applyBorder="1" applyAlignment="1">
      <alignment horizontal="center" wrapText="1"/>
    </xf>
    <xf numFmtId="0" fontId="21" fillId="0" borderId="9" xfId="4495" applyFont="1" applyBorder="1" applyAlignment="1">
      <alignment horizontal="center" wrapText="1"/>
    </xf>
    <xf numFmtId="0" fontId="21" fillId="0" borderId="6" xfId="4495" applyFont="1" applyBorder="1" applyAlignment="1">
      <alignment horizontal="center" wrapText="1"/>
    </xf>
    <xf numFmtId="0" fontId="21" fillId="0" borderId="10" xfId="4495" applyFont="1" applyBorder="1" applyAlignment="1">
      <alignment horizontal="center" wrapText="1"/>
    </xf>
    <xf numFmtId="0" fontId="21" fillId="0" borderId="0" xfId="4495" applyFont="1" applyAlignment="1">
      <alignment horizontal="center" vertical="top"/>
    </xf>
    <xf numFmtId="0" fontId="120" fillId="0" borderId="50" xfId="4496" applyFont="1" applyBorder="1" applyAlignment="1">
      <alignment horizontal="left" wrapText="1"/>
    </xf>
    <xf numFmtId="0" fontId="120" fillId="0" borderId="51" xfId="4496" applyFont="1" applyBorder="1" applyAlignment="1">
      <alignment horizontal="left" wrapText="1"/>
    </xf>
    <xf numFmtId="0" fontId="120" fillId="0" borderId="52" xfId="4496" applyFont="1" applyBorder="1" applyAlignment="1">
      <alignment horizontal="left" wrapText="1"/>
    </xf>
    <xf numFmtId="0" fontId="120" fillId="0" borderId="57" xfId="4496" applyFont="1" applyBorder="1" applyAlignment="1">
      <alignment horizontal="left" wrapText="1"/>
    </xf>
    <xf numFmtId="0" fontId="120" fillId="0" borderId="58" xfId="4496" applyFont="1" applyBorder="1" applyAlignment="1">
      <alignment horizontal="left" wrapText="1"/>
    </xf>
    <xf numFmtId="0" fontId="120" fillId="0" borderId="59" xfId="4496" applyFont="1" applyBorder="1" applyAlignment="1">
      <alignment horizontal="left" wrapText="1"/>
    </xf>
    <xf numFmtId="0" fontId="118" fillId="5" borderId="50" xfId="4495" applyFill="1" applyBorder="1" applyAlignment="1">
      <alignment horizontal="center"/>
    </xf>
    <xf numFmtId="0" fontId="118" fillId="5" borderId="51" xfId="4495" applyFill="1" applyBorder="1" applyAlignment="1">
      <alignment horizontal="center"/>
    </xf>
    <xf numFmtId="0" fontId="118" fillId="0" borderId="53" xfId="4495" applyBorder="1" applyAlignment="1">
      <alignment horizontal="center"/>
    </xf>
    <xf numFmtId="0" fontId="118" fillId="0" borderId="0" xfId="4495" applyAlignment="1">
      <alignment horizontal="center"/>
    </xf>
    <xf numFmtId="0" fontId="22" fillId="5" borderId="0" xfId="4495" applyFont="1" applyFill="1" applyAlignment="1">
      <alignment horizontal="left" vertical="top"/>
    </xf>
    <xf numFmtId="0" fontId="118" fillId="5" borderId="53" xfId="4495" applyFill="1" applyBorder="1" applyAlignment="1">
      <alignment horizontal="center"/>
    </xf>
    <xf numFmtId="0" fontId="118" fillId="5" borderId="0" xfId="4495" applyFill="1" applyAlignment="1">
      <alignment horizontal="center"/>
    </xf>
    <xf numFmtId="0" fontId="22" fillId="0" borderId="58" xfId="4495" applyFont="1" applyBorder="1" applyAlignment="1">
      <alignment horizontal="left" vertical="top" wrapText="1"/>
    </xf>
    <xf numFmtId="0" fontId="22" fillId="5" borderId="58" xfId="4495" applyFont="1" applyFill="1" applyBorder="1" applyAlignment="1">
      <alignment horizontal="left"/>
    </xf>
    <xf numFmtId="0" fontId="51" fillId="0" borderId="51" xfId="4495" applyFont="1" applyBorder="1" applyAlignment="1">
      <alignment horizontal="left" vertical="top" wrapText="1"/>
    </xf>
    <xf numFmtId="0" fontId="51" fillId="0" borderId="0" xfId="4495" applyFont="1" applyAlignment="1">
      <alignment horizontal="left" vertical="top" wrapText="1"/>
    </xf>
    <xf numFmtId="9" fontId="22" fillId="5" borderId="58" xfId="4495" applyNumberFormat="1" applyFont="1" applyFill="1" applyBorder="1" applyAlignment="1">
      <alignment horizontal="left"/>
    </xf>
    <xf numFmtId="0" fontId="118" fillId="5" borderId="55" xfId="4495" applyFill="1" applyBorder="1" applyAlignment="1">
      <alignment horizontal="center"/>
    </xf>
    <xf numFmtId="0" fontId="118" fillId="5" borderId="6" xfId="4495" applyFill="1" applyBorder="1" applyAlignment="1">
      <alignment horizontal="center"/>
    </xf>
    <xf numFmtId="0" fontId="22" fillId="5" borderId="0" xfId="4495" applyFont="1" applyFill="1" applyAlignment="1">
      <alignment horizontal="left" vertical="top" wrapText="1"/>
    </xf>
    <xf numFmtId="0" fontId="22" fillId="5" borderId="58" xfId="4495" applyFont="1" applyFill="1" applyBorder="1" applyAlignment="1">
      <alignment horizontal="left" vertical="top" wrapText="1"/>
    </xf>
    <xf numFmtId="0" fontId="22" fillId="5" borderId="6" xfId="4495" applyFont="1" applyFill="1" applyBorder="1" applyAlignment="1">
      <alignment horizontal="left"/>
    </xf>
    <xf numFmtId="0" fontId="118" fillId="5" borderId="62" xfId="4495" applyFill="1" applyBorder="1" applyAlignment="1">
      <alignment horizontal="center"/>
    </xf>
    <xf numFmtId="0" fontId="118" fillId="5" borderId="63" xfId="4495" applyFill="1" applyBorder="1" applyAlignment="1">
      <alignment horizontal="center"/>
    </xf>
    <xf numFmtId="0" fontId="21" fillId="0" borderId="51" xfId="4495" applyFont="1" applyBorder="1" applyAlignment="1">
      <alignment horizontal="center" vertical="top"/>
    </xf>
    <xf numFmtId="0" fontId="21" fillId="0" borderId="52" xfId="4495" applyFont="1" applyBorder="1" applyAlignment="1">
      <alignment horizontal="center" vertical="top"/>
    </xf>
    <xf numFmtId="0" fontId="51" fillId="0" borderId="51" xfId="4495" applyFont="1" applyBorder="1" applyAlignment="1">
      <alignment horizontal="left" wrapText="1"/>
    </xf>
    <xf numFmtId="0" fontId="51" fillId="0" borderId="0" xfId="4495" applyFont="1" applyAlignment="1">
      <alignment horizontal="left" wrapText="1"/>
    </xf>
    <xf numFmtId="0" fontId="21" fillId="0" borderId="54" xfId="4495" applyFont="1" applyBorder="1" applyAlignment="1">
      <alignment horizontal="center" vertical="top"/>
    </xf>
    <xf numFmtId="0" fontId="128" fillId="0" borderId="0" xfId="4495" applyFont="1" applyAlignment="1">
      <alignment horizontal="left" vertical="center" wrapText="1"/>
    </xf>
    <xf numFmtId="0" fontId="21" fillId="0" borderId="0" xfId="4495" applyFont="1" applyAlignment="1">
      <alignment horizontal="left" vertical="top" wrapText="1"/>
    </xf>
    <xf numFmtId="0" fontId="14" fillId="0" borderId="0" xfId="4495" applyFont="1" applyAlignment="1">
      <alignment horizontal="left" vertical="top" wrapText="1" shrinkToFit="1"/>
    </xf>
    <xf numFmtId="44" fontId="14" fillId="0" borderId="0" xfId="707" applyFont="1" applyFill="1" applyBorder="1" applyAlignment="1" applyProtection="1">
      <alignment horizontal="left" vertical="top" wrapText="1"/>
    </xf>
    <xf numFmtId="0" fontId="14" fillId="0" borderId="0" xfId="4495" applyFont="1" applyAlignment="1">
      <alignment wrapText="1"/>
    </xf>
    <xf numFmtId="0" fontId="14" fillId="5" borderId="6" xfId="4495" applyFont="1" applyFill="1" applyBorder="1" applyAlignment="1" applyProtection="1">
      <alignment horizontal="center"/>
      <protection locked="0"/>
    </xf>
    <xf numFmtId="0" fontId="14" fillId="0" borderId="0" xfId="4495" applyFont="1" applyAlignment="1">
      <alignment horizontal="left" vertical="center" wrapText="1" shrinkToFit="1"/>
    </xf>
    <xf numFmtId="0" fontId="14" fillId="5" borderId="6" xfId="4495" applyFont="1" applyFill="1" applyBorder="1" applyAlignment="1" applyProtection="1">
      <alignment horizontal="left" wrapText="1" shrinkToFit="1"/>
      <protection locked="0"/>
    </xf>
    <xf numFmtId="0" fontId="14" fillId="43" borderId="6" xfId="1192" applyFill="1" applyBorder="1" applyAlignment="1" applyProtection="1">
      <alignment horizontal="left" vertical="top"/>
      <protection locked="0"/>
    </xf>
    <xf numFmtId="0" fontId="173" fillId="0" borderId="0" xfId="0" applyFont="1" applyAlignment="1" applyProtection="1">
      <alignment horizontal="left"/>
      <protection locked="0"/>
    </xf>
    <xf numFmtId="168" fontId="170" fillId="0" borderId="0" xfId="0" applyNumberFormat="1" applyFont="1" applyAlignment="1">
      <alignment horizontal="center" vertical="top" wrapText="1"/>
    </xf>
    <xf numFmtId="168" fontId="170" fillId="0" borderId="12" xfId="0" applyNumberFormat="1" applyFont="1" applyBorder="1" applyAlignment="1">
      <alignment horizontal="center" vertical="top" wrapText="1"/>
    </xf>
    <xf numFmtId="0" fontId="14" fillId="0" borderId="50" xfId="4495" applyFont="1" applyBorder="1" applyAlignment="1">
      <alignment horizontal="left" vertical="center" wrapText="1"/>
    </xf>
    <xf numFmtId="0" fontId="14" fillId="0" borderId="51" xfId="4495" applyFont="1" applyBorder="1" applyAlignment="1">
      <alignment horizontal="left" vertical="center" wrapText="1"/>
    </xf>
    <xf numFmtId="0" fontId="14" fillId="0" borderId="52" xfId="4495" applyFont="1" applyBorder="1" applyAlignment="1">
      <alignment horizontal="left" vertical="center" wrapText="1"/>
    </xf>
    <xf numFmtId="0" fontId="14" fillId="0" borderId="53" xfId="4495" applyFont="1" applyBorder="1" applyAlignment="1">
      <alignment horizontal="left" vertical="center" wrapText="1"/>
    </xf>
    <xf numFmtId="0" fontId="14" fillId="0" borderId="0" xfId="4495" applyFont="1" applyAlignment="1">
      <alignment horizontal="left" vertical="center" wrapText="1"/>
    </xf>
    <xf numFmtId="0" fontId="14" fillId="0" borderId="54" xfId="4495" applyFont="1" applyBorder="1" applyAlignment="1">
      <alignment horizontal="left" vertical="center" wrapText="1"/>
    </xf>
    <xf numFmtId="0" fontId="14" fillId="43" borderId="53" xfId="4495" applyFont="1" applyFill="1" applyBorder="1" applyAlignment="1" applyProtection="1">
      <alignment vertical="top" wrapText="1"/>
      <protection locked="0"/>
    </xf>
    <xf numFmtId="0" fontId="14" fillId="43" borderId="0" xfId="4495" applyFont="1" applyFill="1" applyAlignment="1" applyProtection="1">
      <alignment vertical="top" wrapText="1"/>
      <protection locked="0"/>
    </xf>
    <xf numFmtId="0" fontId="14" fillId="43" borderId="54" xfId="4495" applyFont="1" applyFill="1" applyBorder="1" applyAlignment="1" applyProtection="1">
      <alignment vertical="top" wrapText="1"/>
      <protection locked="0"/>
    </xf>
    <xf numFmtId="0" fontId="14" fillId="43" borderId="55" xfId="4495" applyFont="1" applyFill="1" applyBorder="1" applyAlignment="1" applyProtection="1">
      <alignment vertical="top" wrapText="1"/>
      <protection locked="0"/>
    </xf>
    <xf numFmtId="0" fontId="14" fillId="43" borderId="6" xfId="4495" applyFont="1" applyFill="1" applyBorder="1" applyAlignment="1" applyProtection="1">
      <alignment vertical="top" wrapText="1"/>
      <protection locked="0"/>
    </xf>
    <xf numFmtId="0" fontId="14" fillId="43" borderId="56" xfId="4495" applyFont="1" applyFill="1" applyBorder="1" applyAlignment="1" applyProtection="1">
      <alignment vertical="top" wrapText="1"/>
      <protection locked="0"/>
    </xf>
    <xf numFmtId="0" fontId="14" fillId="43" borderId="0" xfId="4495" applyFont="1" applyFill="1" applyAlignment="1" applyProtection="1">
      <alignment horizontal="left" vertical="center" wrapText="1"/>
      <protection locked="0"/>
    </xf>
    <xf numFmtId="0" fontId="14" fillId="43" borderId="54" xfId="4495" applyFont="1" applyFill="1" applyBorder="1" applyAlignment="1" applyProtection="1">
      <alignment horizontal="left" vertical="center" wrapText="1"/>
      <protection locked="0"/>
    </xf>
    <xf numFmtId="0" fontId="14" fillId="43" borderId="6" xfId="4495" applyFont="1" applyFill="1" applyBorder="1" applyAlignment="1" applyProtection="1">
      <alignment horizontal="left" vertical="center" wrapText="1"/>
      <protection locked="0"/>
    </xf>
    <xf numFmtId="0" fontId="14" fillId="43" borderId="56" xfId="4495" applyFont="1" applyFill="1" applyBorder="1" applyAlignment="1" applyProtection="1">
      <alignment horizontal="left" vertical="center" wrapText="1"/>
      <protection locked="0"/>
    </xf>
    <xf numFmtId="0" fontId="118" fillId="5" borderId="62" xfId="4495" applyFill="1" applyBorder="1" applyAlignment="1" applyProtection="1">
      <alignment horizontal="center"/>
      <protection locked="0"/>
    </xf>
    <xf numFmtId="0" fontId="118" fillId="5" borderId="63" xfId="4495" applyFill="1" applyBorder="1" applyAlignment="1" applyProtection="1">
      <alignment horizontal="center"/>
      <protection locked="0"/>
    </xf>
    <xf numFmtId="0" fontId="14" fillId="0" borderId="59" xfId="4495" applyFont="1" applyBorder="1" applyAlignment="1">
      <alignment horizontal="left" vertical="top" wrapText="1"/>
    </xf>
    <xf numFmtId="0" fontId="14" fillId="0" borderId="4" xfId="4496" applyFont="1" applyBorder="1" applyAlignment="1">
      <alignment horizontal="center"/>
    </xf>
    <xf numFmtId="0" fontId="14" fillId="0" borderId="5" xfId="4496" applyFont="1" applyBorder="1" applyAlignment="1">
      <alignment horizontal="center"/>
    </xf>
    <xf numFmtId="0" fontId="14" fillId="0" borderId="50" xfId="4495" applyFont="1" applyBorder="1" applyAlignment="1">
      <alignment horizontal="left" vertical="top" wrapText="1"/>
    </xf>
    <xf numFmtId="0" fontId="14" fillId="0" borderId="51" xfId="4495" applyFont="1" applyBorder="1" applyAlignment="1">
      <alignment horizontal="left" vertical="top" wrapText="1"/>
    </xf>
    <xf numFmtId="0" fontId="14" fillId="0" borderId="52" xfId="4495" applyFont="1" applyBorder="1" applyAlignment="1">
      <alignment horizontal="left" vertical="top" wrapText="1"/>
    </xf>
    <xf numFmtId="0" fontId="21" fillId="0" borderId="0" xfId="4495" applyFont="1"/>
    <xf numFmtId="0" fontId="14" fillId="0" borderId="57" xfId="4495" applyFont="1" applyBorder="1" applyAlignment="1">
      <alignment horizontal="left" vertical="center" wrapText="1"/>
    </xf>
    <xf numFmtId="0" fontId="14" fillId="0" borderId="58" xfId="4495" applyFont="1" applyBorder="1" applyAlignment="1">
      <alignment horizontal="left" vertical="center" wrapText="1"/>
    </xf>
    <xf numFmtId="0" fontId="14" fillId="0" borderId="59" xfId="4495" applyFont="1" applyBorder="1" applyAlignment="1">
      <alignment horizontal="left" vertical="center" wrapText="1"/>
    </xf>
    <xf numFmtId="0" fontId="21" fillId="0" borderId="0" xfId="4495" applyFont="1" applyAlignment="1">
      <alignment horizontal="left" vertical="top"/>
    </xf>
    <xf numFmtId="0" fontId="118" fillId="0" borderId="0" xfId="4495" applyAlignment="1" applyProtection="1">
      <alignment horizontal="center"/>
      <protection locked="0"/>
    </xf>
    <xf numFmtId="9" fontId="14" fillId="0" borderId="4" xfId="543" applyNumberFormat="1" applyBorder="1" applyAlignment="1">
      <alignment horizontal="center"/>
    </xf>
    <xf numFmtId="168" fontId="14" fillId="0" borderId="6" xfId="4495" applyNumberFormat="1" applyFont="1" applyBorder="1" applyAlignment="1">
      <alignment horizontal="right"/>
    </xf>
    <xf numFmtId="168" fontId="116" fillId="0" borderId="6" xfId="4495" applyNumberFormat="1" applyFont="1" applyBorder="1" applyAlignment="1">
      <alignment horizontal="right"/>
    </xf>
    <xf numFmtId="168" fontId="14" fillId="43" borderId="6" xfId="4495" applyNumberFormat="1" applyFont="1" applyFill="1" applyBorder="1" applyAlignment="1" applyProtection="1">
      <alignment horizontal="right"/>
      <protection locked="0"/>
    </xf>
    <xf numFmtId="6" fontId="14" fillId="0" borderId="3" xfId="1192" applyNumberFormat="1" applyBorder="1" applyAlignment="1">
      <alignment horizontal="right"/>
    </xf>
    <xf numFmtId="6" fontId="14" fillId="0" borderId="4" xfId="1192" applyNumberFormat="1" applyBorder="1" applyAlignment="1">
      <alignment horizontal="right"/>
    </xf>
    <xf numFmtId="6" fontId="14" fillId="0" borderId="5" xfId="1192" applyNumberFormat="1" applyBorder="1" applyAlignment="1">
      <alignment horizontal="right"/>
    </xf>
    <xf numFmtId="168" fontId="14" fillId="0" borderId="4" xfId="4495" applyNumberFormat="1" applyFont="1" applyBorder="1" applyAlignment="1">
      <alignment horizontal="right"/>
    </xf>
    <xf numFmtId="165" fontId="14" fillId="43" borderId="3" xfId="4495" applyNumberFormat="1" applyFont="1" applyFill="1" applyBorder="1" applyAlignment="1" applyProtection="1">
      <alignment horizontal="center"/>
      <protection locked="0"/>
    </xf>
    <xf numFmtId="165" fontId="14" fillId="43" borderId="4" xfId="4495" applyNumberFormat="1" applyFont="1" applyFill="1" applyBorder="1" applyAlignment="1" applyProtection="1">
      <alignment horizontal="center"/>
      <protection locked="0"/>
    </xf>
    <xf numFmtId="165" fontId="14" fillId="43" borderId="5" xfId="4495" applyNumberFormat="1" applyFont="1" applyFill="1" applyBorder="1" applyAlignment="1" applyProtection="1">
      <alignment horizontal="center"/>
      <protection locked="0"/>
    </xf>
    <xf numFmtId="165" fontId="14" fillId="0" borderId="6" xfId="1192" applyNumberFormat="1" applyBorder="1" applyAlignment="1">
      <alignment horizontal="right"/>
    </xf>
    <xf numFmtId="168" fontId="14" fillId="0" borderId="2" xfId="1192" applyNumberFormat="1" applyBorder="1" applyAlignment="1">
      <alignment horizontal="right"/>
    </xf>
    <xf numFmtId="0" fontId="14" fillId="5" borderId="6" xfId="1192" applyFill="1" applyBorder="1" applyAlignment="1" applyProtection="1">
      <alignment horizontal="left"/>
      <protection locked="0"/>
    </xf>
    <xf numFmtId="165" fontId="14" fillId="0" borderId="0" xfId="1192" applyNumberFormat="1" applyAlignment="1">
      <alignment horizontal="right"/>
    </xf>
    <xf numFmtId="2" fontId="14" fillId="0" borderId="0" xfId="1192" applyNumberFormat="1" applyAlignment="1">
      <alignment horizontal="right"/>
    </xf>
    <xf numFmtId="1" fontId="14" fillId="0" borderId="3" xfId="4495" applyNumberFormat="1" applyFont="1" applyBorder="1" applyAlignment="1">
      <alignment horizontal="center"/>
    </xf>
    <xf numFmtId="1" fontId="14" fillId="0" borderId="4" xfId="4495" applyNumberFormat="1" applyFont="1" applyBorder="1" applyAlignment="1">
      <alignment horizontal="center"/>
    </xf>
    <xf numFmtId="1" fontId="14" fillId="0" borderId="5" xfId="4495" applyNumberFormat="1" applyFont="1" applyBorder="1" applyAlignment="1">
      <alignment horizontal="center"/>
    </xf>
    <xf numFmtId="0" fontId="22" fillId="5" borderId="6" xfId="4495" applyFont="1" applyFill="1" applyBorder="1" applyAlignment="1" applyProtection="1">
      <alignment horizontal="left"/>
      <protection locked="0"/>
    </xf>
    <xf numFmtId="0" fontId="14" fillId="0" borderId="0" xfId="4495" applyFont="1" applyAlignment="1">
      <alignment horizontal="left"/>
    </xf>
    <xf numFmtId="0" fontId="14" fillId="5" borderId="6" xfId="4495" applyFont="1" applyFill="1" applyBorder="1" applyAlignment="1" applyProtection="1">
      <alignment horizontal="left"/>
      <protection locked="0"/>
    </xf>
    <xf numFmtId="0" fontId="51" fillId="5" borderId="6" xfId="4495" applyFont="1" applyFill="1" applyBorder="1" applyAlignment="1" applyProtection="1">
      <alignment horizontal="left"/>
      <protection locked="0"/>
    </xf>
    <xf numFmtId="0" fontId="14" fillId="0" borderId="0" xfId="1192" applyAlignment="1">
      <alignment horizontal="right"/>
    </xf>
    <xf numFmtId="9" fontId="14" fillId="0" borderId="6" xfId="1192" applyNumberFormat="1" applyBorder="1" applyAlignment="1">
      <alignment horizontal="center"/>
    </xf>
    <xf numFmtId="9" fontId="14" fillId="0" borderId="6" xfId="1192" quotePrefix="1" applyNumberFormat="1" applyBorder="1" applyAlignment="1">
      <alignment horizontal="center"/>
    </xf>
    <xf numFmtId="9" fontId="14" fillId="0" borderId="0" xfId="1192" quotePrefix="1" applyNumberFormat="1" applyAlignment="1">
      <alignment horizontal="center"/>
    </xf>
    <xf numFmtId="1" fontId="14" fillId="5" borderId="4" xfId="1192" applyNumberFormat="1" applyFill="1" applyBorder="1" applyAlignment="1" applyProtection="1">
      <alignment horizontal="center"/>
      <protection locked="0"/>
    </xf>
    <xf numFmtId="1" fontId="120" fillId="0" borderId="55" xfId="4496" applyNumberFormat="1" applyFont="1" applyBorder="1" applyAlignment="1">
      <alignment horizontal="center" vertical="top" wrapText="1"/>
    </xf>
    <xf numFmtId="1" fontId="120" fillId="0" borderId="6" xfId="4496" applyNumberFormat="1" applyFont="1" applyBorder="1" applyAlignment="1">
      <alignment horizontal="center" vertical="top" wrapText="1"/>
    </xf>
    <xf numFmtId="165" fontId="120" fillId="0" borderId="55" xfId="4496" applyNumberFormat="1" applyFont="1" applyBorder="1" applyAlignment="1">
      <alignment horizontal="center" vertical="top" wrapText="1"/>
    </xf>
    <xf numFmtId="165" fontId="120" fillId="0" borderId="6" xfId="4496" applyNumberFormat="1" applyFont="1" applyBorder="1" applyAlignment="1">
      <alignment horizontal="center" vertical="top" wrapText="1"/>
    </xf>
    <xf numFmtId="168" fontId="120" fillId="43" borderId="55" xfId="4496" applyNumberFormat="1" applyFont="1" applyFill="1" applyBorder="1" applyAlignment="1" applyProtection="1">
      <alignment horizontal="center" vertical="top" wrapText="1"/>
      <protection locked="0"/>
    </xf>
    <xf numFmtId="168" fontId="120" fillId="43" borderId="6" xfId="4496" applyNumberFormat="1" applyFont="1" applyFill="1" applyBorder="1" applyAlignment="1" applyProtection="1">
      <alignment horizontal="center" vertical="top" wrapText="1"/>
      <protection locked="0"/>
    </xf>
    <xf numFmtId="0" fontId="120" fillId="0" borderId="50" xfId="4496" applyFont="1" applyBorder="1" applyAlignment="1">
      <alignment horizontal="left" vertical="top" wrapText="1"/>
    </xf>
    <xf numFmtId="0" fontId="120" fillId="0" borderId="51" xfId="4496" applyFont="1" applyBorder="1" applyAlignment="1">
      <alignment horizontal="left" vertical="top" wrapText="1"/>
    </xf>
    <xf numFmtId="0" fontId="120" fillId="0" borderId="52" xfId="4496" applyFont="1" applyBorder="1" applyAlignment="1">
      <alignment horizontal="left" vertical="top" wrapText="1"/>
    </xf>
    <xf numFmtId="0" fontId="120" fillId="0" borderId="53" xfId="4496" applyFont="1" applyBorder="1" applyAlignment="1">
      <alignment horizontal="left" vertical="top" wrapText="1"/>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168" fontId="120" fillId="0" borderId="55" xfId="4496" applyNumberFormat="1" applyFont="1" applyBorder="1" applyAlignment="1">
      <alignment horizontal="center" vertical="top"/>
    </xf>
    <xf numFmtId="168" fontId="120" fillId="0" borderId="6" xfId="4496" applyNumberFormat="1" applyFont="1" applyBorder="1" applyAlignment="1">
      <alignment horizontal="center" vertical="top"/>
    </xf>
    <xf numFmtId="0" fontId="120" fillId="5" borderId="6" xfId="4496" applyFont="1" applyFill="1" applyBorder="1" applyAlignment="1" applyProtection="1">
      <alignment horizontal="center"/>
      <protection locked="0"/>
    </xf>
    <xf numFmtId="10" fontId="120" fillId="0" borderId="3" xfId="4496" applyNumberFormat="1" applyFont="1" applyBorder="1" applyAlignment="1">
      <alignment horizontal="center" vertical="top" wrapText="1"/>
    </xf>
    <xf numFmtId="10" fontId="120" fillId="0" borderId="4" xfId="4496" applyNumberFormat="1" applyFont="1" applyBorder="1" applyAlignment="1">
      <alignment horizontal="center" vertical="top" wrapText="1"/>
    </xf>
    <xf numFmtId="10" fontId="120" fillId="0" borderId="5" xfId="4496" applyNumberFormat="1" applyFont="1" applyBorder="1" applyAlignment="1">
      <alignment horizontal="center" vertical="top" wrapText="1"/>
    </xf>
    <xf numFmtId="0" fontId="120" fillId="0" borderId="55" xfId="4496" applyFont="1" applyBorder="1" applyAlignment="1">
      <alignment horizontal="center" vertical="top" wrapText="1"/>
    </xf>
    <xf numFmtId="0" fontId="120" fillId="0" borderId="6" xfId="4496" applyFont="1" applyBorder="1" applyAlignment="1">
      <alignment horizontal="center" vertical="top" wrapText="1"/>
    </xf>
    <xf numFmtId="0" fontId="20" fillId="3" borderId="2" xfId="4495" applyFont="1" applyFill="1" applyBorder="1" applyAlignment="1">
      <alignment horizontal="center" vertical="center"/>
    </xf>
    <xf numFmtId="0" fontId="20" fillId="3" borderId="16" xfId="4495" applyFont="1" applyFill="1" applyBorder="1" applyAlignment="1">
      <alignment horizontal="center" vertical="center"/>
    </xf>
    <xf numFmtId="0" fontId="21" fillId="0" borderId="48" xfId="4495" applyFont="1" applyBorder="1" applyAlignment="1">
      <alignment horizontal="left" vertical="top"/>
    </xf>
    <xf numFmtId="0" fontId="21" fillId="0" borderId="49" xfId="4495" applyFont="1" applyBorder="1" applyAlignment="1">
      <alignment horizontal="left" vertical="top"/>
    </xf>
    <xf numFmtId="0" fontId="14" fillId="0" borderId="50" xfId="4495" applyFont="1" applyBorder="1" applyAlignment="1">
      <alignment vertical="center" wrapText="1"/>
    </xf>
    <xf numFmtId="0" fontId="14" fillId="0" borderId="51" xfId="4495" applyFont="1" applyBorder="1" applyAlignment="1">
      <alignment vertical="center" wrapText="1"/>
    </xf>
    <xf numFmtId="0" fontId="14" fillId="0" borderId="52" xfId="4495" applyFont="1" applyBorder="1" applyAlignment="1">
      <alignment vertical="center" wrapText="1"/>
    </xf>
    <xf numFmtId="0" fontId="14" fillId="0" borderId="57" xfId="4495" applyFont="1" applyBorder="1" applyAlignment="1">
      <alignment vertical="center" wrapText="1"/>
    </xf>
    <xf numFmtId="0" fontId="14" fillId="0" borderId="58" xfId="4495" applyFont="1" applyBorder="1" applyAlignment="1">
      <alignment vertical="center" wrapText="1"/>
    </xf>
    <xf numFmtId="0" fontId="14" fillId="0" borderId="59" xfId="4495" applyFont="1" applyBorder="1" applyAlignment="1">
      <alignment vertical="center" wrapText="1"/>
    </xf>
    <xf numFmtId="0" fontId="120" fillId="43" borderId="55" xfId="4496" applyFont="1" applyFill="1" applyBorder="1" applyAlignment="1" applyProtection="1">
      <alignment horizontal="left" vertical="top" wrapText="1"/>
      <protection locked="0"/>
    </xf>
    <xf numFmtId="0" fontId="120" fillId="43" borderId="6" xfId="4496" applyFont="1" applyFill="1" applyBorder="1" applyAlignment="1" applyProtection="1">
      <alignment horizontal="left" vertical="top" wrapText="1"/>
      <protection locked="0"/>
    </xf>
    <xf numFmtId="0" fontId="120" fillId="43" borderId="56" xfId="4496" applyFont="1" applyFill="1" applyBorder="1" applyAlignment="1" applyProtection="1">
      <alignment horizontal="left" vertical="top" wrapText="1"/>
      <protection locked="0"/>
    </xf>
    <xf numFmtId="165" fontId="120" fillId="0" borderId="60" xfId="4496" applyNumberFormat="1" applyFont="1" applyBorder="1" applyAlignment="1">
      <alignment horizontal="center" vertical="top" wrapText="1"/>
    </xf>
    <xf numFmtId="0" fontId="120" fillId="5" borderId="60" xfId="4496" applyFont="1" applyFill="1" applyBorder="1" applyAlignment="1" applyProtection="1">
      <alignment horizontal="center"/>
      <protection locked="0"/>
    </xf>
    <xf numFmtId="0" fontId="120" fillId="5" borderId="4" xfId="4496" applyFont="1" applyFill="1" applyBorder="1" applyAlignment="1" applyProtection="1">
      <alignment horizontal="center"/>
      <protection locked="0"/>
    </xf>
    <xf numFmtId="0" fontId="120" fillId="0" borderId="57" xfId="4496" applyFont="1" applyBorder="1" applyAlignment="1">
      <alignment horizontal="left" vertical="top" wrapText="1"/>
    </xf>
    <xf numFmtId="0" fontId="120" fillId="0" borderId="58" xfId="4496" applyFont="1" applyBorder="1" applyAlignment="1">
      <alignment horizontal="left" vertical="top" wrapText="1"/>
    </xf>
    <xf numFmtId="0" fontId="120" fillId="0" borderId="59" xfId="4496" applyFont="1" applyBorder="1" applyAlignment="1">
      <alignment horizontal="left" vertical="top" wrapText="1"/>
    </xf>
    <xf numFmtId="0" fontId="120" fillId="5" borderId="55" xfId="4496" applyFont="1" applyFill="1" applyBorder="1" applyAlignment="1" applyProtection="1">
      <alignment horizontal="center"/>
      <protection locked="0"/>
    </xf>
    <xf numFmtId="0" fontId="120" fillId="0" borderId="47" xfId="4496" applyFont="1" applyBorder="1"/>
    <xf numFmtId="0" fontId="120" fillId="0" borderId="48" xfId="4496" applyFont="1" applyBorder="1"/>
    <xf numFmtId="0" fontId="120" fillId="0" borderId="49" xfId="4496" applyFont="1" applyBorder="1"/>
    <xf numFmtId="49" fontId="96" fillId="45" borderId="15" xfId="4496" applyNumberFormat="1" applyFont="1" applyFill="1" applyBorder="1" applyAlignment="1">
      <alignment horizontal="center" vertical="center" wrapText="1"/>
    </xf>
    <xf numFmtId="49" fontId="96" fillId="45" borderId="13" xfId="4496" applyNumberFormat="1" applyFont="1" applyFill="1" applyBorder="1" applyAlignment="1">
      <alignment horizontal="center" vertical="center" wrapText="1"/>
    </xf>
    <xf numFmtId="168" fontId="96" fillId="0" borderId="84" xfId="4499" applyNumberFormat="1" applyFont="1" applyFill="1" applyBorder="1" applyAlignment="1" applyProtection="1">
      <alignment horizontal="left" vertical="center" indent="1"/>
    </xf>
    <xf numFmtId="168" fontId="96" fillId="0" borderId="83" xfId="4499" applyNumberFormat="1" applyFont="1" applyFill="1" applyBorder="1" applyAlignment="1" applyProtection="1">
      <alignment horizontal="left" vertical="center" indent="1"/>
    </xf>
    <xf numFmtId="0" fontId="96" fillId="0" borderId="11" xfId="4496" applyFont="1" applyBorder="1" applyAlignment="1">
      <alignment horizontal="left" indent="1"/>
    </xf>
    <xf numFmtId="0" fontId="96" fillId="0" borderId="15" xfId="4496" applyFont="1" applyBorder="1" applyAlignment="1">
      <alignment horizontal="left" indent="1"/>
    </xf>
    <xf numFmtId="0" fontId="135" fillId="0" borderId="71" xfId="4496" applyFont="1" applyBorder="1" applyAlignment="1">
      <alignment horizontal="left" indent="1"/>
    </xf>
    <xf numFmtId="168" fontId="96" fillId="0" borderId="11" xfId="4499" applyNumberFormat="1" applyFont="1" applyFill="1" applyBorder="1" applyAlignment="1" applyProtection="1">
      <alignment horizontal="left" vertical="center" indent="1"/>
    </xf>
    <xf numFmtId="168" fontId="96" fillId="0" borderId="13" xfId="4499" applyNumberFormat="1" applyFont="1" applyFill="1" applyBorder="1" applyAlignment="1" applyProtection="1">
      <alignment horizontal="left" vertical="center" indent="1"/>
    </xf>
    <xf numFmtId="49" fontId="134" fillId="3" borderId="0" xfId="1192" applyNumberFormat="1" applyFont="1" applyFill="1" applyAlignment="1">
      <alignment horizontal="center" vertical="center"/>
    </xf>
    <xf numFmtId="0" fontId="135" fillId="45" borderId="3" xfId="4496" applyFont="1" applyFill="1" applyBorder="1" applyAlignment="1">
      <alignment horizontal="center" vertical="center"/>
    </xf>
    <xf numFmtId="0" fontId="135" fillId="45" borderId="4" xfId="4496" applyFont="1" applyFill="1" applyBorder="1" applyAlignment="1">
      <alignment horizontal="center" vertical="center"/>
    </xf>
    <xf numFmtId="0" fontId="135" fillId="45" borderId="5" xfId="4496" applyFont="1" applyFill="1" applyBorder="1" applyAlignment="1">
      <alignment horizontal="center" vertical="center"/>
    </xf>
    <xf numFmtId="9" fontId="135" fillId="45" borderId="3" xfId="4499" applyFont="1" applyFill="1" applyBorder="1" applyAlignment="1" applyProtection="1">
      <alignment horizontal="center" vertical="center"/>
    </xf>
    <xf numFmtId="9" fontId="135" fillId="45" borderId="4" xfId="4499" applyFont="1" applyFill="1" applyBorder="1" applyAlignment="1" applyProtection="1">
      <alignment horizontal="center" vertical="center"/>
    </xf>
    <xf numFmtId="9" fontId="135" fillId="45" borderId="5" xfId="4499" applyFont="1" applyFill="1" applyBorder="1" applyAlignment="1" applyProtection="1">
      <alignment horizontal="center" vertical="center"/>
    </xf>
    <xf numFmtId="0" fontId="135" fillId="0" borderId="90" xfId="4496" applyFont="1" applyBorder="1" applyAlignment="1">
      <alignment horizontal="center" vertical="top" wrapText="1"/>
    </xf>
    <xf numFmtId="0" fontId="135" fillId="0" borderId="89" xfId="4496" applyFont="1" applyBorder="1" applyAlignment="1">
      <alignment horizontal="center" vertical="top" wrapText="1"/>
    </xf>
    <xf numFmtId="0" fontId="96" fillId="0" borderId="71" xfId="4496" applyFont="1" applyBorder="1"/>
    <xf numFmtId="0" fontId="96" fillId="0" borderId="74" xfId="4496" applyFont="1" applyBorder="1"/>
    <xf numFmtId="0" fontId="96" fillId="0" borderId="11" xfId="4496" applyFont="1" applyBorder="1"/>
    <xf numFmtId="0" fontId="96" fillId="0" borderId="91" xfId="4496" applyFont="1" applyBorder="1"/>
    <xf numFmtId="0" fontId="96" fillId="0" borderId="80" xfId="4496" applyFont="1" applyBorder="1" applyAlignment="1">
      <alignment horizontal="right"/>
    </xf>
    <xf numFmtId="0" fontId="96" fillId="0" borderId="11" xfId="4496" applyFont="1" applyBorder="1" applyAlignment="1">
      <alignment horizontal="right"/>
    </xf>
    <xf numFmtId="0" fontId="96" fillId="0" borderId="72" xfId="4496" applyFont="1" applyBorder="1" applyAlignment="1">
      <alignment horizontal="right"/>
    </xf>
    <xf numFmtId="0" fontId="96" fillId="0" borderId="73" xfId="4496" applyFont="1" applyBorder="1" applyAlignment="1">
      <alignment horizontal="right"/>
    </xf>
    <xf numFmtId="0" fontId="96" fillId="0" borderId="73" xfId="4496" applyFont="1" applyBorder="1"/>
    <xf numFmtId="0" fontId="96" fillId="0" borderId="93" xfId="4496" applyFont="1" applyBorder="1"/>
    <xf numFmtId="0" fontId="96" fillId="0" borderId="70" xfId="4496" applyFont="1" applyBorder="1" applyAlignment="1">
      <alignment horizontal="right"/>
    </xf>
    <xf numFmtId="0" fontId="96" fillId="0" borderId="71" xfId="4496" applyFont="1" applyBorder="1" applyAlignment="1">
      <alignment horizontal="right"/>
    </xf>
    <xf numFmtId="0" fontId="147" fillId="45" borderId="72" xfId="8726" applyFont="1" applyFill="1" applyBorder="1" applyAlignment="1">
      <alignment horizontal="center"/>
    </xf>
    <xf numFmtId="0" fontId="147" fillId="45" borderId="73" xfId="8726" applyFont="1" applyFill="1" applyBorder="1" applyAlignment="1">
      <alignment horizontal="center"/>
    </xf>
    <xf numFmtId="0" fontId="2" fillId="49" borderId="73" xfId="8726" applyFill="1" applyBorder="1" applyAlignment="1" applyProtection="1">
      <alignment horizontal="center"/>
      <protection locked="0"/>
    </xf>
    <xf numFmtId="0" fontId="2" fillId="49" borderId="93" xfId="8726" applyFill="1" applyBorder="1" applyAlignment="1" applyProtection="1">
      <alignment horizontal="center"/>
      <protection locked="0"/>
    </xf>
    <xf numFmtId="0" fontId="2" fillId="49" borderId="11" xfId="8726" applyFill="1" applyBorder="1" applyAlignment="1" applyProtection="1">
      <alignment horizontal="center"/>
      <protection locked="0"/>
    </xf>
    <xf numFmtId="0" fontId="2" fillId="49" borderId="91" xfId="8726" applyFill="1" applyBorder="1" applyAlignment="1" applyProtection="1">
      <alignment horizontal="center"/>
      <protection locked="0"/>
    </xf>
    <xf numFmtId="0" fontId="147" fillId="45" borderId="80" xfId="8726" applyFont="1" applyFill="1" applyBorder="1" applyAlignment="1">
      <alignment horizontal="center"/>
    </xf>
    <xf numFmtId="0" fontId="147" fillId="45" borderId="11" xfId="8726" applyFont="1" applyFill="1" applyBorder="1" applyAlignment="1">
      <alignment horizontal="center"/>
    </xf>
    <xf numFmtId="0" fontId="147" fillId="45" borderId="11" xfId="8726" applyFont="1" applyFill="1" applyBorder="1" applyAlignment="1">
      <alignment horizontal="center" wrapText="1"/>
    </xf>
    <xf numFmtId="0" fontId="148" fillId="45" borderId="11" xfId="8726" applyFont="1" applyFill="1" applyBorder="1" applyAlignment="1">
      <alignment horizontal="center"/>
    </xf>
    <xf numFmtId="0" fontId="148" fillId="45" borderId="91" xfId="8726" applyFont="1" applyFill="1" applyBorder="1" applyAlignment="1">
      <alignment horizontal="center"/>
    </xf>
    <xf numFmtId="0" fontId="100" fillId="45" borderId="70" xfId="8726" applyFont="1" applyFill="1" applyBorder="1" applyAlignment="1">
      <alignment horizontal="center"/>
    </xf>
    <xf numFmtId="0" fontId="100" fillId="45" borderId="71" xfId="8726" applyFont="1" applyFill="1" applyBorder="1" applyAlignment="1">
      <alignment horizontal="center"/>
    </xf>
    <xf numFmtId="0" fontId="100" fillId="45" borderId="74" xfId="8726" applyFont="1" applyFill="1" applyBorder="1" applyAlignment="1">
      <alignment horizontal="center"/>
    </xf>
    <xf numFmtId="0" fontId="100" fillId="45" borderId="70" xfId="8726" applyFont="1" applyFill="1" applyBorder="1" applyAlignment="1">
      <alignment horizontal="left" wrapText="1"/>
    </xf>
    <xf numFmtId="0" fontId="100" fillId="45" borderId="71" xfId="8726" applyFont="1" applyFill="1" applyBorder="1" applyAlignment="1">
      <alignment horizontal="left" wrapText="1"/>
    </xf>
    <xf numFmtId="0" fontId="100" fillId="45" borderId="80" xfId="8726" applyFont="1" applyFill="1" applyBorder="1" applyAlignment="1">
      <alignment horizontal="left" wrapText="1"/>
    </xf>
    <xf numFmtId="0" fontId="100" fillId="45" borderId="11" xfId="8726" applyFont="1" applyFill="1" applyBorder="1" applyAlignment="1">
      <alignment horizontal="left" wrapText="1"/>
    </xf>
    <xf numFmtId="0" fontId="161" fillId="49" borderId="80" xfId="8726" applyFont="1" applyFill="1" applyBorder="1" applyAlignment="1">
      <alignment horizontal="left" vertical="top"/>
    </xf>
    <xf numFmtId="0" fontId="161" fillId="49" borderId="11" xfId="8726" applyFont="1" applyFill="1" applyBorder="1" applyAlignment="1">
      <alignment horizontal="left" vertical="top"/>
    </xf>
    <xf numFmtId="0" fontId="161" fillId="49" borderId="91" xfId="8726" applyFont="1" applyFill="1" applyBorder="1" applyAlignment="1">
      <alignment horizontal="left" vertical="top"/>
    </xf>
    <xf numFmtId="0" fontId="161" fillId="49" borderId="72" xfId="8726" applyFont="1" applyFill="1" applyBorder="1" applyAlignment="1">
      <alignment horizontal="left" vertical="top"/>
    </xf>
    <xf numFmtId="0" fontId="161" fillId="49" borderId="73" xfId="8726" applyFont="1" applyFill="1" applyBorder="1" applyAlignment="1">
      <alignment horizontal="left" vertical="top"/>
    </xf>
    <xf numFmtId="0" fontId="161" fillId="49" borderId="93" xfId="8726" applyFont="1" applyFill="1" applyBorder="1" applyAlignment="1">
      <alignment horizontal="left" vertical="top"/>
    </xf>
    <xf numFmtId="10" fontId="2" fillId="49" borderId="84" xfId="8726" applyNumberFormat="1" applyFill="1" applyBorder="1" applyAlignment="1" applyProtection="1">
      <alignment horizontal="center"/>
      <protection locked="0"/>
    </xf>
    <xf numFmtId="10" fontId="2" fillId="49" borderId="82" xfId="8726" applyNumberFormat="1" applyFill="1" applyBorder="1" applyAlignment="1" applyProtection="1">
      <alignment horizontal="center"/>
      <protection locked="0"/>
    </xf>
    <xf numFmtId="10" fontId="2" fillId="49" borderId="85" xfId="8726" applyNumberFormat="1" applyFill="1" applyBorder="1" applyAlignment="1" applyProtection="1">
      <alignment horizontal="center"/>
      <protection locked="0"/>
    </xf>
    <xf numFmtId="0" fontId="2" fillId="49" borderId="3" xfId="8726" applyFill="1" applyBorder="1" applyAlignment="1" applyProtection="1">
      <alignment horizontal="center"/>
      <protection locked="0"/>
    </xf>
    <xf numFmtId="0" fontId="2" fillId="49" borderId="4" xfId="8726" applyFill="1" applyBorder="1" applyAlignment="1" applyProtection="1">
      <alignment horizontal="center"/>
      <protection locked="0"/>
    </xf>
    <xf numFmtId="0" fontId="2" fillId="49" borderId="79" xfId="8726" applyFill="1" applyBorder="1" applyAlignment="1" applyProtection="1">
      <alignment horizontal="center"/>
      <protection locked="0"/>
    </xf>
    <xf numFmtId="0" fontId="146" fillId="49" borderId="3" xfId="8726" applyFont="1" applyFill="1" applyBorder="1" applyAlignment="1" applyProtection="1">
      <alignment horizontal="center"/>
      <protection locked="0"/>
    </xf>
    <xf numFmtId="0" fontId="146" fillId="49" borderId="4" xfId="8726" applyFont="1" applyFill="1" applyBorder="1" applyAlignment="1" applyProtection="1">
      <alignment horizontal="center"/>
      <protection locked="0"/>
    </xf>
    <xf numFmtId="0" fontId="146" fillId="49" borderId="79" xfId="8726" applyFont="1" applyFill="1" applyBorder="1" applyAlignment="1" applyProtection="1">
      <alignment horizontal="center"/>
      <protection locked="0"/>
    </xf>
    <xf numFmtId="10" fontId="2" fillId="0" borderId="84" xfId="8726" applyNumberFormat="1" applyBorder="1" applyAlignment="1">
      <alignment horizontal="center"/>
    </xf>
    <xf numFmtId="10" fontId="2" fillId="0" borderId="82" xfId="8726" applyNumberFormat="1" applyBorder="1" applyAlignment="1">
      <alignment horizontal="center"/>
    </xf>
    <xf numFmtId="10" fontId="2" fillId="0" borderId="85" xfId="8726" applyNumberFormat="1" applyBorder="1" applyAlignment="1">
      <alignment horizontal="center"/>
    </xf>
    <xf numFmtId="0" fontId="146" fillId="49" borderId="71" xfId="8726" applyFont="1" applyFill="1" applyBorder="1" applyAlignment="1" applyProtection="1">
      <alignment horizontal="left" wrapText="1"/>
      <protection locked="0"/>
    </xf>
    <xf numFmtId="0" fontId="146" fillId="49" borderId="74" xfId="8726" applyFont="1" applyFill="1" applyBorder="1" applyAlignment="1" applyProtection="1">
      <alignment horizontal="left" wrapText="1"/>
      <protection locked="0"/>
    </xf>
    <xf numFmtId="0" fontId="146" fillId="49" borderId="11" xfId="8726" applyFont="1" applyFill="1" applyBorder="1" applyAlignment="1" applyProtection="1">
      <alignment horizontal="left" wrapText="1"/>
      <protection locked="0"/>
    </xf>
    <xf numFmtId="0" fontId="146" fillId="49" borderId="91" xfId="8726" applyFont="1" applyFill="1" applyBorder="1" applyAlignment="1" applyProtection="1">
      <alignment horizontal="left" wrapText="1"/>
      <protection locked="0"/>
    </xf>
    <xf numFmtId="168" fontId="163" fillId="49" borderId="11" xfId="700" applyNumberFormat="1" applyFont="1" applyFill="1" applyBorder="1" applyAlignment="1" applyProtection="1">
      <alignment horizontal="left"/>
      <protection locked="0"/>
    </xf>
    <xf numFmtId="168" fontId="163" fillId="49" borderId="91" xfId="700" applyNumberFormat="1" applyFont="1" applyFill="1" applyBorder="1" applyAlignment="1" applyProtection="1">
      <alignment horizontal="left"/>
      <protection locked="0"/>
    </xf>
    <xf numFmtId="0" fontId="144" fillId="45" borderId="95" xfId="8726" applyFont="1" applyFill="1" applyBorder="1" applyAlignment="1">
      <alignment horizontal="center"/>
    </xf>
    <xf numFmtId="0" fontId="144" fillId="45" borderId="13" xfId="8726" applyFont="1" applyFill="1" applyBorder="1" applyAlignment="1">
      <alignment horizontal="center"/>
    </xf>
    <xf numFmtId="0" fontId="144" fillId="45" borderId="71" xfId="8726" applyFont="1" applyFill="1" applyBorder="1" applyAlignment="1">
      <alignment horizontal="center"/>
    </xf>
    <xf numFmtId="0" fontId="144" fillId="45" borderId="74" xfId="8726" applyFont="1" applyFill="1" applyBorder="1" applyAlignment="1">
      <alignment horizontal="center"/>
    </xf>
    <xf numFmtId="0" fontId="161" fillId="49" borderId="80" xfId="8726" applyFont="1" applyFill="1" applyBorder="1" applyAlignment="1" applyProtection="1">
      <alignment horizontal="right"/>
      <protection locked="0"/>
    </xf>
    <xf numFmtId="0" fontId="161" fillId="49" borderId="11" xfId="8726" applyFont="1" applyFill="1" applyBorder="1" applyAlignment="1" applyProtection="1">
      <alignment horizontal="right"/>
      <protection locked="0"/>
    </xf>
    <xf numFmtId="168" fontId="144" fillId="45" borderId="43" xfId="8726" applyNumberFormat="1" applyFont="1" applyFill="1" applyBorder="1" applyAlignment="1">
      <alignment horizontal="left"/>
    </xf>
    <xf numFmtId="168" fontId="144" fillId="45" borderId="96" xfId="8726" applyNumberFormat="1" applyFont="1" applyFill="1" applyBorder="1" applyAlignment="1">
      <alignment horizontal="left"/>
    </xf>
    <xf numFmtId="0" fontId="159" fillId="45" borderId="11" xfId="8726" applyFont="1" applyFill="1" applyBorder="1" applyAlignment="1">
      <alignment horizontal="right"/>
    </xf>
    <xf numFmtId="14" fontId="146"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center"/>
      <protection locked="0"/>
    </xf>
    <xf numFmtId="1" fontId="162" fillId="49" borderId="11" xfId="8726" applyNumberFormat="1" applyFont="1" applyFill="1" applyBorder="1" applyAlignment="1" applyProtection="1">
      <alignment horizontal="center"/>
      <protection locked="0"/>
    </xf>
    <xf numFmtId="1" fontId="162" fillId="49" borderId="3" xfId="8726" applyNumberFormat="1" applyFont="1" applyFill="1" applyBorder="1" applyAlignment="1" applyProtection="1">
      <alignment horizontal="center"/>
      <protection locked="0"/>
    </xf>
    <xf numFmtId="1" fontId="162" fillId="49" borderId="4" xfId="8726" applyNumberFormat="1" applyFont="1" applyFill="1" applyBorder="1" applyAlignment="1" applyProtection="1">
      <alignment horizontal="center"/>
      <protection locked="0"/>
    </xf>
    <xf numFmtId="1" fontId="162" fillId="49" borderId="5" xfId="8726" applyNumberFormat="1" applyFont="1" applyFill="1" applyBorder="1" applyAlignment="1" applyProtection="1">
      <alignment horizontal="center"/>
      <protection locked="0"/>
    </xf>
    <xf numFmtId="1" fontId="148" fillId="44" borderId="3" xfId="8726" applyNumberFormat="1" applyFont="1" applyFill="1" applyBorder="1" applyAlignment="1">
      <alignment horizontal="center"/>
    </xf>
    <xf numFmtId="1" fontId="148" fillId="44" borderId="4" xfId="8726" applyNumberFormat="1" applyFont="1" applyFill="1" applyBorder="1" applyAlignment="1">
      <alignment horizontal="center"/>
    </xf>
    <xf numFmtId="1" fontId="148" fillId="44" borderId="5" xfId="8726" applyNumberFormat="1" applyFont="1" applyFill="1" applyBorder="1" applyAlignment="1">
      <alignment horizontal="center"/>
    </xf>
    <xf numFmtId="0" fontId="2" fillId="49" borderId="1" xfId="8726" applyFill="1" applyBorder="1" applyAlignment="1" applyProtection="1">
      <alignment horizontal="center"/>
      <protection locked="0"/>
    </xf>
    <xf numFmtId="0" fontId="2" fillId="49" borderId="2" xfId="8726" applyFill="1" applyBorder="1" applyAlignment="1" applyProtection="1">
      <alignment horizontal="center"/>
      <protection locked="0"/>
    </xf>
    <xf numFmtId="0" fontId="146" fillId="49" borderId="89" xfId="8726" applyFont="1" applyFill="1" applyBorder="1" applyAlignment="1" applyProtection="1">
      <alignment horizontal="left"/>
      <protection locked="0"/>
    </xf>
    <xf numFmtId="0" fontId="146" fillId="49" borderId="71" xfId="8726" applyFont="1" applyFill="1" applyBorder="1" applyAlignment="1" applyProtection="1">
      <alignment horizontal="left"/>
      <protection locked="0"/>
    </xf>
    <xf numFmtId="0" fontId="146" fillId="49" borderId="74" xfId="8726" applyFont="1" applyFill="1" applyBorder="1" applyAlignment="1" applyProtection="1">
      <alignment horizontal="left"/>
      <protection locked="0"/>
    </xf>
    <xf numFmtId="0" fontId="144" fillId="45" borderId="80" xfId="8726" applyFont="1" applyFill="1" applyBorder="1" applyAlignment="1">
      <alignment horizontal="center"/>
    </xf>
    <xf numFmtId="0" fontId="144" fillId="45" borderId="11" xfId="8726" applyFont="1" applyFill="1" applyBorder="1" applyAlignment="1">
      <alignment horizontal="center"/>
    </xf>
    <xf numFmtId="0" fontId="144" fillId="45" borderId="3" xfId="8726" applyFont="1" applyFill="1" applyBorder="1" applyAlignment="1">
      <alignment horizontal="center"/>
    </xf>
    <xf numFmtId="0" fontId="144" fillId="45" borderId="4" xfId="8726" applyFont="1" applyFill="1" applyBorder="1" applyAlignment="1">
      <alignment horizontal="center"/>
    </xf>
    <xf numFmtId="0" fontId="144" fillId="45" borderId="79" xfId="8726" applyFont="1" applyFill="1" applyBorder="1" applyAlignment="1">
      <alignment horizontal="center"/>
    </xf>
    <xf numFmtId="0" fontId="100" fillId="45" borderId="72" xfId="8726" applyFont="1" applyFill="1" applyBorder="1" applyAlignment="1">
      <alignment horizontal="center"/>
    </xf>
    <xf numFmtId="0" fontId="100" fillId="45" borderId="73" xfId="8726" applyFont="1" applyFill="1" applyBorder="1" applyAlignment="1">
      <alignment horizontal="center"/>
    </xf>
    <xf numFmtId="14" fontId="146" fillId="49" borderId="83" xfId="8726" applyNumberFormat="1" applyFont="1" applyFill="1" applyBorder="1" applyAlignment="1" applyProtection="1">
      <alignment horizontal="center"/>
      <protection locked="0"/>
    </xf>
    <xf numFmtId="0" fontId="146" fillId="49" borderId="73" xfId="8726" applyFont="1" applyFill="1" applyBorder="1" applyAlignment="1" applyProtection="1">
      <alignment horizontal="center"/>
      <protection locked="0"/>
    </xf>
    <xf numFmtId="0" fontId="146" fillId="49" borderId="93" xfId="8726" applyFont="1" applyFill="1" applyBorder="1" applyAlignment="1" applyProtection="1">
      <alignment horizontal="center"/>
      <protection locked="0"/>
    </xf>
    <xf numFmtId="0" fontId="163" fillId="49" borderId="80" xfId="8726" applyFont="1" applyFill="1" applyBorder="1" applyAlignment="1" applyProtection="1">
      <alignment horizontal="right"/>
      <protection locked="0"/>
    </xf>
    <xf numFmtId="0" fontId="163" fillId="49" borderId="11" xfId="8726" applyFont="1" applyFill="1" applyBorder="1" applyAlignment="1" applyProtection="1">
      <alignment horizontal="right"/>
      <protection locked="0"/>
    </xf>
    <xf numFmtId="43" fontId="144" fillId="53" borderId="3" xfId="698" applyFont="1" applyFill="1" applyBorder="1" applyAlignment="1" applyProtection="1">
      <alignment horizontal="center"/>
      <protection hidden="1"/>
    </xf>
    <xf numFmtId="43" fontId="144" fillId="53" borderId="4" xfId="698" applyFont="1" applyFill="1" applyBorder="1" applyAlignment="1" applyProtection="1">
      <alignment horizontal="center"/>
      <protection hidden="1"/>
    </xf>
    <xf numFmtId="43" fontId="144" fillId="53" borderId="79" xfId="698" applyFont="1" applyFill="1" applyBorder="1" applyAlignment="1" applyProtection="1">
      <alignment horizontal="center"/>
      <protection hidden="1"/>
    </xf>
    <xf numFmtId="0" fontId="176" fillId="54" borderId="3" xfId="698" applyNumberFormat="1" applyFont="1" applyFill="1" applyBorder="1" applyAlignment="1" applyProtection="1">
      <alignment horizontal="center"/>
      <protection locked="0"/>
    </xf>
    <xf numFmtId="0" fontId="176" fillId="54" borderId="4" xfId="698" applyNumberFormat="1" applyFont="1" applyFill="1" applyBorder="1" applyAlignment="1" applyProtection="1">
      <alignment horizontal="center"/>
      <protection locked="0"/>
    </xf>
    <xf numFmtId="0" fontId="176" fillId="54" borderId="79" xfId="698" applyNumberFormat="1" applyFont="1" applyFill="1" applyBorder="1" applyAlignment="1" applyProtection="1">
      <alignment horizontal="center"/>
      <protection locked="0"/>
    </xf>
    <xf numFmtId="44" fontId="145" fillId="0" borderId="8" xfId="700" applyFont="1" applyBorder="1" applyAlignment="1" applyProtection="1">
      <alignment horizontal="center" wrapText="1"/>
      <protection hidden="1"/>
    </xf>
    <xf numFmtId="44" fontId="145" fillId="0" borderId="0" xfId="700" applyFont="1" applyBorder="1" applyAlignment="1" applyProtection="1">
      <alignment horizontal="center" wrapText="1"/>
      <protection hidden="1"/>
    </xf>
    <xf numFmtId="44" fontId="145" fillId="0" borderId="12" xfId="700" applyFont="1" applyBorder="1" applyAlignment="1" applyProtection="1">
      <alignment horizontal="center" wrapText="1"/>
      <protection hidden="1"/>
    </xf>
    <xf numFmtId="44" fontId="145" fillId="0" borderId="9" xfId="700" applyFont="1" applyBorder="1" applyAlignment="1" applyProtection="1">
      <alignment horizontal="center" wrapText="1"/>
      <protection hidden="1"/>
    </xf>
    <xf numFmtId="44" fontId="145" fillId="0" borderId="6" xfId="700" applyFont="1" applyBorder="1" applyAlignment="1" applyProtection="1">
      <alignment horizontal="center" wrapText="1"/>
      <protection hidden="1"/>
    </xf>
    <xf numFmtId="44" fontId="145" fillId="0" borderId="10" xfId="700" applyFont="1" applyBorder="1" applyAlignment="1" applyProtection="1">
      <alignment horizontal="center" wrapText="1"/>
      <protection hidden="1"/>
    </xf>
    <xf numFmtId="43" fontId="145" fillId="53" borderId="8" xfId="698" applyFont="1" applyFill="1" applyBorder="1" applyAlignment="1" applyProtection="1">
      <alignment horizontal="center" wrapText="1"/>
      <protection hidden="1"/>
    </xf>
    <xf numFmtId="43" fontId="145" fillId="53" borderId="0" xfId="698" applyFont="1" applyFill="1" applyBorder="1" applyAlignment="1" applyProtection="1">
      <alignment horizontal="center" wrapText="1"/>
      <protection hidden="1"/>
    </xf>
    <xf numFmtId="43" fontId="145" fillId="53" borderId="41" xfId="698" applyFont="1" applyFill="1" applyBorder="1" applyAlignment="1" applyProtection="1">
      <alignment horizontal="center" wrapText="1"/>
      <protection hidden="1"/>
    </xf>
    <xf numFmtId="43" fontId="145" fillId="53" borderId="9" xfId="698" applyFont="1" applyFill="1" applyBorder="1" applyAlignment="1" applyProtection="1">
      <alignment horizontal="center" wrapText="1"/>
      <protection hidden="1"/>
    </xf>
    <xf numFmtId="43" fontId="145" fillId="53" borderId="6" xfId="698" applyFont="1" applyFill="1" applyBorder="1" applyAlignment="1" applyProtection="1">
      <alignment horizontal="center" wrapText="1"/>
      <protection hidden="1"/>
    </xf>
    <xf numFmtId="43" fontId="145" fillId="53" borderId="103" xfId="698" applyFont="1" applyFill="1" applyBorder="1" applyAlignment="1" applyProtection="1">
      <alignment horizontal="center" wrapText="1"/>
      <protection hidden="1"/>
    </xf>
    <xf numFmtId="0" fontId="146" fillId="53" borderId="80" xfId="698" applyNumberFormat="1" applyFont="1" applyFill="1" applyBorder="1" applyAlignment="1" applyProtection="1">
      <alignment horizontal="center"/>
      <protection hidden="1"/>
    </xf>
    <xf numFmtId="0" fontId="146" fillId="53" borderId="11" xfId="698" applyNumberFormat="1" applyFont="1" applyFill="1" applyBorder="1" applyAlignment="1" applyProtection="1">
      <alignment horizontal="center"/>
      <protection hidden="1"/>
    </xf>
    <xf numFmtId="0" fontId="146" fillId="49" borderId="11" xfId="0" applyFont="1" applyFill="1" applyBorder="1" applyAlignment="1" applyProtection="1">
      <alignment horizontal="center"/>
      <protection locked="0"/>
    </xf>
    <xf numFmtId="14" fontId="176" fillId="49" borderId="11" xfId="700" applyNumberFormat="1" applyFont="1" applyFill="1" applyBorder="1" applyAlignment="1" applyProtection="1">
      <alignment horizontal="center"/>
      <protection locked="0"/>
    </xf>
    <xf numFmtId="44" fontId="176" fillId="49" borderId="11" xfId="700" applyFont="1" applyFill="1" applyBorder="1" applyAlignment="1" applyProtection="1">
      <alignment horizontal="center"/>
      <protection locked="0"/>
    </xf>
    <xf numFmtId="164" fontId="146" fillId="49" borderId="11" xfId="700" applyNumberFormat="1" applyFont="1" applyFill="1" applyBorder="1" applyAlignment="1" applyProtection="1">
      <alignment horizontal="center"/>
      <protection locked="0"/>
    </xf>
    <xf numFmtId="9" fontId="146" fillId="49" borderId="11" xfId="1022" applyFont="1" applyFill="1" applyBorder="1" applyAlignment="1" applyProtection="1">
      <alignment horizontal="center"/>
      <protection locked="0"/>
    </xf>
    <xf numFmtId="0" fontId="100" fillId="44" borderId="0" xfId="8726" applyFont="1" applyFill="1" applyAlignment="1">
      <alignment horizontal="left"/>
    </xf>
    <xf numFmtId="0" fontId="148" fillId="44" borderId="0" xfId="8726" applyFont="1" applyFill="1" applyAlignment="1">
      <alignment horizontal="left" vertical="top"/>
    </xf>
    <xf numFmtId="0" fontId="100" fillId="44" borderId="0" xfId="4503" applyFont="1" applyFill="1" applyBorder="1" applyAlignment="1">
      <alignment horizontal="left" vertical="top"/>
    </xf>
    <xf numFmtId="0" fontId="172" fillId="48" borderId="65" xfId="8726" applyFont="1" applyFill="1" applyBorder="1" applyAlignment="1">
      <alignment horizontal="center"/>
    </xf>
    <xf numFmtId="0" fontId="172" fillId="48" borderId="29" xfId="8726" applyFont="1" applyFill="1" applyBorder="1" applyAlignment="1">
      <alignment horizontal="center"/>
    </xf>
    <xf numFmtId="0" fontId="172" fillId="48" borderId="31" xfId="8726" applyFont="1" applyFill="1" applyBorder="1" applyAlignment="1">
      <alignment horizontal="center"/>
    </xf>
    <xf numFmtId="0" fontId="2" fillId="48" borderId="66" xfId="8726" applyFill="1" applyBorder="1" applyAlignment="1">
      <alignment horizontal="center"/>
    </xf>
    <xf numFmtId="0" fontId="2" fillId="48" borderId="0" xfId="8726" applyFill="1" applyAlignment="1">
      <alignment horizontal="center"/>
    </xf>
    <xf numFmtId="0" fontId="2" fillId="48" borderId="41" xfId="8726" applyFill="1" applyBorder="1" applyAlignment="1">
      <alignment horizontal="center"/>
    </xf>
    <xf numFmtId="0" fontId="144" fillId="48" borderId="66" xfId="8726" applyFont="1" applyFill="1" applyBorder="1" applyAlignment="1">
      <alignment horizontal="center"/>
    </xf>
    <xf numFmtId="0" fontId="144" fillId="48" borderId="0" xfId="8726" applyFont="1" applyFill="1" applyAlignment="1">
      <alignment horizontal="center"/>
    </xf>
    <xf numFmtId="0" fontId="144" fillId="48" borderId="41" xfId="8726" applyFont="1" applyFill="1" applyBorder="1" applyAlignment="1">
      <alignment horizontal="center"/>
    </xf>
    <xf numFmtId="0" fontId="100" fillId="48" borderId="66" xfId="8726" applyFont="1" applyFill="1" applyBorder="1" applyAlignment="1">
      <alignment horizontal="center"/>
    </xf>
    <xf numFmtId="0" fontId="100" fillId="48" borderId="0" xfId="8726" applyFont="1" applyFill="1" applyAlignment="1">
      <alignment horizontal="center"/>
    </xf>
    <xf numFmtId="0" fontId="100" fillId="48" borderId="41" xfId="8726" applyFont="1" applyFill="1" applyBorder="1" applyAlignment="1">
      <alignment horizontal="center"/>
    </xf>
    <xf numFmtId="14" fontId="2" fillId="49" borderId="67" xfId="8726" applyNumberFormat="1" applyFill="1" applyBorder="1" applyAlignment="1" applyProtection="1">
      <alignment horizontal="center"/>
      <protection locked="0"/>
    </xf>
    <xf numFmtId="14" fontId="2" fillId="49" borderId="68" xfId="8726" applyNumberFormat="1" applyFill="1" applyBorder="1" applyAlignment="1" applyProtection="1">
      <alignment horizontal="center"/>
      <protection locked="0"/>
    </xf>
    <xf numFmtId="14" fontId="2" fillId="49" borderId="69" xfId="8726" applyNumberFormat="1" applyFill="1" applyBorder="1" applyAlignment="1" applyProtection="1">
      <alignment horizontal="center"/>
      <protection locked="0"/>
    </xf>
    <xf numFmtId="0" fontId="2" fillId="49" borderId="67" xfId="8726" applyFill="1" applyBorder="1" applyAlignment="1" applyProtection="1">
      <alignment horizontal="left"/>
      <protection locked="0"/>
    </xf>
    <xf numFmtId="0" fontId="2" fillId="49" borderId="68" xfId="8726" applyFill="1" applyBorder="1" applyAlignment="1" applyProtection="1">
      <alignment horizontal="left"/>
      <protection locked="0"/>
    </xf>
    <xf numFmtId="0" fontId="2" fillId="49" borderId="69" xfId="8726" applyFill="1" applyBorder="1" applyAlignment="1" applyProtection="1">
      <alignment horizontal="left"/>
      <protection locked="0"/>
    </xf>
    <xf numFmtId="0" fontId="2" fillId="49" borderId="67" xfId="8726" applyFill="1" applyBorder="1" applyAlignment="1" applyProtection="1">
      <alignment horizontal="center"/>
      <protection locked="0"/>
    </xf>
    <xf numFmtId="0" fontId="2" fillId="49" borderId="68" xfId="8726" applyFill="1" applyBorder="1" applyAlignment="1" applyProtection="1">
      <alignment horizontal="center"/>
      <protection locked="0"/>
    </xf>
    <xf numFmtId="0" fontId="2" fillId="49" borderId="69" xfId="8726" applyFill="1" applyBorder="1" applyAlignment="1" applyProtection="1">
      <alignment horizontal="center"/>
      <protection locked="0"/>
    </xf>
    <xf numFmtId="0" fontId="100" fillId="48" borderId="42" xfId="8726" applyFont="1" applyFill="1" applyBorder="1" applyAlignment="1">
      <alignment horizontal="center"/>
    </xf>
    <xf numFmtId="0" fontId="144" fillId="48" borderId="0" xfId="8726" applyFont="1" applyFill="1" applyAlignment="1">
      <alignment horizontal="left" vertical="top" wrapText="1"/>
    </xf>
    <xf numFmtId="0" fontId="100" fillId="48" borderId="0" xfId="8726" applyFont="1" applyFill="1" applyAlignment="1">
      <alignment horizontal="left"/>
    </xf>
    <xf numFmtId="43" fontId="144" fillId="45" borderId="67" xfId="698" applyFont="1" applyFill="1" applyBorder="1" applyAlignment="1" applyProtection="1">
      <alignment horizontal="center"/>
      <protection hidden="1"/>
    </xf>
    <xf numFmtId="43" fontId="144" fillId="45" borderId="68" xfId="698" applyFont="1" applyFill="1" applyBorder="1" applyAlignment="1" applyProtection="1">
      <alignment horizontal="center"/>
      <protection hidden="1"/>
    </xf>
    <xf numFmtId="43" fontId="144" fillId="45" borderId="69" xfId="698" applyFont="1" applyFill="1" applyBorder="1" applyAlignment="1" applyProtection="1">
      <alignment horizontal="center"/>
      <protection hidden="1"/>
    </xf>
    <xf numFmtId="43" fontId="145" fillId="53" borderId="66" xfId="698" applyFont="1" applyFill="1" applyBorder="1" applyAlignment="1" applyProtection="1">
      <alignment horizontal="center" wrapText="1"/>
      <protection hidden="1"/>
    </xf>
    <xf numFmtId="43" fontId="145" fillId="53" borderId="12" xfId="698" applyFont="1" applyFill="1" applyBorder="1" applyAlignment="1" applyProtection="1">
      <alignment horizontal="center" wrapText="1"/>
      <protection hidden="1"/>
    </xf>
    <xf numFmtId="43" fontId="145" fillId="53" borderId="102" xfId="698" applyFont="1" applyFill="1" applyBorder="1" applyAlignment="1" applyProtection="1">
      <alignment horizontal="center" wrapText="1"/>
      <protection hidden="1"/>
    </xf>
    <xf numFmtId="43" fontId="145" fillId="53" borderId="10" xfId="698" applyFont="1" applyFill="1" applyBorder="1" applyAlignment="1" applyProtection="1">
      <alignment horizontal="center" wrapText="1"/>
      <protection hidden="1"/>
    </xf>
    <xf numFmtId="14" fontId="145" fillId="0" borderId="8" xfId="700" applyNumberFormat="1" applyFont="1" applyFill="1" applyBorder="1" applyAlignment="1" applyProtection="1">
      <alignment horizontal="center" wrapText="1"/>
      <protection hidden="1"/>
    </xf>
    <xf numFmtId="14" fontId="145" fillId="0" borderId="0" xfId="700" applyNumberFormat="1" applyFont="1" applyFill="1" applyBorder="1" applyAlignment="1" applyProtection="1">
      <alignment horizontal="center" wrapText="1"/>
      <protection hidden="1"/>
    </xf>
    <xf numFmtId="14" fontId="145" fillId="0" borderId="12" xfId="700" applyNumberFormat="1" applyFont="1" applyFill="1" applyBorder="1" applyAlignment="1" applyProtection="1">
      <alignment horizontal="center" wrapText="1"/>
      <protection hidden="1"/>
    </xf>
    <xf numFmtId="14" fontId="145" fillId="0" borderId="9" xfId="700" applyNumberFormat="1" applyFont="1" applyFill="1" applyBorder="1" applyAlignment="1" applyProtection="1">
      <alignment horizontal="center" wrapText="1"/>
      <protection hidden="1"/>
    </xf>
    <xf numFmtId="14" fontId="145" fillId="0" borderId="6" xfId="700" applyNumberFormat="1" applyFont="1" applyFill="1" applyBorder="1" applyAlignment="1" applyProtection="1">
      <alignment horizontal="center" wrapText="1"/>
      <protection hidden="1"/>
    </xf>
    <xf numFmtId="14" fontId="145" fillId="0" borderId="10" xfId="700" applyNumberFormat="1" applyFont="1" applyFill="1" applyBorder="1" applyAlignment="1" applyProtection="1">
      <alignment horizontal="center" wrapText="1"/>
      <protection hidden="1"/>
    </xf>
    <xf numFmtId="0" fontId="100" fillId="0" borderId="67" xfId="8726" applyFont="1" applyBorder="1" applyAlignment="1">
      <alignment horizontal="left"/>
    </xf>
    <xf numFmtId="0" fontId="100" fillId="0" borderId="68" xfId="8726" applyFont="1" applyBorder="1" applyAlignment="1">
      <alignment horizontal="left"/>
    </xf>
    <xf numFmtId="0" fontId="147" fillId="45" borderId="72" xfId="8726" applyFont="1" applyFill="1" applyBorder="1" applyAlignment="1">
      <alignment horizontal="right"/>
    </xf>
    <xf numFmtId="0" fontId="147" fillId="45" borderId="73" xfId="8726" applyFont="1" applyFill="1" applyBorder="1" applyAlignment="1">
      <alignment horizontal="right"/>
    </xf>
    <xf numFmtId="0" fontId="148" fillId="44" borderId="73" xfId="700" applyNumberFormat="1" applyFont="1" applyFill="1" applyBorder="1" applyAlignment="1">
      <alignment horizontal="left"/>
    </xf>
    <xf numFmtId="168" fontId="148" fillId="44" borderId="73" xfId="700" applyNumberFormat="1" applyFont="1" applyFill="1" applyBorder="1" applyAlignment="1">
      <alignment horizontal="left"/>
    </xf>
    <xf numFmtId="168" fontId="148" fillId="44" borderId="93" xfId="700" applyNumberFormat="1" applyFont="1" applyFill="1" applyBorder="1" applyAlignment="1">
      <alignment horizontal="left"/>
    </xf>
    <xf numFmtId="0" fontId="144" fillId="48" borderId="0" xfId="8726" applyFont="1" applyFill="1" applyAlignment="1">
      <alignment horizontal="right"/>
    </xf>
    <xf numFmtId="182" fontId="2" fillId="49" borderId="11" xfId="700" applyNumberFormat="1" applyFont="1" applyFill="1" applyBorder="1" applyAlignment="1" applyProtection="1">
      <alignment horizontal="center"/>
      <protection locked="0"/>
    </xf>
    <xf numFmtId="10" fontId="161" fillId="49" borderId="11" xfId="1022" applyNumberFormat="1" applyFont="1" applyFill="1" applyBorder="1" applyAlignment="1" applyProtection="1">
      <alignment horizontal="center"/>
      <protection locked="0"/>
    </xf>
    <xf numFmtId="44" fontId="2" fillId="49" borderId="97" xfId="700" applyFont="1" applyFill="1" applyBorder="1" applyAlignment="1" applyProtection="1">
      <alignment horizontal="center"/>
      <protection locked="0"/>
    </xf>
    <xf numFmtId="168" fontId="145" fillId="48" borderId="0" xfId="700" applyNumberFormat="1" applyFont="1" applyFill="1" applyBorder="1" applyAlignment="1" applyProtection="1">
      <alignment horizontal="left"/>
      <protection locked="0"/>
    </xf>
    <xf numFmtId="0" fontId="148" fillId="45" borderId="67" xfId="0" applyFont="1" applyFill="1" applyBorder="1" applyAlignment="1" applyProtection="1">
      <alignment horizontal="center" wrapText="1"/>
      <protection hidden="1"/>
    </xf>
    <xf numFmtId="0" fontId="148" fillId="45" borderId="68" xfId="0" applyFont="1" applyFill="1" applyBorder="1" applyAlignment="1" applyProtection="1">
      <alignment horizontal="center" wrapText="1"/>
      <protection hidden="1"/>
    </xf>
    <xf numFmtId="0" fontId="148" fillId="45" borderId="69" xfId="0" applyFont="1" applyFill="1" applyBorder="1" applyAlignment="1" applyProtection="1">
      <alignment horizontal="center" wrapText="1"/>
      <protection hidden="1"/>
    </xf>
    <xf numFmtId="44" fontId="2" fillId="44" borderId="11" xfId="700" applyFont="1" applyFill="1" applyBorder="1" applyAlignment="1" applyProtection="1">
      <alignment horizontal="center"/>
      <protection hidden="1"/>
    </xf>
    <xf numFmtId="0" fontId="2" fillId="48" borderId="3" xfId="8726" applyFill="1" applyBorder="1" applyAlignment="1">
      <alignment horizontal="center"/>
    </xf>
    <xf numFmtId="0" fontId="2" fillId="48" borderId="4" xfId="8726" applyFill="1" applyBorder="1" applyAlignment="1">
      <alignment horizontal="center"/>
    </xf>
    <xf numFmtId="0" fontId="2" fillId="48" borderId="5" xfId="8726" applyFill="1" applyBorder="1" applyAlignment="1">
      <alignment horizontal="center"/>
    </xf>
    <xf numFmtId="0" fontId="2" fillId="48" borderId="1" xfId="8726" applyFill="1" applyBorder="1" applyAlignment="1">
      <alignment horizontal="center"/>
    </xf>
    <xf numFmtId="0" fontId="2" fillId="48" borderId="2" xfId="8726" applyFill="1" applyBorder="1" applyAlignment="1">
      <alignment horizontal="center"/>
    </xf>
    <xf numFmtId="0" fontId="2" fillId="48" borderId="7" xfId="8726" applyFill="1" applyBorder="1" applyAlignment="1">
      <alignment horizontal="center"/>
    </xf>
    <xf numFmtId="0" fontId="163" fillId="45" borderId="70" xfId="8726" applyFont="1" applyFill="1" applyBorder="1" applyAlignment="1">
      <alignment horizontal="right"/>
    </xf>
    <xf numFmtId="0" fontId="163" fillId="45" borderId="71" xfId="8726" applyFont="1" applyFill="1" applyBorder="1" applyAlignment="1">
      <alignment horizontal="right"/>
    </xf>
    <xf numFmtId="168" fontId="146" fillId="44" borderId="71" xfId="700" applyNumberFormat="1" applyFont="1" applyFill="1" applyBorder="1" applyAlignment="1">
      <alignment horizontal="left"/>
    </xf>
    <xf numFmtId="168" fontId="146" fillId="44" borderId="74" xfId="700" applyNumberFormat="1" applyFont="1" applyFill="1" applyBorder="1" applyAlignment="1">
      <alignment horizontal="left"/>
    </xf>
    <xf numFmtId="0" fontId="161" fillId="49" borderId="81" xfId="8726" applyFont="1" applyFill="1" applyBorder="1" applyAlignment="1" applyProtection="1">
      <alignment horizontal="center"/>
      <protection locked="0"/>
    </xf>
    <xf numFmtId="0" fontId="161" fillId="49" borderId="82" xfId="8726" applyFont="1" applyFill="1" applyBorder="1" applyAlignment="1" applyProtection="1">
      <alignment horizontal="center"/>
      <protection locked="0"/>
    </xf>
    <xf numFmtId="0" fontId="163" fillId="49" borderId="73" xfId="8726" applyFont="1" applyFill="1" applyBorder="1" applyAlignment="1" applyProtection="1">
      <alignment horizontal="left"/>
      <protection locked="0"/>
    </xf>
    <xf numFmtId="0" fontId="163" fillId="49" borderId="93" xfId="8726" applyFont="1" applyFill="1" applyBorder="1" applyAlignment="1" applyProtection="1">
      <alignment horizontal="left"/>
      <protection locked="0"/>
    </xf>
    <xf numFmtId="168" fontId="161" fillId="49" borderId="82" xfId="700" applyNumberFormat="1" applyFont="1" applyFill="1" applyBorder="1" applyAlignment="1" applyProtection="1">
      <alignment horizontal="left"/>
      <protection locked="0"/>
    </xf>
    <xf numFmtId="168" fontId="161" fillId="49" borderId="85" xfId="700" applyNumberFormat="1" applyFont="1" applyFill="1" applyBorder="1" applyAlignment="1" applyProtection="1">
      <alignment horizontal="left"/>
      <protection locked="0"/>
    </xf>
    <xf numFmtId="0" fontId="161" fillId="49" borderId="81" xfId="8726" applyFont="1" applyFill="1" applyBorder="1" applyAlignment="1" applyProtection="1">
      <alignment horizontal="left"/>
      <protection locked="0"/>
    </xf>
    <xf numFmtId="0" fontId="161" fillId="49" borderId="82" xfId="8726" applyFont="1" applyFill="1" applyBorder="1" applyAlignment="1" applyProtection="1">
      <alignment horizontal="left"/>
      <protection locked="0"/>
    </xf>
    <xf numFmtId="0" fontId="161" fillId="49" borderId="85" xfId="8726" applyFont="1" applyFill="1" applyBorder="1" applyAlignment="1" applyProtection="1">
      <alignment horizontal="left"/>
      <protection locked="0"/>
    </xf>
    <xf numFmtId="0" fontId="171" fillId="48" borderId="0" xfId="8726" applyFont="1" applyFill="1" applyAlignment="1">
      <alignment horizontal="left" wrapText="1"/>
    </xf>
    <xf numFmtId="0" fontId="171" fillId="48" borderId="41" xfId="8726" applyFont="1" applyFill="1" applyBorder="1" applyAlignment="1">
      <alignment horizontal="left" wrapText="1"/>
    </xf>
    <xf numFmtId="0" fontId="161" fillId="49" borderId="80"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0" fontId="163" fillId="49" borderId="11" xfId="8726" applyFont="1" applyFill="1" applyBorder="1" applyAlignment="1" applyProtection="1">
      <alignment horizontal="left"/>
      <protection locked="0"/>
    </xf>
    <xf numFmtId="168" fontId="161" fillId="49" borderId="11" xfId="700" applyNumberFormat="1" applyFont="1" applyFill="1" applyBorder="1" applyAlignment="1" applyProtection="1">
      <alignment horizontal="left"/>
      <protection locked="0"/>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3" fillId="49" borderId="80" xfId="8726" applyFont="1" applyFill="1" applyBorder="1" applyAlignment="1" applyProtection="1">
      <alignment horizontal="center"/>
      <protection locked="0"/>
    </xf>
    <xf numFmtId="0" fontId="163" fillId="49" borderId="11" xfId="8726" applyFont="1" applyFill="1" applyBorder="1" applyAlignment="1" applyProtection="1">
      <alignment horizontal="center"/>
      <protection locked="0"/>
    </xf>
    <xf numFmtId="44" fontId="2" fillId="49" borderId="11" xfId="700" applyFont="1" applyFill="1" applyBorder="1" applyAlignment="1" applyProtection="1">
      <alignment horizontal="center"/>
      <protection locked="0"/>
    </xf>
    <xf numFmtId="0" fontId="161" fillId="45" borderId="80" xfId="8726" applyFont="1" applyFill="1" applyBorder="1" applyAlignment="1">
      <alignment horizontal="right"/>
    </xf>
    <xf numFmtId="0" fontId="161" fillId="45" borderId="11" xfId="8726" applyFont="1" applyFill="1" applyBorder="1" applyAlignment="1">
      <alignment horizontal="right"/>
    </xf>
    <xf numFmtId="168" fontId="161" fillId="44" borderId="11" xfId="700" applyNumberFormat="1" applyFont="1" applyFill="1" applyBorder="1" applyAlignment="1">
      <alignment horizontal="left"/>
    </xf>
    <xf numFmtId="43" fontId="144" fillId="55" borderId="104" xfId="698" applyFont="1" applyFill="1" applyBorder="1" applyAlignment="1" applyProtection="1">
      <alignment horizontal="center"/>
      <protection hidden="1"/>
    </xf>
    <xf numFmtId="43" fontId="144" fillId="55" borderId="97" xfId="698" applyFont="1" applyFill="1" applyBorder="1" applyAlignment="1" applyProtection="1">
      <alignment horizontal="center"/>
      <protection hidden="1"/>
    </xf>
    <xf numFmtId="43" fontId="144" fillId="55" borderId="98" xfId="698" applyFont="1" applyFill="1" applyBorder="1" applyAlignment="1" applyProtection="1">
      <alignment horizontal="center"/>
      <protection hidden="1"/>
    </xf>
    <xf numFmtId="43" fontId="146" fillId="53" borderId="13" xfId="698" applyFont="1" applyFill="1" applyBorder="1" applyAlignment="1" applyProtection="1">
      <alignment horizontal="left"/>
      <protection hidden="1"/>
    </xf>
    <xf numFmtId="44" fontId="2" fillId="49" borderId="13" xfId="700" applyFont="1" applyFill="1" applyBorder="1" applyAlignment="1" applyProtection="1">
      <alignment horizontal="center"/>
      <protection locked="0"/>
    </xf>
    <xf numFmtId="0" fontId="161" fillId="48" borderId="9" xfId="8726" applyFont="1" applyFill="1" applyBorder="1" applyAlignment="1">
      <alignment horizontal="center"/>
    </xf>
    <xf numFmtId="0" fontId="161" fillId="48" borderId="6" xfId="8726" applyFont="1" applyFill="1" applyBorder="1" applyAlignment="1">
      <alignment horizontal="center"/>
    </xf>
    <xf numFmtId="0" fontId="161" fillId="48" borderId="10" xfId="8726" applyFont="1" applyFill="1" applyBorder="1" applyAlignment="1">
      <alignment horizontal="center"/>
    </xf>
    <xf numFmtId="43" fontId="146" fillId="53" borderId="11" xfId="698" applyFont="1" applyFill="1" applyBorder="1" applyAlignment="1" applyProtection="1">
      <alignment horizontal="left"/>
      <protection hidden="1"/>
    </xf>
    <xf numFmtId="14" fontId="161" fillId="49" borderId="11" xfId="8726" applyNumberFormat="1" applyFont="1" applyFill="1" applyBorder="1" applyAlignment="1" applyProtection="1">
      <alignment horizontal="center"/>
      <protection locked="0"/>
    </xf>
    <xf numFmtId="14" fontId="161" fillId="49" borderId="91" xfId="8726" applyNumberFormat="1" applyFont="1" applyFill="1" applyBorder="1" applyAlignment="1" applyProtection="1">
      <alignment horizontal="center"/>
      <protection locked="0"/>
    </xf>
    <xf numFmtId="168" fontId="163" fillId="44" borderId="11" xfId="700" applyNumberFormat="1" applyFont="1" applyFill="1" applyBorder="1" applyAlignment="1">
      <alignment horizontal="left"/>
    </xf>
    <xf numFmtId="0" fontId="147" fillId="47" borderId="11" xfId="8726" applyFont="1" applyFill="1" applyBorder="1" applyAlignment="1">
      <alignment horizontal="center"/>
    </xf>
    <xf numFmtId="0" fontId="147" fillId="47" borderId="91" xfId="8726" applyFont="1" applyFill="1" applyBorder="1" applyAlignment="1">
      <alignment horizontal="center"/>
    </xf>
    <xf numFmtId="0" fontId="163" fillId="45" borderId="80" xfId="8726" applyFont="1" applyFill="1" applyBorder="1" applyAlignment="1">
      <alignment horizontal="right"/>
    </xf>
    <xf numFmtId="0" fontId="163" fillId="45" borderId="11" xfId="8726" applyFont="1" applyFill="1" applyBorder="1" applyAlignment="1">
      <alignment horizontal="right"/>
    </xf>
    <xf numFmtId="0" fontId="171" fillId="45" borderId="72" xfId="8726" applyFont="1" applyFill="1" applyBorder="1" applyAlignment="1">
      <alignment horizontal="center"/>
    </xf>
    <xf numFmtId="0" fontId="171" fillId="45" borderId="73" xfId="8726" applyFont="1" applyFill="1" applyBorder="1" applyAlignment="1">
      <alignment horizontal="center"/>
    </xf>
    <xf numFmtId="0" fontId="157" fillId="49" borderId="73" xfId="8726" applyFont="1" applyFill="1" applyBorder="1" applyAlignment="1" applyProtection="1">
      <alignment horizontal="left"/>
      <protection locked="0"/>
    </xf>
    <xf numFmtId="0" fontId="163" fillId="49" borderId="73" xfId="8726" applyFont="1" applyFill="1" applyBorder="1" applyAlignment="1" applyProtection="1">
      <alignment horizontal="center"/>
      <protection locked="0"/>
    </xf>
    <xf numFmtId="14" fontId="163" fillId="49" borderId="73" xfId="8726" applyNumberFormat="1" applyFont="1" applyFill="1" applyBorder="1" applyAlignment="1" applyProtection="1">
      <alignment horizontal="center"/>
      <protection locked="0"/>
    </xf>
    <xf numFmtId="168" fontId="163" fillId="49" borderId="73" xfId="8727" applyNumberFormat="1" applyFont="1" applyFill="1" applyBorder="1" applyAlignment="1" applyProtection="1">
      <alignment horizontal="center"/>
      <protection locked="0"/>
    </xf>
    <xf numFmtId="168" fontId="163" fillId="49" borderId="93" xfId="8727" applyNumberFormat="1" applyFont="1" applyFill="1" applyBorder="1" applyAlignment="1" applyProtection="1">
      <alignment horizontal="center"/>
      <protection locked="0"/>
    </xf>
    <xf numFmtId="0" fontId="161" fillId="49" borderId="72" xfId="8726" applyFont="1" applyFill="1" applyBorder="1" applyAlignment="1" applyProtection="1">
      <alignment horizontal="center"/>
      <protection locked="0"/>
    </xf>
    <xf numFmtId="0" fontId="161" fillId="49" borderId="73" xfId="8726" applyFont="1" applyFill="1" applyBorder="1" applyAlignment="1" applyProtection="1">
      <alignment horizontal="center"/>
      <protection locked="0"/>
    </xf>
    <xf numFmtId="14" fontId="161" fillId="49" borderId="73" xfId="8726" applyNumberFormat="1" applyFont="1" applyFill="1" applyBorder="1" applyAlignment="1" applyProtection="1">
      <alignment horizontal="center"/>
      <protection locked="0"/>
    </xf>
    <xf numFmtId="14" fontId="161" fillId="49" borderId="93" xfId="8726" applyNumberFormat="1" applyFont="1" applyFill="1" applyBorder="1" applyAlignment="1" applyProtection="1">
      <alignment horizontal="center"/>
      <protection locked="0"/>
    </xf>
    <xf numFmtId="0" fontId="100" fillId="45" borderId="65" xfId="8726" applyFont="1" applyFill="1" applyBorder="1" applyAlignment="1">
      <alignment horizontal="left" wrapText="1"/>
    </xf>
    <xf numFmtId="0" fontId="100" fillId="45" borderId="29" xfId="8726" applyFont="1" applyFill="1" applyBorder="1" applyAlignment="1">
      <alignment horizontal="left" wrapText="1"/>
    </xf>
    <xf numFmtId="0" fontId="100" fillId="45" borderId="31" xfId="8726" applyFont="1" applyFill="1" applyBorder="1" applyAlignment="1">
      <alignment horizontal="left" wrapText="1"/>
    </xf>
    <xf numFmtId="0" fontId="100" fillId="45" borderId="86" xfId="8726" applyFont="1" applyFill="1" applyBorder="1" applyAlignment="1">
      <alignment horizontal="left" wrapText="1"/>
    </xf>
    <xf numFmtId="0" fontId="100" fillId="45" borderId="42" xfId="8726" applyFont="1" applyFill="1" applyBorder="1" applyAlignment="1">
      <alignment horizontal="left" wrapText="1"/>
    </xf>
    <xf numFmtId="0" fontId="100" fillId="45" borderId="44" xfId="8726" applyFont="1" applyFill="1" applyBorder="1" applyAlignment="1">
      <alignment horizontal="left" wrapText="1"/>
    </xf>
    <xf numFmtId="0" fontId="144" fillId="45" borderId="70" xfId="8726" applyFont="1" applyFill="1" applyBorder="1" applyAlignment="1">
      <alignment horizontal="left"/>
    </xf>
    <xf numFmtId="0" fontId="144" fillId="45" borderId="71" xfId="8726" applyFont="1" applyFill="1" applyBorder="1" applyAlignment="1">
      <alignment horizontal="left"/>
    </xf>
    <xf numFmtId="0" fontId="144" fillId="45" borderId="74" xfId="8726" applyFont="1" applyFill="1" applyBorder="1" applyAlignment="1">
      <alignment horizontal="left"/>
    </xf>
    <xf numFmtId="0" fontId="100" fillId="45" borderId="80" xfId="8726" applyFont="1" applyFill="1" applyBorder="1" applyAlignment="1">
      <alignment horizontal="center"/>
    </xf>
    <xf numFmtId="0" fontId="100" fillId="45" borderId="11" xfId="8726" applyFont="1" applyFill="1" applyBorder="1" applyAlignment="1">
      <alignment horizontal="center"/>
    </xf>
    <xf numFmtId="0" fontId="100" fillId="45" borderId="91" xfId="8726" applyFont="1" applyFill="1" applyBorder="1" applyAlignment="1">
      <alignment horizontal="center"/>
    </xf>
    <xf numFmtId="0" fontId="161" fillId="49" borderId="80" xfId="8726" applyFont="1" applyFill="1" applyBorder="1" applyAlignment="1" applyProtection="1">
      <alignment horizontal="left" vertical="top"/>
      <protection locked="0"/>
    </xf>
    <xf numFmtId="0" fontId="161" fillId="49" borderId="11" xfId="8726" applyFont="1" applyFill="1" applyBorder="1" applyAlignment="1" applyProtection="1">
      <alignment horizontal="left" vertical="top"/>
      <protection locked="0"/>
    </xf>
    <xf numFmtId="0" fontId="161" fillId="49" borderId="91" xfId="8726" applyFont="1" applyFill="1" applyBorder="1" applyAlignment="1" applyProtection="1">
      <alignment horizontal="left" vertical="top"/>
      <protection locked="0"/>
    </xf>
    <xf numFmtId="0" fontId="161" fillId="49" borderId="72" xfId="8726" applyFont="1" applyFill="1" applyBorder="1" applyAlignment="1" applyProtection="1">
      <alignment horizontal="left" vertical="top"/>
      <protection locked="0"/>
    </xf>
    <xf numFmtId="0" fontId="161" fillId="49" borderId="73" xfId="8726" applyFont="1" applyFill="1" applyBorder="1" applyAlignment="1" applyProtection="1">
      <alignment horizontal="left" vertical="top"/>
      <protection locked="0"/>
    </xf>
    <xf numFmtId="0" fontId="161" fillId="49" borderId="93" xfId="8726" applyFont="1" applyFill="1" applyBorder="1" applyAlignment="1" applyProtection="1">
      <alignment horizontal="left" vertical="top"/>
      <protection locked="0"/>
    </xf>
    <xf numFmtId="0" fontId="171" fillId="45" borderId="80" xfId="8726" applyFont="1" applyFill="1" applyBorder="1" applyAlignment="1">
      <alignment horizontal="center"/>
    </xf>
    <xf numFmtId="0" fontId="171" fillId="45" borderId="11" xfId="8726" applyFont="1" applyFill="1" applyBorder="1" applyAlignment="1">
      <alignment horizontal="center"/>
    </xf>
    <xf numFmtId="0" fontId="157" fillId="49" borderId="11" xfId="8726" applyFont="1" applyFill="1" applyBorder="1" applyAlignment="1" applyProtection="1">
      <alignment horizontal="left"/>
      <protection locked="0"/>
    </xf>
    <xf numFmtId="14" fontId="163" fillId="49" borderId="11" xfId="8726" applyNumberFormat="1" applyFont="1" applyFill="1" applyBorder="1" applyAlignment="1" applyProtection="1">
      <alignment horizontal="center"/>
      <protection locked="0"/>
    </xf>
    <xf numFmtId="168" fontId="163" fillId="49" borderId="11" xfId="8727" applyNumberFormat="1" applyFont="1" applyFill="1" applyBorder="1" applyAlignment="1" applyProtection="1">
      <alignment horizontal="center"/>
      <protection locked="0"/>
    </xf>
    <xf numFmtId="168" fontId="163" fillId="49" borderId="91" xfId="8727" applyNumberFormat="1" applyFont="1" applyFill="1" applyBorder="1" applyAlignment="1" applyProtection="1">
      <alignment horizontal="center"/>
      <protection locked="0"/>
    </xf>
    <xf numFmtId="0" fontId="148" fillId="45" borderId="11" xfId="8726" applyFont="1" applyFill="1" applyBorder="1" applyAlignment="1">
      <alignment horizontal="center" wrapText="1"/>
    </xf>
    <xf numFmtId="0" fontId="148" fillId="45" borderId="91" xfId="8726" applyFont="1" applyFill="1" applyBorder="1" applyAlignment="1">
      <alignment horizontal="center" wrapText="1"/>
    </xf>
    <xf numFmtId="0" fontId="159" fillId="45" borderId="80" xfId="8726" applyFont="1" applyFill="1" applyBorder="1" applyAlignment="1">
      <alignment horizontal="left"/>
    </xf>
    <xf numFmtId="0" fontId="159" fillId="45" borderId="11" xfId="8726" applyFont="1" applyFill="1" applyBorder="1" applyAlignment="1">
      <alignment horizontal="left"/>
    </xf>
    <xf numFmtId="0" fontId="159" fillId="45" borderId="72" xfId="8726" applyFont="1" applyFill="1" applyBorder="1" applyAlignment="1">
      <alignment horizontal="left"/>
    </xf>
    <xf numFmtId="0" fontId="159" fillId="45" borderId="73" xfId="8726" applyFont="1" applyFill="1" applyBorder="1" applyAlignment="1">
      <alignment horizontal="left"/>
    </xf>
    <xf numFmtId="0" fontId="144" fillId="45" borderId="70" xfId="8726" applyFont="1" applyFill="1" applyBorder="1" applyAlignment="1">
      <alignment horizontal="center"/>
    </xf>
    <xf numFmtId="0" fontId="152" fillId="45" borderId="80" xfId="8726" applyFont="1" applyFill="1" applyBorder="1" applyAlignment="1">
      <alignment horizontal="left"/>
    </xf>
    <xf numFmtId="0" fontId="152" fillId="45" borderId="11" xfId="8726" applyFont="1" applyFill="1" applyBorder="1" applyAlignment="1">
      <alignment horizontal="left"/>
    </xf>
    <xf numFmtId="0" fontId="162" fillId="49" borderId="11" xfId="8726" applyFont="1" applyFill="1" applyBorder="1" applyAlignment="1" applyProtection="1">
      <alignment horizontal="left"/>
      <protection locked="0"/>
    </xf>
    <xf numFmtId="0" fontId="162" fillId="49" borderId="91" xfId="8726" applyFont="1" applyFill="1" applyBorder="1" applyAlignment="1" applyProtection="1">
      <alignment horizontal="left"/>
      <protection locked="0"/>
    </xf>
    <xf numFmtId="0" fontId="163" fillId="49" borderId="80" xfId="8726" applyFont="1" applyFill="1" applyBorder="1" applyAlignment="1" applyProtection="1">
      <alignment horizontal="left" vertical="top"/>
      <protection locked="0"/>
    </xf>
    <xf numFmtId="0" fontId="163" fillId="49" borderId="11" xfId="8726" applyFont="1" applyFill="1" applyBorder="1" applyAlignment="1" applyProtection="1">
      <alignment horizontal="left" vertical="top"/>
      <protection locked="0"/>
    </xf>
    <xf numFmtId="0" fontId="163" fillId="49" borderId="91" xfId="8726" applyFont="1" applyFill="1" applyBorder="1" applyAlignment="1" applyProtection="1">
      <alignment horizontal="left" vertical="top"/>
      <protection locked="0"/>
    </xf>
    <xf numFmtId="0" fontId="163" fillId="49" borderId="72" xfId="8726" applyFont="1" applyFill="1" applyBorder="1" applyAlignment="1" applyProtection="1">
      <alignment horizontal="left" vertical="top"/>
      <protection locked="0"/>
    </xf>
    <xf numFmtId="0" fontId="163" fillId="49" borderId="73" xfId="8726" applyFont="1" applyFill="1" applyBorder="1" applyAlignment="1" applyProtection="1">
      <alignment horizontal="left" vertical="top"/>
      <protection locked="0"/>
    </xf>
    <xf numFmtId="0" fontId="163" fillId="49" borderId="93" xfId="8726" applyFont="1" applyFill="1" applyBorder="1" applyAlignment="1" applyProtection="1">
      <alignment horizontal="left" vertical="top"/>
      <protection locked="0"/>
    </xf>
    <xf numFmtId="0" fontId="144" fillId="45" borderId="75" xfId="8726" applyFont="1" applyFill="1" applyBorder="1" applyAlignment="1">
      <alignment horizontal="center"/>
    </xf>
    <xf numFmtId="0" fontId="144" fillId="45" borderId="76" xfId="8726" applyFont="1" applyFill="1" applyBorder="1" applyAlignment="1">
      <alignment horizontal="center"/>
    </xf>
    <xf numFmtId="0" fontId="144" fillId="45" borderId="77" xfId="8726" applyFont="1" applyFill="1" applyBorder="1" applyAlignment="1">
      <alignment horizontal="center"/>
    </xf>
    <xf numFmtId="0" fontId="100" fillId="45" borderId="74" xfId="8726" applyFont="1" applyFill="1" applyBorder="1" applyAlignment="1">
      <alignment horizontal="left" wrapText="1"/>
    </xf>
    <xf numFmtId="0" fontId="100" fillId="45" borderId="91" xfId="8726" applyFont="1" applyFill="1" applyBorder="1" applyAlignment="1">
      <alignment horizontal="left" wrapText="1"/>
    </xf>
    <xf numFmtId="0" fontId="100" fillId="45" borderId="65" xfId="8726" applyFont="1" applyFill="1" applyBorder="1" applyAlignment="1">
      <alignment horizontal="center"/>
    </xf>
    <xf numFmtId="0" fontId="100" fillId="45" borderId="29" xfId="8726" applyFont="1" applyFill="1" applyBorder="1" applyAlignment="1">
      <alignment horizontal="center"/>
    </xf>
    <xf numFmtId="0" fontId="100" fillId="45" borderId="31" xfId="8726" applyFont="1" applyFill="1" applyBorder="1" applyAlignment="1">
      <alignment horizontal="center"/>
    </xf>
    <xf numFmtId="0" fontId="158" fillId="45" borderId="11" xfId="8726" applyFont="1" applyFill="1" applyBorder="1" applyAlignment="1">
      <alignment horizontal="left"/>
    </xf>
    <xf numFmtId="0" fontId="158" fillId="45" borderId="91" xfId="8726" applyFont="1" applyFill="1" applyBorder="1" applyAlignment="1">
      <alignment horizontal="left"/>
    </xf>
    <xf numFmtId="0" fontId="2" fillId="47" borderId="73" xfId="8726" applyFill="1" applyBorder="1" applyAlignment="1" applyProtection="1">
      <alignment horizontal="center"/>
      <protection locked="0"/>
    </xf>
    <xf numFmtId="0" fontId="2" fillId="47" borderId="93" xfId="8726" applyFill="1" applyBorder="1" applyAlignment="1" applyProtection="1">
      <alignment horizontal="center"/>
      <protection locked="0"/>
    </xf>
    <xf numFmtId="0" fontId="144" fillId="45" borderId="94" xfId="8726" applyFont="1" applyFill="1" applyBorder="1" applyAlignment="1">
      <alignment horizontal="right"/>
    </xf>
    <xf numFmtId="0" fontId="144" fillId="45" borderId="43" xfId="8726" applyFont="1" applyFill="1" applyBorder="1" applyAlignment="1">
      <alignment horizontal="right"/>
    </xf>
    <xf numFmtId="0" fontId="161" fillId="49" borderId="71" xfId="8726" applyFont="1" applyFill="1" applyBorder="1" applyAlignment="1" applyProtection="1">
      <alignment horizontal="left"/>
      <protection locked="0"/>
    </xf>
    <xf numFmtId="0" fontId="161" fillId="49" borderId="74" xfId="8726" applyFont="1" applyFill="1" applyBorder="1" applyAlignment="1" applyProtection="1">
      <alignment horizontal="left"/>
      <protection locked="0"/>
    </xf>
    <xf numFmtId="0" fontId="144" fillId="45" borderId="72" xfId="8726" applyFont="1" applyFill="1" applyBorder="1" applyAlignment="1">
      <alignment horizontal="center"/>
    </xf>
    <xf numFmtId="0" fontId="144" fillId="45" borderId="73" xfId="8726" applyFont="1" applyFill="1" applyBorder="1" applyAlignment="1">
      <alignment horizontal="center"/>
    </xf>
    <xf numFmtId="0" fontId="161" fillId="49" borderId="73" xfId="8726" applyFont="1" applyFill="1" applyBorder="1" applyAlignment="1" applyProtection="1">
      <alignment horizontal="left"/>
      <protection locked="0"/>
    </xf>
    <xf numFmtId="0" fontId="161" fillId="49" borderId="93" xfId="8726" applyFont="1" applyFill="1" applyBorder="1" applyAlignment="1" applyProtection="1">
      <alignment horizontal="left"/>
      <protection locked="0"/>
    </xf>
    <xf numFmtId="0" fontId="161" fillId="44" borderId="80" xfId="8726" applyFont="1" applyFill="1" applyBorder="1" applyAlignment="1" applyProtection="1">
      <alignment horizontal="right"/>
      <protection locked="0"/>
    </xf>
    <xf numFmtId="0" fontId="161" fillId="44" borderId="11" xfId="8726" applyFont="1" applyFill="1" applyBorder="1" applyAlignment="1" applyProtection="1">
      <alignment horizontal="right"/>
      <protection locked="0"/>
    </xf>
    <xf numFmtId="0" fontId="161" fillId="44" borderId="91" xfId="8726" applyFont="1" applyFill="1" applyBorder="1" applyAlignment="1" applyProtection="1">
      <alignment horizontal="right"/>
      <protection locked="0"/>
    </xf>
    <xf numFmtId="0" fontId="161" fillId="49" borderId="5" xfId="8726" applyFont="1" applyFill="1" applyBorder="1" applyAlignment="1" applyProtection="1">
      <alignment horizontal="left"/>
      <protection locked="0"/>
    </xf>
    <xf numFmtId="0" fontId="161" fillId="44" borderId="72" xfId="8726" applyFont="1" applyFill="1" applyBorder="1" applyAlignment="1" applyProtection="1">
      <alignment horizontal="right"/>
      <protection locked="0"/>
    </xf>
    <xf numFmtId="0" fontId="161" fillId="44" borderId="73" xfId="8726" applyFont="1" applyFill="1" applyBorder="1" applyAlignment="1" applyProtection="1">
      <alignment horizontal="right"/>
      <protection locked="0"/>
    </xf>
    <xf numFmtId="0" fontId="161" fillId="44" borderId="93" xfId="8726" applyFont="1" applyFill="1" applyBorder="1" applyAlignment="1" applyProtection="1">
      <alignment horizontal="right"/>
      <protection locked="0"/>
    </xf>
    <xf numFmtId="168" fontId="161" fillId="49" borderId="11" xfId="8727" applyNumberFormat="1"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1" xfId="700" applyNumberFormat="1" applyFont="1" applyFill="1" applyBorder="1" applyAlignment="1" applyProtection="1">
      <alignment horizontal="left"/>
      <protection locked="0"/>
    </xf>
    <xf numFmtId="168" fontId="147" fillId="45" borderId="73" xfId="8727" applyNumberFormat="1" applyFont="1" applyFill="1" applyBorder="1" applyAlignment="1">
      <alignment horizontal="center"/>
    </xf>
    <xf numFmtId="1" fontId="147" fillId="45" borderId="73" xfId="8727" applyNumberFormat="1" applyFont="1" applyFill="1" applyBorder="1" applyAlignment="1">
      <alignment horizontal="center"/>
    </xf>
    <xf numFmtId="0" fontId="147" fillId="45" borderId="73" xfId="8727" applyNumberFormat="1" applyFont="1" applyFill="1" applyBorder="1" applyAlignment="1">
      <alignment horizontal="center"/>
    </xf>
    <xf numFmtId="0" fontId="147" fillId="45" borderId="93" xfId="8727" applyNumberFormat="1" applyFont="1" applyFill="1" applyBorder="1" applyAlignment="1">
      <alignment horizontal="center"/>
    </xf>
    <xf numFmtId="0" fontId="144" fillId="45" borderId="65" xfId="8726" applyFont="1" applyFill="1" applyBorder="1" applyAlignment="1">
      <alignment horizontal="center"/>
    </xf>
    <xf numFmtId="0" fontId="144" fillId="45" borderId="29" xfId="8726" applyFont="1" applyFill="1" applyBorder="1" applyAlignment="1">
      <alignment horizontal="center"/>
    </xf>
    <xf numFmtId="0" fontId="144" fillId="45" borderId="31" xfId="8726" applyFont="1" applyFill="1" applyBorder="1" applyAlignment="1">
      <alignment horizontal="center"/>
    </xf>
    <xf numFmtId="0" fontId="161" fillId="49" borderId="83" xfId="8726" applyFont="1" applyFill="1" applyBorder="1" applyAlignment="1" applyProtection="1">
      <alignment horizontal="left"/>
      <protection locked="0"/>
    </xf>
    <xf numFmtId="0" fontId="148" fillId="45" borderId="11" xfId="8726" applyFont="1" applyFill="1" applyBorder="1" applyAlignment="1">
      <alignment horizontal="center" vertical="center" wrapText="1"/>
    </xf>
    <xf numFmtId="0" fontId="148" fillId="45" borderId="91" xfId="8726" applyFont="1" applyFill="1" applyBorder="1" applyAlignment="1">
      <alignment horizontal="center" vertical="center" wrapText="1"/>
    </xf>
    <xf numFmtId="1" fontId="162" fillId="49" borderId="73" xfId="8726" applyNumberFormat="1" applyFont="1" applyFill="1" applyBorder="1" applyAlignment="1" applyProtection="1">
      <alignment horizontal="center"/>
      <protection locked="0"/>
    </xf>
    <xf numFmtId="1" fontId="162" fillId="49" borderId="84" xfId="8726" applyNumberFormat="1" applyFont="1" applyFill="1" applyBorder="1" applyAlignment="1" applyProtection="1">
      <alignment horizontal="center"/>
      <protection locked="0"/>
    </xf>
    <xf numFmtId="1" fontId="162" fillId="49" borderId="82" xfId="8726" applyNumberFormat="1" applyFont="1" applyFill="1" applyBorder="1" applyAlignment="1" applyProtection="1">
      <alignment horizontal="center"/>
      <protection locked="0"/>
    </xf>
    <xf numFmtId="1" fontId="162" fillId="49" borderId="83" xfId="8726" applyNumberFormat="1" applyFont="1" applyFill="1" applyBorder="1" applyAlignment="1" applyProtection="1">
      <alignment horizontal="center"/>
      <protection locked="0"/>
    </xf>
    <xf numFmtId="0" fontId="161" fillId="49" borderId="72" xfId="8726" applyFont="1" applyFill="1" applyBorder="1" applyAlignment="1" applyProtection="1">
      <alignment horizontal="right"/>
      <protection locked="0"/>
    </xf>
    <xf numFmtId="0" fontId="161" fillId="49" borderId="73" xfId="8726" applyFont="1" applyFill="1" applyBorder="1" applyAlignment="1" applyProtection="1">
      <alignment horizontal="right"/>
      <protection locked="0"/>
    </xf>
    <xf numFmtId="0" fontId="162" fillId="49" borderId="73"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9" fontId="148" fillId="44" borderId="84" xfId="8728" applyFont="1" applyFill="1" applyBorder="1" applyAlignment="1">
      <alignment horizontal="center"/>
    </xf>
    <xf numFmtId="9" fontId="148" fillId="44" borderId="82" xfId="8728" applyFont="1" applyFill="1" applyBorder="1" applyAlignment="1">
      <alignment horizontal="center"/>
    </xf>
    <xf numFmtId="9" fontId="148" fillId="44" borderId="85" xfId="8728" applyFont="1" applyFill="1" applyBorder="1" applyAlignment="1">
      <alignment horizontal="center"/>
    </xf>
    <xf numFmtId="9" fontId="148" fillId="44" borderId="3" xfId="8728" applyFont="1" applyFill="1" applyBorder="1" applyAlignment="1">
      <alignment horizontal="center"/>
    </xf>
    <xf numFmtId="9" fontId="148" fillId="44" borderId="4" xfId="8728" applyFont="1" applyFill="1" applyBorder="1" applyAlignment="1">
      <alignment horizontal="center"/>
    </xf>
    <xf numFmtId="9" fontId="148" fillId="44" borderId="79" xfId="8728" applyFont="1" applyFill="1" applyBorder="1" applyAlignment="1">
      <alignment horizontal="center"/>
    </xf>
    <xf numFmtId="0" fontId="147" fillId="44" borderId="88" xfId="8726" applyFont="1" applyFill="1" applyBorder="1" applyAlignment="1">
      <alignment horizontal="center"/>
    </xf>
    <xf numFmtId="0" fontId="147" fillId="44" borderId="42" xfId="8726" applyFont="1" applyFill="1" applyBorder="1" applyAlignment="1">
      <alignment horizontal="center"/>
    </xf>
    <xf numFmtId="0" fontId="147" fillId="44" borderId="87" xfId="8726" applyFont="1" applyFill="1" applyBorder="1" applyAlignment="1">
      <alignment horizontal="center"/>
    </xf>
    <xf numFmtId="9" fontId="147" fillId="49" borderId="13" xfId="8726" applyNumberFormat="1" applyFont="1" applyFill="1" applyBorder="1" applyAlignment="1" applyProtection="1">
      <alignment horizontal="center"/>
      <protection locked="0"/>
    </xf>
    <xf numFmtId="0" fontId="144" fillId="45" borderId="67" xfId="8726" applyFont="1" applyFill="1" applyBorder="1" applyAlignment="1">
      <alignment horizontal="center"/>
    </xf>
    <xf numFmtId="0" fontId="144" fillId="45" borderId="68" xfId="8726" applyFont="1" applyFill="1" applyBorder="1" applyAlignment="1">
      <alignment horizontal="center"/>
    </xf>
    <xf numFmtId="0" fontId="144" fillId="45" borderId="69" xfId="8726" applyFont="1" applyFill="1" applyBorder="1" applyAlignment="1">
      <alignment horizontal="center"/>
    </xf>
    <xf numFmtId="0" fontId="148" fillId="45" borderId="65" xfId="8726" applyFont="1" applyFill="1" applyBorder="1" applyAlignment="1">
      <alignment horizontal="center" vertical="center" wrapText="1"/>
    </xf>
    <xf numFmtId="0" fontId="148" fillId="45" borderId="29" xfId="8726" applyFont="1" applyFill="1" applyBorder="1" applyAlignment="1">
      <alignment horizontal="center" vertical="center" wrapText="1"/>
    </xf>
    <xf numFmtId="0" fontId="148" fillId="45" borderId="31" xfId="8726" applyFont="1" applyFill="1" applyBorder="1" applyAlignment="1">
      <alignment horizontal="center" vertical="center" wrapText="1"/>
    </xf>
    <xf numFmtId="0" fontId="148" fillId="45" borderId="86" xfId="8726" applyFont="1" applyFill="1" applyBorder="1" applyAlignment="1">
      <alignment horizontal="center" vertical="center" wrapText="1"/>
    </xf>
    <xf numFmtId="0" fontId="148" fillId="45" borderId="42" xfId="8726" applyFont="1" applyFill="1" applyBorder="1" applyAlignment="1">
      <alignment horizontal="center" vertical="center" wrapText="1"/>
    </xf>
    <xf numFmtId="0" fontId="148" fillId="45" borderId="44" xfId="8726" applyFont="1" applyFill="1" applyBorder="1" applyAlignment="1">
      <alignment horizontal="center" vertical="center" wrapText="1"/>
    </xf>
    <xf numFmtId="0" fontId="148" fillId="45" borderId="67" xfId="8726" applyFont="1" applyFill="1" applyBorder="1" applyAlignment="1">
      <alignment horizontal="center"/>
    </xf>
    <xf numFmtId="0" fontId="148" fillId="45" borderId="68" xfId="8726" applyFont="1" applyFill="1" applyBorder="1" applyAlignment="1">
      <alignment horizontal="center"/>
    </xf>
    <xf numFmtId="0" fontId="148" fillId="45" borderId="69" xfId="8726" applyFont="1" applyFill="1" applyBorder="1" applyAlignment="1">
      <alignment horizontal="center"/>
    </xf>
    <xf numFmtId="9" fontId="147" fillId="44" borderId="88"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8" fillId="45" borderId="95" xfId="8726" applyFont="1" applyFill="1" applyBorder="1" applyAlignment="1">
      <alignment horizontal="center" vertical="center" wrapText="1"/>
    </xf>
    <xf numFmtId="0" fontId="148" fillId="45" borderId="13" xfId="8726" applyFont="1" applyFill="1" applyBorder="1" applyAlignment="1">
      <alignment horizontal="center" vertical="center"/>
    </xf>
    <xf numFmtId="0" fontId="148" fillId="45" borderId="80" xfId="8726" applyFont="1" applyFill="1" applyBorder="1" applyAlignment="1">
      <alignment horizontal="center" vertical="center"/>
    </xf>
    <xf numFmtId="0" fontId="148" fillId="45" borderId="11" xfId="8726" applyFont="1" applyFill="1" applyBorder="1" applyAlignment="1">
      <alignment horizontal="center" vertical="center"/>
    </xf>
    <xf numFmtId="0" fontId="147" fillId="44" borderId="86" xfId="8726" applyFont="1" applyFill="1" applyBorder="1" applyAlignment="1">
      <alignment horizontal="center"/>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9" fontId="148" fillId="49" borderId="9" xfId="8726" applyNumberFormat="1" applyFont="1" applyFill="1" applyBorder="1" applyAlignment="1" applyProtection="1">
      <alignment horizontal="center"/>
      <protection locked="0"/>
    </xf>
    <xf numFmtId="9" fontId="148" fillId="49" borderId="6" xfId="8726" applyNumberFormat="1" applyFont="1" applyFill="1" applyBorder="1" applyAlignment="1" applyProtection="1">
      <alignment horizontal="center"/>
      <protection locked="0"/>
    </xf>
    <xf numFmtId="9" fontId="148" fillId="49" borderId="10" xfId="8726" applyNumberFormat="1" applyFont="1" applyFill="1" applyBorder="1" applyAlignment="1" applyProtection="1">
      <alignment horizontal="center"/>
      <protection locked="0"/>
    </xf>
    <xf numFmtId="0" fontId="148" fillId="44" borderId="9" xfId="8726" applyFont="1" applyFill="1" applyBorder="1" applyAlignment="1">
      <alignment horizontal="center"/>
    </xf>
    <xf numFmtId="0" fontId="148" fillId="44" borderId="6" xfId="8726" applyFont="1" applyFill="1" applyBorder="1" applyAlignment="1">
      <alignment horizontal="center"/>
    </xf>
    <xf numFmtId="0" fontId="148" fillId="44" borderId="10" xfId="8726" applyFont="1" applyFill="1" applyBorder="1" applyAlignment="1">
      <alignment horizontal="center"/>
    </xf>
    <xf numFmtId="0" fontId="148" fillId="44" borderId="103" xfId="8726" applyFont="1" applyFill="1" applyBorder="1" applyAlignment="1">
      <alignment horizontal="center"/>
    </xf>
    <xf numFmtId="9" fontId="161" fillId="49" borderId="92" xfId="8726" applyNumberFormat="1" applyFont="1" applyFill="1" applyBorder="1" applyAlignment="1">
      <alignment horizontal="center"/>
    </xf>
    <xf numFmtId="9" fontId="161" fillId="49" borderId="4" xfId="8726" applyNumberFormat="1" applyFont="1" applyFill="1" applyBorder="1" applyAlignment="1">
      <alignment horizontal="center"/>
    </xf>
    <xf numFmtId="9" fontId="161" fillId="49" borderId="5" xfId="8726" applyNumberFormat="1" applyFont="1" applyFill="1" applyBorder="1" applyAlignment="1">
      <alignment horizontal="center"/>
    </xf>
    <xf numFmtId="0" fontId="161" fillId="44" borderId="3" xfId="8726" applyFont="1" applyFill="1" applyBorder="1" applyAlignment="1">
      <alignment horizontal="center"/>
    </xf>
    <xf numFmtId="0" fontId="161" fillId="44" borderId="4" xfId="8726" applyFont="1" applyFill="1" applyBorder="1" applyAlignment="1">
      <alignment horizontal="center"/>
    </xf>
    <xf numFmtId="0" fontId="161" fillId="44" borderId="5" xfId="8726" applyFont="1" applyFill="1" applyBorder="1" applyAlignment="1">
      <alignment horizontal="center"/>
    </xf>
    <xf numFmtId="9" fontId="147" fillId="44" borderId="3" xfId="8726" applyNumberFormat="1" applyFont="1" applyFill="1" applyBorder="1" applyAlignment="1">
      <alignment horizontal="center"/>
    </xf>
    <xf numFmtId="9" fontId="147" fillId="44" borderId="4" xfId="8726" applyNumberFormat="1" applyFont="1" applyFill="1" applyBorder="1" applyAlignment="1">
      <alignment horizontal="center"/>
    </xf>
    <xf numFmtId="9" fontId="147" fillId="44" borderId="79" xfId="8726" applyNumberFormat="1" applyFont="1" applyFill="1" applyBorder="1" applyAlignment="1">
      <alignment horizontal="center"/>
    </xf>
    <xf numFmtId="0" fontId="147" fillId="44" borderId="81" xfId="8726" applyFont="1" applyFill="1" applyBorder="1" applyAlignment="1">
      <alignment horizontal="center"/>
    </xf>
    <xf numFmtId="0" fontId="147" fillId="44" borderId="82" xfId="8726" applyFont="1" applyFill="1" applyBorder="1" applyAlignment="1">
      <alignment horizontal="center"/>
    </xf>
    <xf numFmtId="0" fontId="147" fillId="44" borderId="83" xfId="8726" applyFont="1" applyFill="1" applyBorder="1" applyAlignment="1">
      <alignment horizontal="center"/>
    </xf>
    <xf numFmtId="0" fontId="161" fillId="44" borderId="84" xfId="8726" applyFont="1" applyFill="1" applyBorder="1" applyAlignment="1">
      <alignment horizontal="center"/>
    </xf>
    <xf numFmtId="0" fontId="161" fillId="44" borderId="82" xfId="8726" applyFont="1" applyFill="1" applyBorder="1" applyAlignment="1">
      <alignment horizontal="center"/>
    </xf>
    <xf numFmtId="0" fontId="161" fillId="44" borderId="83" xfId="8726" applyFont="1" applyFill="1" applyBorder="1" applyAlignment="1">
      <alignment horizontal="center"/>
    </xf>
    <xf numFmtId="9" fontId="147" fillId="44" borderId="84" xfId="8726" applyNumberFormat="1" applyFont="1" applyFill="1" applyBorder="1" applyAlignment="1">
      <alignment horizontal="center"/>
    </xf>
    <xf numFmtId="9" fontId="147" fillId="44" borderId="82" xfId="8726" applyNumberFormat="1" applyFont="1" applyFill="1" applyBorder="1" applyAlignment="1">
      <alignment horizontal="center"/>
    </xf>
    <xf numFmtId="9" fontId="147" fillId="44" borderId="85" xfId="8726" applyNumberFormat="1" applyFont="1" applyFill="1" applyBorder="1" applyAlignment="1">
      <alignment horizontal="center"/>
    </xf>
    <xf numFmtId="0" fontId="147" fillId="45" borderId="13"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11" xfId="8726" applyFont="1" applyFill="1" applyBorder="1" applyAlignment="1">
      <alignment horizontal="center" vertical="center"/>
    </xf>
    <xf numFmtId="0" fontId="147" fillId="45" borderId="9" xfId="8726" applyFont="1" applyFill="1" applyBorder="1" applyAlignment="1">
      <alignment horizontal="center" vertical="center"/>
    </xf>
    <xf numFmtId="0" fontId="147" fillId="45" borderId="3" xfId="8726" applyFont="1" applyFill="1" applyBorder="1" applyAlignment="1">
      <alignment horizontal="center" vertical="center"/>
    </xf>
    <xf numFmtId="0" fontId="147" fillId="45" borderId="78" xfId="8726" applyFont="1" applyFill="1" applyBorder="1" applyAlignment="1">
      <alignment horizontal="center"/>
    </xf>
    <xf numFmtId="0" fontId="147" fillId="45" borderId="2" xfId="8726" applyFont="1" applyFill="1" applyBorder="1" applyAlignment="1">
      <alignment horizontal="center"/>
    </xf>
    <xf numFmtId="0" fontId="147" fillId="45" borderId="7" xfId="8726" applyFont="1" applyFill="1" applyBorder="1" applyAlignment="1">
      <alignment horizontal="center"/>
    </xf>
    <xf numFmtId="0" fontId="147" fillId="45" borderId="3" xfId="8726" applyFont="1" applyFill="1" applyBorder="1" applyAlignment="1">
      <alignment horizontal="center"/>
    </xf>
    <xf numFmtId="0" fontId="147" fillId="45" borderId="4" xfId="8726" applyFont="1" applyFill="1" applyBorder="1" applyAlignment="1">
      <alignment horizontal="center"/>
    </xf>
    <xf numFmtId="0" fontId="147" fillId="45" borderId="5" xfId="8726" applyFont="1" applyFill="1" applyBorder="1" applyAlignment="1">
      <alignment horizontal="center"/>
    </xf>
    <xf numFmtId="0" fontId="147" fillId="45" borderId="79" xfId="8726" applyFont="1" applyFill="1" applyBorder="1" applyAlignment="1">
      <alignment horizontal="center"/>
    </xf>
    <xf numFmtId="168" fontId="163" fillId="44" borderId="11" xfId="8727" applyNumberFormat="1" applyFont="1" applyFill="1" applyBorder="1" applyAlignment="1" applyProtection="1">
      <alignment horizontal="left"/>
    </xf>
    <xf numFmtId="0" fontId="147" fillId="45" borderId="11" xfId="8726" applyFont="1" applyFill="1" applyBorder="1" applyAlignment="1">
      <alignment horizontal="right"/>
    </xf>
    <xf numFmtId="1" fontId="2" fillId="44" borderId="11" xfId="8726" applyNumberFormat="1" applyFill="1" applyBorder="1" applyAlignment="1">
      <alignment horizontal="center"/>
    </xf>
    <xf numFmtId="0" fontId="2" fillId="44" borderId="11" xfId="8726" applyFill="1" applyBorder="1" applyAlignment="1">
      <alignment horizontal="center"/>
    </xf>
    <xf numFmtId="0" fontId="145" fillId="45" borderId="11" xfId="8726" applyFont="1" applyFill="1" applyBorder="1" applyAlignment="1">
      <alignment horizontal="right" wrapText="1"/>
    </xf>
    <xf numFmtId="14" fontId="146" fillId="49" borderId="11" xfId="8726" applyNumberFormat="1" applyFont="1" applyFill="1" applyBorder="1" applyAlignment="1" applyProtection="1">
      <alignment horizontal="center" vertical="center"/>
      <protection locked="0"/>
    </xf>
    <xf numFmtId="0" fontId="146" fillId="49" borderId="11" xfId="8726" applyFont="1" applyFill="1" applyBorder="1" applyAlignment="1" applyProtection="1">
      <alignment horizontal="center" vertical="center"/>
      <protection locked="0"/>
    </xf>
    <xf numFmtId="0" fontId="100" fillId="45" borderId="67" xfId="8726" applyFont="1" applyFill="1" applyBorder="1" applyAlignment="1">
      <alignment horizontal="center"/>
    </xf>
    <xf numFmtId="0" fontId="100" fillId="45" borderId="68" xfId="8726" applyFont="1" applyFill="1" applyBorder="1" applyAlignment="1">
      <alignment horizontal="center"/>
    </xf>
    <xf numFmtId="0" fontId="100" fillId="45" borderId="69" xfId="8726" applyFont="1" applyFill="1" applyBorder="1" applyAlignment="1">
      <alignment horizontal="center"/>
    </xf>
    <xf numFmtId="0" fontId="146" fillId="49" borderId="67" xfId="8726" applyFont="1" applyFill="1" applyBorder="1" applyAlignment="1" applyProtection="1">
      <alignment horizontal="center"/>
      <protection locked="0"/>
    </xf>
    <xf numFmtId="0" fontId="146" fillId="49" borderId="68" xfId="8726" applyFont="1" applyFill="1" applyBorder="1" applyAlignment="1" applyProtection="1">
      <alignment horizontal="center"/>
      <protection locked="0"/>
    </xf>
    <xf numFmtId="0" fontId="146" fillId="49" borderId="69" xfId="8726" applyFont="1" applyFill="1" applyBorder="1" applyAlignment="1" applyProtection="1">
      <alignment horizontal="center"/>
      <protection locked="0"/>
    </xf>
    <xf numFmtId="0" fontId="100" fillId="45" borderId="67" xfId="8726" applyFont="1" applyFill="1" applyBorder="1" applyAlignment="1">
      <alignment horizontal="right"/>
    </xf>
    <xf numFmtId="0" fontId="100" fillId="45" borderId="68" xfId="8726" applyFont="1" applyFill="1" applyBorder="1" applyAlignment="1">
      <alignment horizontal="right"/>
    </xf>
    <xf numFmtId="0" fontId="100" fillId="45" borderId="99" xfId="8726" applyFont="1" applyFill="1" applyBorder="1" applyAlignment="1">
      <alignment horizontal="right"/>
    </xf>
    <xf numFmtId="0" fontId="2" fillId="44" borderId="97" xfId="8726" applyFill="1" applyBorder="1" applyAlignment="1">
      <alignment horizontal="center"/>
    </xf>
    <xf numFmtId="0" fontId="2" fillId="44" borderId="98" xfId="8726" applyFill="1" applyBorder="1" applyAlignment="1">
      <alignment horizontal="center"/>
    </xf>
    <xf numFmtId="1" fontId="146" fillId="49" borderId="11" xfId="8726" applyNumberFormat="1" applyFont="1" applyFill="1" applyBorder="1" applyAlignment="1" applyProtection="1">
      <alignment horizontal="center"/>
      <protection locked="0"/>
    </xf>
    <xf numFmtId="0" fontId="143" fillId="47" borderId="65" xfId="8726" applyFont="1" applyFill="1" applyBorder="1" applyAlignment="1">
      <alignment horizontal="center"/>
    </xf>
    <xf numFmtId="0" fontId="143" fillId="47" borderId="29" xfId="8726" applyFont="1" applyFill="1" applyBorder="1" applyAlignment="1">
      <alignment horizontal="center"/>
    </xf>
    <xf numFmtId="0" fontId="143" fillId="47" borderId="31" xfId="8726" applyFont="1" applyFill="1" applyBorder="1" applyAlignment="1">
      <alignment horizontal="center"/>
    </xf>
    <xf numFmtId="0" fontId="144" fillId="49" borderId="66" xfId="8726" applyFont="1" applyFill="1" applyBorder="1" applyAlignment="1">
      <alignment horizontal="center"/>
    </xf>
    <xf numFmtId="0" fontId="144" fillId="49" borderId="0" xfId="8726" applyFont="1" applyFill="1" applyAlignment="1">
      <alignment horizontal="center"/>
    </xf>
    <xf numFmtId="0" fontId="144" fillId="49" borderId="41" xfId="8726" applyFont="1" applyFill="1" applyBorder="1" applyAlignment="1">
      <alignment horizontal="center"/>
    </xf>
    <xf numFmtId="0" fontId="146" fillId="44" borderId="67" xfId="8726" applyFont="1" applyFill="1" applyBorder="1" applyAlignment="1">
      <alignment horizontal="left"/>
    </xf>
    <xf numFmtId="0" fontId="146" fillId="44" borderId="68" xfId="8726" applyFont="1" applyFill="1" applyBorder="1" applyAlignment="1">
      <alignment horizontal="left"/>
    </xf>
    <xf numFmtId="0" fontId="146" fillId="44" borderId="69" xfId="8726" applyFont="1" applyFill="1" applyBorder="1" applyAlignment="1">
      <alignment horizontal="left"/>
    </xf>
    <xf numFmtId="0" fontId="145" fillId="45" borderId="11" xfId="8726" applyFont="1" applyFill="1" applyBorder="1" applyAlignment="1">
      <alignment horizontal="right"/>
    </xf>
    <xf numFmtId="0" fontId="2" fillId="44" borderId="67" xfId="8726" applyFill="1" applyBorder="1" applyAlignment="1">
      <alignment horizontal="center"/>
    </xf>
    <xf numFmtId="0" fontId="2" fillId="44" borderId="68" xfId="8726" applyFill="1" applyBorder="1" applyAlignment="1">
      <alignment horizontal="center"/>
    </xf>
    <xf numFmtId="0" fontId="2" fillId="44" borderId="69" xfId="8726" applyFill="1" applyBorder="1" applyAlignment="1">
      <alignment horizontal="center"/>
    </xf>
    <xf numFmtId="0" fontId="100" fillId="45" borderId="70" xfId="8726" applyFont="1" applyFill="1" applyBorder="1" applyAlignment="1">
      <alignment horizontal="center" wrapText="1"/>
    </xf>
    <xf numFmtId="0" fontId="100" fillId="45" borderId="71" xfId="8726" applyFont="1" applyFill="1" applyBorder="1" applyAlignment="1">
      <alignment horizontal="center" wrapText="1"/>
    </xf>
    <xf numFmtId="0" fontId="100" fillId="45" borderId="74" xfId="8726" applyFont="1" applyFill="1" applyBorder="1" applyAlignment="1">
      <alignment horizontal="center" wrapText="1"/>
    </xf>
    <xf numFmtId="0" fontId="100" fillId="45" borderId="104" xfId="8726" applyFont="1" applyFill="1" applyBorder="1" applyAlignment="1">
      <alignment horizontal="center"/>
    </xf>
    <xf numFmtId="0" fontId="100" fillId="45" borderId="97" xfId="8726" applyFont="1" applyFill="1" applyBorder="1" applyAlignment="1">
      <alignment horizontal="center"/>
    </xf>
    <xf numFmtId="0" fontId="100" fillId="45" borderId="98" xfId="8726" applyFont="1" applyFill="1" applyBorder="1" applyAlignment="1">
      <alignment horizontal="center"/>
    </xf>
    <xf numFmtId="43" fontId="144" fillId="56" borderId="13" xfId="698" applyFont="1" applyFill="1" applyBorder="1" applyAlignment="1" applyProtection="1">
      <alignment horizontal="center"/>
      <protection hidden="1"/>
    </xf>
    <xf numFmtId="43" fontId="146" fillId="53" borderId="11" xfId="698" applyFont="1" applyFill="1" applyBorder="1" applyAlignment="1" applyProtection="1">
      <alignment horizontal="left" wrapText="1"/>
      <protection hidden="1"/>
    </xf>
    <xf numFmtId="0" fontId="161" fillId="45" borderId="11" xfId="8726" applyFont="1" applyFill="1" applyBorder="1" applyAlignment="1">
      <alignment horizontal="left"/>
    </xf>
    <xf numFmtId="0" fontId="171" fillId="45" borderId="11" xfId="8726" applyFont="1" applyFill="1" applyBorder="1" applyAlignment="1">
      <alignment horizontal="left" wrapText="1"/>
    </xf>
    <xf numFmtId="0" fontId="148" fillId="45" borderId="13" xfId="0" applyFont="1" applyFill="1" applyBorder="1" applyAlignment="1" applyProtection="1">
      <alignment horizontal="left" wrapText="1"/>
      <protection hidden="1"/>
    </xf>
    <xf numFmtId="0" fontId="148" fillId="45" borderId="13" xfId="0" applyFont="1" applyFill="1" applyBorder="1" applyAlignment="1" applyProtection="1">
      <alignment horizontal="center" wrapText="1"/>
      <protection hidden="1"/>
    </xf>
    <xf numFmtId="182" fontId="2" fillId="0" borderId="13" xfId="8726" applyNumberFormat="1" applyBorder="1" applyAlignment="1">
      <alignment horizontal="center"/>
    </xf>
    <xf numFmtId="0" fontId="2" fillId="0" borderId="13" xfId="8726" applyBorder="1" applyAlignment="1">
      <alignment horizontal="center"/>
    </xf>
    <xf numFmtId="44" fontId="2" fillId="0" borderId="11" xfId="700" applyFont="1" applyBorder="1" applyAlignment="1" applyProtection="1">
      <alignment horizontal="center"/>
      <protection hidden="1"/>
    </xf>
    <xf numFmtId="44" fontId="2" fillId="49" borderId="11" xfId="700" applyFont="1" applyFill="1" applyBorder="1" applyAlignment="1" applyProtection="1">
      <alignment horizontal="center"/>
      <protection hidden="1"/>
    </xf>
    <xf numFmtId="168" fontId="146" fillId="49" borderId="11" xfId="8727" applyNumberFormat="1" applyFont="1" applyFill="1" applyBorder="1" applyAlignment="1">
      <alignment horizontal="center"/>
    </xf>
    <xf numFmtId="0" fontId="144" fillId="44" borderId="11" xfId="8726" applyFont="1" applyFill="1" applyBorder="1" applyAlignment="1">
      <alignment horizontal="left"/>
    </xf>
    <xf numFmtId="0" fontId="161" fillId="48" borderId="3" xfId="8726" applyFont="1" applyFill="1" applyBorder="1" applyAlignment="1">
      <alignment horizontal="center"/>
    </xf>
    <xf numFmtId="0" fontId="161" fillId="48" borderId="4" xfId="8726" applyFont="1" applyFill="1" applyBorder="1" applyAlignment="1">
      <alignment horizontal="center"/>
    </xf>
    <xf numFmtId="0" fontId="161" fillId="48" borderId="5" xfId="8726" applyFont="1" applyFill="1" applyBorder="1" applyAlignment="1">
      <alignment horizontal="center"/>
    </xf>
    <xf numFmtId="0" fontId="146" fillId="49" borderId="3" xfId="0" applyFont="1" applyFill="1" applyBorder="1" applyAlignment="1" applyProtection="1">
      <alignment horizontal="center"/>
      <protection locked="0"/>
    </xf>
    <xf numFmtId="0" fontId="146" fillId="49" borderId="4" xfId="0" applyFont="1" applyFill="1" applyBorder="1" applyAlignment="1" applyProtection="1">
      <alignment horizontal="center"/>
      <protection locked="0"/>
    </xf>
    <xf numFmtId="0" fontId="146" fillId="49" borderId="5" xfId="0" applyFont="1" applyFill="1" applyBorder="1" applyAlignment="1" applyProtection="1">
      <alignment horizontal="center"/>
      <protection locked="0"/>
    </xf>
    <xf numFmtId="43" fontId="144" fillId="53" borderId="80" xfId="698" applyFont="1" applyFill="1" applyBorder="1" applyAlignment="1" applyProtection="1">
      <alignment horizontal="right"/>
      <protection hidden="1"/>
    </xf>
    <xf numFmtId="43" fontId="144" fillId="53" borderId="11" xfId="698" applyFont="1" applyFill="1" applyBorder="1" applyAlignment="1" applyProtection="1">
      <alignment horizontal="right"/>
      <protection hidden="1"/>
    </xf>
    <xf numFmtId="44" fontId="144" fillId="0" borderId="11" xfId="700" applyFont="1" applyBorder="1" applyAlignment="1" applyProtection="1">
      <alignment horizontal="center"/>
      <protection hidden="1"/>
    </xf>
    <xf numFmtId="164" fontId="144" fillId="0" borderId="11" xfId="700" applyNumberFormat="1" applyFont="1" applyBorder="1" applyAlignment="1" applyProtection="1">
      <alignment horizontal="center"/>
      <protection hidden="1"/>
    </xf>
    <xf numFmtId="9" fontId="144" fillId="0" borderId="11" xfId="1022" applyFont="1" applyBorder="1" applyAlignment="1" applyProtection="1">
      <alignment horizontal="center"/>
      <protection hidden="1"/>
    </xf>
    <xf numFmtId="168" fontId="14" fillId="2" borderId="3" xfId="569" applyNumberFormat="1" applyFill="1" applyBorder="1" applyAlignment="1">
      <alignment horizontal="center"/>
    </xf>
    <xf numFmtId="168" fontId="14" fillId="2" borderId="4" xfId="569" applyNumberFormat="1" applyFill="1" applyBorder="1" applyAlignment="1">
      <alignment horizontal="center"/>
    </xf>
    <xf numFmtId="168" fontId="14" fillId="2" borderId="5" xfId="569" applyNumberFormat="1" applyFill="1" applyBorder="1" applyAlignment="1">
      <alignment horizontal="center"/>
    </xf>
    <xf numFmtId="168" fontId="14" fillId="5" borderId="5" xfId="569" applyNumberFormat="1" applyFill="1" applyBorder="1" applyAlignment="1" applyProtection="1">
      <alignment horizontal="center"/>
      <protection locked="0"/>
    </xf>
    <xf numFmtId="168" fontId="14" fillId="5" borderId="11" xfId="569" applyNumberFormat="1" applyFill="1" applyBorder="1" applyAlignment="1" applyProtection="1">
      <alignment horizontal="center"/>
      <protection locked="0"/>
    </xf>
    <xf numFmtId="168" fontId="14" fillId="0" borderId="5" xfId="569" applyNumberFormat="1" applyBorder="1" applyAlignment="1">
      <alignment horizontal="center"/>
    </xf>
    <xf numFmtId="168" fontId="14" fillId="0" borderId="11" xfId="569" applyNumberFormat="1" applyBorder="1" applyAlignment="1">
      <alignment horizontal="center"/>
    </xf>
    <xf numFmtId="168" fontId="14" fillId="0" borderId="3" xfId="569" applyNumberFormat="1" applyBorder="1" applyAlignment="1">
      <alignment horizontal="center"/>
    </xf>
    <xf numFmtId="168" fontId="14" fillId="0" borderId="4" xfId="569" applyNumberFormat="1" applyBorder="1" applyAlignment="1">
      <alignment horizontal="center"/>
    </xf>
    <xf numFmtId="179" fontId="21" fillId="0" borderId="0" xfId="569" applyNumberFormat="1" applyFont="1" applyAlignment="1">
      <alignment horizontal="center" wrapText="1"/>
    </xf>
    <xf numFmtId="0" fontId="21" fillId="0" borderId="16" xfId="271" applyFont="1" applyBorder="1" applyAlignment="1">
      <alignment horizontal="center"/>
    </xf>
    <xf numFmtId="164" fontId="21" fillId="0" borderId="0" xfId="569" applyNumberFormat="1" applyFont="1" applyAlignment="1">
      <alignment horizontal="center" wrapText="1"/>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51" fillId="0" borderId="0" xfId="569" applyFont="1" applyAlignment="1">
      <alignment horizontal="left"/>
    </xf>
    <xf numFmtId="0" fontId="14" fillId="0" borderId="3" xfId="569" applyBorder="1" applyAlignment="1">
      <alignment horizontal="right"/>
    </xf>
    <xf numFmtId="0" fontId="14" fillId="0" borderId="4" xfId="569" applyBorder="1" applyAlignment="1">
      <alignment horizontal="right"/>
    </xf>
    <xf numFmtId="0" fontId="14" fillId="0" borderId="5" xfId="569" applyBorder="1" applyAlignment="1">
      <alignment horizontal="right"/>
    </xf>
    <xf numFmtId="0" fontId="22" fillId="0" borderId="3" xfId="569" applyFont="1" applyBorder="1" applyAlignment="1">
      <alignment horizontal="right"/>
    </xf>
    <xf numFmtId="0" fontId="22" fillId="0" borderId="4" xfId="569" applyFont="1" applyBorder="1" applyAlignment="1">
      <alignment horizontal="right"/>
    </xf>
    <xf numFmtId="0" fontId="22" fillId="0" borderId="5" xfId="569" applyFont="1" applyBorder="1" applyAlignment="1">
      <alignment horizontal="right"/>
    </xf>
    <xf numFmtId="168" fontId="14" fillId="0" borderId="3" xfId="569" applyNumberFormat="1" applyBorder="1" applyAlignment="1">
      <alignment horizontal="right"/>
    </xf>
    <xf numFmtId="168" fontId="14" fillId="0" borderId="4" xfId="569" applyNumberFormat="1" applyBorder="1" applyAlignment="1">
      <alignment horizontal="right"/>
    </xf>
    <xf numFmtId="168" fontId="14" fillId="0" borderId="5" xfId="569" applyNumberFormat="1" applyBorder="1" applyAlignment="1">
      <alignment horizontal="right"/>
    </xf>
    <xf numFmtId="9" fontId="14" fillId="0" borderId="5" xfId="569" applyNumberFormat="1" applyBorder="1" applyAlignment="1">
      <alignment horizontal="center"/>
    </xf>
    <xf numFmtId="9" fontId="14" fillId="0" borderId="11" xfId="569" applyNumberFormat="1" applyBorder="1" applyAlignment="1">
      <alignment horizontal="center"/>
    </xf>
    <xf numFmtId="0" fontId="21" fillId="0" borderId="3" xfId="569" applyFont="1" applyBorder="1" applyAlignment="1">
      <alignment horizontal="left"/>
    </xf>
    <xf numFmtId="0" fontId="21" fillId="0" borderId="5" xfId="569" applyFont="1" applyBorder="1" applyAlignment="1">
      <alignment horizontal="left"/>
    </xf>
    <xf numFmtId="0" fontId="22" fillId="0" borderId="4" xfId="569" applyFont="1" applyBorder="1" applyAlignment="1">
      <alignment horizontal="left"/>
    </xf>
    <xf numFmtId="0" fontId="22" fillId="0" borderId="5" xfId="569" applyFont="1" applyBorder="1" applyAlignment="1">
      <alignment horizontal="left"/>
    </xf>
    <xf numFmtId="0" fontId="20" fillId="3" borderId="2" xfId="569" applyFont="1" applyFill="1" applyBorder="1" applyAlignment="1">
      <alignment horizontal="center" vertical="center"/>
    </xf>
    <xf numFmtId="0" fontId="20" fillId="3" borderId="16" xfId="569" applyFont="1" applyFill="1" applyBorder="1" applyAlignment="1">
      <alignment horizontal="center" vertical="center"/>
    </xf>
    <xf numFmtId="0" fontId="21" fillId="0" borderId="11" xfId="569" applyFont="1" applyBorder="1" applyAlignment="1">
      <alignment horizontal="center" wrapText="1"/>
    </xf>
    <xf numFmtId="168" fontId="14" fillId="0" borderId="7" xfId="569" applyNumberFormat="1" applyBorder="1" applyAlignment="1">
      <alignment horizontal="center"/>
    </xf>
    <xf numFmtId="168" fontId="14" fillId="0" borderId="15" xfId="569" applyNumberFormat="1" applyBorder="1" applyAlignment="1">
      <alignment horizontal="center"/>
    </xf>
    <xf numFmtId="168" fontId="14" fillId="5" borderId="10" xfId="569" applyNumberFormat="1" applyFill="1" applyBorder="1" applyAlignment="1" applyProtection="1">
      <alignment horizontal="center"/>
      <protection locked="0"/>
    </xf>
    <xf numFmtId="168" fontId="14" fillId="5" borderId="13" xfId="569" applyNumberFormat="1" applyFill="1" applyBorder="1" applyAlignment="1" applyProtection="1">
      <alignment horizontal="center"/>
      <protection locked="0"/>
    </xf>
    <xf numFmtId="5" fontId="14" fillId="0" borderId="5" xfId="569" applyNumberFormat="1" applyBorder="1" applyAlignment="1">
      <alignment horizontal="center"/>
    </xf>
    <xf numFmtId="5" fontId="14" fillId="0" borderId="11" xfId="569" applyNumberFormat="1" applyBorder="1" applyAlignment="1">
      <alignment horizontal="center"/>
    </xf>
    <xf numFmtId="5" fontId="14" fillId="0" borderId="3" xfId="569" applyNumberFormat="1" applyBorder="1" applyAlignment="1">
      <alignment horizontal="center"/>
    </xf>
    <xf numFmtId="5" fontId="14" fillId="0" borderId="4" xfId="569" applyNumberFormat="1" applyBorder="1" applyAlignment="1">
      <alignment horizontal="center"/>
    </xf>
    <xf numFmtId="9" fontId="14" fillId="0" borderId="9" xfId="569" applyNumberFormat="1" applyBorder="1" applyAlignment="1">
      <alignment horizontal="center" vertical="center"/>
    </xf>
    <xf numFmtId="9" fontId="14" fillId="0" borderId="6" xfId="569" applyNumberFormat="1" applyBorder="1" applyAlignment="1">
      <alignment horizontal="center" vertical="center"/>
    </xf>
    <xf numFmtId="9" fontId="14" fillId="0" borderId="10" xfId="569" applyNumberFormat="1" applyBorder="1" applyAlignment="1">
      <alignment horizontal="center" vertical="center"/>
    </xf>
    <xf numFmtId="168" fontId="14" fillId="0" borderId="11" xfId="569" applyNumberFormat="1" applyBorder="1" applyAlignment="1">
      <alignment horizontal="right"/>
    </xf>
    <xf numFmtId="0" fontId="21" fillId="0" borderId="6" xfId="569" applyFont="1" applyBorder="1" applyAlignment="1">
      <alignment horizontal="center"/>
    </xf>
    <xf numFmtId="0" fontId="14" fillId="0" borderId="4" xfId="569" applyBorder="1" applyAlignment="1">
      <alignment horizontal="center"/>
    </xf>
    <xf numFmtId="0" fontId="14" fillId="0" borderId="5" xfId="569" applyBorder="1" applyAlignment="1">
      <alignment horizontal="center"/>
    </xf>
    <xf numFmtId="176" fontId="14" fillId="5" borderId="3" xfId="569" applyNumberFormat="1" applyFill="1" applyBorder="1" applyAlignment="1" applyProtection="1">
      <alignment horizontal="right"/>
      <protection locked="0"/>
    </xf>
    <xf numFmtId="176" fontId="14" fillId="5" borderId="4" xfId="569" applyNumberFormat="1" applyFill="1" applyBorder="1" applyAlignment="1" applyProtection="1">
      <alignment horizontal="right"/>
      <protection locked="0"/>
    </xf>
    <xf numFmtId="176" fontId="14" fillId="5" borderId="5" xfId="569" applyNumberFormat="1" applyFill="1" applyBorder="1" applyAlignment="1" applyProtection="1">
      <alignment horizontal="right"/>
      <protection locked="0"/>
    </xf>
    <xf numFmtId="0" fontId="105" fillId="0" borderId="0" xfId="569" applyFont="1" applyAlignment="1">
      <alignment horizontal="left" wrapText="1"/>
    </xf>
    <xf numFmtId="168" fontId="14" fillId="0" borderId="3" xfId="569" applyNumberFormat="1" applyBorder="1" applyAlignment="1" applyProtection="1">
      <alignment horizontal="right"/>
      <protection locked="0"/>
    </xf>
    <xf numFmtId="168" fontId="14" fillId="0" borderId="4" xfId="569" applyNumberFormat="1" applyBorder="1" applyAlignment="1" applyProtection="1">
      <alignment horizontal="right"/>
      <protection locked="0"/>
    </xf>
    <xf numFmtId="168" fontId="14" fillId="0" borderId="5" xfId="569" applyNumberFormat="1" applyBorder="1" applyAlignment="1" applyProtection="1">
      <alignment horizontal="right"/>
      <protection locked="0"/>
    </xf>
    <xf numFmtId="0" fontId="21" fillId="0" borderId="11" xfId="569" applyFont="1" applyBorder="1" applyAlignment="1">
      <alignment horizontal="center"/>
    </xf>
    <xf numFmtId="165" fontId="14" fillId="0" borderId="11" xfId="569" applyNumberFormat="1" applyBorder="1" applyAlignment="1" applyProtection="1">
      <alignment horizontal="center"/>
      <protection locked="0"/>
    </xf>
    <xf numFmtId="168" fontId="14" fillId="0" borderId="11" xfId="569" applyNumberFormat="1" applyBorder="1"/>
    <xf numFmtId="168" fontId="14" fillId="0" borderId="3" xfId="569" applyNumberFormat="1" applyBorder="1"/>
    <xf numFmtId="168" fontId="14" fillId="0" borderId="4" xfId="569" applyNumberFormat="1" applyBorder="1"/>
    <xf numFmtId="168" fontId="14" fillId="0" borderId="5" xfId="569" applyNumberFormat="1" applyBorder="1"/>
    <xf numFmtId="168" fontId="14" fillId="0" borderId="11" xfId="569" applyNumberFormat="1" applyBorder="1" applyAlignment="1">
      <alignment wrapText="1"/>
    </xf>
    <xf numFmtId="9" fontId="14" fillId="0" borderId="15" xfId="569" applyNumberFormat="1" applyBorder="1" applyAlignment="1">
      <alignment horizontal="center"/>
    </xf>
    <xf numFmtId="0" fontId="14" fillId="0" borderId="11" xfId="569" applyBorder="1" applyAlignment="1">
      <alignment horizontal="center"/>
    </xf>
    <xf numFmtId="0" fontId="105" fillId="0" borderId="0" xfId="0" applyFont="1" applyAlignment="1">
      <alignment horizontal="left" vertical="top" wrapText="1"/>
    </xf>
    <xf numFmtId="0" fontId="19" fillId="0" borderId="6" xfId="271" applyFont="1" applyBorder="1" applyAlignment="1">
      <alignment horizontal="center"/>
    </xf>
    <xf numFmtId="3" fontId="14" fillId="0" borderId="0" xfId="0" applyNumberFormat="1" applyFont="1" applyAlignment="1">
      <alignment horizontal="left" vertical="top" wrapText="1"/>
    </xf>
    <xf numFmtId="3" fontId="23" fillId="0" borderId="0" xfId="0" applyNumberFormat="1" applyFont="1" applyAlignment="1">
      <alignment horizontal="left" vertical="top" wrapText="1"/>
    </xf>
    <xf numFmtId="0" fontId="14" fillId="43" borderId="0" xfId="0" applyFont="1" applyFill="1" applyAlignment="1">
      <alignment horizontal="left"/>
    </xf>
  </cellXfs>
  <cellStyles count="17167">
    <cellStyle name="20% - Accent1" xfId="1" builtinId="30" customBuiltin="1"/>
    <cellStyle name="20% - Accent1 10" xfId="4505" xr:uid="{00000000-0005-0000-0000-000001000000}"/>
    <cellStyle name="20% - Accent1 10 2" xfId="12947" xr:uid="{E97CDF36-B6E2-45AB-9F39-96BB0D02C4F1}"/>
    <cellStyle name="20% - Accent1 11" xfId="8729" xr:uid="{C2640EC4-21B1-41BE-9819-19F8E121EB0A}"/>
    <cellStyle name="20% - Accent1 2" xfId="2" xr:uid="{00000000-0005-0000-0000-000002000000}"/>
    <cellStyle name="20% - Accent1 2 10" xfId="8730" xr:uid="{29CAA6AA-69CB-46D1-9B73-AD377A23E6E9}"/>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15509" xr:uid="{9BB06F21-E721-4C2F-9132-38B9B38491A8}"/>
    <cellStyle name="20% - Accent1 2 2 2 2 2 3" xfId="11291" xr:uid="{728ABA63-4D1D-4A12-AA34-98FFF8E2A16D}"/>
    <cellStyle name="20% - Accent1 2 2 2 2 3" xfId="4922" xr:uid="{00000000-0005-0000-0000-000008000000}"/>
    <cellStyle name="20% - Accent1 2 2 2 2 3 2" xfId="13364" xr:uid="{650EC0A5-C1FB-4620-B1B4-E2C56C7C5261}"/>
    <cellStyle name="20% - Accent1 2 2 2 2 4" xfId="9146" xr:uid="{451D5FA7-EE67-4527-ABEA-EFFC9BADC24F}"/>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2 2" xfId="15922" xr:uid="{66D07756-3589-40A6-AFD9-71050B99C854}"/>
    <cellStyle name="20% - Accent1 2 2 2 3 2 3" xfId="11704" xr:uid="{2E5CA16C-D457-49FF-9F96-4870888B53EB}"/>
    <cellStyle name="20% - Accent1 2 2 2 3 3" xfId="5335" xr:uid="{00000000-0005-0000-0000-00000C000000}"/>
    <cellStyle name="20% - Accent1 2 2 2 3 3 2" xfId="13777" xr:uid="{0EA4B627-5C68-4DF4-B6A6-785F728FC0E2}"/>
    <cellStyle name="20% - Accent1 2 2 2 3 4" xfId="9559" xr:uid="{D21A0862-CDFD-4C6F-B0D8-F5D064375D54}"/>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2 2 2" xfId="16335" xr:uid="{28A9AE83-8901-4A5B-8EA7-60999E6973D5}"/>
    <cellStyle name="20% - Accent1 2 2 2 4 2 3" xfId="12117" xr:uid="{E77E45A0-F979-4F8D-B88A-19709FBEC2D3}"/>
    <cellStyle name="20% - Accent1 2 2 2 4 3" xfId="5748" xr:uid="{00000000-0005-0000-0000-000010000000}"/>
    <cellStyle name="20% - Accent1 2 2 2 4 3 2" xfId="14190" xr:uid="{95AC7F22-8CE5-4EFA-8D32-ED132850FDE5}"/>
    <cellStyle name="20% - Accent1 2 2 2 4 4" xfId="9972" xr:uid="{17589BC2-D476-42C9-841B-865F08778CB3}"/>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2 2 2" xfId="16748" xr:uid="{F96FF2DA-32F0-465E-8B08-1FBD6238403B}"/>
    <cellStyle name="20% - Accent1 2 2 2 5 2 3" xfId="12530" xr:uid="{6EDA1300-8262-4DDC-99E0-F95B2F161019}"/>
    <cellStyle name="20% - Accent1 2 2 2 5 3" xfId="6161" xr:uid="{00000000-0005-0000-0000-000014000000}"/>
    <cellStyle name="20% - Accent1 2 2 2 5 3 2" xfId="14603" xr:uid="{033A015F-C0EE-48A0-A6C8-E4F48EC8D0D9}"/>
    <cellStyle name="20% - Accent1 2 2 2 5 4" xfId="10385" xr:uid="{9A152196-932B-40C5-8BC0-85E5D9678F97}"/>
    <cellStyle name="20% - Accent1 2 2 2 6" xfId="2267" xr:uid="{00000000-0005-0000-0000-000015000000}"/>
    <cellStyle name="20% - Accent1 2 2 2 6 2" xfId="6574" xr:uid="{00000000-0005-0000-0000-000016000000}"/>
    <cellStyle name="20% - Accent1 2 2 2 6 2 2" xfId="15016" xr:uid="{CEAE29EB-BFD6-4235-B7D6-D08080007439}"/>
    <cellStyle name="20% - Accent1 2 2 2 6 3" xfId="10798" xr:uid="{5ED2CB67-8B70-4E4B-86C1-EE4B00FCF7E3}"/>
    <cellStyle name="20% - Accent1 2 2 2 7" xfId="4508" xr:uid="{00000000-0005-0000-0000-000017000000}"/>
    <cellStyle name="20% - Accent1 2 2 2 7 2" xfId="12950" xr:uid="{F86F8199-8104-46A1-837D-90E83FCFC119}"/>
    <cellStyle name="20% - Accent1 2 2 2 8" xfId="8732" xr:uid="{A0D011A2-6900-47CB-AC47-412E9A36C1BE}"/>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15508" xr:uid="{86650125-447C-4C99-AF14-56E4529C3B2A}"/>
    <cellStyle name="20% - Accent1 2 2 3 2 3" xfId="11290" xr:uid="{635A8FB7-C0F8-4DAA-9E26-661603E05B5E}"/>
    <cellStyle name="20% - Accent1 2 2 3 3" xfId="4921" xr:uid="{00000000-0005-0000-0000-00001B000000}"/>
    <cellStyle name="20% - Accent1 2 2 3 3 2" xfId="13363" xr:uid="{1C0315E0-5D70-4FB5-A824-EBCAB5681C74}"/>
    <cellStyle name="20% - Accent1 2 2 3 4" xfId="9145" xr:uid="{B6AFF5E6-B81B-44C4-B79C-676194F98CC4}"/>
    <cellStyle name="20% - Accent1 2 2 4" xfId="1025" xr:uid="{00000000-0005-0000-0000-00001C000000}"/>
    <cellStyle name="20% - Accent1 2 2 4 2" xfId="3256" xr:uid="{00000000-0005-0000-0000-00001D000000}"/>
    <cellStyle name="20% - Accent1 2 2 4 2 2" xfId="7479" xr:uid="{00000000-0005-0000-0000-00001E000000}"/>
    <cellStyle name="20% - Accent1 2 2 4 2 2 2" xfId="15921" xr:uid="{BB8036EE-A8F3-4828-AE53-30544090BB14}"/>
    <cellStyle name="20% - Accent1 2 2 4 2 3" xfId="11703" xr:uid="{E1AFB28C-00AE-4AED-B45F-1CA4046E949D}"/>
    <cellStyle name="20% - Accent1 2 2 4 3" xfId="5334" xr:uid="{00000000-0005-0000-0000-00001F000000}"/>
    <cellStyle name="20% - Accent1 2 2 4 3 2" xfId="13776" xr:uid="{FEB54313-8C58-4C26-9754-8CCE34403875}"/>
    <cellStyle name="20% - Accent1 2 2 4 4" xfId="9558" xr:uid="{92D2D2C1-AB4C-422C-9E3C-F891A28E822C}"/>
    <cellStyle name="20% - Accent1 2 2 5" xfId="1439" xr:uid="{00000000-0005-0000-0000-000020000000}"/>
    <cellStyle name="20% - Accent1 2 2 5 2" xfId="3669" xr:uid="{00000000-0005-0000-0000-000021000000}"/>
    <cellStyle name="20% - Accent1 2 2 5 2 2" xfId="7892" xr:uid="{00000000-0005-0000-0000-000022000000}"/>
    <cellStyle name="20% - Accent1 2 2 5 2 2 2" xfId="16334" xr:uid="{0749F21F-B306-4E1B-989D-7334BFF4CE22}"/>
    <cellStyle name="20% - Accent1 2 2 5 2 3" xfId="12116" xr:uid="{D23B6540-C811-47A8-92B5-7AFB5341FE11}"/>
    <cellStyle name="20% - Accent1 2 2 5 3" xfId="5747" xr:uid="{00000000-0005-0000-0000-000023000000}"/>
    <cellStyle name="20% - Accent1 2 2 5 3 2" xfId="14189" xr:uid="{4403F83E-EBAF-4CC3-9E74-13F3B210EE6E}"/>
    <cellStyle name="20% - Accent1 2 2 5 4" xfId="9971" xr:uid="{C709A160-8D8B-4E00-9E8E-54126A641E6D}"/>
    <cellStyle name="20% - Accent1 2 2 6" xfId="1853" xr:uid="{00000000-0005-0000-0000-000024000000}"/>
    <cellStyle name="20% - Accent1 2 2 6 2" xfId="4082" xr:uid="{00000000-0005-0000-0000-000025000000}"/>
    <cellStyle name="20% - Accent1 2 2 6 2 2" xfId="8305" xr:uid="{00000000-0005-0000-0000-000026000000}"/>
    <cellStyle name="20% - Accent1 2 2 6 2 2 2" xfId="16747" xr:uid="{4CB9070D-FE8B-4FDE-A48D-BFDA8FD58564}"/>
    <cellStyle name="20% - Accent1 2 2 6 2 3" xfId="12529" xr:uid="{2E2B7FA6-F379-4209-97C6-1E5EDC5D4BD2}"/>
    <cellStyle name="20% - Accent1 2 2 6 3" xfId="6160" xr:uid="{00000000-0005-0000-0000-000027000000}"/>
    <cellStyle name="20% - Accent1 2 2 6 3 2" xfId="14602" xr:uid="{63BCA0B2-D697-4CCD-9CFD-9084F6210CF6}"/>
    <cellStyle name="20% - Accent1 2 2 6 4" xfId="10384" xr:uid="{85181DE0-ACC0-4EE2-B40C-1A47CB9F1ED8}"/>
    <cellStyle name="20% - Accent1 2 2 7" xfId="2266" xr:uid="{00000000-0005-0000-0000-000028000000}"/>
    <cellStyle name="20% - Accent1 2 2 7 2" xfId="6573" xr:uid="{00000000-0005-0000-0000-000029000000}"/>
    <cellStyle name="20% - Accent1 2 2 7 2 2" xfId="15015" xr:uid="{8BFE8FB8-1BCD-45FC-A3EB-6930A59C7993}"/>
    <cellStyle name="20% - Accent1 2 2 7 3" xfId="10797" xr:uid="{3FD8BBD8-1D9C-4554-953E-C1679CA2D4BC}"/>
    <cellStyle name="20% - Accent1 2 2 8" xfId="4507" xr:uid="{00000000-0005-0000-0000-00002A000000}"/>
    <cellStyle name="20% - Accent1 2 2 8 2" xfId="12949" xr:uid="{24A5DE79-3072-4961-9FA8-677D52AF410A}"/>
    <cellStyle name="20% - Accent1 2 2 9" xfId="8731" xr:uid="{41537273-AA98-4A16-BD79-D90B76E4C464}"/>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15510" xr:uid="{AFE3580F-2C06-4AB7-BD56-87CACA65DB16}"/>
    <cellStyle name="20% - Accent1 2 3 2 2 3" xfId="11292" xr:uid="{F61B0E15-A824-456F-974F-F6D7760ABCFA}"/>
    <cellStyle name="20% - Accent1 2 3 2 3" xfId="4923" xr:uid="{00000000-0005-0000-0000-00002F000000}"/>
    <cellStyle name="20% - Accent1 2 3 2 3 2" xfId="13365" xr:uid="{B3AEA30A-E2FF-4655-9BCC-7327F9AACC02}"/>
    <cellStyle name="20% - Accent1 2 3 2 4" xfId="9147" xr:uid="{D447DA87-5E54-461D-8CB8-59371D8D41ED}"/>
    <cellStyle name="20% - Accent1 2 3 3" xfId="1027" xr:uid="{00000000-0005-0000-0000-000030000000}"/>
    <cellStyle name="20% - Accent1 2 3 3 2" xfId="3258" xr:uid="{00000000-0005-0000-0000-000031000000}"/>
    <cellStyle name="20% - Accent1 2 3 3 2 2" xfId="7481" xr:uid="{00000000-0005-0000-0000-000032000000}"/>
    <cellStyle name="20% - Accent1 2 3 3 2 2 2" xfId="15923" xr:uid="{95BCE198-4486-4055-B770-8469CC639E57}"/>
    <cellStyle name="20% - Accent1 2 3 3 2 3" xfId="11705" xr:uid="{77891B49-8D06-4ED9-AB37-EC04FA9FDCEE}"/>
    <cellStyle name="20% - Accent1 2 3 3 3" xfId="5336" xr:uid="{00000000-0005-0000-0000-000033000000}"/>
    <cellStyle name="20% - Accent1 2 3 3 3 2" xfId="13778" xr:uid="{4B990D54-8EB0-406F-A299-0C766278959B}"/>
    <cellStyle name="20% - Accent1 2 3 3 4" xfId="9560" xr:uid="{34509F96-4387-4707-813D-DF1C0130392B}"/>
    <cellStyle name="20% - Accent1 2 3 4" xfId="1441" xr:uid="{00000000-0005-0000-0000-000034000000}"/>
    <cellStyle name="20% - Accent1 2 3 4 2" xfId="3671" xr:uid="{00000000-0005-0000-0000-000035000000}"/>
    <cellStyle name="20% - Accent1 2 3 4 2 2" xfId="7894" xr:uid="{00000000-0005-0000-0000-000036000000}"/>
    <cellStyle name="20% - Accent1 2 3 4 2 2 2" xfId="16336" xr:uid="{A099002B-9F44-4510-9A83-7DB47854DF90}"/>
    <cellStyle name="20% - Accent1 2 3 4 2 3" xfId="12118" xr:uid="{8814E121-5E6A-49B0-A58A-D26DDA49EB17}"/>
    <cellStyle name="20% - Accent1 2 3 4 3" xfId="5749" xr:uid="{00000000-0005-0000-0000-000037000000}"/>
    <cellStyle name="20% - Accent1 2 3 4 3 2" xfId="14191" xr:uid="{518D16C4-1A43-4381-BF82-B7BA63D60DC7}"/>
    <cellStyle name="20% - Accent1 2 3 4 4" xfId="9973" xr:uid="{22BCB07E-6E9C-4DDD-9B91-728F7D140132}"/>
    <cellStyle name="20% - Accent1 2 3 5" xfId="1855" xr:uid="{00000000-0005-0000-0000-000038000000}"/>
    <cellStyle name="20% - Accent1 2 3 5 2" xfId="4084" xr:uid="{00000000-0005-0000-0000-000039000000}"/>
    <cellStyle name="20% - Accent1 2 3 5 2 2" xfId="8307" xr:uid="{00000000-0005-0000-0000-00003A000000}"/>
    <cellStyle name="20% - Accent1 2 3 5 2 2 2" xfId="16749" xr:uid="{CF0B3DE9-957A-4B2C-8174-477601147DEC}"/>
    <cellStyle name="20% - Accent1 2 3 5 2 3" xfId="12531" xr:uid="{50A8280B-D92F-47BC-91ED-AE6465CC96A6}"/>
    <cellStyle name="20% - Accent1 2 3 5 3" xfId="6162" xr:uid="{00000000-0005-0000-0000-00003B000000}"/>
    <cellStyle name="20% - Accent1 2 3 5 3 2" xfId="14604" xr:uid="{C2856C62-00DB-45AC-8500-48DE274DEAA9}"/>
    <cellStyle name="20% - Accent1 2 3 5 4" xfId="10386" xr:uid="{EABA5C22-417E-487B-922E-16173D542405}"/>
    <cellStyle name="20% - Accent1 2 3 6" xfId="2268" xr:uid="{00000000-0005-0000-0000-00003C000000}"/>
    <cellStyle name="20% - Accent1 2 3 6 2" xfId="6575" xr:uid="{00000000-0005-0000-0000-00003D000000}"/>
    <cellStyle name="20% - Accent1 2 3 6 2 2" xfId="15017" xr:uid="{6056A3C4-4724-41F9-9610-86E4D14B9108}"/>
    <cellStyle name="20% - Accent1 2 3 6 3" xfId="10799" xr:uid="{FDB919EB-5CB4-4ED4-A4BB-EE99043909C1}"/>
    <cellStyle name="20% - Accent1 2 3 7" xfId="4509" xr:uid="{00000000-0005-0000-0000-00003E000000}"/>
    <cellStyle name="20% - Accent1 2 3 7 2" xfId="12951" xr:uid="{5739185D-B684-4CE2-9B5C-A65F1B336A49}"/>
    <cellStyle name="20% - Accent1 2 3 8" xfId="8733" xr:uid="{74FB55EB-796C-40BB-AFDA-BA855F336131}"/>
    <cellStyle name="20% - Accent1 2 4" xfId="571" xr:uid="{00000000-0005-0000-0000-00003F000000}"/>
    <cellStyle name="20% - Accent1 2 4 2" xfId="2842" xr:uid="{00000000-0005-0000-0000-000040000000}"/>
    <cellStyle name="20% - Accent1 2 4 2 2" xfId="7065" xr:uid="{00000000-0005-0000-0000-000041000000}"/>
    <cellStyle name="20% - Accent1 2 4 2 2 2" xfId="15507" xr:uid="{A561530F-7056-40B2-A9C5-84678D4E9A8C}"/>
    <cellStyle name="20% - Accent1 2 4 2 3" xfId="11289" xr:uid="{4668BAEC-5D74-4071-9BAC-E293BFB66B1D}"/>
    <cellStyle name="20% - Accent1 2 4 3" xfId="4920" xr:uid="{00000000-0005-0000-0000-000042000000}"/>
    <cellStyle name="20% - Accent1 2 4 3 2" xfId="13362" xr:uid="{8C23851F-02C4-4B94-874D-2FA3C6F15F4C}"/>
    <cellStyle name="20% - Accent1 2 4 4" xfId="9144" xr:uid="{064F1414-DFB9-4824-AC40-E2A0CDA1059D}"/>
    <cellStyle name="20% - Accent1 2 5" xfId="1024" xr:uid="{00000000-0005-0000-0000-000043000000}"/>
    <cellStyle name="20% - Accent1 2 5 2" xfId="3255" xr:uid="{00000000-0005-0000-0000-000044000000}"/>
    <cellStyle name="20% - Accent1 2 5 2 2" xfId="7478" xr:uid="{00000000-0005-0000-0000-000045000000}"/>
    <cellStyle name="20% - Accent1 2 5 2 2 2" xfId="15920" xr:uid="{B1FC2755-6F89-4431-B8F0-A12995D1568F}"/>
    <cellStyle name="20% - Accent1 2 5 2 3" xfId="11702" xr:uid="{FED71293-FFD3-4449-A8E3-202A62D04089}"/>
    <cellStyle name="20% - Accent1 2 5 3" xfId="5333" xr:uid="{00000000-0005-0000-0000-000046000000}"/>
    <cellStyle name="20% - Accent1 2 5 3 2" xfId="13775" xr:uid="{48B972C7-CCF9-41AA-A196-E244543EDB65}"/>
    <cellStyle name="20% - Accent1 2 5 4" xfId="9557" xr:uid="{FC1961CD-945B-4E96-AF62-D55C24FDB785}"/>
    <cellStyle name="20% - Accent1 2 6" xfId="1438" xr:uid="{00000000-0005-0000-0000-000047000000}"/>
    <cellStyle name="20% - Accent1 2 6 2" xfId="3668" xr:uid="{00000000-0005-0000-0000-000048000000}"/>
    <cellStyle name="20% - Accent1 2 6 2 2" xfId="7891" xr:uid="{00000000-0005-0000-0000-000049000000}"/>
    <cellStyle name="20% - Accent1 2 6 2 2 2" xfId="16333" xr:uid="{3AD84897-14A3-4F1E-A3C0-7DE70B1AA66E}"/>
    <cellStyle name="20% - Accent1 2 6 2 3" xfId="12115" xr:uid="{7FAB0B7A-BDD7-4ECE-87D4-C1C634AD8196}"/>
    <cellStyle name="20% - Accent1 2 6 3" xfId="5746" xr:uid="{00000000-0005-0000-0000-00004A000000}"/>
    <cellStyle name="20% - Accent1 2 6 3 2" xfId="14188" xr:uid="{1780359B-3ACB-4523-89A3-230CD2DFDC02}"/>
    <cellStyle name="20% - Accent1 2 6 4" xfId="9970" xr:uid="{214EE0A7-A809-44F3-9998-9B593E0F6417}"/>
    <cellStyle name="20% - Accent1 2 7" xfId="1852" xr:uid="{00000000-0005-0000-0000-00004B000000}"/>
    <cellStyle name="20% - Accent1 2 7 2" xfId="4081" xr:uid="{00000000-0005-0000-0000-00004C000000}"/>
    <cellStyle name="20% - Accent1 2 7 2 2" xfId="8304" xr:uid="{00000000-0005-0000-0000-00004D000000}"/>
    <cellStyle name="20% - Accent1 2 7 2 2 2" xfId="16746" xr:uid="{8C49A680-DEE8-4232-9991-187559DB1928}"/>
    <cellStyle name="20% - Accent1 2 7 2 3" xfId="12528" xr:uid="{C88231FB-C880-439C-AFF8-C11C1CDF6CBD}"/>
    <cellStyle name="20% - Accent1 2 7 3" xfId="6159" xr:uid="{00000000-0005-0000-0000-00004E000000}"/>
    <cellStyle name="20% - Accent1 2 7 3 2" xfId="14601" xr:uid="{AFBA7F14-B009-4F2A-91F7-DA231D4B5605}"/>
    <cellStyle name="20% - Accent1 2 7 4" xfId="10383" xr:uid="{844B2720-219E-4FD7-B2E1-DF0F8367C121}"/>
    <cellStyle name="20% - Accent1 2 8" xfId="2265" xr:uid="{00000000-0005-0000-0000-00004F000000}"/>
    <cellStyle name="20% - Accent1 2 8 2" xfId="6572" xr:uid="{00000000-0005-0000-0000-000050000000}"/>
    <cellStyle name="20% - Accent1 2 8 2 2" xfId="15014" xr:uid="{C1285F35-4593-4FA9-A5C2-712C3F723D3B}"/>
    <cellStyle name="20% - Accent1 2 8 3" xfId="10796" xr:uid="{51659004-B5E3-47DA-B21B-95A6A58B939F}"/>
    <cellStyle name="20% - Accent1 2 9" xfId="4506" xr:uid="{00000000-0005-0000-0000-000051000000}"/>
    <cellStyle name="20% - Accent1 2 9 2" xfId="12948" xr:uid="{9BD73603-B594-4DC5-AE5B-628C1DE3D703}"/>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15512" xr:uid="{CF164BAB-4BE1-42CA-BA9A-F07E1DBD993A}"/>
    <cellStyle name="20% - Accent1 3 2 2 2 3" xfId="11294" xr:uid="{9E794FF7-C097-4A7A-8967-40E0B4A76D65}"/>
    <cellStyle name="20% - Accent1 3 2 2 3" xfId="4925" xr:uid="{00000000-0005-0000-0000-000057000000}"/>
    <cellStyle name="20% - Accent1 3 2 2 3 2" xfId="13367" xr:uid="{7B0DDBAD-E89C-48E3-A1FD-DCF0B47EA725}"/>
    <cellStyle name="20% - Accent1 3 2 2 4" xfId="9149" xr:uid="{1F17F11B-66CD-4329-8BEA-F5BE1B6AD369}"/>
    <cellStyle name="20% - Accent1 3 2 3" xfId="1029" xr:uid="{00000000-0005-0000-0000-000058000000}"/>
    <cellStyle name="20% - Accent1 3 2 3 2" xfId="3260" xr:uid="{00000000-0005-0000-0000-000059000000}"/>
    <cellStyle name="20% - Accent1 3 2 3 2 2" xfId="7483" xr:uid="{00000000-0005-0000-0000-00005A000000}"/>
    <cellStyle name="20% - Accent1 3 2 3 2 2 2" xfId="15925" xr:uid="{678DDF5D-51F2-4292-8F59-6EC5F2CB375A}"/>
    <cellStyle name="20% - Accent1 3 2 3 2 3" xfId="11707" xr:uid="{1A5947FC-F18B-4E9B-822A-EA6B33AF8D41}"/>
    <cellStyle name="20% - Accent1 3 2 3 3" xfId="5338" xr:uid="{00000000-0005-0000-0000-00005B000000}"/>
    <cellStyle name="20% - Accent1 3 2 3 3 2" xfId="13780" xr:uid="{9BD27254-77E0-4123-AB8B-953A02842C43}"/>
    <cellStyle name="20% - Accent1 3 2 3 4" xfId="9562" xr:uid="{3BDA457C-701F-4FDA-B515-A85F4B7CF872}"/>
    <cellStyle name="20% - Accent1 3 2 4" xfId="1443" xr:uid="{00000000-0005-0000-0000-00005C000000}"/>
    <cellStyle name="20% - Accent1 3 2 4 2" xfId="3673" xr:uid="{00000000-0005-0000-0000-00005D000000}"/>
    <cellStyle name="20% - Accent1 3 2 4 2 2" xfId="7896" xr:uid="{00000000-0005-0000-0000-00005E000000}"/>
    <cellStyle name="20% - Accent1 3 2 4 2 2 2" xfId="16338" xr:uid="{788E040C-348F-4F6B-9AF7-D6EE5754F306}"/>
    <cellStyle name="20% - Accent1 3 2 4 2 3" xfId="12120" xr:uid="{036D19AB-A366-4CAE-A834-1A8C92800EFD}"/>
    <cellStyle name="20% - Accent1 3 2 4 3" xfId="5751" xr:uid="{00000000-0005-0000-0000-00005F000000}"/>
    <cellStyle name="20% - Accent1 3 2 4 3 2" xfId="14193" xr:uid="{B1D66EB3-3C19-4924-8AC2-7D5D8BBCE88A}"/>
    <cellStyle name="20% - Accent1 3 2 4 4" xfId="9975" xr:uid="{0379DB71-C61B-4C53-BCC8-AF8F4D893AAB}"/>
    <cellStyle name="20% - Accent1 3 2 5" xfId="1857" xr:uid="{00000000-0005-0000-0000-000060000000}"/>
    <cellStyle name="20% - Accent1 3 2 5 2" xfId="4086" xr:uid="{00000000-0005-0000-0000-000061000000}"/>
    <cellStyle name="20% - Accent1 3 2 5 2 2" xfId="8309" xr:uid="{00000000-0005-0000-0000-000062000000}"/>
    <cellStyle name="20% - Accent1 3 2 5 2 2 2" xfId="16751" xr:uid="{AE9A264C-D639-45D5-9DE9-BF62F85D7B8E}"/>
    <cellStyle name="20% - Accent1 3 2 5 2 3" xfId="12533" xr:uid="{6AFC1D22-77E9-4E19-ABB9-588B71780A0C}"/>
    <cellStyle name="20% - Accent1 3 2 5 3" xfId="6164" xr:uid="{00000000-0005-0000-0000-000063000000}"/>
    <cellStyle name="20% - Accent1 3 2 5 3 2" xfId="14606" xr:uid="{823FE6E2-0F83-4BC9-8FC0-4BB0C0977B3D}"/>
    <cellStyle name="20% - Accent1 3 2 5 4" xfId="10388" xr:uid="{6F7E8D12-A2FF-43C4-AE3B-BDCAE31F5C73}"/>
    <cellStyle name="20% - Accent1 3 2 6" xfId="2270" xr:uid="{00000000-0005-0000-0000-000064000000}"/>
    <cellStyle name="20% - Accent1 3 2 6 2" xfId="6577" xr:uid="{00000000-0005-0000-0000-000065000000}"/>
    <cellStyle name="20% - Accent1 3 2 6 2 2" xfId="15019" xr:uid="{3A029A17-B3A3-46E0-B139-83D6DAB0B7DC}"/>
    <cellStyle name="20% - Accent1 3 2 6 3" xfId="10801" xr:uid="{32E9E3E0-339D-49FA-A4F9-CE01430643E6}"/>
    <cellStyle name="20% - Accent1 3 2 7" xfId="4511" xr:uid="{00000000-0005-0000-0000-000066000000}"/>
    <cellStyle name="20% - Accent1 3 2 7 2" xfId="12953" xr:uid="{55672691-CC0D-4514-9EFB-A3E886EB1C47}"/>
    <cellStyle name="20% - Accent1 3 2 8" xfId="8735" xr:uid="{2508BECA-9C8B-4ADD-8C66-F30DED55140E}"/>
    <cellStyle name="20% - Accent1 3 3" xfId="575" xr:uid="{00000000-0005-0000-0000-000067000000}"/>
    <cellStyle name="20% - Accent1 3 3 2" xfId="2846" xr:uid="{00000000-0005-0000-0000-000068000000}"/>
    <cellStyle name="20% - Accent1 3 3 2 2" xfId="7069" xr:uid="{00000000-0005-0000-0000-000069000000}"/>
    <cellStyle name="20% - Accent1 3 3 2 2 2" xfId="15511" xr:uid="{273F8CF7-2619-4E2D-A23C-5F72DCE11D6F}"/>
    <cellStyle name="20% - Accent1 3 3 2 3" xfId="11293" xr:uid="{39736CB2-0AA7-4000-8F03-3F6EAA21A89E}"/>
    <cellStyle name="20% - Accent1 3 3 3" xfId="4924" xr:uid="{00000000-0005-0000-0000-00006A000000}"/>
    <cellStyle name="20% - Accent1 3 3 3 2" xfId="13366" xr:uid="{03F69BA1-D17D-4D29-A7AC-BB6BAF03116F}"/>
    <cellStyle name="20% - Accent1 3 3 4" xfId="9148" xr:uid="{3E26FD31-5A2A-49B2-9BEC-0A580639CBB7}"/>
    <cellStyle name="20% - Accent1 3 4" xfId="1028" xr:uid="{00000000-0005-0000-0000-00006B000000}"/>
    <cellStyle name="20% - Accent1 3 4 2" xfId="3259" xr:uid="{00000000-0005-0000-0000-00006C000000}"/>
    <cellStyle name="20% - Accent1 3 4 2 2" xfId="7482" xr:uid="{00000000-0005-0000-0000-00006D000000}"/>
    <cellStyle name="20% - Accent1 3 4 2 2 2" xfId="15924" xr:uid="{2FF4D379-C9EE-49BC-9196-94B0CC94C25A}"/>
    <cellStyle name="20% - Accent1 3 4 2 3" xfId="11706" xr:uid="{B3DA6563-A4DA-4FE3-B37A-B85B40FBA2A0}"/>
    <cellStyle name="20% - Accent1 3 4 3" xfId="5337" xr:uid="{00000000-0005-0000-0000-00006E000000}"/>
    <cellStyle name="20% - Accent1 3 4 3 2" xfId="13779" xr:uid="{9C461FD5-AFC1-498E-ADC2-464E9C65E41E}"/>
    <cellStyle name="20% - Accent1 3 4 4" xfId="9561" xr:uid="{25BD10E0-72C6-4539-9272-7E4998085962}"/>
    <cellStyle name="20% - Accent1 3 5" xfId="1442" xr:uid="{00000000-0005-0000-0000-00006F000000}"/>
    <cellStyle name="20% - Accent1 3 5 2" xfId="3672" xr:uid="{00000000-0005-0000-0000-000070000000}"/>
    <cellStyle name="20% - Accent1 3 5 2 2" xfId="7895" xr:uid="{00000000-0005-0000-0000-000071000000}"/>
    <cellStyle name="20% - Accent1 3 5 2 2 2" xfId="16337" xr:uid="{E6E8EAE0-6C77-4033-93DE-7E7933D9D123}"/>
    <cellStyle name="20% - Accent1 3 5 2 3" xfId="12119" xr:uid="{88E88F87-24AF-467E-88AA-1EDF7C3B0EDD}"/>
    <cellStyle name="20% - Accent1 3 5 3" xfId="5750" xr:uid="{00000000-0005-0000-0000-000072000000}"/>
    <cellStyle name="20% - Accent1 3 5 3 2" xfId="14192" xr:uid="{2243146A-5825-494D-BF6C-AAF22DFC8017}"/>
    <cellStyle name="20% - Accent1 3 5 4" xfId="9974" xr:uid="{EF169BC0-1CAB-42F2-BBC0-B19560962251}"/>
    <cellStyle name="20% - Accent1 3 6" xfId="1856" xr:uid="{00000000-0005-0000-0000-000073000000}"/>
    <cellStyle name="20% - Accent1 3 6 2" xfId="4085" xr:uid="{00000000-0005-0000-0000-000074000000}"/>
    <cellStyle name="20% - Accent1 3 6 2 2" xfId="8308" xr:uid="{00000000-0005-0000-0000-000075000000}"/>
    <cellStyle name="20% - Accent1 3 6 2 2 2" xfId="16750" xr:uid="{782E64DC-D5A3-49EA-BDAD-2631D26973CC}"/>
    <cellStyle name="20% - Accent1 3 6 2 3" xfId="12532" xr:uid="{B1245EE0-EA0F-4FB4-97F3-EDEF7BE5D7D5}"/>
    <cellStyle name="20% - Accent1 3 6 3" xfId="6163" xr:uid="{00000000-0005-0000-0000-000076000000}"/>
    <cellStyle name="20% - Accent1 3 6 3 2" xfId="14605" xr:uid="{1078CD46-5285-4AF2-9E9D-D9CB5AAD105B}"/>
    <cellStyle name="20% - Accent1 3 6 4" xfId="10387" xr:uid="{7BCCFFD1-5E0E-4940-BFED-03D3B861E67F}"/>
    <cellStyle name="20% - Accent1 3 7" xfId="2269" xr:uid="{00000000-0005-0000-0000-000077000000}"/>
    <cellStyle name="20% - Accent1 3 7 2" xfId="6576" xr:uid="{00000000-0005-0000-0000-000078000000}"/>
    <cellStyle name="20% - Accent1 3 7 2 2" xfId="15018" xr:uid="{4551B2AD-7FDB-4EDA-9D06-0CEDEE366887}"/>
    <cellStyle name="20% - Accent1 3 7 3" xfId="10800" xr:uid="{4BD6E0CC-0F6C-4134-B400-4F96D97979BC}"/>
    <cellStyle name="20% - Accent1 3 8" xfId="4510" xr:uid="{00000000-0005-0000-0000-000079000000}"/>
    <cellStyle name="20% - Accent1 3 8 2" xfId="12952" xr:uid="{D8B4470C-2D49-4637-9FD1-BBA4903BA521}"/>
    <cellStyle name="20% - Accent1 3 9" xfId="8734" xr:uid="{64801995-213E-48B1-BD2A-5ABC33404B29}"/>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2 2 2" xfId="15513" xr:uid="{B9C48857-4FF9-4068-8F83-4DB6F78C39A1}"/>
    <cellStyle name="20% - Accent1 4 2 2 3" xfId="11295" xr:uid="{8BB99C75-2DA5-403C-86D9-48F2F88E6978}"/>
    <cellStyle name="20% - Accent1 4 2 3" xfId="4926" xr:uid="{00000000-0005-0000-0000-00007E000000}"/>
    <cellStyle name="20% - Accent1 4 2 3 2" xfId="13368" xr:uid="{E115351B-2B7E-484F-92B4-C1A3ED080B27}"/>
    <cellStyle name="20% - Accent1 4 2 4" xfId="9150" xr:uid="{34BB6CA1-A7DC-4BC2-AD12-C9A6FF1E4351}"/>
    <cellStyle name="20% - Accent1 4 3" xfId="1030" xr:uid="{00000000-0005-0000-0000-00007F000000}"/>
    <cellStyle name="20% - Accent1 4 3 2" xfId="3261" xr:uid="{00000000-0005-0000-0000-000080000000}"/>
    <cellStyle name="20% - Accent1 4 3 2 2" xfId="7484" xr:uid="{00000000-0005-0000-0000-000081000000}"/>
    <cellStyle name="20% - Accent1 4 3 2 2 2" xfId="15926" xr:uid="{6B91AB95-9A26-4075-A683-BC6FBEAD57E4}"/>
    <cellStyle name="20% - Accent1 4 3 2 3" xfId="11708" xr:uid="{105DFA41-AB25-48C3-8728-3297CCD94FAE}"/>
    <cellStyle name="20% - Accent1 4 3 3" xfId="5339" xr:uid="{00000000-0005-0000-0000-000082000000}"/>
    <cellStyle name="20% - Accent1 4 3 3 2" xfId="13781" xr:uid="{0BB9CC5C-F274-43A2-86DE-ABF7E10C31B6}"/>
    <cellStyle name="20% - Accent1 4 3 4" xfId="9563" xr:uid="{7CDFCA3C-F119-4071-AAB7-791C631D4770}"/>
    <cellStyle name="20% - Accent1 4 4" xfId="1444" xr:uid="{00000000-0005-0000-0000-000083000000}"/>
    <cellStyle name="20% - Accent1 4 4 2" xfId="3674" xr:uid="{00000000-0005-0000-0000-000084000000}"/>
    <cellStyle name="20% - Accent1 4 4 2 2" xfId="7897" xr:uid="{00000000-0005-0000-0000-000085000000}"/>
    <cellStyle name="20% - Accent1 4 4 2 2 2" xfId="16339" xr:uid="{915480B0-AC9E-43BD-8A46-D8A7C3B60F9D}"/>
    <cellStyle name="20% - Accent1 4 4 2 3" xfId="12121" xr:uid="{D922362F-9585-48C7-9AA3-39AD11C109BD}"/>
    <cellStyle name="20% - Accent1 4 4 3" xfId="5752" xr:uid="{00000000-0005-0000-0000-000086000000}"/>
    <cellStyle name="20% - Accent1 4 4 3 2" xfId="14194" xr:uid="{0163692A-E0A1-402B-842C-746CE52B97EB}"/>
    <cellStyle name="20% - Accent1 4 4 4" xfId="9976" xr:uid="{B4CBFD56-D35A-45D4-A8B7-44F28C6EF939}"/>
    <cellStyle name="20% - Accent1 4 5" xfId="1858" xr:uid="{00000000-0005-0000-0000-000087000000}"/>
    <cellStyle name="20% - Accent1 4 5 2" xfId="4087" xr:uid="{00000000-0005-0000-0000-000088000000}"/>
    <cellStyle name="20% - Accent1 4 5 2 2" xfId="8310" xr:uid="{00000000-0005-0000-0000-000089000000}"/>
    <cellStyle name="20% - Accent1 4 5 2 2 2" xfId="16752" xr:uid="{A8F0DC19-F8A7-4C8A-9D14-DD5D281532D1}"/>
    <cellStyle name="20% - Accent1 4 5 2 3" xfId="12534" xr:uid="{99F0B7E2-1AB4-4028-B577-B6E1180DE5D2}"/>
    <cellStyle name="20% - Accent1 4 5 3" xfId="6165" xr:uid="{00000000-0005-0000-0000-00008A000000}"/>
    <cellStyle name="20% - Accent1 4 5 3 2" xfId="14607" xr:uid="{B75A1154-FE6B-42BC-8DE6-BBB81C8F52E1}"/>
    <cellStyle name="20% - Accent1 4 5 4" xfId="10389" xr:uid="{409695CF-16EB-4D02-9FC4-8E60CE78965E}"/>
    <cellStyle name="20% - Accent1 4 6" xfId="2271" xr:uid="{00000000-0005-0000-0000-00008B000000}"/>
    <cellStyle name="20% - Accent1 4 6 2" xfId="6578" xr:uid="{00000000-0005-0000-0000-00008C000000}"/>
    <cellStyle name="20% - Accent1 4 6 2 2" xfId="15020" xr:uid="{C54D14B8-64D9-46D1-BD3B-54BA25AE710A}"/>
    <cellStyle name="20% - Accent1 4 6 3" xfId="10802" xr:uid="{E2FDE484-0B24-4980-9A0A-AED73474F27F}"/>
    <cellStyle name="20% - Accent1 4 7" xfId="4512" xr:uid="{00000000-0005-0000-0000-00008D000000}"/>
    <cellStyle name="20% - Accent1 4 7 2" xfId="12954" xr:uid="{E8A93527-C9FA-4DDC-AFE1-01BF7172C730}"/>
    <cellStyle name="20% - Accent1 4 8" xfId="8736" xr:uid="{00D83C8F-3629-4A9A-917B-60BE02279088}"/>
    <cellStyle name="20% - Accent1 5" xfId="570" xr:uid="{00000000-0005-0000-0000-00008E000000}"/>
    <cellStyle name="20% - Accent1 5 2" xfId="2841" xr:uid="{00000000-0005-0000-0000-00008F000000}"/>
    <cellStyle name="20% - Accent1 5 2 2" xfId="7064" xr:uid="{00000000-0005-0000-0000-000090000000}"/>
    <cellStyle name="20% - Accent1 5 2 2 2" xfId="15506" xr:uid="{4B83837C-350D-4A32-9745-5096CEC80B0C}"/>
    <cellStyle name="20% - Accent1 5 2 3" xfId="11288" xr:uid="{F414DDC7-AC8D-45B5-A35E-49C9B31AD5A1}"/>
    <cellStyle name="20% - Accent1 5 3" xfId="4919" xr:uid="{00000000-0005-0000-0000-000091000000}"/>
    <cellStyle name="20% - Accent1 5 3 2" xfId="13361" xr:uid="{31676C74-31FB-4438-9AC6-74F3F34BECF8}"/>
    <cellStyle name="20% - Accent1 5 4" xfId="9143" xr:uid="{A67ED763-C739-4275-A089-19A185A19E33}"/>
    <cellStyle name="20% - Accent1 6" xfId="1023" xr:uid="{00000000-0005-0000-0000-000092000000}"/>
    <cellStyle name="20% - Accent1 6 2" xfId="3254" xr:uid="{00000000-0005-0000-0000-000093000000}"/>
    <cellStyle name="20% - Accent1 6 2 2" xfId="7477" xr:uid="{00000000-0005-0000-0000-000094000000}"/>
    <cellStyle name="20% - Accent1 6 2 2 2" xfId="15919" xr:uid="{A0AEE56E-27A8-41F5-96AA-C440400D5123}"/>
    <cellStyle name="20% - Accent1 6 2 3" xfId="11701" xr:uid="{B0C22E69-E936-4C51-B688-CFF438F78FED}"/>
    <cellStyle name="20% - Accent1 6 3" xfId="5332" xr:uid="{00000000-0005-0000-0000-000095000000}"/>
    <cellStyle name="20% - Accent1 6 3 2" xfId="13774" xr:uid="{C15EA1EF-FAAE-4DDE-BCDD-434F3AFE354B}"/>
    <cellStyle name="20% - Accent1 6 4" xfId="9556" xr:uid="{F830CF8F-88DB-4222-B3F1-1E144B4C97C5}"/>
    <cellStyle name="20% - Accent1 7" xfId="1437" xr:uid="{00000000-0005-0000-0000-000096000000}"/>
    <cellStyle name="20% - Accent1 7 2" xfId="3667" xr:uid="{00000000-0005-0000-0000-000097000000}"/>
    <cellStyle name="20% - Accent1 7 2 2" xfId="7890" xr:uid="{00000000-0005-0000-0000-000098000000}"/>
    <cellStyle name="20% - Accent1 7 2 2 2" xfId="16332" xr:uid="{DADB1C27-03D5-4DFB-BCED-F15A718C340E}"/>
    <cellStyle name="20% - Accent1 7 2 3" xfId="12114" xr:uid="{4A523366-957F-47C5-9BA9-AA617A245878}"/>
    <cellStyle name="20% - Accent1 7 3" xfId="5745" xr:uid="{00000000-0005-0000-0000-000099000000}"/>
    <cellStyle name="20% - Accent1 7 3 2" xfId="14187" xr:uid="{BC9D328E-0D0A-445D-897D-DC8D013D686A}"/>
    <cellStyle name="20% - Accent1 7 4" xfId="9969" xr:uid="{CB317299-5DD3-4181-A2D7-36A35C6EE989}"/>
    <cellStyle name="20% - Accent1 8" xfId="1851" xr:uid="{00000000-0005-0000-0000-00009A000000}"/>
    <cellStyle name="20% - Accent1 8 2" xfId="4080" xr:uid="{00000000-0005-0000-0000-00009B000000}"/>
    <cellStyle name="20% - Accent1 8 2 2" xfId="8303" xr:uid="{00000000-0005-0000-0000-00009C000000}"/>
    <cellStyle name="20% - Accent1 8 2 2 2" xfId="16745" xr:uid="{4B060706-D3D5-4993-B9C0-3C4129EE2627}"/>
    <cellStyle name="20% - Accent1 8 2 3" xfId="12527" xr:uid="{B7AFD4CA-1CD6-4EDF-A86C-F99A4930CF7E}"/>
    <cellStyle name="20% - Accent1 8 3" xfId="6158" xr:uid="{00000000-0005-0000-0000-00009D000000}"/>
    <cellStyle name="20% - Accent1 8 3 2" xfId="14600" xr:uid="{6C60861F-81C9-4293-A840-34D78D0AA5D4}"/>
    <cellStyle name="20% - Accent1 8 4" xfId="10382" xr:uid="{E9570C28-BFA6-4A87-9428-CF1B7B1DA087}"/>
    <cellStyle name="20% - Accent1 9" xfId="2264" xr:uid="{00000000-0005-0000-0000-00009E000000}"/>
    <cellStyle name="20% - Accent1 9 2" xfId="6571" xr:uid="{00000000-0005-0000-0000-00009F000000}"/>
    <cellStyle name="20% - Accent1 9 2 2" xfId="15013" xr:uid="{B0ACCDDE-FD19-4AB2-92EB-206BA38D199A}"/>
    <cellStyle name="20% - Accent1 9 3" xfId="10795" xr:uid="{3D9E969F-A337-4919-BA0B-A24E83EE03E8}"/>
    <cellStyle name="20% - Accent2" xfId="9" builtinId="34" customBuiltin="1"/>
    <cellStyle name="20% - Accent2 10" xfId="4513" xr:uid="{00000000-0005-0000-0000-0000A1000000}"/>
    <cellStyle name="20% - Accent2 10 2" xfId="12955" xr:uid="{2521A548-7979-480E-A162-330B7546C6DB}"/>
    <cellStyle name="20% - Accent2 11" xfId="8737" xr:uid="{AC1D8913-43A3-45A4-A422-8E3A81267968}"/>
    <cellStyle name="20% - Accent2 2" xfId="10" xr:uid="{00000000-0005-0000-0000-0000A2000000}"/>
    <cellStyle name="20% - Accent2 2 10" xfId="8738" xr:uid="{C05BD7A6-0430-4218-8A23-68D1DF10480E}"/>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15517" xr:uid="{B2236C68-941D-4491-8753-1A67E4A2CC87}"/>
    <cellStyle name="20% - Accent2 2 2 2 2 2 3" xfId="11299" xr:uid="{ACD72C13-32D2-4EA9-9EB9-59C772A0C9B3}"/>
    <cellStyle name="20% - Accent2 2 2 2 2 3" xfId="4930" xr:uid="{00000000-0005-0000-0000-0000A8000000}"/>
    <cellStyle name="20% - Accent2 2 2 2 2 3 2" xfId="13372" xr:uid="{E43085D3-ADA5-48B2-9BA3-1B4FBD71F916}"/>
    <cellStyle name="20% - Accent2 2 2 2 2 4" xfId="9154" xr:uid="{B0AC68E6-7AF3-49B7-9C1C-9C8FD6F5CFAF}"/>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2 2" xfId="15930" xr:uid="{44CBD2F3-7ADA-4171-9C98-B137CC8629DD}"/>
    <cellStyle name="20% - Accent2 2 2 2 3 2 3" xfId="11712" xr:uid="{8991B8D5-DBC8-4731-8562-F68A158D593F}"/>
    <cellStyle name="20% - Accent2 2 2 2 3 3" xfId="5343" xr:uid="{00000000-0005-0000-0000-0000AC000000}"/>
    <cellStyle name="20% - Accent2 2 2 2 3 3 2" xfId="13785" xr:uid="{64F84A72-7869-45DE-9E8E-89D742AF3B4B}"/>
    <cellStyle name="20% - Accent2 2 2 2 3 4" xfId="9567" xr:uid="{CC3FABA4-F431-4524-81A8-BCB9FAE7AA1F}"/>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2 2 2" xfId="16343" xr:uid="{EA1F4C00-0CC5-47B7-8803-972B6267EA62}"/>
    <cellStyle name="20% - Accent2 2 2 2 4 2 3" xfId="12125" xr:uid="{5E8988DC-9987-4FD6-92C1-E89E384E2518}"/>
    <cellStyle name="20% - Accent2 2 2 2 4 3" xfId="5756" xr:uid="{00000000-0005-0000-0000-0000B0000000}"/>
    <cellStyle name="20% - Accent2 2 2 2 4 3 2" xfId="14198" xr:uid="{9DFBD7C5-C2CD-45C1-9B81-23C0FCF12BD2}"/>
    <cellStyle name="20% - Accent2 2 2 2 4 4" xfId="9980" xr:uid="{27A2D461-6E25-421B-8DB0-964425D599F1}"/>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2 2 2" xfId="16756" xr:uid="{58ED62BE-5AB6-4EC1-AEAA-AB92ED80E5D2}"/>
    <cellStyle name="20% - Accent2 2 2 2 5 2 3" xfId="12538" xr:uid="{B5879614-9753-49DA-8D82-63709EF37FA1}"/>
    <cellStyle name="20% - Accent2 2 2 2 5 3" xfId="6169" xr:uid="{00000000-0005-0000-0000-0000B4000000}"/>
    <cellStyle name="20% - Accent2 2 2 2 5 3 2" xfId="14611" xr:uid="{57816157-1BA3-45BA-9072-56A94DEE43CD}"/>
    <cellStyle name="20% - Accent2 2 2 2 5 4" xfId="10393" xr:uid="{8D731696-3230-418B-AAED-C74F8CF476CE}"/>
    <cellStyle name="20% - Accent2 2 2 2 6" xfId="2275" xr:uid="{00000000-0005-0000-0000-0000B5000000}"/>
    <cellStyle name="20% - Accent2 2 2 2 6 2" xfId="6582" xr:uid="{00000000-0005-0000-0000-0000B6000000}"/>
    <cellStyle name="20% - Accent2 2 2 2 6 2 2" xfId="15024" xr:uid="{8EA72DD6-8E63-4B47-905C-F746D479106E}"/>
    <cellStyle name="20% - Accent2 2 2 2 6 3" xfId="10806" xr:uid="{CE3902CE-96B8-4AD1-ABE4-7145420EEC24}"/>
    <cellStyle name="20% - Accent2 2 2 2 7" xfId="4516" xr:uid="{00000000-0005-0000-0000-0000B7000000}"/>
    <cellStyle name="20% - Accent2 2 2 2 7 2" xfId="12958" xr:uid="{13B1A923-7E80-49B5-920A-7A5C63EFB4AF}"/>
    <cellStyle name="20% - Accent2 2 2 2 8" xfId="8740" xr:uid="{2E7563C3-01B3-44CD-B033-70329F35A966}"/>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15516" xr:uid="{274B0A8E-4C81-4508-B151-75C131C52F51}"/>
    <cellStyle name="20% - Accent2 2 2 3 2 3" xfId="11298" xr:uid="{41DFD352-DF18-4A29-A437-2FFE22AB8C3A}"/>
    <cellStyle name="20% - Accent2 2 2 3 3" xfId="4929" xr:uid="{00000000-0005-0000-0000-0000BB000000}"/>
    <cellStyle name="20% - Accent2 2 2 3 3 2" xfId="13371" xr:uid="{2922EAA2-689D-4487-81B9-231C9859250C}"/>
    <cellStyle name="20% - Accent2 2 2 3 4" xfId="9153" xr:uid="{9BCE648E-9E36-4E3B-9F71-19CFCC512508}"/>
    <cellStyle name="20% - Accent2 2 2 4" xfId="1033" xr:uid="{00000000-0005-0000-0000-0000BC000000}"/>
    <cellStyle name="20% - Accent2 2 2 4 2" xfId="3264" xr:uid="{00000000-0005-0000-0000-0000BD000000}"/>
    <cellStyle name="20% - Accent2 2 2 4 2 2" xfId="7487" xr:uid="{00000000-0005-0000-0000-0000BE000000}"/>
    <cellStyle name="20% - Accent2 2 2 4 2 2 2" xfId="15929" xr:uid="{37F945F3-D104-4132-99A1-3684D944AF93}"/>
    <cellStyle name="20% - Accent2 2 2 4 2 3" xfId="11711" xr:uid="{CAF242BC-E6A8-4279-9D70-C599917CBDBF}"/>
    <cellStyle name="20% - Accent2 2 2 4 3" xfId="5342" xr:uid="{00000000-0005-0000-0000-0000BF000000}"/>
    <cellStyle name="20% - Accent2 2 2 4 3 2" xfId="13784" xr:uid="{DECE0011-DE78-4414-AD27-2FB3CA32B34F}"/>
    <cellStyle name="20% - Accent2 2 2 4 4" xfId="9566" xr:uid="{64C7CA3E-C8C2-4B57-A68A-9320869F754B}"/>
    <cellStyle name="20% - Accent2 2 2 5" xfId="1447" xr:uid="{00000000-0005-0000-0000-0000C0000000}"/>
    <cellStyle name="20% - Accent2 2 2 5 2" xfId="3677" xr:uid="{00000000-0005-0000-0000-0000C1000000}"/>
    <cellStyle name="20% - Accent2 2 2 5 2 2" xfId="7900" xr:uid="{00000000-0005-0000-0000-0000C2000000}"/>
    <cellStyle name="20% - Accent2 2 2 5 2 2 2" xfId="16342" xr:uid="{6EDE6039-6BAD-41B0-A277-B72701F46B4E}"/>
    <cellStyle name="20% - Accent2 2 2 5 2 3" xfId="12124" xr:uid="{04F20025-4ECC-467F-8FC8-E569D2C2B6DE}"/>
    <cellStyle name="20% - Accent2 2 2 5 3" xfId="5755" xr:uid="{00000000-0005-0000-0000-0000C3000000}"/>
    <cellStyle name="20% - Accent2 2 2 5 3 2" xfId="14197" xr:uid="{0EFB03B8-B94F-4949-A99B-540494C6BD2E}"/>
    <cellStyle name="20% - Accent2 2 2 5 4" xfId="9979" xr:uid="{DA6B4EE1-B4A3-4BF9-A4D3-1895E57B471F}"/>
    <cellStyle name="20% - Accent2 2 2 6" xfId="1861" xr:uid="{00000000-0005-0000-0000-0000C4000000}"/>
    <cellStyle name="20% - Accent2 2 2 6 2" xfId="4090" xr:uid="{00000000-0005-0000-0000-0000C5000000}"/>
    <cellStyle name="20% - Accent2 2 2 6 2 2" xfId="8313" xr:uid="{00000000-0005-0000-0000-0000C6000000}"/>
    <cellStyle name="20% - Accent2 2 2 6 2 2 2" xfId="16755" xr:uid="{25FAF1D5-0C9A-443E-B15F-511547F716B2}"/>
    <cellStyle name="20% - Accent2 2 2 6 2 3" xfId="12537" xr:uid="{37AFB090-857C-4DAB-AC75-9167133A1860}"/>
    <cellStyle name="20% - Accent2 2 2 6 3" xfId="6168" xr:uid="{00000000-0005-0000-0000-0000C7000000}"/>
    <cellStyle name="20% - Accent2 2 2 6 3 2" xfId="14610" xr:uid="{2F4FEBB8-5299-4291-8346-247EACC42804}"/>
    <cellStyle name="20% - Accent2 2 2 6 4" xfId="10392" xr:uid="{DCAE564C-FE2F-49D7-BB09-CECE7179EE2F}"/>
    <cellStyle name="20% - Accent2 2 2 7" xfId="2274" xr:uid="{00000000-0005-0000-0000-0000C8000000}"/>
    <cellStyle name="20% - Accent2 2 2 7 2" xfId="6581" xr:uid="{00000000-0005-0000-0000-0000C9000000}"/>
    <cellStyle name="20% - Accent2 2 2 7 2 2" xfId="15023" xr:uid="{B4DBE160-E1E7-42C5-82B4-61F2F71C4AA6}"/>
    <cellStyle name="20% - Accent2 2 2 7 3" xfId="10805" xr:uid="{84EF6987-ABAE-48BC-9B5F-8AAF557201A4}"/>
    <cellStyle name="20% - Accent2 2 2 8" xfId="4515" xr:uid="{00000000-0005-0000-0000-0000CA000000}"/>
    <cellStyle name="20% - Accent2 2 2 8 2" xfId="12957" xr:uid="{C24D61CE-8F85-4FFE-987E-AED160FE034D}"/>
    <cellStyle name="20% - Accent2 2 2 9" xfId="8739" xr:uid="{1876BE74-20BE-426A-B1AC-48449439391D}"/>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15518" xr:uid="{772E22B6-4CA2-477F-A1DB-DAB2DEFDBF2E}"/>
    <cellStyle name="20% - Accent2 2 3 2 2 3" xfId="11300" xr:uid="{86D451B9-98E6-4F61-8668-AA0A1BA35D34}"/>
    <cellStyle name="20% - Accent2 2 3 2 3" xfId="4931" xr:uid="{00000000-0005-0000-0000-0000CF000000}"/>
    <cellStyle name="20% - Accent2 2 3 2 3 2" xfId="13373" xr:uid="{3A23E3B1-616B-4DB7-B59C-7383D5532CA7}"/>
    <cellStyle name="20% - Accent2 2 3 2 4" xfId="9155" xr:uid="{85A4D379-0EDB-420D-8CED-11E4E4286125}"/>
    <cellStyle name="20% - Accent2 2 3 3" xfId="1035" xr:uid="{00000000-0005-0000-0000-0000D0000000}"/>
    <cellStyle name="20% - Accent2 2 3 3 2" xfId="3266" xr:uid="{00000000-0005-0000-0000-0000D1000000}"/>
    <cellStyle name="20% - Accent2 2 3 3 2 2" xfId="7489" xr:uid="{00000000-0005-0000-0000-0000D2000000}"/>
    <cellStyle name="20% - Accent2 2 3 3 2 2 2" xfId="15931" xr:uid="{ECFC3FCF-5AA2-443A-A832-18745EA77DBB}"/>
    <cellStyle name="20% - Accent2 2 3 3 2 3" xfId="11713" xr:uid="{805BC0C6-30C6-469C-B8EF-98CCE5BBF179}"/>
    <cellStyle name="20% - Accent2 2 3 3 3" xfId="5344" xr:uid="{00000000-0005-0000-0000-0000D3000000}"/>
    <cellStyle name="20% - Accent2 2 3 3 3 2" xfId="13786" xr:uid="{B6655E7C-B801-4ACA-B5CC-C054EE0EA868}"/>
    <cellStyle name="20% - Accent2 2 3 3 4" xfId="9568" xr:uid="{D410ECCD-D7E8-4DA0-821E-098FF7DC2672}"/>
    <cellStyle name="20% - Accent2 2 3 4" xfId="1449" xr:uid="{00000000-0005-0000-0000-0000D4000000}"/>
    <cellStyle name="20% - Accent2 2 3 4 2" xfId="3679" xr:uid="{00000000-0005-0000-0000-0000D5000000}"/>
    <cellStyle name="20% - Accent2 2 3 4 2 2" xfId="7902" xr:uid="{00000000-0005-0000-0000-0000D6000000}"/>
    <cellStyle name="20% - Accent2 2 3 4 2 2 2" xfId="16344" xr:uid="{39FFC86B-AC38-4DE7-8803-469693D1EE25}"/>
    <cellStyle name="20% - Accent2 2 3 4 2 3" xfId="12126" xr:uid="{39AFF7DA-4725-4D44-A61E-AAFC93A94DCA}"/>
    <cellStyle name="20% - Accent2 2 3 4 3" xfId="5757" xr:uid="{00000000-0005-0000-0000-0000D7000000}"/>
    <cellStyle name="20% - Accent2 2 3 4 3 2" xfId="14199" xr:uid="{580359C3-DE87-488F-AD86-B7D6E0C36EF2}"/>
    <cellStyle name="20% - Accent2 2 3 4 4" xfId="9981" xr:uid="{5C01863B-FD57-42DE-9BAF-8BFC893FF745}"/>
    <cellStyle name="20% - Accent2 2 3 5" xfId="1863" xr:uid="{00000000-0005-0000-0000-0000D8000000}"/>
    <cellStyle name="20% - Accent2 2 3 5 2" xfId="4092" xr:uid="{00000000-0005-0000-0000-0000D9000000}"/>
    <cellStyle name="20% - Accent2 2 3 5 2 2" xfId="8315" xr:uid="{00000000-0005-0000-0000-0000DA000000}"/>
    <cellStyle name="20% - Accent2 2 3 5 2 2 2" xfId="16757" xr:uid="{9EC8218B-316A-4C2D-901E-6127FCCF47B1}"/>
    <cellStyle name="20% - Accent2 2 3 5 2 3" xfId="12539" xr:uid="{3885B649-C9C8-4021-87FD-95EFD45C9835}"/>
    <cellStyle name="20% - Accent2 2 3 5 3" xfId="6170" xr:uid="{00000000-0005-0000-0000-0000DB000000}"/>
    <cellStyle name="20% - Accent2 2 3 5 3 2" xfId="14612" xr:uid="{5829A6BF-B600-423C-82C5-3D826026AB4A}"/>
    <cellStyle name="20% - Accent2 2 3 5 4" xfId="10394" xr:uid="{2D100E67-F7C7-4BDD-8DF1-F4EF3A23EC29}"/>
    <cellStyle name="20% - Accent2 2 3 6" xfId="2276" xr:uid="{00000000-0005-0000-0000-0000DC000000}"/>
    <cellStyle name="20% - Accent2 2 3 6 2" xfId="6583" xr:uid="{00000000-0005-0000-0000-0000DD000000}"/>
    <cellStyle name="20% - Accent2 2 3 6 2 2" xfId="15025" xr:uid="{1345B5B1-4D35-4007-B86C-D1AF65777125}"/>
    <cellStyle name="20% - Accent2 2 3 6 3" xfId="10807" xr:uid="{0DB16B61-B50D-457B-9C4C-63FB2F3AB258}"/>
    <cellStyle name="20% - Accent2 2 3 7" xfId="4517" xr:uid="{00000000-0005-0000-0000-0000DE000000}"/>
    <cellStyle name="20% - Accent2 2 3 7 2" xfId="12959" xr:uid="{213D5297-F9BF-48F4-99EB-AFBA11CC9EAF}"/>
    <cellStyle name="20% - Accent2 2 3 8" xfId="8741" xr:uid="{480091BF-1F20-435C-8F03-FC9862B324D5}"/>
    <cellStyle name="20% - Accent2 2 4" xfId="579" xr:uid="{00000000-0005-0000-0000-0000DF000000}"/>
    <cellStyle name="20% - Accent2 2 4 2" xfId="2850" xr:uid="{00000000-0005-0000-0000-0000E0000000}"/>
    <cellStyle name="20% - Accent2 2 4 2 2" xfId="7073" xr:uid="{00000000-0005-0000-0000-0000E1000000}"/>
    <cellStyle name="20% - Accent2 2 4 2 2 2" xfId="15515" xr:uid="{16AEE8DF-C4CC-442E-8911-C84EB98B4E69}"/>
    <cellStyle name="20% - Accent2 2 4 2 3" xfId="11297" xr:uid="{2EB6E771-DDF3-4A9D-A7C1-2BFDC4ADFBC1}"/>
    <cellStyle name="20% - Accent2 2 4 3" xfId="4928" xr:uid="{00000000-0005-0000-0000-0000E2000000}"/>
    <cellStyle name="20% - Accent2 2 4 3 2" xfId="13370" xr:uid="{347DAC2E-B818-446E-AFDA-0BF1DF627056}"/>
    <cellStyle name="20% - Accent2 2 4 4" xfId="9152" xr:uid="{0BAF5E9F-5CF9-4CCC-83AA-B8CBB404F015}"/>
    <cellStyle name="20% - Accent2 2 5" xfId="1032" xr:uid="{00000000-0005-0000-0000-0000E3000000}"/>
    <cellStyle name="20% - Accent2 2 5 2" xfId="3263" xr:uid="{00000000-0005-0000-0000-0000E4000000}"/>
    <cellStyle name="20% - Accent2 2 5 2 2" xfId="7486" xr:uid="{00000000-0005-0000-0000-0000E5000000}"/>
    <cellStyle name="20% - Accent2 2 5 2 2 2" xfId="15928" xr:uid="{C4FC141C-2851-4FBF-B9F8-33F97CB9876F}"/>
    <cellStyle name="20% - Accent2 2 5 2 3" xfId="11710" xr:uid="{1A20F421-E01F-4621-93AE-7D9BA23D918B}"/>
    <cellStyle name="20% - Accent2 2 5 3" xfId="5341" xr:uid="{00000000-0005-0000-0000-0000E6000000}"/>
    <cellStyle name="20% - Accent2 2 5 3 2" xfId="13783" xr:uid="{55D6E22B-876E-4BF5-AA67-0C6A74B28383}"/>
    <cellStyle name="20% - Accent2 2 5 4" xfId="9565" xr:uid="{216B0DFA-EF25-4363-A6FC-84523AC18008}"/>
    <cellStyle name="20% - Accent2 2 6" xfId="1446" xr:uid="{00000000-0005-0000-0000-0000E7000000}"/>
    <cellStyle name="20% - Accent2 2 6 2" xfId="3676" xr:uid="{00000000-0005-0000-0000-0000E8000000}"/>
    <cellStyle name="20% - Accent2 2 6 2 2" xfId="7899" xr:uid="{00000000-0005-0000-0000-0000E9000000}"/>
    <cellStyle name="20% - Accent2 2 6 2 2 2" xfId="16341" xr:uid="{05038B52-F96A-446D-8C14-7D37C65B2BB0}"/>
    <cellStyle name="20% - Accent2 2 6 2 3" xfId="12123" xr:uid="{8CDF8AA6-5393-45E9-B121-F255CA1B5863}"/>
    <cellStyle name="20% - Accent2 2 6 3" xfId="5754" xr:uid="{00000000-0005-0000-0000-0000EA000000}"/>
    <cellStyle name="20% - Accent2 2 6 3 2" xfId="14196" xr:uid="{53AF0A39-847D-4972-AD31-6D7476566B61}"/>
    <cellStyle name="20% - Accent2 2 6 4" xfId="9978" xr:uid="{062652EB-85AE-42D9-826D-95969B170CCD}"/>
    <cellStyle name="20% - Accent2 2 7" xfId="1860" xr:uid="{00000000-0005-0000-0000-0000EB000000}"/>
    <cellStyle name="20% - Accent2 2 7 2" xfId="4089" xr:uid="{00000000-0005-0000-0000-0000EC000000}"/>
    <cellStyle name="20% - Accent2 2 7 2 2" xfId="8312" xr:uid="{00000000-0005-0000-0000-0000ED000000}"/>
    <cellStyle name="20% - Accent2 2 7 2 2 2" xfId="16754" xr:uid="{C1FEB1A7-BCEA-45A5-8046-256603400C1D}"/>
    <cellStyle name="20% - Accent2 2 7 2 3" xfId="12536" xr:uid="{DF10DB38-8DBB-4135-A693-1FB5FED9281F}"/>
    <cellStyle name="20% - Accent2 2 7 3" xfId="6167" xr:uid="{00000000-0005-0000-0000-0000EE000000}"/>
    <cellStyle name="20% - Accent2 2 7 3 2" xfId="14609" xr:uid="{D18CEE81-6AF9-4CDD-9B6B-1AA8F0F5C0E1}"/>
    <cellStyle name="20% - Accent2 2 7 4" xfId="10391" xr:uid="{63228D95-AF34-4092-B811-A7F7CFA74DEA}"/>
    <cellStyle name="20% - Accent2 2 8" xfId="2273" xr:uid="{00000000-0005-0000-0000-0000EF000000}"/>
    <cellStyle name="20% - Accent2 2 8 2" xfId="6580" xr:uid="{00000000-0005-0000-0000-0000F0000000}"/>
    <cellStyle name="20% - Accent2 2 8 2 2" xfId="15022" xr:uid="{792EB278-E409-4BA2-B1FA-F04785DCEBF6}"/>
    <cellStyle name="20% - Accent2 2 8 3" xfId="10804" xr:uid="{A6044E89-4CFC-4B3E-A081-26D041AE5118}"/>
    <cellStyle name="20% - Accent2 2 9" xfId="4514" xr:uid="{00000000-0005-0000-0000-0000F1000000}"/>
    <cellStyle name="20% - Accent2 2 9 2" xfId="12956" xr:uid="{F79B5921-8562-48F2-A22C-EAD72516F3E7}"/>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15520" xr:uid="{74388D09-0BF5-4A12-B01F-9AB953CA787A}"/>
    <cellStyle name="20% - Accent2 3 2 2 2 3" xfId="11302" xr:uid="{65EC416A-4C5D-4899-9CA2-76A88D130C9B}"/>
    <cellStyle name="20% - Accent2 3 2 2 3" xfId="4933" xr:uid="{00000000-0005-0000-0000-0000F7000000}"/>
    <cellStyle name="20% - Accent2 3 2 2 3 2" xfId="13375" xr:uid="{78C572AC-84FE-4A49-B820-67F61A329A95}"/>
    <cellStyle name="20% - Accent2 3 2 2 4" xfId="9157" xr:uid="{7066433A-E498-401C-A16A-B75898BFE913}"/>
    <cellStyle name="20% - Accent2 3 2 3" xfId="1037" xr:uid="{00000000-0005-0000-0000-0000F8000000}"/>
    <cellStyle name="20% - Accent2 3 2 3 2" xfId="3268" xr:uid="{00000000-0005-0000-0000-0000F9000000}"/>
    <cellStyle name="20% - Accent2 3 2 3 2 2" xfId="7491" xr:uid="{00000000-0005-0000-0000-0000FA000000}"/>
    <cellStyle name="20% - Accent2 3 2 3 2 2 2" xfId="15933" xr:uid="{BD355938-5996-42A3-BAB3-AD915A0FE498}"/>
    <cellStyle name="20% - Accent2 3 2 3 2 3" xfId="11715" xr:uid="{B0596F2C-052D-44EB-9D49-E77BE7A3AE32}"/>
    <cellStyle name="20% - Accent2 3 2 3 3" xfId="5346" xr:uid="{00000000-0005-0000-0000-0000FB000000}"/>
    <cellStyle name="20% - Accent2 3 2 3 3 2" xfId="13788" xr:uid="{5E602893-E934-458B-80C9-4752A374B2F6}"/>
    <cellStyle name="20% - Accent2 3 2 3 4" xfId="9570" xr:uid="{82B3AD87-A7A3-4F44-B1B4-6055CFA3A9B9}"/>
    <cellStyle name="20% - Accent2 3 2 4" xfId="1451" xr:uid="{00000000-0005-0000-0000-0000FC000000}"/>
    <cellStyle name="20% - Accent2 3 2 4 2" xfId="3681" xr:uid="{00000000-0005-0000-0000-0000FD000000}"/>
    <cellStyle name="20% - Accent2 3 2 4 2 2" xfId="7904" xr:uid="{00000000-0005-0000-0000-0000FE000000}"/>
    <cellStyle name="20% - Accent2 3 2 4 2 2 2" xfId="16346" xr:uid="{C1FA2097-7350-4527-86DD-3B18E398178B}"/>
    <cellStyle name="20% - Accent2 3 2 4 2 3" xfId="12128" xr:uid="{FF25978F-1328-4FE1-A452-E5B223900CB4}"/>
    <cellStyle name="20% - Accent2 3 2 4 3" xfId="5759" xr:uid="{00000000-0005-0000-0000-0000FF000000}"/>
    <cellStyle name="20% - Accent2 3 2 4 3 2" xfId="14201" xr:uid="{C9B12731-E710-4016-9EBD-3834EBB22E32}"/>
    <cellStyle name="20% - Accent2 3 2 4 4" xfId="9983" xr:uid="{D89FEB02-4830-48FE-9ED3-F4CC2B984771}"/>
    <cellStyle name="20% - Accent2 3 2 5" xfId="1865" xr:uid="{00000000-0005-0000-0000-000000010000}"/>
    <cellStyle name="20% - Accent2 3 2 5 2" xfId="4094" xr:uid="{00000000-0005-0000-0000-000001010000}"/>
    <cellStyle name="20% - Accent2 3 2 5 2 2" xfId="8317" xr:uid="{00000000-0005-0000-0000-000002010000}"/>
    <cellStyle name="20% - Accent2 3 2 5 2 2 2" xfId="16759" xr:uid="{234BDC31-F07B-466C-B1DE-67180305FE49}"/>
    <cellStyle name="20% - Accent2 3 2 5 2 3" xfId="12541" xr:uid="{6D5E3EDB-56A8-418F-908E-044EB27C81A1}"/>
    <cellStyle name="20% - Accent2 3 2 5 3" xfId="6172" xr:uid="{00000000-0005-0000-0000-000003010000}"/>
    <cellStyle name="20% - Accent2 3 2 5 3 2" xfId="14614" xr:uid="{05A273C0-B304-466E-9483-AAD1E0E2EEE8}"/>
    <cellStyle name="20% - Accent2 3 2 5 4" xfId="10396" xr:uid="{702219DE-0B2A-4B54-8EDB-F0D08DF340D3}"/>
    <cellStyle name="20% - Accent2 3 2 6" xfId="2278" xr:uid="{00000000-0005-0000-0000-000004010000}"/>
    <cellStyle name="20% - Accent2 3 2 6 2" xfId="6585" xr:uid="{00000000-0005-0000-0000-000005010000}"/>
    <cellStyle name="20% - Accent2 3 2 6 2 2" xfId="15027" xr:uid="{4C9A158E-B69C-4669-95B9-48FFFB6D6DA1}"/>
    <cellStyle name="20% - Accent2 3 2 6 3" xfId="10809" xr:uid="{C926C66C-3072-41CE-A47A-FBF0DC98273A}"/>
    <cellStyle name="20% - Accent2 3 2 7" xfId="4519" xr:uid="{00000000-0005-0000-0000-000006010000}"/>
    <cellStyle name="20% - Accent2 3 2 7 2" xfId="12961" xr:uid="{C223EA10-DC29-459D-9ACA-F665F79E1496}"/>
    <cellStyle name="20% - Accent2 3 2 8" xfId="8743" xr:uid="{F35703ED-A0DE-45CE-BCC9-57D2CED45E26}"/>
    <cellStyle name="20% - Accent2 3 3" xfId="583" xr:uid="{00000000-0005-0000-0000-000007010000}"/>
    <cellStyle name="20% - Accent2 3 3 2" xfId="2854" xr:uid="{00000000-0005-0000-0000-000008010000}"/>
    <cellStyle name="20% - Accent2 3 3 2 2" xfId="7077" xr:uid="{00000000-0005-0000-0000-000009010000}"/>
    <cellStyle name="20% - Accent2 3 3 2 2 2" xfId="15519" xr:uid="{1ECB2584-0EB7-4DF7-B484-C28E71831B41}"/>
    <cellStyle name="20% - Accent2 3 3 2 3" xfId="11301" xr:uid="{F2C27948-07E3-4E02-B927-2D161DD5BC32}"/>
    <cellStyle name="20% - Accent2 3 3 3" xfId="4932" xr:uid="{00000000-0005-0000-0000-00000A010000}"/>
    <cellStyle name="20% - Accent2 3 3 3 2" xfId="13374" xr:uid="{A876CD39-7328-4C67-8366-59C6CF733674}"/>
    <cellStyle name="20% - Accent2 3 3 4" xfId="9156" xr:uid="{A3952967-50B4-4C18-B365-DF3E47B8A322}"/>
    <cellStyle name="20% - Accent2 3 4" xfId="1036" xr:uid="{00000000-0005-0000-0000-00000B010000}"/>
    <cellStyle name="20% - Accent2 3 4 2" xfId="3267" xr:uid="{00000000-0005-0000-0000-00000C010000}"/>
    <cellStyle name="20% - Accent2 3 4 2 2" xfId="7490" xr:uid="{00000000-0005-0000-0000-00000D010000}"/>
    <cellStyle name="20% - Accent2 3 4 2 2 2" xfId="15932" xr:uid="{A79779CB-73C0-4220-A69B-045912E461FF}"/>
    <cellStyle name="20% - Accent2 3 4 2 3" xfId="11714" xr:uid="{EC694F7D-6D9B-4E61-918D-B982B4CFED27}"/>
    <cellStyle name="20% - Accent2 3 4 3" xfId="5345" xr:uid="{00000000-0005-0000-0000-00000E010000}"/>
    <cellStyle name="20% - Accent2 3 4 3 2" xfId="13787" xr:uid="{AE5A79F4-97D5-4081-995A-0075B4125DDC}"/>
    <cellStyle name="20% - Accent2 3 4 4" xfId="9569" xr:uid="{8C3D1AB9-6739-4B48-873F-80106DB8AED1}"/>
    <cellStyle name="20% - Accent2 3 5" xfId="1450" xr:uid="{00000000-0005-0000-0000-00000F010000}"/>
    <cellStyle name="20% - Accent2 3 5 2" xfId="3680" xr:uid="{00000000-0005-0000-0000-000010010000}"/>
    <cellStyle name="20% - Accent2 3 5 2 2" xfId="7903" xr:uid="{00000000-0005-0000-0000-000011010000}"/>
    <cellStyle name="20% - Accent2 3 5 2 2 2" xfId="16345" xr:uid="{FA6F2C43-4242-4500-8C58-148112D62064}"/>
    <cellStyle name="20% - Accent2 3 5 2 3" xfId="12127" xr:uid="{DF825D7A-6D19-429E-B4F8-C81E6DFA2CEE}"/>
    <cellStyle name="20% - Accent2 3 5 3" xfId="5758" xr:uid="{00000000-0005-0000-0000-000012010000}"/>
    <cellStyle name="20% - Accent2 3 5 3 2" xfId="14200" xr:uid="{8C2286C1-0C4A-44AA-86E9-26416EDB90D0}"/>
    <cellStyle name="20% - Accent2 3 5 4" xfId="9982" xr:uid="{89D79D8C-4437-4DEF-AACA-71AB5DC73705}"/>
    <cellStyle name="20% - Accent2 3 6" xfId="1864" xr:uid="{00000000-0005-0000-0000-000013010000}"/>
    <cellStyle name="20% - Accent2 3 6 2" xfId="4093" xr:uid="{00000000-0005-0000-0000-000014010000}"/>
    <cellStyle name="20% - Accent2 3 6 2 2" xfId="8316" xr:uid="{00000000-0005-0000-0000-000015010000}"/>
    <cellStyle name="20% - Accent2 3 6 2 2 2" xfId="16758" xr:uid="{83C6FB37-5B19-41BD-B72D-A98FD4A604C0}"/>
    <cellStyle name="20% - Accent2 3 6 2 3" xfId="12540" xr:uid="{F44D84D3-1FF2-4FBD-91DD-4F522B9B3624}"/>
    <cellStyle name="20% - Accent2 3 6 3" xfId="6171" xr:uid="{00000000-0005-0000-0000-000016010000}"/>
    <cellStyle name="20% - Accent2 3 6 3 2" xfId="14613" xr:uid="{47E9B7D9-F5E1-4B73-80C8-7F92E100B052}"/>
    <cellStyle name="20% - Accent2 3 6 4" xfId="10395" xr:uid="{27CA13B3-836B-43F8-A2CF-83D3C44E5E77}"/>
    <cellStyle name="20% - Accent2 3 7" xfId="2277" xr:uid="{00000000-0005-0000-0000-000017010000}"/>
    <cellStyle name="20% - Accent2 3 7 2" xfId="6584" xr:uid="{00000000-0005-0000-0000-000018010000}"/>
    <cellStyle name="20% - Accent2 3 7 2 2" xfId="15026" xr:uid="{E066C30C-8467-4943-9249-D5D2AF55CF82}"/>
    <cellStyle name="20% - Accent2 3 7 3" xfId="10808" xr:uid="{4121BB90-5AFA-4C59-866B-146B1D15FC0B}"/>
    <cellStyle name="20% - Accent2 3 8" xfId="4518" xr:uid="{00000000-0005-0000-0000-000019010000}"/>
    <cellStyle name="20% - Accent2 3 8 2" xfId="12960" xr:uid="{381A50FB-9884-436A-BE19-9B6FD04EE3DB}"/>
    <cellStyle name="20% - Accent2 3 9" xfId="8742" xr:uid="{8FA6FB6E-D91B-4978-AD87-EF62432FF12A}"/>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2 2 2" xfId="15521" xr:uid="{E6027F14-9710-4914-A4E5-59388389160C}"/>
    <cellStyle name="20% - Accent2 4 2 2 3" xfId="11303" xr:uid="{E5439694-26AF-4F08-85B8-F76A6123DA16}"/>
    <cellStyle name="20% - Accent2 4 2 3" xfId="4934" xr:uid="{00000000-0005-0000-0000-00001E010000}"/>
    <cellStyle name="20% - Accent2 4 2 3 2" xfId="13376" xr:uid="{5CED573D-FB84-4D39-B127-31FF8E4ACD44}"/>
    <cellStyle name="20% - Accent2 4 2 4" xfId="9158" xr:uid="{9E070F1D-5F16-4008-9B0F-B03FB8D4A548}"/>
    <cellStyle name="20% - Accent2 4 3" xfId="1038" xr:uid="{00000000-0005-0000-0000-00001F010000}"/>
    <cellStyle name="20% - Accent2 4 3 2" xfId="3269" xr:uid="{00000000-0005-0000-0000-000020010000}"/>
    <cellStyle name="20% - Accent2 4 3 2 2" xfId="7492" xr:uid="{00000000-0005-0000-0000-000021010000}"/>
    <cellStyle name="20% - Accent2 4 3 2 2 2" xfId="15934" xr:uid="{F4C67590-5F3A-4F1F-AB9F-2467370DABB9}"/>
    <cellStyle name="20% - Accent2 4 3 2 3" xfId="11716" xr:uid="{A310AD20-6FBD-4E6C-81AD-C8833D6BC26B}"/>
    <cellStyle name="20% - Accent2 4 3 3" xfId="5347" xr:uid="{00000000-0005-0000-0000-000022010000}"/>
    <cellStyle name="20% - Accent2 4 3 3 2" xfId="13789" xr:uid="{4FBB7768-00AB-49C1-A32D-D9EAE3FD343B}"/>
    <cellStyle name="20% - Accent2 4 3 4" xfId="9571" xr:uid="{3EC1C110-4D3B-49C2-8062-3F4C52EBDF6C}"/>
    <cellStyle name="20% - Accent2 4 4" xfId="1452" xr:uid="{00000000-0005-0000-0000-000023010000}"/>
    <cellStyle name="20% - Accent2 4 4 2" xfId="3682" xr:uid="{00000000-0005-0000-0000-000024010000}"/>
    <cellStyle name="20% - Accent2 4 4 2 2" xfId="7905" xr:uid="{00000000-0005-0000-0000-000025010000}"/>
    <cellStyle name="20% - Accent2 4 4 2 2 2" xfId="16347" xr:uid="{88F12AF9-B0F1-4651-AB1F-DEF5994302E3}"/>
    <cellStyle name="20% - Accent2 4 4 2 3" xfId="12129" xr:uid="{F9BBA51C-AFD9-4571-A70F-7E7BBD6564C7}"/>
    <cellStyle name="20% - Accent2 4 4 3" xfId="5760" xr:uid="{00000000-0005-0000-0000-000026010000}"/>
    <cellStyle name="20% - Accent2 4 4 3 2" xfId="14202" xr:uid="{E2A07876-A58A-46F5-B995-D76A20EC4EE0}"/>
    <cellStyle name="20% - Accent2 4 4 4" xfId="9984" xr:uid="{BA0AD67C-2073-421A-B488-D9E2628CAAB1}"/>
    <cellStyle name="20% - Accent2 4 5" xfId="1866" xr:uid="{00000000-0005-0000-0000-000027010000}"/>
    <cellStyle name="20% - Accent2 4 5 2" xfId="4095" xr:uid="{00000000-0005-0000-0000-000028010000}"/>
    <cellStyle name="20% - Accent2 4 5 2 2" xfId="8318" xr:uid="{00000000-0005-0000-0000-000029010000}"/>
    <cellStyle name="20% - Accent2 4 5 2 2 2" xfId="16760" xr:uid="{226B4313-D94C-4B67-891D-842C87AC8BC4}"/>
    <cellStyle name="20% - Accent2 4 5 2 3" xfId="12542" xr:uid="{5A69355D-773E-46EC-AF87-B8A9E7EEA952}"/>
    <cellStyle name="20% - Accent2 4 5 3" xfId="6173" xr:uid="{00000000-0005-0000-0000-00002A010000}"/>
    <cellStyle name="20% - Accent2 4 5 3 2" xfId="14615" xr:uid="{2F616765-94BA-4BC2-A840-BB217EE14CA5}"/>
    <cellStyle name="20% - Accent2 4 5 4" xfId="10397" xr:uid="{5ECF8D5D-854B-4BA5-8459-1D562FEE927C}"/>
    <cellStyle name="20% - Accent2 4 6" xfId="2279" xr:uid="{00000000-0005-0000-0000-00002B010000}"/>
    <cellStyle name="20% - Accent2 4 6 2" xfId="6586" xr:uid="{00000000-0005-0000-0000-00002C010000}"/>
    <cellStyle name="20% - Accent2 4 6 2 2" xfId="15028" xr:uid="{0E73C170-83CF-4BF5-9A9D-2CAD1A9F2A87}"/>
    <cellStyle name="20% - Accent2 4 6 3" xfId="10810" xr:uid="{2D7D8E1D-7975-499D-B263-2841A67D8E85}"/>
    <cellStyle name="20% - Accent2 4 7" xfId="4520" xr:uid="{00000000-0005-0000-0000-00002D010000}"/>
    <cellStyle name="20% - Accent2 4 7 2" xfId="12962" xr:uid="{4A8FD04B-F3DC-4F50-AF06-FA976F911A32}"/>
    <cellStyle name="20% - Accent2 4 8" xfId="8744" xr:uid="{08B37867-4C28-4593-B1E8-3452025B4AB0}"/>
    <cellStyle name="20% - Accent2 5" xfId="578" xr:uid="{00000000-0005-0000-0000-00002E010000}"/>
    <cellStyle name="20% - Accent2 5 2" xfId="2849" xr:uid="{00000000-0005-0000-0000-00002F010000}"/>
    <cellStyle name="20% - Accent2 5 2 2" xfId="7072" xr:uid="{00000000-0005-0000-0000-000030010000}"/>
    <cellStyle name="20% - Accent2 5 2 2 2" xfId="15514" xr:uid="{77D74F5F-8830-4B96-A8F1-B427D8EAA100}"/>
    <cellStyle name="20% - Accent2 5 2 3" xfId="11296" xr:uid="{DB174063-6FA0-4A22-96A7-67099DA3AD69}"/>
    <cellStyle name="20% - Accent2 5 3" xfId="4927" xr:uid="{00000000-0005-0000-0000-000031010000}"/>
    <cellStyle name="20% - Accent2 5 3 2" xfId="13369" xr:uid="{15F41BD8-C79B-41A3-9666-348371A4B1F2}"/>
    <cellStyle name="20% - Accent2 5 4" xfId="9151" xr:uid="{2EA173B8-8C6B-4841-93A3-6ECA4D3DE80B}"/>
    <cellStyle name="20% - Accent2 6" xfId="1031" xr:uid="{00000000-0005-0000-0000-000032010000}"/>
    <cellStyle name="20% - Accent2 6 2" xfId="3262" xr:uid="{00000000-0005-0000-0000-000033010000}"/>
    <cellStyle name="20% - Accent2 6 2 2" xfId="7485" xr:uid="{00000000-0005-0000-0000-000034010000}"/>
    <cellStyle name="20% - Accent2 6 2 2 2" xfId="15927" xr:uid="{2B0F70AF-65F5-4C8B-9428-AD53CB822761}"/>
    <cellStyle name="20% - Accent2 6 2 3" xfId="11709" xr:uid="{26C1F961-8FBB-426C-A0D6-F58F4BB3DC84}"/>
    <cellStyle name="20% - Accent2 6 3" xfId="5340" xr:uid="{00000000-0005-0000-0000-000035010000}"/>
    <cellStyle name="20% - Accent2 6 3 2" xfId="13782" xr:uid="{B1A9736D-DD82-4B18-AFA5-6E573FE2B22B}"/>
    <cellStyle name="20% - Accent2 6 4" xfId="9564" xr:uid="{13A14DF6-3D25-4C25-AC79-D32B8863946E}"/>
    <cellStyle name="20% - Accent2 7" xfId="1445" xr:uid="{00000000-0005-0000-0000-000036010000}"/>
    <cellStyle name="20% - Accent2 7 2" xfId="3675" xr:uid="{00000000-0005-0000-0000-000037010000}"/>
    <cellStyle name="20% - Accent2 7 2 2" xfId="7898" xr:uid="{00000000-0005-0000-0000-000038010000}"/>
    <cellStyle name="20% - Accent2 7 2 2 2" xfId="16340" xr:uid="{A8C2D5E3-B2AE-43B4-8760-EDAD990CFF6B}"/>
    <cellStyle name="20% - Accent2 7 2 3" xfId="12122" xr:uid="{8E093F0D-0C9E-48D6-A21F-7CF22BAC24E5}"/>
    <cellStyle name="20% - Accent2 7 3" xfId="5753" xr:uid="{00000000-0005-0000-0000-000039010000}"/>
    <cellStyle name="20% - Accent2 7 3 2" xfId="14195" xr:uid="{0FC3FF7B-B262-4898-B3DE-5EA6BB44C462}"/>
    <cellStyle name="20% - Accent2 7 4" xfId="9977" xr:uid="{F2915F33-55AC-4119-91E6-5DC61E5EE64A}"/>
    <cellStyle name="20% - Accent2 8" xfId="1859" xr:uid="{00000000-0005-0000-0000-00003A010000}"/>
    <cellStyle name="20% - Accent2 8 2" xfId="4088" xr:uid="{00000000-0005-0000-0000-00003B010000}"/>
    <cellStyle name="20% - Accent2 8 2 2" xfId="8311" xr:uid="{00000000-0005-0000-0000-00003C010000}"/>
    <cellStyle name="20% - Accent2 8 2 2 2" xfId="16753" xr:uid="{109C72C1-5453-4E4C-AE29-4D81BE33EE60}"/>
    <cellStyle name="20% - Accent2 8 2 3" xfId="12535" xr:uid="{006FE13B-A593-42F0-AD6B-70905E1A600C}"/>
    <cellStyle name="20% - Accent2 8 3" xfId="6166" xr:uid="{00000000-0005-0000-0000-00003D010000}"/>
    <cellStyle name="20% - Accent2 8 3 2" xfId="14608" xr:uid="{06BB054F-F82E-47E8-A8D2-21E5DCAE570B}"/>
    <cellStyle name="20% - Accent2 8 4" xfId="10390" xr:uid="{3341558E-ACA8-4750-B560-77F8C4962146}"/>
    <cellStyle name="20% - Accent2 9" xfId="2272" xr:uid="{00000000-0005-0000-0000-00003E010000}"/>
    <cellStyle name="20% - Accent2 9 2" xfId="6579" xr:uid="{00000000-0005-0000-0000-00003F010000}"/>
    <cellStyle name="20% - Accent2 9 2 2" xfId="15021" xr:uid="{049EA9D0-0CFA-4BA0-9513-F7B99A976269}"/>
    <cellStyle name="20% - Accent2 9 3" xfId="10803" xr:uid="{4B202F42-5F3A-4DAD-8B45-11ED12693529}"/>
    <cellStyle name="20% - Accent3" xfId="17" builtinId="38" customBuiltin="1"/>
    <cellStyle name="20% - Accent3 10" xfId="4521" xr:uid="{00000000-0005-0000-0000-000041010000}"/>
    <cellStyle name="20% - Accent3 10 2" xfId="12963" xr:uid="{A2744360-9A2C-4E2C-8824-FC290D2EB3F2}"/>
    <cellStyle name="20% - Accent3 11" xfId="8745" xr:uid="{41725854-0CCF-4431-A4BA-5A8A5114A1EC}"/>
    <cellStyle name="20% - Accent3 2" xfId="18" xr:uid="{00000000-0005-0000-0000-000042010000}"/>
    <cellStyle name="20% - Accent3 2 10" xfId="8746" xr:uid="{FCC189D4-5949-496B-B10B-68EE7DAD1BDF}"/>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15525" xr:uid="{5AE1FB4E-70AA-4334-9C3A-D45EE7F698DD}"/>
    <cellStyle name="20% - Accent3 2 2 2 2 2 3" xfId="11307" xr:uid="{292361C2-C0F9-4138-8B32-DCCF76727B14}"/>
    <cellStyle name="20% - Accent3 2 2 2 2 3" xfId="4938" xr:uid="{00000000-0005-0000-0000-000048010000}"/>
    <cellStyle name="20% - Accent3 2 2 2 2 3 2" xfId="13380" xr:uid="{A2C59605-1247-43E2-B424-8B97942BEF8E}"/>
    <cellStyle name="20% - Accent3 2 2 2 2 4" xfId="9162" xr:uid="{71D0CFEE-40F9-4F1F-8047-D218CF48DCB7}"/>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2 2" xfId="15938" xr:uid="{9F3C306A-89DA-45FF-A8D5-EEEEA3D67E5A}"/>
    <cellStyle name="20% - Accent3 2 2 2 3 2 3" xfId="11720" xr:uid="{955C7494-1007-4807-9629-A308F5B69B3B}"/>
    <cellStyle name="20% - Accent3 2 2 2 3 3" xfId="5351" xr:uid="{00000000-0005-0000-0000-00004C010000}"/>
    <cellStyle name="20% - Accent3 2 2 2 3 3 2" xfId="13793" xr:uid="{50AD0106-0977-4788-B8B1-DFF5706319FB}"/>
    <cellStyle name="20% - Accent3 2 2 2 3 4" xfId="9575" xr:uid="{9C1EDDEC-EE15-4E08-A9E2-1C1D7729C204}"/>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2 2 2" xfId="16351" xr:uid="{FC1B1CCD-3845-469A-AA6A-996F5FC10D80}"/>
    <cellStyle name="20% - Accent3 2 2 2 4 2 3" xfId="12133" xr:uid="{CB85DC96-74B0-4954-A783-184BE28E5248}"/>
    <cellStyle name="20% - Accent3 2 2 2 4 3" xfId="5764" xr:uid="{00000000-0005-0000-0000-000050010000}"/>
    <cellStyle name="20% - Accent3 2 2 2 4 3 2" xfId="14206" xr:uid="{3878B1B0-E0DF-4370-87B9-0C581A72FC96}"/>
    <cellStyle name="20% - Accent3 2 2 2 4 4" xfId="9988" xr:uid="{E941AE6A-0FFD-40F4-9C72-390B20F552AC}"/>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2 2 2" xfId="16764" xr:uid="{4E38FC09-D53C-4922-9E8E-A4F891A3AD35}"/>
    <cellStyle name="20% - Accent3 2 2 2 5 2 3" xfId="12546" xr:uid="{E97C4073-10A5-4BD3-9C7A-547898F64E16}"/>
    <cellStyle name="20% - Accent3 2 2 2 5 3" xfId="6177" xr:uid="{00000000-0005-0000-0000-000054010000}"/>
    <cellStyle name="20% - Accent3 2 2 2 5 3 2" xfId="14619" xr:uid="{1DCA9391-0DD7-47AD-955A-94CB9A48544B}"/>
    <cellStyle name="20% - Accent3 2 2 2 5 4" xfId="10401" xr:uid="{E387C3D9-1C79-44A2-8836-72294D09EA5E}"/>
    <cellStyle name="20% - Accent3 2 2 2 6" xfId="2283" xr:uid="{00000000-0005-0000-0000-000055010000}"/>
    <cellStyle name="20% - Accent3 2 2 2 6 2" xfId="6590" xr:uid="{00000000-0005-0000-0000-000056010000}"/>
    <cellStyle name="20% - Accent3 2 2 2 6 2 2" xfId="15032" xr:uid="{7083447A-B5D4-4A7A-8444-4D40E3B38E2B}"/>
    <cellStyle name="20% - Accent3 2 2 2 6 3" xfId="10814" xr:uid="{99254FF9-C201-479D-BB4E-FBCAD62AF7EB}"/>
    <cellStyle name="20% - Accent3 2 2 2 7" xfId="4524" xr:uid="{00000000-0005-0000-0000-000057010000}"/>
    <cellStyle name="20% - Accent3 2 2 2 7 2" xfId="12966" xr:uid="{BE9FA4A0-4420-432A-AF7A-C65007FD76D3}"/>
    <cellStyle name="20% - Accent3 2 2 2 8" xfId="8748" xr:uid="{710871CF-591B-44E2-80DA-09A7A7A87DF6}"/>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15524" xr:uid="{C56B9E09-BFAE-4E9B-ADF8-2C20DE803D34}"/>
    <cellStyle name="20% - Accent3 2 2 3 2 3" xfId="11306" xr:uid="{363A39AE-6C5E-4147-860E-DD4A460ED150}"/>
    <cellStyle name="20% - Accent3 2 2 3 3" xfId="4937" xr:uid="{00000000-0005-0000-0000-00005B010000}"/>
    <cellStyle name="20% - Accent3 2 2 3 3 2" xfId="13379" xr:uid="{93BBB957-A66C-41A3-9A86-9606BF801203}"/>
    <cellStyle name="20% - Accent3 2 2 3 4" xfId="9161" xr:uid="{0A6062EB-292E-4A90-9007-B0728751F1FC}"/>
    <cellStyle name="20% - Accent3 2 2 4" xfId="1041" xr:uid="{00000000-0005-0000-0000-00005C010000}"/>
    <cellStyle name="20% - Accent3 2 2 4 2" xfId="3272" xr:uid="{00000000-0005-0000-0000-00005D010000}"/>
    <cellStyle name="20% - Accent3 2 2 4 2 2" xfId="7495" xr:uid="{00000000-0005-0000-0000-00005E010000}"/>
    <cellStyle name="20% - Accent3 2 2 4 2 2 2" xfId="15937" xr:uid="{C85D4829-8F5D-44DC-BD54-F2DCFD7C57B4}"/>
    <cellStyle name="20% - Accent3 2 2 4 2 3" xfId="11719" xr:uid="{D1168418-8C51-4E13-A4B8-EE63AC9846AE}"/>
    <cellStyle name="20% - Accent3 2 2 4 3" xfId="5350" xr:uid="{00000000-0005-0000-0000-00005F010000}"/>
    <cellStyle name="20% - Accent3 2 2 4 3 2" xfId="13792" xr:uid="{07CAE150-C4C0-4A3E-9553-D1D06ADCBB6C}"/>
    <cellStyle name="20% - Accent3 2 2 4 4" xfId="9574" xr:uid="{1836986F-E861-43BD-B040-C760F9C4D5BE}"/>
    <cellStyle name="20% - Accent3 2 2 5" xfId="1455" xr:uid="{00000000-0005-0000-0000-000060010000}"/>
    <cellStyle name="20% - Accent3 2 2 5 2" xfId="3685" xr:uid="{00000000-0005-0000-0000-000061010000}"/>
    <cellStyle name="20% - Accent3 2 2 5 2 2" xfId="7908" xr:uid="{00000000-0005-0000-0000-000062010000}"/>
    <cellStyle name="20% - Accent3 2 2 5 2 2 2" xfId="16350" xr:uid="{D6380072-FA67-4A49-8008-A8315FBF54D7}"/>
    <cellStyle name="20% - Accent3 2 2 5 2 3" xfId="12132" xr:uid="{0012A3F3-BF0D-46CC-9FCC-0130E681BECE}"/>
    <cellStyle name="20% - Accent3 2 2 5 3" xfId="5763" xr:uid="{00000000-0005-0000-0000-000063010000}"/>
    <cellStyle name="20% - Accent3 2 2 5 3 2" xfId="14205" xr:uid="{7AD4CAC8-5477-4FA8-8EA6-2ED4B3490CC9}"/>
    <cellStyle name="20% - Accent3 2 2 5 4" xfId="9987" xr:uid="{53599B13-C111-4DC3-A0B1-EED4E8810309}"/>
    <cellStyle name="20% - Accent3 2 2 6" xfId="1869" xr:uid="{00000000-0005-0000-0000-000064010000}"/>
    <cellStyle name="20% - Accent3 2 2 6 2" xfId="4098" xr:uid="{00000000-0005-0000-0000-000065010000}"/>
    <cellStyle name="20% - Accent3 2 2 6 2 2" xfId="8321" xr:uid="{00000000-0005-0000-0000-000066010000}"/>
    <cellStyle name="20% - Accent3 2 2 6 2 2 2" xfId="16763" xr:uid="{4E15C972-7A2F-45AD-8002-47040ADF7EAA}"/>
    <cellStyle name="20% - Accent3 2 2 6 2 3" xfId="12545" xr:uid="{46137A52-8298-471A-8EB9-B1C2E69C0041}"/>
    <cellStyle name="20% - Accent3 2 2 6 3" xfId="6176" xr:uid="{00000000-0005-0000-0000-000067010000}"/>
    <cellStyle name="20% - Accent3 2 2 6 3 2" xfId="14618" xr:uid="{D350569D-9572-483E-BDEA-1C2A22D59163}"/>
    <cellStyle name="20% - Accent3 2 2 6 4" xfId="10400" xr:uid="{CAE1FE6E-9DCB-46B1-A35C-FA3B98A4E3AE}"/>
    <cellStyle name="20% - Accent3 2 2 7" xfId="2282" xr:uid="{00000000-0005-0000-0000-000068010000}"/>
    <cellStyle name="20% - Accent3 2 2 7 2" xfId="6589" xr:uid="{00000000-0005-0000-0000-000069010000}"/>
    <cellStyle name="20% - Accent3 2 2 7 2 2" xfId="15031" xr:uid="{EE116E4E-13FB-43C0-903E-FB996B87C8AC}"/>
    <cellStyle name="20% - Accent3 2 2 7 3" xfId="10813" xr:uid="{31A66C46-D9E9-47B3-8287-B3C0E46B5CBF}"/>
    <cellStyle name="20% - Accent3 2 2 8" xfId="4523" xr:uid="{00000000-0005-0000-0000-00006A010000}"/>
    <cellStyle name="20% - Accent3 2 2 8 2" xfId="12965" xr:uid="{447B5331-D676-434F-A6B2-4B16F4C5EF3A}"/>
    <cellStyle name="20% - Accent3 2 2 9" xfId="8747" xr:uid="{6AC61D31-CE93-4603-8413-AF0D925679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15526" xr:uid="{BB4C8A6E-ACF2-4A73-88B1-206A0016AE2D}"/>
    <cellStyle name="20% - Accent3 2 3 2 2 3" xfId="11308" xr:uid="{BE82451E-9E08-4E08-9E0F-9B389B155EFA}"/>
    <cellStyle name="20% - Accent3 2 3 2 3" xfId="4939" xr:uid="{00000000-0005-0000-0000-00006F010000}"/>
    <cellStyle name="20% - Accent3 2 3 2 3 2" xfId="13381" xr:uid="{DE4F7208-6078-4DD6-B6E4-93F7F52A58B1}"/>
    <cellStyle name="20% - Accent3 2 3 2 4" xfId="9163" xr:uid="{98686C52-7AB5-4172-B452-79BA8CCCA844}"/>
    <cellStyle name="20% - Accent3 2 3 3" xfId="1043" xr:uid="{00000000-0005-0000-0000-000070010000}"/>
    <cellStyle name="20% - Accent3 2 3 3 2" xfId="3274" xr:uid="{00000000-0005-0000-0000-000071010000}"/>
    <cellStyle name="20% - Accent3 2 3 3 2 2" xfId="7497" xr:uid="{00000000-0005-0000-0000-000072010000}"/>
    <cellStyle name="20% - Accent3 2 3 3 2 2 2" xfId="15939" xr:uid="{6E8FD4DA-3970-43D1-8A49-BECC4AE3E89A}"/>
    <cellStyle name="20% - Accent3 2 3 3 2 3" xfId="11721" xr:uid="{D41F188E-D127-40BB-99D6-2B4E4CAC23A9}"/>
    <cellStyle name="20% - Accent3 2 3 3 3" xfId="5352" xr:uid="{00000000-0005-0000-0000-000073010000}"/>
    <cellStyle name="20% - Accent3 2 3 3 3 2" xfId="13794" xr:uid="{E6737D30-3708-4D55-9C9A-A00D4B0C9911}"/>
    <cellStyle name="20% - Accent3 2 3 3 4" xfId="9576" xr:uid="{8F00EFCD-204C-4F35-8FED-07604F36890C}"/>
    <cellStyle name="20% - Accent3 2 3 4" xfId="1457" xr:uid="{00000000-0005-0000-0000-000074010000}"/>
    <cellStyle name="20% - Accent3 2 3 4 2" xfId="3687" xr:uid="{00000000-0005-0000-0000-000075010000}"/>
    <cellStyle name="20% - Accent3 2 3 4 2 2" xfId="7910" xr:uid="{00000000-0005-0000-0000-000076010000}"/>
    <cellStyle name="20% - Accent3 2 3 4 2 2 2" xfId="16352" xr:uid="{925AA261-14BC-4438-933B-F02F9997272C}"/>
    <cellStyle name="20% - Accent3 2 3 4 2 3" xfId="12134" xr:uid="{78BA9EB0-D0C1-45B3-9E69-1585B907B281}"/>
    <cellStyle name="20% - Accent3 2 3 4 3" xfId="5765" xr:uid="{00000000-0005-0000-0000-000077010000}"/>
    <cellStyle name="20% - Accent3 2 3 4 3 2" xfId="14207" xr:uid="{F8CDB418-BD80-47BA-B46B-74D3CD6E0102}"/>
    <cellStyle name="20% - Accent3 2 3 4 4" xfId="9989" xr:uid="{B4CBCDD4-DBC1-4670-A024-05522F6D51D9}"/>
    <cellStyle name="20% - Accent3 2 3 5" xfId="1871" xr:uid="{00000000-0005-0000-0000-000078010000}"/>
    <cellStyle name="20% - Accent3 2 3 5 2" xfId="4100" xr:uid="{00000000-0005-0000-0000-000079010000}"/>
    <cellStyle name="20% - Accent3 2 3 5 2 2" xfId="8323" xr:uid="{00000000-0005-0000-0000-00007A010000}"/>
    <cellStyle name="20% - Accent3 2 3 5 2 2 2" xfId="16765" xr:uid="{09DCA6B9-3FD6-4A46-8FF7-E97D03723560}"/>
    <cellStyle name="20% - Accent3 2 3 5 2 3" xfId="12547" xr:uid="{60E6BF6E-BEA2-4CBF-9F7F-61FBE9A39F52}"/>
    <cellStyle name="20% - Accent3 2 3 5 3" xfId="6178" xr:uid="{00000000-0005-0000-0000-00007B010000}"/>
    <cellStyle name="20% - Accent3 2 3 5 3 2" xfId="14620" xr:uid="{8399E1AC-0273-4600-8DA0-9CA2F99BABC3}"/>
    <cellStyle name="20% - Accent3 2 3 5 4" xfId="10402" xr:uid="{25ED5374-8918-4B7F-9E7C-E03F9C0D75DC}"/>
    <cellStyle name="20% - Accent3 2 3 6" xfId="2284" xr:uid="{00000000-0005-0000-0000-00007C010000}"/>
    <cellStyle name="20% - Accent3 2 3 6 2" xfId="6591" xr:uid="{00000000-0005-0000-0000-00007D010000}"/>
    <cellStyle name="20% - Accent3 2 3 6 2 2" xfId="15033" xr:uid="{904291E1-8F27-4CE4-B531-0E387099E06A}"/>
    <cellStyle name="20% - Accent3 2 3 6 3" xfId="10815" xr:uid="{AB0EAE26-5870-409D-A53D-735759C801F7}"/>
    <cellStyle name="20% - Accent3 2 3 7" xfId="4525" xr:uid="{00000000-0005-0000-0000-00007E010000}"/>
    <cellStyle name="20% - Accent3 2 3 7 2" xfId="12967" xr:uid="{5633DB42-9234-4725-B9ED-DD863444EDC5}"/>
    <cellStyle name="20% - Accent3 2 3 8" xfId="8749" xr:uid="{88A80781-31CE-4280-9D0B-9BB8678FEF05}"/>
    <cellStyle name="20% - Accent3 2 4" xfId="587" xr:uid="{00000000-0005-0000-0000-00007F010000}"/>
    <cellStyle name="20% - Accent3 2 4 2" xfId="2858" xr:uid="{00000000-0005-0000-0000-000080010000}"/>
    <cellStyle name="20% - Accent3 2 4 2 2" xfId="7081" xr:uid="{00000000-0005-0000-0000-000081010000}"/>
    <cellStyle name="20% - Accent3 2 4 2 2 2" xfId="15523" xr:uid="{A6C931AE-B192-468C-9719-DFC25D6BA589}"/>
    <cellStyle name="20% - Accent3 2 4 2 3" xfId="11305" xr:uid="{B968E2D3-8F8D-4EDD-82DE-B6EB8F9C6115}"/>
    <cellStyle name="20% - Accent3 2 4 3" xfId="4936" xr:uid="{00000000-0005-0000-0000-000082010000}"/>
    <cellStyle name="20% - Accent3 2 4 3 2" xfId="13378" xr:uid="{CBC19ECA-1B21-448B-A469-F38A9ADB4788}"/>
    <cellStyle name="20% - Accent3 2 4 4" xfId="9160" xr:uid="{62A14C21-696A-4951-A6AC-C2F60434AB78}"/>
    <cellStyle name="20% - Accent3 2 5" xfId="1040" xr:uid="{00000000-0005-0000-0000-000083010000}"/>
    <cellStyle name="20% - Accent3 2 5 2" xfId="3271" xr:uid="{00000000-0005-0000-0000-000084010000}"/>
    <cellStyle name="20% - Accent3 2 5 2 2" xfId="7494" xr:uid="{00000000-0005-0000-0000-000085010000}"/>
    <cellStyle name="20% - Accent3 2 5 2 2 2" xfId="15936" xr:uid="{E3A92A5C-597F-426C-87C6-2E3E12F51229}"/>
    <cellStyle name="20% - Accent3 2 5 2 3" xfId="11718" xr:uid="{8683D85E-57F9-49C5-A3E3-CD8FA940C09A}"/>
    <cellStyle name="20% - Accent3 2 5 3" xfId="5349" xr:uid="{00000000-0005-0000-0000-000086010000}"/>
    <cellStyle name="20% - Accent3 2 5 3 2" xfId="13791" xr:uid="{E084481C-C920-461B-82C0-3521321FA42A}"/>
    <cellStyle name="20% - Accent3 2 5 4" xfId="9573" xr:uid="{C8E0A4A9-32E5-4992-B718-49EFE9FD356D}"/>
    <cellStyle name="20% - Accent3 2 6" xfId="1454" xr:uid="{00000000-0005-0000-0000-000087010000}"/>
    <cellStyle name="20% - Accent3 2 6 2" xfId="3684" xr:uid="{00000000-0005-0000-0000-000088010000}"/>
    <cellStyle name="20% - Accent3 2 6 2 2" xfId="7907" xr:uid="{00000000-0005-0000-0000-000089010000}"/>
    <cellStyle name="20% - Accent3 2 6 2 2 2" xfId="16349" xr:uid="{966CB14E-DC61-4689-89C9-1EB2F41E4CE9}"/>
    <cellStyle name="20% - Accent3 2 6 2 3" xfId="12131" xr:uid="{48E0513C-DC88-44CE-B252-5210A82C20C3}"/>
    <cellStyle name="20% - Accent3 2 6 3" xfId="5762" xr:uid="{00000000-0005-0000-0000-00008A010000}"/>
    <cellStyle name="20% - Accent3 2 6 3 2" xfId="14204" xr:uid="{0B52F572-80D8-4FB3-8D0D-57CD100C07FE}"/>
    <cellStyle name="20% - Accent3 2 6 4" xfId="9986" xr:uid="{1DE1A884-2885-428E-9BE8-51FC9D5E4850}"/>
    <cellStyle name="20% - Accent3 2 7" xfId="1868" xr:uid="{00000000-0005-0000-0000-00008B010000}"/>
    <cellStyle name="20% - Accent3 2 7 2" xfId="4097" xr:uid="{00000000-0005-0000-0000-00008C010000}"/>
    <cellStyle name="20% - Accent3 2 7 2 2" xfId="8320" xr:uid="{00000000-0005-0000-0000-00008D010000}"/>
    <cellStyle name="20% - Accent3 2 7 2 2 2" xfId="16762" xr:uid="{5E242626-020A-4FA7-B372-C1F740A34E5B}"/>
    <cellStyle name="20% - Accent3 2 7 2 3" xfId="12544" xr:uid="{B93A7B01-CA5D-4D7A-9F01-265D600140CC}"/>
    <cellStyle name="20% - Accent3 2 7 3" xfId="6175" xr:uid="{00000000-0005-0000-0000-00008E010000}"/>
    <cellStyle name="20% - Accent3 2 7 3 2" xfId="14617" xr:uid="{EC0A8941-C958-48F0-B152-BC34CAA4411B}"/>
    <cellStyle name="20% - Accent3 2 7 4" xfId="10399" xr:uid="{FB8C1615-E151-4D6E-9608-ABC75508E979}"/>
    <cellStyle name="20% - Accent3 2 8" xfId="2281" xr:uid="{00000000-0005-0000-0000-00008F010000}"/>
    <cellStyle name="20% - Accent3 2 8 2" xfId="6588" xr:uid="{00000000-0005-0000-0000-000090010000}"/>
    <cellStyle name="20% - Accent3 2 8 2 2" xfId="15030" xr:uid="{8E8F0CCE-7526-4EC0-A344-220A5191778D}"/>
    <cellStyle name="20% - Accent3 2 8 3" xfId="10812" xr:uid="{36060A4B-1D7C-4997-B549-7029055DCE68}"/>
    <cellStyle name="20% - Accent3 2 9" xfId="4522" xr:uid="{00000000-0005-0000-0000-000091010000}"/>
    <cellStyle name="20% - Accent3 2 9 2" xfId="12964" xr:uid="{EF219AEC-628B-403C-B426-BEDEF71D9541}"/>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15528" xr:uid="{66551402-1237-4E1C-A861-D87950FB66F9}"/>
    <cellStyle name="20% - Accent3 3 2 2 2 3" xfId="11310" xr:uid="{F6E19392-CD4F-40C6-A1CF-5D6CC01A59E7}"/>
    <cellStyle name="20% - Accent3 3 2 2 3" xfId="4941" xr:uid="{00000000-0005-0000-0000-000097010000}"/>
    <cellStyle name="20% - Accent3 3 2 2 3 2" xfId="13383" xr:uid="{29C31BB2-4927-4B0C-A5AE-7B04275681F2}"/>
    <cellStyle name="20% - Accent3 3 2 2 4" xfId="9165" xr:uid="{B6C3562A-CA46-43AF-AFD1-A4F489408AF9}"/>
    <cellStyle name="20% - Accent3 3 2 3" xfId="1045" xr:uid="{00000000-0005-0000-0000-000098010000}"/>
    <cellStyle name="20% - Accent3 3 2 3 2" xfId="3276" xr:uid="{00000000-0005-0000-0000-000099010000}"/>
    <cellStyle name="20% - Accent3 3 2 3 2 2" xfId="7499" xr:uid="{00000000-0005-0000-0000-00009A010000}"/>
    <cellStyle name="20% - Accent3 3 2 3 2 2 2" xfId="15941" xr:uid="{5D84CEB9-51B0-4CC1-B484-72D6A39C086B}"/>
    <cellStyle name="20% - Accent3 3 2 3 2 3" xfId="11723" xr:uid="{00F09A79-03A5-4C61-B879-7E7F3C7247BB}"/>
    <cellStyle name="20% - Accent3 3 2 3 3" xfId="5354" xr:uid="{00000000-0005-0000-0000-00009B010000}"/>
    <cellStyle name="20% - Accent3 3 2 3 3 2" xfId="13796" xr:uid="{4321FA0C-9B3D-4AE4-8E9F-216C186E1D01}"/>
    <cellStyle name="20% - Accent3 3 2 3 4" xfId="9578" xr:uid="{0E3CE309-0488-4799-9087-EFAE953494CB}"/>
    <cellStyle name="20% - Accent3 3 2 4" xfId="1459" xr:uid="{00000000-0005-0000-0000-00009C010000}"/>
    <cellStyle name="20% - Accent3 3 2 4 2" xfId="3689" xr:uid="{00000000-0005-0000-0000-00009D010000}"/>
    <cellStyle name="20% - Accent3 3 2 4 2 2" xfId="7912" xr:uid="{00000000-0005-0000-0000-00009E010000}"/>
    <cellStyle name="20% - Accent3 3 2 4 2 2 2" xfId="16354" xr:uid="{FB8C2CAD-4104-426A-B545-8238DBFCF458}"/>
    <cellStyle name="20% - Accent3 3 2 4 2 3" xfId="12136" xr:uid="{E0B8138A-AAAA-4CCF-B1A4-C6FE709C97AE}"/>
    <cellStyle name="20% - Accent3 3 2 4 3" xfId="5767" xr:uid="{00000000-0005-0000-0000-00009F010000}"/>
    <cellStyle name="20% - Accent3 3 2 4 3 2" xfId="14209" xr:uid="{133835F0-426D-445B-8EDA-85C4889D11D5}"/>
    <cellStyle name="20% - Accent3 3 2 4 4" xfId="9991" xr:uid="{49B3C742-04D8-4B75-9542-3C740610E064}"/>
    <cellStyle name="20% - Accent3 3 2 5" xfId="1873" xr:uid="{00000000-0005-0000-0000-0000A0010000}"/>
    <cellStyle name="20% - Accent3 3 2 5 2" xfId="4102" xr:uid="{00000000-0005-0000-0000-0000A1010000}"/>
    <cellStyle name="20% - Accent3 3 2 5 2 2" xfId="8325" xr:uid="{00000000-0005-0000-0000-0000A2010000}"/>
    <cellStyle name="20% - Accent3 3 2 5 2 2 2" xfId="16767" xr:uid="{2BE02C12-58D6-41FE-8A92-DD0FDF45717E}"/>
    <cellStyle name="20% - Accent3 3 2 5 2 3" xfId="12549" xr:uid="{3256CE4B-9A85-4C93-A1B8-61D68A1ABC0C}"/>
    <cellStyle name="20% - Accent3 3 2 5 3" xfId="6180" xr:uid="{00000000-0005-0000-0000-0000A3010000}"/>
    <cellStyle name="20% - Accent3 3 2 5 3 2" xfId="14622" xr:uid="{6FFB0B40-D165-4D44-BA83-51F0742860ED}"/>
    <cellStyle name="20% - Accent3 3 2 5 4" xfId="10404" xr:uid="{6250ED34-019E-4B7E-9965-3C03B45C726D}"/>
    <cellStyle name="20% - Accent3 3 2 6" xfId="2286" xr:uid="{00000000-0005-0000-0000-0000A4010000}"/>
    <cellStyle name="20% - Accent3 3 2 6 2" xfId="6593" xr:uid="{00000000-0005-0000-0000-0000A5010000}"/>
    <cellStyle name="20% - Accent3 3 2 6 2 2" xfId="15035" xr:uid="{B8ACE7C2-8D16-44D3-9382-C6322D2B81F9}"/>
    <cellStyle name="20% - Accent3 3 2 6 3" xfId="10817" xr:uid="{AE17CA32-EE3A-4947-AE39-AEFC249A731D}"/>
    <cellStyle name="20% - Accent3 3 2 7" xfId="4527" xr:uid="{00000000-0005-0000-0000-0000A6010000}"/>
    <cellStyle name="20% - Accent3 3 2 7 2" xfId="12969" xr:uid="{80D7949A-68A0-4148-B263-1B0843E4BC22}"/>
    <cellStyle name="20% - Accent3 3 2 8" xfId="8751" xr:uid="{F07082B0-B5A3-4734-8B44-CE93EE1C4E12}"/>
    <cellStyle name="20% - Accent3 3 3" xfId="591" xr:uid="{00000000-0005-0000-0000-0000A7010000}"/>
    <cellStyle name="20% - Accent3 3 3 2" xfId="2862" xr:uid="{00000000-0005-0000-0000-0000A8010000}"/>
    <cellStyle name="20% - Accent3 3 3 2 2" xfId="7085" xr:uid="{00000000-0005-0000-0000-0000A9010000}"/>
    <cellStyle name="20% - Accent3 3 3 2 2 2" xfId="15527" xr:uid="{E9B35DD1-1F28-47A1-B9DB-152AEF06A84B}"/>
    <cellStyle name="20% - Accent3 3 3 2 3" xfId="11309" xr:uid="{2642362A-42E6-44A1-9A94-37F3EA99E32E}"/>
    <cellStyle name="20% - Accent3 3 3 3" xfId="4940" xr:uid="{00000000-0005-0000-0000-0000AA010000}"/>
    <cellStyle name="20% - Accent3 3 3 3 2" xfId="13382" xr:uid="{8D88E873-CABB-4980-A606-25AA4D46B282}"/>
    <cellStyle name="20% - Accent3 3 3 4" xfId="9164" xr:uid="{B836234C-88FA-461B-908A-222FDB23F756}"/>
    <cellStyle name="20% - Accent3 3 4" xfId="1044" xr:uid="{00000000-0005-0000-0000-0000AB010000}"/>
    <cellStyle name="20% - Accent3 3 4 2" xfId="3275" xr:uid="{00000000-0005-0000-0000-0000AC010000}"/>
    <cellStyle name="20% - Accent3 3 4 2 2" xfId="7498" xr:uid="{00000000-0005-0000-0000-0000AD010000}"/>
    <cellStyle name="20% - Accent3 3 4 2 2 2" xfId="15940" xr:uid="{BC008C3E-81EA-4105-8C50-A3AD7D43DF3A}"/>
    <cellStyle name="20% - Accent3 3 4 2 3" xfId="11722" xr:uid="{0F138F9A-D977-4D9E-BD78-2D2DD13C7A3B}"/>
    <cellStyle name="20% - Accent3 3 4 3" xfId="5353" xr:uid="{00000000-0005-0000-0000-0000AE010000}"/>
    <cellStyle name="20% - Accent3 3 4 3 2" xfId="13795" xr:uid="{E4681B3A-8BB6-4F63-A644-722CC679116A}"/>
    <cellStyle name="20% - Accent3 3 4 4" xfId="9577" xr:uid="{75EBBF0F-6AC9-4D93-9DD4-A6A868A53606}"/>
    <cellStyle name="20% - Accent3 3 5" xfId="1458" xr:uid="{00000000-0005-0000-0000-0000AF010000}"/>
    <cellStyle name="20% - Accent3 3 5 2" xfId="3688" xr:uid="{00000000-0005-0000-0000-0000B0010000}"/>
    <cellStyle name="20% - Accent3 3 5 2 2" xfId="7911" xr:uid="{00000000-0005-0000-0000-0000B1010000}"/>
    <cellStyle name="20% - Accent3 3 5 2 2 2" xfId="16353" xr:uid="{0A47762B-266D-4002-9906-0E301FB1F050}"/>
    <cellStyle name="20% - Accent3 3 5 2 3" xfId="12135" xr:uid="{2B00BDBD-4E69-4884-81C4-60E992AE694C}"/>
    <cellStyle name="20% - Accent3 3 5 3" xfId="5766" xr:uid="{00000000-0005-0000-0000-0000B2010000}"/>
    <cellStyle name="20% - Accent3 3 5 3 2" xfId="14208" xr:uid="{F38D57E6-CD0A-4FE0-AF14-7A162699EE3E}"/>
    <cellStyle name="20% - Accent3 3 5 4" xfId="9990" xr:uid="{5F14BB8B-99A7-442D-8465-C12723A211E6}"/>
    <cellStyle name="20% - Accent3 3 6" xfId="1872" xr:uid="{00000000-0005-0000-0000-0000B3010000}"/>
    <cellStyle name="20% - Accent3 3 6 2" xfId="4101" xr:uid="{00000000-0005-0000-0000-0000B4010000}"/>
    <cellStyle name="20% - Accent3 3 6 2 2" xfId="8324" xr:uid="{00000000-0005-0000-0000-0000B5010000}"/>
    <cellStyle name="20% - Accent3 3 6 2 2 2" xfId="16766" xr:uid="{20748D0E-24DB-475A-8F76-71DA3A4AE5FF}"/>
    <cellStyle name="20% - Accent3 3 6 2 3" xfId="12548" xr:uid="{3F9C9A27-3F49-4C7E-ADB4-E165434E842E}"/>
    <cellStyle name="20% - Accent3 3 6 3" xfId="6179" xr:uid="{00000000-0005-0000-0000-0000B6010000}"/>
    <cellStyle name="20% - Accent3 3 6 3 2" xfId="14621" xr:uid="{BE5F0779-2B64-4ECF-8950-05F4242803B7}"/>
    <cellStyle name="20% - Accent3 3 6 4" xfId="10403" xr:uid="{F17E731F-1A9D-4E06-A2E0-DB8F497C195E}"/>
    <cellStyle name="20% - Accent3 3 7" xfId="2285" xr:uid="{00000000-0005-0000-0000-0000B7010000}"/>
    <cellStyle name="20% - Accent3 3 7 2" xfId="6592" xr:uid="{00000000-0005-0000-0000-0000B8010000}"/>
    <cellStyle name="20% - Accent3 3 7 2 2" xfId="15034" xr:uid="{67C13754-E64D-43BA-9989-2175CB6B682D}"/>
    <cellStyle name="20% - Accent3 3 7 3" xfId="10816" xr:uid="{1722E7B9-BCA4-4809-94BD-BA02FBE6C219}"/>
    <cellStyle name="20% - Accent3 3 8" xfId="4526" xr:uid="{00000000-0005-0000-0000-0000B9010000}"/>
    <cellStyle name="20% - Accent3 3 8 2" xfId="12968" xr:uid="{07BF4380-6F64-4A7D-9158-8A8FEAB2B622}"/>
    <cellStyle name="20% - Accent3 3 9" xfId="8750" xr:uid="{118D8318-D47B-4460-91F9-8141DF695CA3}"/>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2 2 2" xfId="15529" xr:uid="{F07A1153-475C-4A82-B43D-276D41D217A0}"/>
    <cellStyle name="20% - Accent3 4 2 2 3" xfId="11311" xr:uid="{39F350C0-02C7-4DEE-8823-2214C3638DF2}"/>
    <cellStyle name="20% - Accent3 4 2 3" xfId="4942" xr:uid="{00000000-0005-0000-0000-0000BE010000}"/>
    <cellStyle name="20% - Accent3 4 2 3 2" xfId="13384" xr:uid="{D4551081-AFCE-4515-8C66-CC9B0819CD91}"/>
    <cellStyle name="20% - Accent3 4 2 4" xfId="9166" xr:uid="{92F31977-0FF3-4593-A7BA-E9877D60E168}"/>
    <cellStyle name="20% - Accent3 4 3" xfId="1046" xr:uid="{00000000-0005-0000-0000-0000BF010000}"/>
    <cellStyle name="20% - Accent3 4 3 2" xfId="3277" xr:uid="{00000000-0005-0000-0000-0000C0010000}"/>
    <cellStyle name="20% - Accent3 4 3 2 2" xfId="7500" xr:uid="{00000000-0005-0000-0000-0000C1010000}"/>
    <cellStyle name="20% - Accent3 4 3 2 2 2" xfId="15942" xr:uid="{8AEAFAAC-5C03-427E-805E-7A5539C5964D}"/>
    <cellStyle name="20% - Accent3 4 3 2 3" xfId="11724" xr:uid="{AD7840B1-70B5-4C49-AAD6-9E93D90CB9CA}"/>
    <cellStyle name="20% - Accent3 4 3 3" xfId="5355" xr:uid="{00000000-0005-0000-0000-0000C2010000}"/>
    <cellStyle name="20% - Accent3 4 3 3 2" xfId="13797" xr:uid="{4C0CF2C7-8A5A-4B9E-9540-3DDED5A9F755}"/>
    <cellStyle name="20% - Accent3 4 3 4" xfId="9579" xr:uid="{B47C1224-3A41-4D85-9141-E2A3C93BAFCA}"/>
    <cellStyle name="20% - Accent3 4 4" xfId="1460" xr:uid="{00000000-0005-0000-0000-0000C3010000}"/>
    <cellStyle name="20% - Accent3 4 4 2" xfId="3690" xr:uid="{00000000-0005-0000-0000-0000C4010000}"/>
    <cellStyle name="20% - Accent3 4 4 2 2" xfId="7913" xr:uid="{00000000-0005-0000-0000-0000C5010000}"/>
    <cellStyle name="20% - Accent3 4 4 2 2 2" xfId="16355" xr:uid="{8624CC56-8F22-4DE2-B417-0EE490C64469}"/>
    <cellStyle name="20% - Accent3 4 4 2 3" xfId="12137" xr:uid="{F0AFA014-4670-4430-9E1B-4EEE53E31379}"/>
    <cellStyle name="20% - Accent3 4 4 3" xfId="5768" xr:uid="{00000000-0005-0000-0000-0000C6010000}"/>
    <cellStyle name="20% - Accent3 4 4 3 2" xfId="14210" xr:uid="{B61C3657-143A-40F0-9576-464707EBA6ED}"/>
    <cellStyle name="20% - Accent3 4 4 4" xfId="9992" xr:uid="{25DE5461-0C17-4311-8C96-C19E34DB0CC3}"/>
    <cellStyle name="20% - Accent3 4 5" xfId="1874" xr:uid="{00000000-0005-0000-0000-0000C7010000}"/>
    <cellStyle name="20% - Accent3 4 5 2" xfId="4103" xr:uid="{00000000-0005-0000-0000-0000C8010000}"/>
    <cellStyle name="20% - Accent3 4 5 2 2" xfId="8326" xr:uid="{00000000-0005-0000-0000-0000C9010000}"/>
    <cellStyle name="20% - Accent3 4 5 2 2 2" xfId="16768" xr:uid="{227AD534-B225-4148-96E0-82D02F3DFAE1}"/>
    <cellStyle name="20% - Accent3 4 5 2 3" xfId="12550" xr:uid="{ED944B1E-687E-46CF-86DA-F848DDF474CF}"/>
    <cellStyle name="20% - Accent3 4 5 3" xfId="6181" xr:uid="{00000000-0005-0000-0000-0000CA010000}"/>
    <cellStyle name="20% - Accent3 4 5 3 2" xfId="14623" xr:uid="{2E1EBF3A-7C08-47F3-B554-B2413511CD18}"/>
    <cellStyle name="20% - Accent3 4 5 4" xfId="10405" xr:uid="{56F89D7A-6DAE-4A74-9997-AC29B4B8E7C8}"/>
    <cellStyle name="20% - Accent3 4 6" xfId="2287" xr:uid="{00000000-0005-0000-0000-0000CB010000}"/>
    <cellStyle name="20% - Accent3 4 6 2" xfId="6594" xr:uid="{00000000-0005-0000-0000-0000CC010000}"/>
    <cellStyle name="20% - Accent3 4 6 2 2" xfId="15036" xr:uid="{1FA4C5B2-857E-4E3E-99A9-3C3280CC0CDF}"/>
    <cellStyle name="20% - Accent3 4 6 3" xfId="10818" xr:uid="{3AE88804-5689-44D6-848A-F5DFA3063990}"/>
    <cellStyle name="20% - Accent3 4 7" xfId="4528" xr:uid="{00000000-0005-0000-0000-0000CD010000}"/>
    <cellStyle name="20% - Accent3 4 7 2" xfId="12970" xr:uid="{7272C0E6-D618-4EC7-92F4-EC59020A328B}"/>
    <cellStyle name="20% - Accent3 4 8" xfId="8752" xr:uid="{48007A29-925D-4C32-9714-4E5811F6BBE1}"/>
    <cellStyle name="20% - Accent3 5" xfId="586" xr:uid="{00000000-0005-0000-0000-0000CE010000}"/>
    <cellStyle name="20% - Accent3 5 2" xfId="2857" xr:uid="{00000000-0005-0000-0000-0000CF010000}"/>
    <cellStyle name="20% - Accent3 5 2 2" xfId="7080" xr:uid="{00000000-0005-0000-0000-0000D0010000}"/>
    <cellStyle name="20% - Accent3 5 2 2 2" xfId="15522" xr:uid="{395741FA-DAFD-435D-9CA2-7251B602A707}"/>
    <cellStyle name="20% - Accent3 5 2 3" xfId="11304" xr:uid="{7CE2D72D-7F22-4480-945C-61ACAC1CF62E}"/>
    <cellStyle name="20% - Accent3 5 3" xfId="4935" xr:uid="{00000000-0005-0000-0000-0000D1010000}"/>
    <cellStyle name="20% - Accent3 5 3 2" xfId="13377" xr:uid="{E189140B-06E3-413D-A4A2-09FEDD4FC133}"/>
    <cellStyle name="20% - Accent3 5 4" xfId="9159" xr:uid="{F5F37EF4-3B47-4879-8A89-5980697BFFA0}"/>
    <cellStyle name="20% - Accent3 6" xfId="1039" xr:uid="{00000000-0005-0000-0000-0000D2010000}"/>
    <cellStyle name="20% - Accent3 6 2" xfId="3270" xr:uid="{00000000-0005-0000-0000-0000D3010000}"/>
    <cellStyle name="20% - Accent3 6 2 2" xfId="7493" xr:uid="{00000000-0005-0000-0000-0000D4010000}"/>
    <cellStyle name="20% - Accent3 6 2 2 2" xfId="15935" xr:uid="{B7485EA6-7D54-4189-B551-8181DF07454F}"/>
    <cellStyle name="20% - Accent3 6 2 3" xfId="11717" xr:uid="{A8E26D5D-1B3F-44B9-B148-BE1B0313F090}"/>
    <cellStyle name="20% - Accent3 6 3" xfId="5348" xr:uid="{00000000-0005-0000-0000-0000D5010000}"/>
    <cellStyle name="20% - Accent3 6 3 2" xfId="13790" xr:uid="{4704C415-2126-45B8-AFE8-6E2DC1B3D28F}"/>
    <cellStyle name="20% - Accent3 6 4" xfId="9572" xr:uid="{D59505FE-DBB9-4939-A933-A5B59F5BF05A}"/>
    <cellStyle name="20% - Accent3 7" xfId="1453" xr:uid="{00000000-0005-0000-0000-0000D6010000}"/>
    <cellStyle name="20% - Accent3 7 2" xfId="3683" xr:uid="{00000000-0005-0000-0000-0000D7010000}"/>
    <cellStyle name="20% - Accent3 7 2 2" xfId="7906" xr:uid="{00000000-0005-0000-0000-0000D8010000}"/>
    <cellStyle name="20% - Accent3 7 2 2 2" xfId="16348" xr:uid="{DD05C2B6-78BD-4C2A-8E5B-6FFAE9BB02E8}"/>
    <cellStyle name="20% - Accent3 7 2 3" xfId="12130" xr:uid="{7BECAD25-9E1D-47C2-9188-1D4E227F3362}"/>
    <cellStyle name="20% - Accent3 7 3" xfId="5761" xr:uid="{00000000-0005-0000-0000-0000D9010000}"/>
    <cellStyle name="20% - Accent3 7 3 2" xfId="14203" xr:uid="{5329ADFC-1ABF-4DF6-BDAB-0B9A43573780}"/>
    <cellStyle name="20% - Accent3 7 4" xfId="9985" xr:uid="{459EF3ED-F02F-4B56-B912-E7B4179AAA8B}"/>
    <cellStyle name="20% - Accent3 8" xfId="1867" xr:uid="{00000000-0005-0000-0000-0000DA010000}"/>
    <cellStyle name="20% - Accent3 8 2" xfId="4096" xr:uid="{00000000-0005-0000-0000-0000DB010000}"/>
    <cellStyle name="20% - Accent3 8 2 2" xfId="8319" xr:uid="{00000000-0005-0000-0000-0000DC010000}"/>
    <cellStyle name="20% - Accent3 8 2 2 2" xfId="16761" xr:uid="{191F2163-9BA8-483B-A266-1CE342A16939}"/>
    <cellStyle name="20% - Accent3 8 2 3" xfId="12543" xr:uid="{89F14715-81A0-4522-8F82-A058F9B12298}"/>
    <cellStyle name="20% - Accent3 8 3" xfId="6174" xr:uid="{00000000-0005-0000-0000-0000DD010000}"/>
    <cellStyle name="20% - Accent3 8 3 2" xfId="14616" xr:uid="{7CD40047-205E-43F8-A07D-30BC706C6A20}"/>
    <cellStyle name="20% - Accent3 8 4" xfId="10398" xr:uid="{C5A2BD6D-00FF-4AC8-88E3-904B481BCEC5}"/>
    <cellStyle name="20% - Accent3 9" xfId="2280" xr:uid="{00000000-0005-0000-0000-0000DE010000}"/>
    <cellStyle name="20% - Accent3 9 2" xfId="6587" xr:uid="{00000000-0005-0000-0000-0000DF010000}"/>
    <cellStyle name="20% - Accent3 9 2 2" xfId="15029" xr:uid="{59A91D6E-08B0-4520-A56D-62E65F10BF91}"/>
    <cellStyle name="20% - Accent3 9 3" xfId="10811" xr:uid="{19D10364-6A44-45F3-A665-C67AEEEFCF03}"/>
    <cellStyle name="20% - Accent4" xfId="25" builtinId="42" customBuiltin="1"/>
    <cellStyle name="20% - Accent4 10" xfId="4529" xr:uid="{00000000-0005-0000-0000-0000E1010000}"/>
    <cellStyle name="20% - Accent4 10 2" xfId="12971" xr:uid="{F72189BD-A0AC-48B9-ACA3-7607F7177B4D}"/>
    <cellStyle name="20% - Accent4 11" xfId="8753" xr:uid="{2A5D9446-094B-43A8-ADD0-1E99A3DA62E3}"/>
    <cellStyle name="20% - Accent4 2" xfId="26" xr:uid="{00000000-0005-0000-0000-0000E2010000}"/>
    <cellStyle name="20% - Accent4 2 10" xfId="8754" xr:uid="{F6471289-8CAC-4369-B3A8-3AD74EDFC9BC}"/>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15533" xr:uid="{7B92AF61-967F-4F87-9B1E-7E4B39141F31}"/>
    <cellStyle name="20% - Accent4 2 2 2 2 2 3" xfId="11315" xr:uid="{904105F3-6995-4F31-8E5F-981E8B936626}"/>
    <cellStyle name="20% - Accent4 2 2 2 2 3" xfId="4946" xr:uid="{00000000-0005-0000-0000-0000E8010000}"/>
    <cellStyle name="20% - Accent4 2 2 2 2 3 2" xfId="13388" xr:uid="{D0D43B2F-AE50-4186-8C27-4FF8E33931D0}"/>
    <cellStyle name="20% - Accent4 2 2 2 2 4" xfId="9170" xr:uid="{6BE96455-28FB-44A3-9034-ADBECBB01B1A}"/>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2 2" xfId="15946" xr:uid="{EDC67FD4-89B3-4464-8CDA-34BC141A195E}"/>
    <cellStyle name="20% - Accent4 2 2 2 3 2 3" xfId="11728" xr:uid="{5E9ECD00-1A07-49C6-9F0A-993E568FB9ED}"/>
    <cellStyle name="20% - Accent4 2 2 2 3 3" xfId="5359" xr:uid="{00000000-0005-0000-0000-0000EC010000}"/>
    <cellStyle name="20% - Accent4 2 2 2 3 3 2" xfId="13801" xr:uid="{AEE3CA19-A2AD-49D6-A2E3-BA86F0709947}"/>
    <cellStyle name="20% - Accent4 2 2 2 3 4" xfId="9583" xr:uid="{912DE76A-DBB1-4646-9F5D-A3BE9FE70952}"/>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2 2 2" xfId="16359" xr:uid="{F4E244B6-1688-4A84-9294-BA2EB66A012E}"/>
    <cellStyle name="20% - Accent4 2 2 2 4 2 3" xfId="12141" xr:uid="{820970E5-94DD-443F-AF5B-8F01C345BB2A}"/>
    <cellStyle name="20% - Accent4 2 2 2 4 3" xfId="5772" xr:uid="{00000000-0005-0000-0000-0000F0010000}"/>
    <cellStyle name="20% - Accent4 2 2 2 4 3 2" xfId="14214" xr:uid="{9E4E8833-1C17-494E-A82B-9712E1722E7B}"/>
    <cellStyle name="20% - Accent4 2 2 2 4 4" xfId="9996" xr:uid="{CD78B45F-7805-46D2-886E-B4624166B905}"/>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2 2 2" xfId="16772" xr:uid="{D514A685-B901-4A22-AE66-FFB3B29662C7}"/>
    <cellStyle name="20% - Accent4 2 2 2 5 2 3" xfId="12554" xr:uid="{D87C1A63-1A07-4730-AFDA-8EAFE5CB00A5}"/>
    <cellStyle name="20% - Accent4 2 2 2 5 3" xfId="6185" xr:uid="{00000000-0005-0000-0000-0000F4010000}"/>
    <cellStyle name="20% - Accent4 2 2 2 5 3 2" xfId="14627" xr:uid="{9BE6C776-67DE-46CE-B00D-221C78F48A54}"/>
    <cellStyle name="20% - Accent4 2 2 2 5 4" xfId="10409" xr:uid="{56E79E06-40A9-492F-8C3A-DB541F0EB27F}"/>
    <cellStyle name="20% - Accent4 2 2 2 6" xfId="2291" xr:uid="{00000000-0005-0000-0000-0000F5010000}"/>
    <cellStyle name="20% - Accent4 2 2 2 6 2" xfId="6598" xr:uid="{00000000-0005-0000-0000-0000F6010000}"/>
    <cellStyle name="20% - Accent4 2 2 2 6 2 2" xfId="15040" xr:uid="{C77E4729-E4BF-47D8-947C-3210E22496E6}"/>
    <cellStyle name="20% - Accent4 2 2 2 6 3" xfId="10822" xr:uid="{FAB28A7A-7313-419B-AE8F-B882E787B62C}"/>
    <cellStyle name="20% - Accent4 2 2 2 7" xfId="4532" xr:uid="{00000000-0005-0000-0000-0000F7010000}"/>
    <cellStyle name="20% - Accent4 2 2 2 7 2" xfId="12974" xr:uid="{3D7D26BE-6385-4D9A-AED6-FF7EFD6EF419}"/>
    <cellStyle name="20% - Accent4 2 2 2 8" xfId="8756" xr:uid="{E7FD7CBC-8E9A-402D-BC85-F0ED3E8570BE}"/>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15532" xr:uid="{7D153E23-8855-4CA2-BF51-1C016D033B1D}"/>
    <cellStyle name="20% - Accent4 2 2 3 2 3" xfId="11314" xr:uid="{89E2F728-BFCA-402F-9DED-A1F595D4471C}"/>
    <cellStyle name="20% - Accent4 2 2 3 3" xfId="4945" xr:uid="{00000000-0005-0000-0000-0000FB010000}"/>
    <cellStyle name="20% - Accent4 2 2 3 3 2" xfId="13387" xr:uid="{E5833E50-DCBB-40AF-8310-6AD9ECB56CD5}"/>
    <cellStyle name="20% - Accent4 2 2 3 4" xfId="9169" xr:uid="{2A53C3C6-B733-4425-862D-1B6C1DC22B97}"/>
    <cellStyle name="20% - Accent4 2 2 4" xfId="1049" xr:uid="{00000000-0005-0000-0000-0000FC010000}"/>
    <cellStyle name="20% - Accent4 2 2 4 2" xfId="3280" xr:uid="{00000000-0005-0000-0000-0000FD010000}"/>
    <cellStyle name="20% - Accent4 2 2 4 2 2" xfId="7503" xr:uid="{00000000-0005-0000-0000-0000FE010000}"/>
    <cellStyle name="20% - Accent4 2 2 4 2 2 2" xfId="15945" xr:uid="{1DDA38D4-B74E-4997-8B17-7CFEEFA60680}"/>
    <cellStyle name="20% - Accent4 2 2 4 2 3" xfId="11727" xr:uid="{6FCFE81F-8A2B-4033-BF97-864F9C555B6B}"/>
    <cellStyle name="20% - Accent4 2 2 4 3" xfId="5358" xr:uid="{00000000-0005-0000-0000-0000FF010000}"/>
    <cellStyle name="20% - Accent4 2 2 4 3 2" xfId="13800" xr:uid="{B643C22D-7F0C-4E76-B611-3A03E26F34E7}"/>
    <cellStyle name="20% - Accent4 2 2 4 4" xfId="9582" xr:uid="{008B825D-0C71-4594-BA11-36C9D9A59FCC}"/>
    <cellStyle name="20% - Accent4 2 2 5" xfId="1463" xr:uid="{00000000-0005-0000-0000-000000020000}"/>
    <cellStyle name="20% - Accent4 2 2 5 2" xfId="3693" xr:uid="{00000000-0005-0000-0000-000001020000}"/>
    <cellStyle name="20% - Accent4 2 2 5 2 2" xfId="7916" xr:uid="{00000000-0005-0000-0000-000002020000}"/>
    <cellStyle name="20% - Accent4 2 2 5 2 2 2" xfId="16358" xr:uid="{2A126563-9B48-4D67-8BAA-1D2376A434C9}"/>
    <cellStyle name="20% - Accent4 2 2 5 2 3" xfId="12140" xr:uid="{BF7552DD-A907-4BB1-AB3C-83401E63D2EA}"/>
    <cellStyle name="20% - Accent4 2 2 5 3" xfId="5771" xr:uid="{00000000-0005-0000-0000-000003020000}"/>
    <cellStyle name="20% - Accent4 2 2 5 3 2" xfId="14213" xr:uid="{E2A473AF-6F62-40B3-90AC-E626A27C602B}"/>
    <cellStyle name="20% - Accent4 2 2 5 4" xfId="9995" xr:uid="{46729D4B-1B69-49C5-B056-A572BDE055FB}"/>
    <cellStyle name="20% - Accent4 2 2 6" xfId="1877" xr:uid="{00000000-0005-0000-0000-000004020000}"/>
    <cellStyle name="20% - Accent4 2 2 6 2" xfId="4106" xr:uid="{00000000-0005-0000-0000-000005020000}"/>
    <cellStyle name="20% - Accent4 2 2 6 2 2" xfId="8329" xr:uid="{00000000-0005-0000-0000-000006020000}"/>
    <cellStyle name="20% - Accent4 2 2 6 2 2 2" xfId="16771" xr:uid="{34FBF0EE-3A67-4C0B-AAE8-43DAA7209B51}"/>
    <cellStyle name="20% - Accent4 2 2 6 2 3" xfId="12553" xr:uid="{4AEB48BF-04E7-4C36-BA86-C4119C7ED5F8}"/>
    <cellStyle name="20% - Accent4 2 2 6 3" xfId="6184" xr:uid="{00000000-0005-0000-0000-000007020000}"/>
    <cellStyle name="20% - Accent4 2 2 6 3 2" xfId="14626" xr:uid="{C95D9941-479F-472F-8837-E50632309B3E}"/>
    <cellStyle name="20% - Accent4 2 2 6 4" xfId="10408" xr:uid="{CDC1B82E-CCE4-4013-A8A9-8075D261D14C}"/>
    <cellStyle name="20% - Accent4 2 2 7" xfId="2290" xr:uid="{00000000-0005-0000-0000-000008020000}"/>
    <cellStyle name="20% - Accent4 2 2 7 2" xfId="6597" xr:uid="{00000000-0005-0000-0000-000009020000}"/>
    <cellStyle name="20% - Accent4 2 2 7 2 2" xfId="15039" xr:uid="{C28CDCC2-9AB2-419C-9A24-2EA00D8D562F}"/>
    <cellStyle name="20% - Accent4 2 2 7 3" xfId="10821" xr:uid="{2C60D336-744C-4B34-9B12-009E00631D6B}"/>
    <cellStyle name="20% - Accent4 2 2 8" xfId="4531" xr:uid="{00000000-0005-0000-0000-00000A020000}"/>
    <cellStyle name="20% - Accent4 2 2 8 2" xfId="12973" xr:uid="{E1AC3E5A-1F47-43EE-834C-87CA2428D09E}"/>
    <cellStyle name="20% - Accent4 2 2 9" xfId="8755" xr:uid="{9CCF725F-7EB7-4AE6-A3DE-5A672ED40299}"/>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15534" xr:uid="{EA2C0590-D109-4DAD-917C-E82E75E5F5CB}"/>
    <cellStyle name="20% - Accent4 2 3 2 2 3" xfId="11316" xr:uid="{5CD17A9E-1187-4654-BC72-354390A3966F}"/>
    <cellStyle name="20% - Accent4 2 3 2 3" xfId="4947" xr:uid="{00000000-0005-0000-0000-00000F020000}"/>
    <cellStyle name="20% - Accent4 2 3 2 3 2" xfId="13389" xr:uid="{3BA06321-9A73-434B-85D1-FE1903E2E3C8}"/>
    <cellStyle name="20% - Accent4 2 3 2 4" xfId="9171" xr:uid="{8B73EC7A-E5AB-42A6-863F-CADA5D09E4C5}"/>
    <cellStyle name="20% - Accent4 2 3 3" xfId="1051" xr:uid="{00000000-0005-0000-0000-000010020000}"/>
    <cellStyle name="20% - Accent4 2 3 3 2" xfId="3282" xr:uid="{00000000-0005-0000-0000-000011020000}"/>
    <cellStyle name="20% - Accent4 2 3 3 2 2" xfId="7505" xr:uid="{00000000-0005-0000-0000-000012020000}"/>
    <cellStyle name="20% - Accent4 2 3 3 2 2 2" xfId="15947" xr:uid="{E663E42C-1B31-4B34-BFF0-3E0B800B487C}"/>
    <cellStyle name="20% - Accent4 2 3 3 2 3" xfId="11729" xr:uid="{CCEF05EF-BBF5-4045-93B2-4D4005F6FCDD}"/>
    <cellStyle name="20% - Accent4 2 3 3 3" xfId="5360" xr:uid="{00000000-0005-0000-0000-000013020000}"/>
    <cellStyle name="20% - Accent4 2 3 3 3 2" xfId="13802" xr:uid="{4E9A58D0-56B8-44CD-A0FA-682BB7E834FF}"/>
    <cellStyle name="20% - Accent4 2 3 3 4" xfId="9584" xr:uid="{346299FA-16B4-4D85-AE37-B90B5259047A}"/>
    <cellStyle name="20% - Accent4 2 3 4" xfId="1465" xr:uid="{00000000-0005-0000-0000-000014020000}"/>
    <cellStyle name="20% - Accent4 2 3 4 2" xfId="3695" xr:uid="{00000000-0005-0000-0000-000015020000}"/>
    <cellStyle name="20% - Accent4 2 3 4 2 2" xfId="7918" xr:uid="{00000000-0005-0000-0000-000016020000}"/>
    <cellStyle name="20% - Accent4 2 3 4 2 2 2" xfId="16360" xr:uid="{8DEC10EA-6667-4D0C-ACDC-EF10E2BF8B4F}"/>
    <cellStyle name="20% - Accent4 2 3 4 2 3" xfId="12142" xr:uid="{D0929E32-7B63-4224-879C-53AF2E85EB5C}"/>
    <cellStyle name="20% - Accent4 2 3 4 3" xfId="5773" xr:uid="{00000000-0005-0000-0000-000017020000}"/>
    <cellStyle name="20% - Accent4 2 3 4 3 2" xfId="14215" xr:uid="{56C3FC98-C62A-4959-8B34-8B6E74A476E6}"/>
    <cellStyle name="20% - Accent4 2 3 4 4" xfId="9997" xr:uid="{873592EF-E492-4224-B605-FF74BFC30BF1}"/>
    <cellStyle name="20% - Accent4 2 3 5" xfId="1879" xr:uid="{00000000-0005-0000-0000-000018020000}"/>
    <cellStyle name="20% - Accent4 2 3 5 2" xfId="4108" xr:uid="{00000000-0005-0000-0000-000019020000}"/>
    <cellStyle name="20% - Accent4 2 3 5 2 2" xfId="8331" xr:uid="{00000000-0005-0000-0000-00001A020000}"/>
    <cellStyle name="20% - Accent4 2 3 5 2 2 2" xfId="16773" xr:uid="{3CB52304-F13C-45F6-AD0E-0A032E2A1C65}"/>
    <cellStyle name="20% - Accent4 2 3 5 2 3" xfId="12555" xr:uid="{155F2F0A-0A06-4268-A9DC-31A674DFCFA1}"/>
    <cellStyle name="20% - Accent4 2 3 5 3" xfId="6186" xr:uid="{00000000-0005-0000-0000-00001B020000}"/>
    <cellStyle name="20% - Accent4 2 3 5 3 2" xfId="14628" xr:uid="{EA4FBFED-7C64-4EE8-B140-C4B0EB3EB8A6}"/>
    <cellStyle name="20% - Accent4 2 3 5 4" xfId="10410" xr:uid="{36EF3600-63B5-4B33-8FBA-5C39E0132A80}"/>
    <cellStyle name="20% - Accent4 2 3 6" xfId="2292" xr:uid="{00000000-0005-0000-0000-00001C020000}"/>
    <cellStyle name="20% - Accent4 2 3 6 2" xfId="6599" xr:uid="{00000000-0005-0000-0000-00001D020000}"/>
    <cellStyle name="20% - Accent4 2 3 6 2 2" xfId="15041" xr:uid="{27781179-D439-400B-BF9E-50CF9337F28A}"/>
    <cellStyle name="20% - Accent4 2 3 6 3" xfId="10823" xr:uid="{2872C743-BF9E-4109-97FC-3D2B73FE239B}"/>
    <cellStyle name="20% - Accent4 2 3 7" xfId="4533" xr:uid="{00000000-0005-0000-0000-00001E020000}"/>
    <cellStyle name="20% - Accent4 2 3 7 2" xfId="12975" xr:uid="{3F4F99F5-B5A2-4AFD-B0B9-16E3A1BDFD87}"/>
    <cellStyle name="20% - Accent4 2 3 8" xfId="8757" xr:uid="{D0B09530-4B79-4B32-9EA7-E14469F7CD58}"/>
    <cellStyle name="20% - Accent4 2 4" xfId="595" xr:uid="{00000000-0005-0000-0000-00001F020000}"/>
    <cellStyle name="20% - Accent4 2 4 2" xfId="2866" xr:uid="{00000000-0005-0000-0000-000020020000}"/>
    <cellStyle name="20% - Accent4 2 4 2 2" xfId="7089" xr:uid="{00000000-0005-0000-0000-000021020000}"/>
    <cellStyle name="20% - Accent4 2 4 2 2 2" xfId="15531" xr:uid="{135ED34E-9779-40BA-B73B-5DFD65A6EFFD}"/>
    <cellStyle name="20% - Accent4 2 4 2 3" xfId="11313" xr:uid="{68617A2B-CEE1-4264-B046-B45547A92382}"/>
    <cellStyle name="20% - Accent4 2 4 3" xfId="4944" xr:uid="{00000000-0005-0000-0000-000022020000}"/>
    <cellStyle name="20% - Accent4 2 4 3 2" xfId="13386" xr:uid="{87C4CFB1-E952-4D61-BBD8-51884BB2A601}"/>
    <cellStyle name="20% - Accent4 2 4 4" xfId="9168" xr:uid="{7073F7D5-E9B2-4E74-AA9B-AA24DA5D7D10}"/>
    <cellStyle name="20% - Accent4 2 5" xfId="1048" xr:uid="{00000000-0005-0000-0000-000023020000}"/>
    <cellStyle name="20% - Accent4 2 5 2" xfId="3279" xr:uid="{00000000-0005-0000-0000-000024020000}"/>
    <cellStyle name="20% - Accent4 2 5 2 2" xfId="7502" xr:uid="{00000000-0005-0000-0000-000025020000}"/>
    <cellStyle name="20% - Accent4 2 5 2 2 2" xfId="15944" xr:uid="{464A85EC-8A43-4362-A05F-106F6E268870}"/>
    <cellStyle name="20% - Accent4 2 5 2 3" xfId="11726" xr:uid="{8A05ED8F-089D-4C53-B869-FE05E57759D7}"/>
    <cellStyle name="20% - Accent4 2 5 3" xfId="5357" xr:uid="{00000000-0005-0000-0000-000026020000}"/>
    <cellStyle name="20% - Accent4 2 5 3 2" xfId="13799" xr:uid="{F6930226-6D99-44E9-9A3A-FF211038F8D7}"/>
    <cellStyle name="20% - Accent4 2 5 4" xfId="9581" xr:uid="{45F1579C-D735-4E78-AA02-78AA897E92F7}"/>
    <cellStyle name="20% - Accent4 2 6" xfId="1462" xr:uid="{00000000-0005-0000-0000-000027020000}"/>
    <cellStyle name="20% - Accent4 2 6 2" xfId="3692" xr:uid="{00000000-0005-0000-0000-000028020000}"/>
    <cellStyle name="20% - Accent4 2 6 2 2" xfId="7915" xr:uid="{00000000-0005-0000-0000-000029020000}"/>
    <cellStyle name="20% - Accent4 2 6 2 2 2" xfId="16357" xr:uid="{38C890BD-0F7E-4927-B98A-6015820E2EA2}"/>
    <cellStyle name="20% - Accent4 2 6 2 3" xfId="12139" xr:uid="{CBBACD08-A426-4F05-9C0B-A712DAF6BA89}"/>
    <cellStyle name="20% - Accent4 2 6 3" xfId="5770" xr:uid="{00000000-0005-0000-0000-00002A020000}"/>
    <cellStyle name="20% - Accent4 2 6 3 2" xfId="14212" xr:uid="{EEBAFCF3-02DA-4939-973E-A8EA25A544FD}"/>
    <cellStyle name="20% - Accent4 2 6 4" xfId="9994" xr:uid="{69274FCC-44E7-4C8E-ABFF-6BB3044B4B89}"/>
    <cellStyle name="20% - Accent4 2 7" xfId="1876" xr:uid="{00000000-0005-0000-0000-00002B020000}"/>
    <cellStyle name="20% - Accent4 2 7 2" xfId="4105" xr:uid="{00000000-0005-0000-0000-00002C020000}"/>
    <cellStyle name="20% - Accent4 2 7 2 2" xfId="8328" xr:uid="{00000000-0005-0000-0000-00002D020000}"/>
    <cellStyle name="20% - Accent4 2 7 2 2 2" xfId="16770" xr:uid="{8714B98E-51AA-43DD-A9B0-3EF83992857E}"/>
    <cellStyle name="20% - Accent4 2 7 2 3" xfId="12552" xr:uid="{9C9BA85C-840F-4713-BDDE-81AD77F468C4}"/>
    <cellStyle name="20% - Accent4 2 7 3" xfId="6183" xr:uid="{00000000-0005-0000-0000-00002E020000}"/>
    <cellStyle name="20% - Accent4 2 7 3 2" xfId="14625" xr:uid="{968281E5-7E83-4728-8E6C-C743F9EB023B}"/>
    <cellStyle name="20% - Accent4 2 7 4" xfId="10407" xr:uid="{EBABD35E-3EB6-4292-91AE-120ED97AE8CB}"/>
    <cellStyle name="20% - Accent4 2 8" xfId="2289" xr:uid="{00000000-0005-0000-0000-00002F020000}"/>
    <cellStyle name="20% - Accent4 2 8 2" xfId="6596" xr:uid="{00000000-0005-0000-0000-000030020000}"/>
    <cellStyle name="20% - Accent4 2 8 2 2" xfId="15038" xr:uid="{91CF2750-1AEA-4BDF-B909-34071FF506C3}"/>
    <cellStyle name="20% - Accent4 2 8 3" xfId="10820" xr:uid="{FB6BD3A8-B2EA-4922-A40A-1D830AA77348}"/>
    <cellStyle name="20% - Accent4 2 9" xfId="4530" xr:uid="{00000000-0005-0000-0000-000031020000}"/>
    <cellStyle name="20% - Accent4 2 9 2" xfId="12972" xr:uid="{E3E6D7F7-9923-48DB-B37C-B84F70AA6384}"/>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15536" xr:uid="{A3B5F6FF-A4C0-46AF-B219-ABBE29BF4EE8}"/>
    <cellStyle name="20% - Accent4 3 2 2 2 3" xfId="11318" xr:uid="{628AAEB6-308B-42BE-A408-82FA6060A549}"/>
    <cellStyle name="20% - Accent4 3 2 2 3" xfId="4949" xr:uid="{00000000-0005-0000-0000-000037020000}"/>
    <cellStyle name="20% - Accent4 3 2 2 3 2" xfId="13391" xr:uid="{AB61DF75-4487-417D-AE8F-D28B4DBC0411}"/>
    <cellStyle name="20% - Accent4 3 2 2 4" xfId="9173" xr:uid="{EE3BE082-B7BC-4FAA-B593-EE6036C8C43A}"/>
    <cellStyle name="20% - Accent4 3 2 3" xfId="1053" xr:uid="{00000000-0005-0000-0000-000038020000}"/>
    <cellStyle name="20% - Accent4 3 2 3 2" xfId="3284" xr:uid="{00000000-0005-0000-0000-000039020000}"/>
    <cellStyle name="20% - Accent4 3 2 3 2 2" xfId="7507" xr:uid="{00000000-0005-0000-0000-00003A020000}"/>
    <cellStyle name="20% - Accent4 3 2 3 2 2 2" xfId="15949" xr:uid="{445B6DF9-D304-4F08-8E86-2B30B106366C}"/>
    <cellStyle name="20% - Accent4 3 2 3 2 3" xfId="11731" xr:uid="{5A367CCA-6CB0-45B2-96D1-8942B6A1A321}"/>
    <cellStyle name="20% - Accent4 3 2 3 3" xfId="5362" xr:uid="{00000000-0005-0000-0000-00003B020000}"/>
    <cellStyle name="20% - Accent4 3 2 3 3 2" xfId="13804" xr:uid="{ABE952D1-296F-4E23-BBEE-6F499500DBD1}"/>
    <cellStyle name="20% - Accent4 3 2 3 4" xfId="9586" xr:uid="{7E26C79B-EC46-45B9-B5BD-BA2C9ADD1184}"/>
    <cellStyle name="20% - Accent4 3 2 4" xfId="1467" xr:uid="{00000000-0005-0000-0000-00003C020000}"/>
    <cellStyle name="20% - Accent4 3 2 4 2" xfId="3697" xr:uid="{00000000-0005-0000-0000-00003D020000}"/>
    <cellStyle name="20% - Accent4 3 2 4 2 2" xfId="7920" xr:uid="{00000000-0005-0000-0000-00003E020000}"/>
    <cellStyle name="20% - Accent4 3 2 4 2 2 2" xfId="16362" xr:uid="{B25F10DC-DEDC-49EE-8679-BAEC96A61F64}"/>
    <cellStyle name="20% - Accent4 3 2 4 2 3" xfId="12144" xr:uid="{C1F632C6-6983-4208-A37C-B4DDD862BC92}"/>
    <cellStyle name="20% - Accent4 3 2 4 3" xfId="5775" xr:uid="{00000000-0005-0000-0000-00003F020000}"/>
    <cellStyle name="20% - Accent4 3 2 4 3 2" xfId="14217" xr:uid="{42CC2D71-98A8-4080-BCF9-740ADD22E2EE}"/>
    <cellStyle name="20% - Accent4 3 2 4 4" xfId="9999" xr:uid="{0345BD31-5A11-4062-AE76-4FAE39CEBB7E}"/>
    <cellStyle name="20% - Accent4 3 2 5" xfId="1881" xr:uid="{00000000-0005-0000-0000-000040020000}"/>
    <cellStyle name="20% - Accent4 3 2 5 2" xfId="4110" xr:uid="{00000000-0005-0000-0000-000041020000}"/>
    <cellStyle name="20% - Accent4 3 2 5 2 2" xfId="8333" xr:uid="{00000000-0005-0000-0000-000042020000}"/>
    <cellStyle name="20% - Accent4 3 2 5 2 2 2" xfId="16775" xr:uid="{C0A651B3-6E7E-4CDC-BC37-C5E0384FC0ED}"/>
    <cellStyle name="20% - Accent4 3 2 5 2 3" xfId="12557" xr:uid="{A92A42F3-E479-4973-B537-B8CA43DAE838}"/>
    <cellStyle name="20% - Accent4 3 2 5 3" xfId="6188" xr:uid="{00000000-0005-0000-0000-000043020000}"/>
    <cellStyle name="20% - Accent4 3 2 5 3 2" xfId="14630" xr:uid="{FA961F09-90BF-4916-B641-9FB6A7B4FC23}"/>
    <cellStyle name="20% - Accent4 3 2 5 4" xfId="10412" xr:uid="{7ACADCA0-FD64-4D4B-9541-80963E27DA20}"/>
    <cellStyle name="20% - Accent4 3 2 6" xfId="2294" xr:uid="{00000000-0005-0000-0000-000044020000}"/>
    <cellStyle name="20% - Accent4 3 2 6 2" xfId="6601" xr:uid="{00000000-0005-0000-0000-000045020000}"/>
    <cellStyle name="20% - Accent4 3 2 6 2 2" xfId="15043" xr:uid="{AC2547BB-5636-4A89-A6F0-E3D4D9740466}"/>
    <cellStyle name="20% - Accent4 3 2 6 3" xfId="10825" xr:uid="{0E7C6F8F-DCE7-45F9-8BBB-C424D5AFADC9}"/>
    <cellStyle name="20% - Accent4 3 2 7" xfId="4535" xr:uid="{00000000-0005-0000-0000-000046020000}"/>
    <cellStyle name="20% - Accent4 3 2 7 2" xfId="12977" xr:uid="{D09276BB-C5CE-4A23-B2D1-AC42A3BA569D}"/>
    <cellStyle name="20% - Accent4 3 2 8" xfId="8759" xr:uid="{7660F10E-620E-4790-960E-3C0FF6E72D8F}"/>
    <cellStyle name="20% - Accent4 3 3" xfId="599" xr:uid="{00000000-0005-0000-0000-000047020000}"/>
    <cellStyle name="20% - Accent4 3 3 2" xfId="2870" xr:uid="{00000000-0005-0000-0000-000048020000}"/>
    <cellStyle name="20% - Accent4 3 3 2 2" xfId="7093" xr:uid="{00000000-0005-0000-0000-000049020000}"/>
    <cellStyle name="20% - Accent4 3 3 2 2 2" xfId="15535" xr:uid="{9560AF3F-AC67-4577-84B2-53DB6220D5F7}"/>
    <cellStyle name="20% - Accent4 3 3 2 3" xfId="11317" xr:uid="{D174A9FD-331D-408A-843A-4B5C78C72005}"/>
    <cellStyle name="20% - Accent4 3 3 3" xfId="4948" xr:uid="{00000000-0005-0000-0000-00004A020000}"/>
    <cellStyle name="20% - Accent4 3 3 3 2" xfId="13390" xr:uid="{29713CEA-523C-4217-8F79-6CC255489F7A}"/>
    <cellStyle name="20% - Accent4 3 3 4" xfId="9172" xr:uid="{2A0A0EEC-6376-4076-97E9-ADB57F749358}"/>
    <cellStyle name="20% - Accent4 3 4" xfId="1052" xr:uid="{00000000-0005-0000-0000-00004B020000}"/>
    <cellStyle name="20% - Accent4 3 4 2" xfId="3283" xr:uid="{00000000-0005-0000-0000-00004C020000}"/>
    <cellStyle name="20% - Accent4 3 4 2 2" xfId="7506" xr:uid="{00000000-0005-0000-0000-00004D020000}"/>
    <cellStyle name="20% - Accent4 3 4 2 2 2" xfId="15948" xr:uid="{39CEC2E0-77A8-4E38-87EA-BA71BC6AEF26}"/>
    <cellStyle name="20% - Accent4 3 4 2 3" xfId="11730" xr:uid="{29BD7A93-C981-4B50-B255-25E673D10857}"/>
    <cellStyle name="20% - Accent4 3 4 3" xfId="5361" xr:uid="{00000000-0005-0000-0000-00004E020000}"/>
    <cellStyle name="20% - Accent4 3 4 3 2" xfId="13803" xr:uid="{8E53CF82-A885-4133-A02A-C03C0FBCE956}"/>
    <cellStyle name="20% - Accent4 3 4 4" xfId="9585" xr:uid="{23D83A72-71B3-4C2B-9058-A4B54674E0D0}"/>
    <cellStyle name="20% - Accent4 3 5" xfId="1466" xr:uid="{00000000-0005-0000-0000-00004F020000}"/>
    <cellStyle name="20% - Accent4 3 5 2" xfId="3696" xr:uid="{00000000-0005-0000-0000-000050020000}"/>
    <cellStyle name="20% - Accent4 3 5 2 2" xfId="7919" xr:uid="{00000000-0005-0000-0000-000051020000}"/>
    <cellStyle name="20% - Accent4 3 5 2 2 2" xfId="16361" xr:uid="{247EBFC6-29BD-4464-9773-CA84B5B3B243}"/>
    <cellStyle name="20% - Accent4 3 5 2 3" xfId="12143" xr:uid="{D517F68D-30FB-498F-84BD-02D5B5143B07}"/>
    <cellStyle name="20% - Accent4 3 5 3" xfId="5774" xr:uid="{00000000-0005-0000-0000-000052020000}"/>
    <cellStyle name="20% - Accent4 3 5 3 2" xfId="14216" xr:uid="{1DB5F339-0B7F-49BF-8AB6-0A461F827E8A}"/>
    <cellStyle name="20% - Accent4 3 5 4" xfId="9998" xr:uid="{5E2F29A5-69BD-450D-B6C2-A24F710E9FD1}"/>
    <cellStyle name="20% - Accent4 3 6" xfId="1880" xr:uid="{00000000-0005-0000-0000-000053020000}"/>
    <cellStyle name="20% - Accent4 3 6 2" xfId="4109" xr:uid="{00000000-0005-0000-0000-000054020000}"/>
    <cellStyle name="20% - Accent4 3 6 2 2" xfId="8332" xr:uid="{00000000-0005-0000-0000-000055020000}"/>
    <cellStyle name="20% - Accent4 3 6 2 2 2" xfId="16774" xr:uid="{75FBB345-011F-4C00-B5F6-2FB2B14CB4A1}"/>
    <cellStyle name="20% - Accent4 3 6 2 3" xfId="12556" xr:uid="{5FB15B7A-44EA-4202-9327-1BB46B63DF56}"/>
    <cellStyle name="20% - Accent4 3 6 3" xfId="6187" xr:uid="{00000000-0005-0000-0000-000056020000}"/>
    <cellStyle name="20% - Accent4 3 6 3 2" xfId="14629" xr:uid="{A7F87D0C-8D48-4B56-A44E-D7C66A23E5FA}"/>
    <cellStyle name="20% - Accent4 3 6 4" xfId="10411" xr:uid="{C7800E72-4C1E-45B3-93E6-3039156DDC25}"/>
    <cellStyle name="20% - Accent4 3 7" xfId="2293" xr:uid="{00000000-0005-0000-0000-000057020000}"/>
    <cellStyle name="20% - Accent4 3 7 2" xfId="6600" xr:uid="{00000000-0005-0000-0000-000058020000}"/>
    <cellStyle name="20% - Accent4 3 7 2 2" xfId="15042" xr:uid="{99480050-0B24-4D5D-B324-A0D58E22490F}"/>
    <cellStyle name="20% - Accent4 3 7 3" xfId="10824" xr:uid="{D23626D2-F566-4655-9D6C-C38AFA76B598}"/>
    <cellStyle name="20% - Accent4 3 8" xfId="4534" xr:uid="{00000000-0005-0000-0000-000059020000}"/>
    <cellStyle name="20% - Accent4 3 8 2" xfId="12976" xr:uid="{95D438FF-0651-4115-98CA-2A7FE6E5C514}"/>
    <cellStyle name="20% - Accent4 3 9" xfId="8758" xr:uid="{1DA3509F-89A3-4DEF-9A22-15A27969F58D}"/>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2 2 2" xfId="15537" xr:uid="{5FABD855-45B3-46D7-BBDE-7ABAE8B1C48C}"/>
    <cellStyle name="20% - Accent4 4 2 2 3" xfId="11319" xr:uid="{363D98A2-BFD4-4A3A-9F9F-D48E758C031A}"/>
    <cellStyle name="20% - Accent4 4 2 3" xfId="4950" xr:uid="{00000000-0005-0000-0000-00005E020000}"/>
    <cellStyle name="20% - Accent4 4 2 3 2" xfId="13392" xr:uid="{0925D9D5-B134-45F5-99BC-81A15FF2AEDF}"/>
    <cellStyle name="20% - Accent4 4 2 4" xfId="9174" xr:uid="{F72F7283-64C5-4F86-8435-75B130F42FB0}"/>
    <cellStyle name="20% - Accent4 4 3" xfId="1054" xr:uid="{00000000-0005-0000-0000-00005F020000}"/>
    <cellStyle name="20% - Accent4 4 3 2" xfId="3285" xr:uid="{00000000-0005-0000-0000-000060020000}"/>
    <cellStyle name="20% - Accent4 4 3 2 2" xfId="7508" xr:uid="{00000000-0005-0000-0000-000061020000}"/>
    <cellStyle name="20% - Accent4 4 3 2 2 2" xfId="15950" xr:uid="{33CB9510-7F05-486D-8F33-73B2F82BE666}"/>
    <cellStyle name="20% - Accent4 4 3 2 3" xfId="11732" xr:uid="{636A22B4-B4C4-43EF-B356-47E3E0EBEAFE}"/>
    <cellStyle name="20% - Accent4 4 3 3" xfId="5363" xr:uid="{00000000-0005-0000-0000-000062020000}"/>
    <cellStyle name="20% - Accent4 4 3 3 2" xfId="13805" xr:uid="{DBCBAAB0-F432-456E-9F6C-D7ADA4C77DFD}"/>
    <cellStyle name="20% - Accent4 4 3 4" xfId="9587" xr:uid="{D1F2860A-E331-4C7F-AB27-A8F0B6925520}"/>
    <cellStyle name="20% - Accent4 4 4" xfId="1468" xr:uid="{00000000-0005-0000-0000-000063020000}"/>
    <cellStyle name="20% - Accent4 4 4 2" xfId="3698" xr:uid="{00000000-0005-0000-0000-000064020000}"/>
    <cellStyle name="20% - Accent4 4 4 2 2" xfId="7921" xr:uid="{00000000-0005-0000-0000-000065020000}"/>
    <cellStyle name="20% - Accent4 4 4 2 2 2" xfId="16363" xr:uid="{48404DB5-28A3-4E3A-AF8E-F96C755D9652}"/>
    <cellStyle name="20% - Accent4 4 4 2 3" xfId="12145" xr:uid="{A8FC14CC-C40C-4EE6-B6DE-C911D3EE0703}"/>
    <cellStyle name="20% - Accent4 4 4 3" xfId="5776" xr:uid="{00000000-0005-0000-0000-000066020000}"/>
    <cellStyle name="20% - Accent4 4 4 3 2" xfId="14218" xr:uid="{C0914C9C-9CE0-4F86-AF8D-46D35FDF92FD}"/>
    <cellStyle name="20% - Accent4 4 4 4" xfId="10000" xr:uid="{AF35F40A-D381-4D25-98C7-03BCD4A948C8}"/>
    <cellStyle name="20% - Accent4 4 5" xfId="1882" xr:uid="{00000000-0005-0000-0000-000067020000}"/>
    <cellStyle name="20% - Accent4 4 5 2" xfId="4111" xr:uid="{00000000-0005-0000-0000-000068020000}"/>
    <cellStyle name="20% - Accent4 4 5 2 2" xfId="8334" xr:uid="{00000000-0005-0000-0000-000069020000}"/>
    <cellStyle name="20% - Accent4 4 5 2 2 2" xfId="16776" xr:uid="{4DEC7DC5-87E4-4F11-A207-BC48C9E7BA63}"/>
    <cellStyle name="20% - Accent4 4 5 2 3" xfId="12558" xr:uid="{DFA78BF0-CE3F-4E49-A5CD-09369311C458}"/>
    <cellStyle name="20% - Accent4 4 5 3" xfId="6189" xr:uid="{00000000-0005-0000-0000-00006A020000}"/>
    <cellStyle name="20% - Accent4 4 5 3 2" xfId="14631" xr:uid="{B4D42254-61E4-4546-BEBD-7AC373A6C10E}"/>
    <cellStyle name="20% - Accent4 4 5 4" xfId="10413" xr:uid="{6BA56656-9F74-4115-AFD3-6C2CF4938018}"/>
    <cellStyle name="20% - Accent4 4 6" xfId="2295" xr:uid="{00000000-0005-0000-0000-00006B020000}"/>
    <cellStyle name="20% - Accent4 4 6 2" xfId="6602" xr:uid="{00000000-0005-0000-0000-00006C020000}"/>
    <cellStyle name="20% - Accent4 4 6 2 2" xfId="15044" xr:uid="{05771FE6-F377-42CB-BE3E-ECDF93E47544}"/>
    <cellStyle name="20% - Accent4 4 6 3" xfId="10826" xr:uid="{FBF7A0DD-6EC9-4FF0-A7DA-232A0E885035}"/>
    <cellStyle name="20% - Accent4 4 7" xfId="4536" xr:uid="{00000000-0005-0000-0000-00006D020000}"/>
    <cellStyle name="20% - Accent4 4 7 2" xfId="12978" xr:uid="{A1312B90-E520-49C9-9084-4CDBC0F4754E}"/>
    <cellStyle name="20% - Accent4 4 8" xfId="8760" xr:uid="{EA34E8BB-FE9F-404A-AD7F-07E4C4AE1725}"/>
    <cellStyle name="20% - Accent4 5" xfId="594" xr:uid="{00000000-0005-0000-0000-00006E020000}"/>
    <cellStyle name="20% - Accent4 5 2" xfId="2865" xr:uid="{00000000-0005-0000-0000-00006F020000}"/>
    <cellStyle name="20% - Accent4 5 2 2" xfId="7088" xr:uid="{00000000-0005-0000-0000-000070020000}"/>
    <cellStyle name="20% - Accent4 5 2 2 2" xfId="15530" xr:uid="{122F6270-8EE4-44AC-B5DB-133074A16B85}"/>
    <cellStyle name="20% - Accent4 5 2 3" xfId="11312" xr:uid="{EF26C0D6-54D1-4BC6-BF6D-D6DBB799EAD9}"/>
    <cellStyle name="20% - Accent4 5 3" xfId="4943" xr:uid="{00000000-0005-0000-0000-000071020000}"/>
    <cellStyle name="20% - Accent4 5 3 2" xfId="13385" xr:uid="{E6F289B1-14DF-4BD3-97D4-A90CF3D08F66}"/>
    <cellStyle name="20% - Accent4 5 4" xfId="9167" xr:uid="{650065B6-A1D0-468C-AF1F-3683D11859D6}"/>
    <cellStyle name="20% - Accent4 6" xfId="1047" xr:uid="{00000000-0005-0000-0000-000072020000}"/>
    <cellStyle name="20% - Accent4 6 2" xfId="3278" xr:uid="{00000000-0005-0000-0000-000073020000}"/>
    <cellStyle name="20% - Accent4 6 2 2" xfId="7501" xr:uid="{00000000-0005-0000-0000-000074020000}"/>
    <cellStyle name="20% - Accent4 6 2 2 2" xfId="15943" xr:uid="{995420C3-3898-495E-93F2-FF84A56CDF8E}"/>
    <cellStyle name="20% - Accent4 6 2 3" xfId="11725" xr:uid="{97740842-E620-471E-8844-E8A3CD439AE4}"/>
    <cellStyle name="20% - Accent4 6 3" xfId="5356" xr:uid="{00000000-0005-0000-0000-000075020000}"/>
    <cellStyle name="20% - Accent4 6 3 2" xfId="13798" xr:uid="{8BF26020-746E-462E-A955-172180D7A194}"/>
    <cellStyle name="20% - Accent4 6 4" xfId="9580" xr:uid="{E79F0FE6-EC16-409E-AE59-A9CDC66F6E04}"/>
    <cellStyle name="20% - Accent4 7" xfId="1461" xr:uid="{00000000-0005-0000-0000-000076020000}"/>
    <cellStyle name="20% - Accent4 7 2" xfId="3691" xr:uid="{00000000-0005-0000-0000-000077020000}"/>
    <cellStyle name="20% - Accent4 7 2 2" xfId="7914" xr:uid="{00000000-0005-0000-0000-000078020000}"/>
    <cellStyle name="20% - Accent4 7 2 2 2" xfId="16356" xr:uid="{8A95FC54-5119-4854-9C4E-063C7D057296}"/>
    <cellStyle name="20% - Accent4 7 2 3" xfId="12138" xr:uid="{BA299631-0D63-44EF-99D1-CF6C6D2D740D}"/>
    <cellStyle name="20% - Accent4 7 3" xfId="5769" xr:uid="{00000000-0005-0000-0000-000079020000}"/>
    <cellStyle name="20% - Accent4 7 3 2" xfId="14211" xr:uid="{08E24263-9FF4-47BA-A1B2-0612E3765A67}"/>
    <cellStyle name="20% - Accent4 7 4" xfId="9993" xr:uid="{85091C00-8ED2-4D51-944A-B45858F310A0}"/>
    <cellStyle name="20% - Accent4 8" xfId="1875" xr:uid="{00000000-0005-0000-0000-00007A020000}"/>
    <cellStyle name="20% - Accent4 8 2" xfId="4104" xr:uid="{00000000-0005-0000-0000-00007B020000}"/>
    <cellStyle name="20% - Accent4 8 2 2" xfId="8327" xr:uid="{00000000-0005-0000-0000-00007C020000}"/>
    <cellStyle name="20% - Accent4 8 2 2 2" xfId="16769" xr:uid="{EF9D8687-4C57-46AA-8582-D8F04B1C6632}"/>
    <cellStyle name="20% - Accent4 8 2 3" xfId="12551" xr:uid="{EC2E1700-FDF9-4BF4-A9CE-29F4EB42C579}"/>
    <cellStyle name="20% - Accent4 8 3" xfId="6182" xr:uid="{00000000-0005-0000-0000-00007D020000}"/>
    <cellStyle name="20% - Accent4 8 3 2" xfId="14624" xr:uid="{969FD163-A072-40D8-BD39-3F927CC49C04}"/>
    <cellStyle name="20% - Accent4 8 4" xfId="10406" xr:uid="{24627FC0-9B7B-4878-9B1E-6D5B82DF2ABC}"/>
    <cellStyle name="20% - Accent4 9" xfId="2288" xr:uid="{00000000-0005-0000-0000-00007E020000}"/>
    <cellStyle name="20% - Accent4 9 2" xfId="6595" xr:uid="{00000000-0005-0000-0000-00007F020000}"/>
    <cellStyle name="20% - Accent4 9 2 2" xfId="15037" xr:uid="{2E9D5FE2-AD08-402A-893E-97906B70C79F}"/>
    <cellStyle name="20% - Accent4 9 3" xfId="10819" xr:uid="{76C47E6C-2660-4D97-807A-EFD27F72A5A1}"/>
    <cellStyle name="20% - Accent5" xfId="33" builtinId="46" customBuiltin="1"/>
    <cellStyle name="20% - Accent5 10" xfId="4537" xr:uid="{00000000-0005-0000-0000-000081020000}"/>
    <cellStyle name="20% - Accent5 10 2" xfId="12979" xr:uid="{B1C3353C-E3E8-4D87-995E-7C6955864366}"/>
    <cellStyle name="20% - Accent5 11" xfId="8761" xr:uid="{F36E25C1-A518-42E3-9694-52E611C9317E}"/>
    <cellStyle name="20% - Accent5 2" xfId="34" xr:uid="{00000000-0005-0000-0000-000082020000}"/>
    <cellStyle name="20% - Accent5 2 10" xfId="8762" xr:uid="{FF9A2D68-533C-42F6-AF55-E91A512FDB66}"/>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15541" xr:uid="{58E805E0-32C2-4B81-8BB3-A994810205B0}"/>
    <cellStyle name="20% - Accent5 2 2 2 2 2 3" xfId="11323" xr:uid="{AD88F86C-E454-426A-BB6A-E2AAAB82F051}"/>
    <cellStyle name="20% - Accent5 2 2 2 2 3" xfId="4954" xr:uid="{00000000-0005-0000-0000-000088020000}"/>
    <cellStyle name="20% - Accent5 2 2 2 2 3 2" xfId="13396" xr:uid="{05B3C54F-7768-4BF8-B94A-969BAF8E7C65}"/>
    <cellStyle name="20% - Accent5 2 2 2 2 4" xfId="9178" xr:uid="{6B8E0A27-59AB-43CB-91F9-F4EE3FA17F3C}"/>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2 2" xfId="15954" xr:uid="{5D56585E-9C5E-4588-9BE1-286EA7E4C288}"/>
    <cellStyle name="20% - Accent5 2 2 2 3 2 3" xfId="11736" xr:uid="{CAE33662-543C-4130-80C1-BC4F735DCB9E}"/>
    <cellStyle name="20% - Accent5 2 2 2 3 3" xfId="5367" xr:uid="{00000000-0005-0000-0000-00008C020000}"/>
    <cellStyle name="20% - Accent5 2 2 2 3 3 2" xfId="13809" xr:uid="{EEA61AAA-15C6-4FC6-90A9-848AA9347445}"/>
    <cellStyle name="20% - Accent5 2 2 2 3 4" xfId="9591" xr:uid="{169E2955-DE6D-4D86-B972-730E0B68D44C}"/>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2 2 2" xfId="16367" xr:uid="{2DAF5159-CC52-4D3A-AE59-5CD397C47E3C}"/>
    <cellStyle name="20% - Accent5 2 2 2 4 2 3" xfId="12149" xr:uid="{904A1FF9-E0C6-4FFC-BA77-1CC314579887}"/>
    <cellStyle name="20% - Accent5 2 2 2 4 3" xfId="5780" xr:uid="{00000000-0005-0000-0000-000090020000}"/>
    <cellStyle name="20% - Accent5 2 2 2 4 3 2" xfId="14222" xr:uid="{AB5611F3-ABDB-490E-9926-D63CEAA5683F}"/>
    <cellStyle name="20% - Accent5 2 2 2 4 4" xfId="10004" xr:uid="{2E23B34D-0B2B-4A45-AFBF-43A6A2650C4E}"/>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2 2 2" xfId="16780" xr:uid="{AEB29AAF-F94B-458F-B0B5-E5782E769297}"/>
    <cellStyle name="20% - Accent5 2 2 2 5 2 3" xfId="12562" xr:uid="{196D9939-18A7-49F9-9887-1DBFC2832A82}"/>
    <cellStyle name="20% - Accent5 2 2 2 5 3" xfId="6193" xr:uid="{00000000-0005-0000-0000-000094020000}"/>
    <cellStyle name="20% - Accent5 2 2 2 5 3 2" xfId="14635" xr:uid="{835560E9-E653-4375-81A0-85F7AC882DCD}"/>
    <cellStyle name="20% - Accent5 2 2 2 5 4" xfId="10417" xr:uid="{C61B8866-CD07-44D4-A9E4-2DA7C1FCEA2D}"/>
    <cellStyle name="20% - Accent5 2 2 2 6" xfId="2299" xr:uid="{00000000-0005-0000-0000-000095020000}"/>
    <cellStyle name="20% - Accent5 2 2 2 6 2" xfId="6606" xr:uid="{00000000-0005-0000-0000-000096020000}"/>
    <cellStyle name="20% - Accent5 2 2 2 6 2 2" xfId="15048" xr:uid="{C7817631-9093-468A-BA09-7623402AA618}"/>
    <cellStyle name="20% - Accent5 2 2 2 6 3" xfId="10830" xr:uid="{5D055462-85AC-4C1E-AE8B-171E573B7309}"/>
    <cellStyle name="20% - Accent5 2 2 2 7" xfId="4540" xr:uid="{00000000-0005-0000-0000-000097020000}"/>
    <cellStyle name="20% - Accent5 2 2 2 7 2" xfId="12982" xr:uid="{52BD1A52-A779-43A9-945B-6F18D96DF4F1}"/>
    <cellStyle name="20% - Accent5 2 2 2 8" xfId="8764" xr:uid="{0E4097A6-E1A7-4951-A198-A5871D121BA3}"/>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15540" xr:uid="{6FEBF2DE-5775-4188-BB66-BF73BB994A45}"/>
    <cellStyle name="20% - Accent5 2 2 3 2 3" xfId="11322" xr:uid="{BA24ECFF-BF37-4C96-A07B-4144229AB88C}"/>
    <cellStyle name="20% - Accent5 2 2 3 3" xfId="4953" xr:uid="{00000000-0005-0000-0000-00009B020000}"/>
    <cellStyle name="20% - Accent5 2 2 3 3 2" xfId="13395" xr:uid="{3AB057AC-F547-45F3-AFBE-C87BAC2C825F}"/>
    <cellStyle name="20% - Accent5 2 2 3 4" xfId="9177" xr:uid="{9D7E2FA0-0DB2-4DBD-93F8-A0D41A22F8B3}"/>
    <cellStyle name="20% - Accent5 2 2 4" xfId="1057" xr:uid="{00000000-0005-0000-0000-00009C020000}"/>
    <cellStyle name="20% - Accent5 2 2 4 2" xfId="3288" xr:uid="{00000000-0005-0000-0000-00009D020000}"/>
    <cellStyle name="20% - Accent5 2 2 4 2 2" xfId="7511" xr:uid="{00000000-0005-0000-0000-00009E020000}"/>
    <cellStyle name="20% - Accent5 2 2 4 2 2 2" xfId="15953" xr:uid="{05E7E7FE-FBD6-4579-A8C8-5D0F48083241}"/>
    <cellStyle name="20% - Accent5 2 2 4 2 3" xfId="11735" xr:uid="{45A3C108-F62F-430E-B8A5-A74556C9E75D}"/>
    <cellStyle name="20% - Accent5 2 2 4 3" xfId="5366" xr:uid="{00000000-0005-0000-0000-00009F020000}"/>
    <cellStyle name="20% - Accent5 2 2 4 3 2" xfId="13808" xr:uid="{51C42108-D5BB-4D91-B316-A89D1367142D}"/>
    <cellStyle name="20% - Accent5 2 2 4 4" xfId="9590" xr:uid="{89004C28-6E7B-4CEB-9F98-2DA0F13446E8}"/>
    <cellStyle name="20% - Accent5 2 2 5" xfId="1471" xr:uid="{00000000-0005-0000-0000-0000A0020000}"/>
    <cellStyle name="20% - Accent5 2 2 5 2" xfId="3701" xr:uid="{00000000-0005-0000-0000-0000A1020000}"/>
    <cellStyle name="20% - Accent5 2 2 5 2 2" xfId="7924" xr:uid="{00000000-0005-0000-0000-0000A2020000}"/>
    <cellStyle name="20% - Accent5 2 2 5 2 2 2" xfId="16366" xr:uid="{0353D02D-9B36-4DEA-A7CC-CAFFDC662877}"/>
    <cellStyle name="20% - Accent5 2 2 5 2 3" xfId="12148" xr:uid="{21D2F299-D250-4007-BC74-5D3BA97E342D}"/>
    <cellStyle name="20% - Accent5 2 2 5 3" xfId="5779" xr:uid="{00000000-0005-0000-0000-0000A3020000}"/>
    <cellStyle name="20% - Accent5 2 2 5 3 2" xfId="14221" xr:uid="{563B0631-BD89-40F3-B496-75200CC53D97}"/>
    <cellStyle name="20% - Accent5 2 2 5 4" xfId="10003" xr:uid="{E7349372-B74E-407E-AC95-6E035A5FCF02}"/>
    <cellStyle name="20% - Accent5 2 2 6" xfId="1885" xr:uid="{00000000-0005-0000-0000-0000A4020000}"/>
    <cellStyle name="20% - Accent5 2 2 6 2" xfId="4114" xr:uid="{00000000-0005-0000-0000-0000A5020000}"/>
    <cellStyle name="20% - Accent5 2 2 6 2 2" xfId="8337" xr:uid="{00000000-0005-0000-0000-0000A6020000}"/>
    <cellStyle name="20% - Accent5 2 2 6 2 2 2" xfId="16779" xr:uid="{0A4AB788-E315-4A19-9121-600EBBFFE5B2}"/>
    <cellStyle name="20% - Accent5 2 2 6 2 3" xfId="12561" xr:uid="{F6715C69-5173-4CC6-BDF4-E1ED1E5F2709}"/>
    <cellStyle name="20% - Accent5 2 2 6 3" xfId="6192" xr:uid="{00000000-0005-0000-0000-0000A7020000}"/>
    <cellStyle name="20% - Accent5 2 2 6 3 2" xfId="14634" xr:uid="{063D3A14-EB30-4F7D-9FA1-DAFB1A21F71A}"/>
    <cellStyle name="20% - Accent5 2 2 6 4" xfId="10416" xr:uid="{5B28CF97-DBAE-44AF-B096-FF1B6852CC5D}"/>
    <cellStyle name="20% - Accent5 2 2 7" xfId="2298" xr:uid="{00000000-0005-0000-0000-0000A8020000}"/>
    <cellStyle name="20% - Accent5 2 2 7 2" xfId="6605" xr:uid="{00000000-0005-0000-0000-0000A9020000}"/>
    <cellStyle name="20% - Accent5 2 2 7 2 2" xfId="15047" xr:uid="{EB23F190-F886-4BFA-927A-9AD4F2147E63}"/>
    <cellStyle name="20% - Accent5 2 2 7 3" xfId="10829" xr:uid="{EDA4F738-3279-47DF-846F-9C983DCE0503}"/>
    <cellStyle name="20% - Accent5 2 2 8" xfId="4539" xr:uid="{00000000-0005-0000-0000-0000AA020000}"/>
    <cellStyle name="20% - Accent5 2 2 8 2" xfId="12981" xr:uid="{41F5AE9C-F783-4F94-BA64-3EAB4A7F313B}"/>
    <cellStyle name="20% - Accent5 2 2 9" xfId="8763" xr:uid="{7FDF765C-C727-48FA-8853-FE33D90159B2}"/>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15542" xr:uid="{0855BC7D-95AC-4001-AF02-91B3A7C0ED4D}"/>
    <cellStyle name="20% - Accent5 2 3 2 2 3" xfId="11324" xr:uid="{E7F3A007-07BF-4F87-8560-C8F5FC4B7425}"/>
    <cellStyle name="20% - Accent5 2 3 2 3" xfId="4955" xr:uid="{00000000-0005-0000-0000-0000AF020000}"/>
    <cellStyle name="20% - Accent5 2 3 2 3 2" xfId="13397" xr:uid="{79072566-33DE-429F-83FC-9D552BE233DC}"/>
    <cellStyle name="20% - Accent5 2 3 2 4" xfId="9179" xr:uid="{849937EB-6B7C-4A37-86B7-B54D0D41D631}"/>
    <cellStyle name="20% - Accent5 2 3 3" xfId="1059" xr:uid="{00000000-0005-0000-0000-0000B0020000}"/>
    <cellStyle name="20% - Accent5 2 3 3 2" xfId="3290" xr:uid="{00000000-0005-0000-0000-0000B1020000}"/>
    <cellStyle name="20% - Accent5 2 3 3 2 2" xfId="7513" xr:uid="{00000000-0005-0000-0000-0000B2020000}"/>
    <cellStyle name="20% - Accent5 2 3 3 2 2 2" xfId="15955" xr:uid="{43B0A493-6644-4E22-9ACD-80034FCCD7B1}"/>
    <cellStyle name="20% - Accent5 2 3 3 2 3" xfId="11737" xr:uid="{E8A20416-BE4B-43B0-A9F3-3B09D10D465C}"/>
    <cellStyle name="20% - Accent5 2 3 3 3" xfId="5368" xr:uid="{00000000-0005-0000-0000-0000B3020000}"/>
    <cellStyle name="20% - Accent5 2 3 3 3 2" xfId="13810" xr:uid="{D3BD3F89-7E1D-4077-96B7-721B2659CFE0}"/>
    <cellStyle name="20% - Accent5 2 3 3 4" xfId="9592" xr:uid="{514BE25A-5D58-41AE-A6A5-10070CBA9346}"/>
    <cellStyle name="20% - Accent5 2 3 4" xfId="1473" xr:uid="{00000000-0005-0000-0000-0000B4020000}"/>
    <cellStyle name="20% - Accent5 2 3 4 2" xfId="3703" xr:uid="{00000000-0005-0000-0000-0000B5020000}"/>
    <cellStyle name="20% - Accent5 2 3 4 2 2" xfId="7926" xr:uid="{00000000-0005-0000-0000-0000B6020000}"/>
    <cellStyle name="20% - Accent5 2 3 4 2 2 2" xfId="16368" xr:uid="{251A7449-AA24-4AF7-B65F-BCFF7BE84956}"/>
    <cellStyle name="20% - Accent5 2 3 4 2 3" xfId="12150" xr:uid="{73AB42A9-CC38-479F-9576-4B99F320819F}"/>
    <cellStyle name="20% - Accent5 2 3 4 3" xfId="5781" xr:uid="{00000000-0005-0000-0000-0000B7020000}"/>
    <cellStyle name="20% - Accent5 2 3 4 3 2" xfId="14223" xr:uid="{7549D4C1-57A4-40E8-8886-C32B2894874F}"/>
    <cellStyle name="20% - Accent5 2 3 4 4" xfId="10005" xr:uid="{1E491055-2500-4DA6-845E-CA8525B25F90}"/>
    <cellStyle name="20% - Accent5 2 3 5" xfId="1887" xr:uid="{00000000-0005-0000-0000-0000B8020000}"/>
    <cellStyle name="20% - Accent5 2 3 5 2" xfId="4116" xr:uid="{00000000-0005-0000-0000-0000B9020000}"/>
    <cellStyle name="20% - Accent5 2 3 5 2 2" xfId="8339" xr:uid="{00000000-0005-0000-0000-0000BA020000}"/>
    <cellStyle name="20% - Accent5 2 3 5 2 2 2" xfId="16781" xr:uid="{D5F6BF1E-388A-4427-B483-C61807039BC5}"/>
    <cellStyle name="20% - Accent5 2 3 5 2 3" xfId="12563" xr:uid="{A5C0DF42-4701-4B03-BB4A-79DC4F87BAEF}"/>
    <cellStyle name="20% - Accent5 2 3 5 3" xfId="6194" xr:uid="{00000000-0005-0000-0000-0000BB020000}"/>
    <cellStyle name="20% - Accent5 2 3 5 3 2" xfId="14636" xr:uid="{9E740602-202F-4FB9-810C-BE0C3293CA60}"/>
    <cellStyle name="20% - Accent5 2 3 5 4" xfId="10418" xr:uid="{2AC34C16-01AF-493F-9307-A8DEF382C74B}"/>
    <cellStyle name="20% - Accent5 2 3 6" xfId="2300" xr:uid="{00000000-0005-0000-0000-0000BC020000}"/>
    <cellStyle name="20% - Accent5 2 3 6 2" xfId="6607" xr:uid="{00000000-0005-0000-0000-0000BD020000}"/>
    <cellStyle name="20% - Accent5 2 3 6 2 2" xfId="15049" xr:uid="{0506C295-B7ED-4E5D-9E14-DAC944B7A723}"/>
    <cellStyle name="20% - Accent5 2 3 6 3" xfId="10831" xr:uid="{87EA742F-E0E0-4BC3-BD60-3022E3CC2797}"/>
    <cellStyle name="20% - Accent5 2 3 7" xfId="4541" xr:uid="{00000000-0005-0000-0000-0000BE020000}"/>
    <cellStyle name="20% - Accent5 2 3 7 2" xfId="12983" xr:uid="{68640573-4B7D-4622-A705-41CF32DE556C}"/>
    <cellStyle name="20% - Accent5 2 3 8" xfId="8765" xr:uid="{E60C22BB-6988-4D9A-A097-9FCA57718122}"/>
    <cellStyle name="20% - Accent5 2 4" xfId="603" xr:uid="{00000000-0005-0000-0000-0000BF020000}"/>
    <cellStyle name="20% - Accent5 2 4 2" xfId="2874" xr:uid="{00000000-0005-0000-0000-0000C0020000}"/>
    <cellStyle name="20% - Accent5 2 4 2 2" xfId="7097" xr:uid="{00000000-0005-0000-0000-0000C1020000}"/>
    <cellStyle name="20% - Accent5 2 4 2 2 2" xfId="15539" xr:uid="{C8435FDB-AB38-4F0C-A0AB-3BF9B4592D11}"/>
    <cellStyle name="20% - Accent5 2 4 2 3" xfId="11321" xr:uid="{08FE1881-4AB4-4AFB-896C-3F10B5B124AD}"/>
    <cellStyle name="20% - Accent5 2 4 3" xfId="4952" xr:uid="{00000000-0005-0000-0000-0000C2020000}"/>
    <cellStyle name="20% - Accent5 2 4 3 2" xfId="13394" xr:uid="{B44CA4D4-DDAF-4E0B-94A9-366775962B36}"/>
    <cellStyle name="20% - Accent5 2 4 4" xfId="9176" xr:uid="{03C9E36E-9F84-4C82-82DD-5E44EB49B46F}"/>
    <cellStyle name="20% - Accent5 2 5" xfId="1056" xr:uid="{00000000-0005-0000-0000-0000C3020000}"/>
    <cellStyle name="20% - Accent5 2 5 2" xfId="3287" xr:uid="{00000000-0005-0000-0000-0000C4020000}"/>
    <cellStyle name="20% - Accent5 2 5 2 2" xfId="7510" xr:uid="{00000000-0005-0000-0000-0000C5020000}"/>
    <cellStyle name="20% - Accent5 2 5 2 2 2" xfId="15952" xr:uid="{EA7BF7E9-D2AF-48EA-BB38-8705AEE188DC}"/>
    <cellStyle name="20% - Accent5 2 5 2 3" xfId="11734" xr:uid="{6F4247F7-7F40-4FD1-8EBD-3DDBE3EE697E}"/>
    <cellStyle name="20% - Accent5 2 5 3" xfId="5365" xr:uid="{00000000-0005-0000-0000-0000C6020000}"/>
    <cellStyle name="20% - Accent5 2 5 3 2" xfId="13807" xr:uid="{B7AA97E0-6683-4EEF-A0D7-91D0DE01D311}"/>
    <cellStyle name="20% - Accent5 2 5 4" xfId="9589" xr:uid="{CCE0C9E2-2697-4459-95D9-34BAD5337EDF}"/>
    <cellStyle name="20% - Accent5 2 6" xfId="1470" xr:uid="{00000000-0005-0000-0000-0000C7020000}"/>
    <cellStyle name="20% - Accent5 2 6 2" xfId="3700" xr:uid="{00000000-0005-0000-0000-0000C8020000}"/>
    <cellStyle name="20% - Accent5 2 6 2 2" xfId="7923" xr:uid="{00000000-0005-0000-0000-0000C9020000}"/>
    <cellStyle name="20% - Accent5 2 6 2 2 2" xfId="16365" xr:uid="{8D052817-8DC5-48A3-A3C6-3A9A1BF18AA5}"/>
    <cellStyle name="20% - Accent5 2 6 2 3" xfId="12147" xr:uid="{7B8256F3-A5FF-4ED5-8E06-55233139AC49}"/>
    <cellStyle name="20% - Accent5 2 6 3" xfId="5778" xr:uid="{00000000-0005-0000-0000-0000CA020000}"/>
    <cellStyle name="20% - Accent5 2 6 3 2" xfId="14220" xr:uid="{A8DD271D-5339-4430-A3C2-B560FC1C2A21}"/>
    <cellStyle name="20% - Accent5 2 6 4" xfId="10002" xr:uid="{4308EDFC-8442-4BAD-93F7-44E88908EB86}"/>
    <cellStyle name="20% - Accent5 2 7" xfId="1884" xr:uid="{00000000-0005-0000-0000-0000CB020000}"/>
    <cellStyle name="20% - Accent5 2 7 2" xfId="4113" xr:uid="{00000000-0005-0000-0000-0000CC020000}"/>
    <cellStyle name="20% - Accent5 2 7 2 2" xfId="8336" xr:uid="{00000000-0005-0000-0000-0000CD020000}"/>
    <cellStyle name="20% - Accent5 2 7 2 2 2" xfId="16778" xr:uid="{CF3376AE-B1EC-4765-B1C2-3617F1D1D094}"/>
    <cellStyle name="20% - Accent5 2 7 2 3" xfId="12560" xr:uid="{6BD36A71-8C28-4EBB-A57B-DD3DBF8AC1D4}"/>
    <cellStyle name="20% - Accent5 2 7 3" xfId="6191" xr:uid="{00000000-0005-0000-0000-0000CE020000}"/>
    <cellStyle name="20% - Accent5 2 7 3 2" xfId="14633" xr:uid="{4F9A0E77-25AA-482D-9BD5-0AB5B7FDD32D}"/>
    <cellStyle name="20% - Accent5 2 7 4" xfId="10415" xr:uid="{ECE8CBB2-40DE-4C14-A309-A03A1346823E}"/>
    <cellStyle name="20% - Accent5 2 8" xfId="2297" xr:uid="{00000000-0005-0000-0000-0000CF020000}"/>
    <cellStyle name="20% - Accent5 2 8 2" xfId="6604" xr:uid="{00000000-0005-0000-0000-0000D0020000}"/>
    <cellStyle name="20% - Accent5 2 8 2 2" xfId="15046" xr:uid="{ECA466AD-D42B-4929-81C5-9AAE6E710AF0}"/>
    <cellStyle name="20% - Accent5 2 8 3" xfId="10828" xr:uid="{CB667B60-7320-4B3F-90D4-9DE5F6CD0404}"/>
    <cellStyle name="20% - Accent5 2 9" xfId="4538" xr:uid="{00000000-0005-0000-0000-0000D1020000}"/>
    <cellStyle name="20% - Accent5 2 9 2" xfId="12980" xr:uid="{EB92BB9A-CA1D-4F64-B407-11135682E37C}"/>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15544" xr:uid="{65D1219D-2BDB-407E-B511-90A53AE3B395}"/>
    <cellStyle name="20% - Accent5 3 2 2 2 3" xfId="11326" xr:uid="{6BF96D33-93C1-41D7-BE95-913BC002332C}"/>
    <cellStyle name="20% - Accent5 3 2 2 3" xfId="4957" xr:uid="{00000000-0005-0000-0000-0000D7020000}"/>
    <cellStyle name="20% - Accent5 3 2 2 3 2" xfId="13399" xr:uid="{9A7E0143-9384-469A-AADE-8785C69397E4}"/>
    <cellStyle name="20% - Accent5 3 2 2 4" xfId="9181" xr:uid="{54F92082-1422-4700-AB17-A7DCED6CEF50}"/>
    <cellStyle name="20% - Accent5 3 2 3" xfId="1061" xr:uid="{00000000-0005-0000-0000-0000D8020000}"/>
    <cellStyle name="20% - Accent5 3 2 3 2" xfId="3292" xr:uid="{00000000-0005-0000-0000-0000D9020000}"/>
    <cellStyle name="20% - Accent5 3 2 3 2 2" xfId="7515" xr:uid="{00000000-0005-0000-0000-0000DA020000}"/>
    <cellStyle name="20% - Accent5 3 2 3 2 2 2" xfId="15957" xr:uid="{B03CD3F1-DF4D-4028-86FD-AC95C0D7162F}"/>
    <cellStyle name="20% - Accent5 3 2 3 2 3" xfId="11739" xr:uid="{4C18564F-BBA6-4DCE-97AA-48680DF7EED4}"/>
    <cellStyle name="20% - Accent5 3 2 3 3" xfId="5370" xr:uid="{00000000-0005-0000-0000-0000DB020000}"/>
    <cellStyle name="20% - Accent5 3 2 3 3 2" xfId="13812" xr:uid="{9C190A7B-7874-4C23-8C18-F94EB3349C4D}"/>
    <cellStyle name="20% - Accent5 3 2 3 4" xfId="9594" xr:uid="{0EBD87DF-BDD6-4544-A796-37B743AE6B09}"/>
    <cellStyle name="20% - Accent5 3 2 4" xfId="1475" xr:uid="{00000000-0005-0000-0000-0000DC020000}"/>
    <cellStyle name="20% - Accent5 3 2 4 2" xfId="3705" xr:uid="{00000000-0005-0000-0000-0000DD020000}"/>
    <cellStyle name="20% - Accent5 3 2 4 2 2" xfId="7928" xr:uid="{00000000-0005-0000-0000-0000DE020000}"/>
    <cellStyle name="20% - Accent5 3 2 4 2 2 2" xfId="16370" xr:uid="{F9811DC0-F51B-44D6-8B0D-E82884C33B45}"/>
    <cellStyle name="20% - Accent5 3 2 4 2 3" xfId="12152" xr:uid="{1F6FA94E-51B7-4B14-B85A-FDE02BFCC75F}"/>
    <cellStyle name="20% - Accent5 3 2 4 3" xfId="5783" xr:uid="{00000000-0005-0000-0000-0000DF020000}"/>
    <cellStyle name="20% - Accent5 3 2 4 3 2" xfId="14225" xr:uid="{2BCD8620-CC21-45D7-9F9C-B8C5E28E7943}"/>
    <cellStyle name="20% - Accent5 3 2 4 4" xfId="10007" xr:uid="{7C7FF0E1-0D1C-4F3E-B314-84E7903353D7}"/>
    <cellStyle name="20% - Accent5 3 2 5" xfId="1889" xr:uid="{00000000-0005-0000-0000-0000E0020000}"/>
    <cellStyle name="20% - Accent5 3 2 5 2" xfId="4118" xr:uid="{00000000-0005-0000-0000-0000E1020000}"/>
    <cellStyle name="20% - Accent5 3 2 5 2 2" xfId="8341" xr:uid="{00000000-0005-0000-0000-0000E2020000}"/>
    <cellStyle name="20% - Accent5 3 2 5 2 2 2" xfId="16783" xr:uid="{5C0CB6FC-A114-45FC-ABA7-9074590DCAD8}"/>
    <cellStyle name="20% - Accent5 3 2 5 2 3" xfId="12565" xr:uid="{A33895F7-B94A-4064-BA8B-A3379E229124}"/>
    <cellStyle name="20% - Accent5 3 2 5 3" xfId="6196" xr:uid="{00000000-0005-0000-0000-0000E3020000}"/>
    <cellStyle name="20% - Accent5 3 2 5 3 2" xfId="14638" xr:uid="{77400890-02FD-4B66-BFE1-612017C4EB13}"/>
    <cellStyle name="20% - Accent5 3 2 5 4" xfId="10420" xr:uid="{3B5D3DDA-0756-46B4-9B4C-FB431B249679}"/>
    <cellStyle name="20% - Accent5 3 2 6" xfId="2302" xr:uid="{00000000-0005-0000-0000-0000E4020000}"/>
    <cellStyle name="20% - Accent5 3 2 6 2" xfId="6609" xr:uid="{00000000-0005-0000-0000-0000E5020000}"/>
    <cellStyle name="20% - Accent5 3 2 6 2 2" xfId="15051" xr:uid="{A250E23E-67A2-4903-8DB7-AEA97D1C0E78}"/>
    <cellStyle name="20% - Accent5 3 2 6 3" xfId="10833" xr:uid="{DAB70A5A-7D0E-4026-B7F6-AA461E97C058}"/>
    <cellStyle name="20% - Accent5 3 2 7" xfId="4543" xr:uid="{00000000-0005-0000-0000-0000E6020000}"/>
    <cellStyle name="20% - Accent5 3 2 7 2" xfId="12985" xr:uid="{C4B4752F-A568-462C-9368-0B25A68906FF}"/>
    <cellStyle name="20% - Accent5 3 2 8" xfId="8767" xr:uid="{9616CD4E-EF34-4C9B-AECB-D83ACAE5CDBC}"/>
    <cellStyle name="20% - Accent5 3 3" xfId="607" xr:uid="{00000000-0005-0000-0000-0000E7020000}"/>
    <cellStyle name="20% - Accent5 3 3 2" xfId="2878" xr:uid="{00000000-0005-0000-0000-0000E8020000}"/>
    <cellStyle name="20% - Accent5 3 3 2 2" xfId="7101" xr:uid="{00000000-0005-0000-0000-0000E9020000}"/>
    <cellStyle name="20% - Accent5 3 3 2 2 2" xfId="15543" xr:uid="{F4E027E8-1607-4795-92AA-0B36B4DCF7C3}"/>
    <cellStyle name="20% - Accent5 3 3 2 3" xfId="11325" xr:uid="{3D2AC513-2D46-4738-A942-B34224740933}"/>
    <cellStyle name="20% - Accent5 3 3 3" xfId="4956" xr:uid="{00000000-0005-0000-0000-0000EA020000}"/>
    <cellStyle name="20% - Accent5 3 3 3 2" xfId="13398" xr:uid="{00266684-730C-4E77-8394-DD677315B897}"/>
    <cellStyle name="20% - Accent5 3 3 4" xfId="9180" xr:uid="{45308CC2-4622-4FD3-ABB5-A4AD60BC0858}"/>
    <cellStyle name="20% - Accent5 3 4" xfId="1060" xr:uid="{00000000-0005-0000-0000-0000EB020000}"/>
    <cellStyle name="20% - Accent5 3 4 2" xfId="3291" xr:uid="{00000000-0005-0000-0000-0000EC020000}"/>
    <cellStyle name="20% - Accent5 3 4 2 2" xfId="7514" xr:uid="{00000000-0005-0000-0000-0000ED020000}"/>
    <cellStyle name="20% - Accent5 3 4 2 2 2" xfId="15956" xr:uid="{3F2236B3-73C4-40DB-8DA3-5BBB01C72FF7}"/>
    <cellStyle name="20% - Accent5 3 4 2 3" xfId="11738" xr:uid="{AA24DC48-5D5D-4CF9-8D74-8C47B3FFDB21}"/>
    <cellStyle name="20% - Accent5 3 4 3" xfId="5369" xr:uid="{00000000-0005-0000-0000-0000EE020000}"/>
    <cellStyle name="20% - Accent5 3 4 3 2" xfId="13811" xr:uid="{9B1A18E7-4D6C-411E-87CF-9177E30407D1}"/>
    <cellStyle name="20% - Accent5 3 4 4" xfId="9593" xr:uid="{1BE682AC-5CDC-4096-BBF3-A312CC37F59C}"/>
    <cellStyle name="20% - Accent5 3 5" xfId="1474" xr:uid="{00000000-0005-0000-0000-0000EF020000}"/>
    <cellStyle name="20% - Accent5 3 5 2" xfId="3704" xr:uid="{00000000-0005-0000-0000-0000F0020000}"/>
    <cellStyle name="20% - Accent5 3 5 2 2" xfId="7927" xr:uid="{00000000-0005-0000-0000-0000F1020000}"/>
    <cellStyle name="20% - Accent5 3 5 2 2 2" xfId="16369" xr:uid="{3B8B5F8D-5ADF-4576-AE6F-21E4C82D8B1C}"/>
    <cellStyle name="20% - Accent5 3 5 2 3" xfId="12151" xr:uid="{FD7085B8-8A80-4839-BE4E-001C9CBC7BEE}"/>
    <cellStyle name="20% - Accent5 3 5 3" xfId="5782" xr:uid="{00000000-0005-0000-0000-0000F2020000}"/>
    <cellStyle name="20% - Accent5 3 5 3 2" xfId="14224" xr:uid="{878810F4-35D7-4C0A-A94A-664252EC2DA8}"/>
    <cellStyle name="20% - Accent5 3 5 4" xfId="10006" xr:uid="{36E866C0-065E-4209-8AC5-9B10C1EEEEFB}"/>
    <cellStyle name="20% - Accent5 3 6" xfId="1888" xr:uid="{00000000-0005-0000-0000-0000F3020000}"/>
    <cellStyle name="20% - Accent5 3 6 2" xfId="4117" xr:uid="{00000000-0005-0000-0000-0000F4020000}"/>
    <cellStyle name="20% - Accent5 3 6 2 2" xfId="8340" xr:uid="{00000000-0005-0000-0000-0000F5020000}"/>
    <cellStyle name="20% - Accent5 3 6 2 2 2" xfId="16782" xr:uid="{724A933F-D1D4-44AC-B22A-953DE2E67688}"/>
    <cellStyle name="20% - Accent5 3 6 2 3" xfId="12564" xr:uid="{A90423E3-3A7A-4A7A-A9EB-90EC584D2997}"/>
    <cellStyle name="20% - Accent5 3 6 3" xfId="6195" xr:uid="{00000000-0005-0000-0000-0000F6020000}"/>
    <cellStyle name="20% - Accent5 3 6 3 2" xfId="14637" xr:uid="{DD8A47B5-0815-4C33-A3FF-84EF3F469CE7}"/>
    <cellStyle name="20% - Accent5 3 6 4" xfId="10419" xr:uid="{F062F3F2-89E6-403F-A998-80F9BFFAFB63}"/>
    <cellStyle name="20% - Accent5 3 7" xfId="2301" xr:uid="{00000000-0005-0000-0000-0000F7020000}"/>
    <cellStyle name="20% - Accent5 3 7 2" xfId="6608" xr:uid="{00000000-0005-0000-0000-0000F8020000}"/>
    <cellStyle name="20% - Accent5 3 7 2 2" xfId="15050" xr:uid="{B702FC77-6034-40F7-8095-C3253203A4C5}"/>
    <cellStyle name="20% - Accent5 3 7 3" xfId="10832" xr:uid="{B8B91A4D-8173-4169-A07F-AD528B51D602}"/>
    <cellStyle name="20% - Accent5 3 8" xfId="4542" xr:uid="{00000000-0005-0000-0000-0000F9020000}"/>
    <cellStyle name="20% - Accent5 3 8 2" xfId="12984" xr:uid="{CDD3F118-F933-4DA3-8113-28A40920BC61}"/>
    <cellStyle name="20% - Accent5 3 9" xfId="8766" xr:uid="{895850BA-C68F-4205-88F4-8CE167B4C315}"/>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2 2 2" xfId="15545" xr:uid="{7782AB34-F999-4A11-AF5B-7E6F7C066FD4}"/>
    <cellStyle name="20% - Accent5 4 2 2 3" xfId="11327" xr:uid="{36BD1A9E-621A-4CCF-8F7E-FF93A3BE4923}"/>
    <cellStyle name="20% - Accent5 4 2 3" xfId="4958" xr:uid="{00000000-0005-0000-0000-0000FE020000}"/>
    <cellStyle name="20% - Accent5 4 2 3 2" xfId="13400" xr:uid="{2F168994-0C3B-422E-9319-46BD8D5FC7F0}"/>
    <cellStyle name="20% - Accent5 4 2 4" xfId="9182" xr:uid="{B964CF3E-6358-4306-8F65-31536E398F60}"/>
    <cellStyle name="20% - Accent5 4 3" xfId="1062" xr:uid="{00000000-0005-0000-0000-0000FF020000}"/>
    <cellStyle name="20% - Accent5 4 3 2" xfId="3293" xr:uid="{00000000-0005-0000-0000-000000030000}"/>
    <cellStyle name="20% - Accent5 4 3 2 2" xfId="7516" xr:uid="{00000000-0005-0000-0000-000001030000}"/>
    <cellStyle name="20% - Accent5 4 3 2 2 2" xfId="15958" xr:uid="{5535C8EF-E7FF-4DDB-AA92-EFE7ACF46E34}"/>
    <cellStyle name="20% - Accent5 4 3 2 3" xfId="11740" xr:uid="{6C406495-8146-4013-8EA2-80E7C6F61464}"/>
    <cellStyle name="20% - Accent5 4 3 3" xfId="5371" xr:uid="{00000000-0005-0000-0000-000002030000}"/>
    <cellStyle name="20% - Accent5 4 3 3 2" xfId="13813" xr:uid="{B9D0106C-13E9-4FB0-895C-CEB9E4F7B0DC}"/>
    <cellStyle name="20% - Accent5 4 3 4" xfId="9595" xr:uid="{AA4660CA-0BB5-4B3C-BB1A-2F7C79233844}"/>
    <cellStyle name="20% - Accent5 4 4" xfId="1476" xr:uid="{00000000-0005-0000-0000-000003030000}"/>
    <cellStyle name="20% - Accent5 4 4 2" xfId="3706" xr:uid="{00000000-0005-0000-0000-000004030000}"/>
    <cellStyle name="20% - Accent5 4 4 2 2" xfId="7929" xr:uid="{00000000-0005-0000-0000-000005030000}"/>
    <cellStyle name="20% - Accent5 4 4 2 2 2" xfId="16371" xr:uid="{995E1D10-F29B-47CB-9774-4A3A8257E538}"/>
    <cellStyle name="20% - Accent5 4 4 2 3" xfId="12153" xr:uid="{B96E0049-4EF2-4897-9797-E2FAABA5CAE7}"/>
    <cellStyle name="20% - Accent5 4 4 3" xfId="5784" xr:uid="{00000000-0005-0000-0000-000006030000}"/>
    <cellStyle name="20% - Accent5 4 4 3 2" xfId="14226" xr:uid="{3E2B17D2-3DDF-4DD8-B2C1-67B0C5A9C94E}"/>
    <cellStyle name="20% - Accent5 4 4 4" xfId="10008" xr:uid="{EE245847-E9CC-4244-A0BE-B566258AE607}"/>
    <cellStyle name="20% - Accent5 4 5" xfId="1890" xr:uid="{00000000-0005-0000-0000-000007030000}"/>
    <cellStyle name="20% - Accent5 4 5 2" xfId="4119" xr:uid="{00000000-0005-0000-0000-000008030000}"/>
    <cellStyle name="20% - Accent5 4 5 2 2" xfId="8342" xr:uid="{00000000-0005-0000-0000-000009030000}"/>
    <cellStyle name="20% - Accent5 4 5 2 2 2" xfId="16784" xr:uid="{BB5FF1E5-9DBD-444F-AC0F-F3F87D133132}"/>
    <cellStyle name="20% - Accent5 4 5 2 3" xfId="12566" xr:uid="{228B6BC0-E257-4577-86C8-A6F8038AF741}"/>
    <cellStyle name="20% - Accent5 4 5 3" xfId="6197" xr:uid="{00000000-0005-0000-0000-00000A030000}"/>
    <cellStyle name="20% - Accent5 4 5 3 2" xfId="14639" xr:uid="{11F434C5-6A08-4EAF-8448-F8CC04778BF2}"/>
    <cellStyle name="20% - Accent5 4 5 4" xfId="10421" xr:uid="{83C25BA4-FC87-4EE6-9B32-731D63E4B068}"/>
    <cellStyle name="20% - Accent5 4 6" xfId="2303" xr:uid="{00000000-0005-0000-0000-00000B030000}"/>
    <cellStyle name="20% - Accent5 4 6 2" xfId="6610" xr:uid="{00000000-0005-0000-0000-00000C030000}"/>
    <cellStyle name="20% - Accent5 4 6 2 2" xfId="15052" xr:uid="{ADF10AEC-90EB-477D-956B-AFA509FF1186}"/>
    <cellStyle name="20% - Accent5 4 6 3" xfId="10834" xr:uid="{6592F0A0-62D7-4FA3-8B22-ED19F600F0DE}"/>
    <cellStyle name="20% - Accent5 4 7" xfId="4544" xr:uid="{00000000-0005-0000-0000-00000D030000}"/>
    <cellStyle name="20% - Accent5 4 7 2" xfId="12986" xr:uid="{F616DE3B-0D99-4B1E-9359-B26B017990AB}"/>
    <cellStyle name="20% - Accent5 4 8" xfId="8768" xr:uid="{A0DF53CE-BA3F-48AC-8240-DD5C2AA23C68}"/>
    <cellStyle name="20% - Accent5 5" xfId="602" xr:uid="{00000000-0005-0000-0000-00000E030000}"/>
    <cellStyle name="20% - Accent5 5 2" xfId="2873" xr:uid="{00000000-0005-0000-0000-00000F030000}"/>
    <cellStyle name="20% - Accent5 5 2 2" xfId="7096" xr:uid="{00000000-0005-0000-0000-000010030000}"/>
    <cellStyle name="20% - Accent5 5 2 2 2" xfId="15538" xr:uid="{C97F8F37-7F5D-4759-B8C6-EE8F5FD02A1F}"/>
    <cellStyle name="20% - Accent5 5 2 3" xfId="11320" xr:uid="{ED067F14-3E3C-4D93-A608-FD654E4A519E}"/>
    <cellStyle name="20% - Accent5 5 3" xfId="4951" xr:uid="{00000000-0005-0000-0000-000011030000}"/>
    <cellStyle name="20% - Accent5 5 3 2" xfId="13393" xr:uid="{B4437A45-1655-49BD-B1C7-F09183BF45E8}"/>
    <cellStyle name="20% - Accent5 5 4" xfId="9175" xr:uid="{4C131B41-C605-4744-AFA0-5F9A1028AE63}"/>
    <cellStyle name="20% - Accent5 6" xfId="1055" xr:uid="{00000000-0005-0000-0000-000012030000}"/>
    <cellStyle name="20% - Accent5 6 2" xfId="3286" xr:uid="{00000000-0005-0000-0000-000013030000}"/>
    <cellStyle name="20% - Accent5 6 2 2" xfId="7509" xr:uid="{00000000-0005-0000-0000-000014030000}"/>
    <cellStyle name="20% - Accent5 6 2 2 2" xfId="15951" xr:uid="{A943CCF5-1CAD-4AEF-9032-718A5F42FED1}"/>
    <cellStyle name="20% - Accent5 6 2 3" xfId="11733" xr:uid="{8769B81E-7024-42D2-BD9F-2235B2A97C06}"/>
    <cellStyle name="20% - Accent5 6 3" xfId="5364" xr:uid="{00000000-0005-0000-0000-000015030000}"/>
    <cellStyle name="20% - Accent5 6 3 2" xfId="13806" xr:uid="{A6C97FE2-0BB5-4F77-B932-9A2CB846382B}"/>
    <cellStyle name="20% - Accent5 6 4" xfId="9588" xr:uid="{164C7A9B-B7CE-48B5-9EB6-F3DCE620F0A1}"/>
    <cellStyle name="20% - Accent5 7" xfId="1469" xr:uid="{00000000-0005-0000-0000-000016030000}"/>
    <cellStyle name="20% - Accent5 7 2" xfId="3699" xr:uid="{00000000-0005-0000-0000-000017030000}"/>
    <cellStyle name="20% - Accent5 7 2 2" xfId="7922" xr:uid="{00000000-0005-0000-0000-000018030000}"/>
    <cellStyle name="20% - Accent5 7 2 2 2" xfId="16364" xr:uid="{42F5E656-377D-4920-BA79-BE325BD82606}"/>
    <cellStyle name="20% - Accent5 7 2 3" xfId="12146" xr:uid="{4DE45E83-E7D0-466E-82CE-DD547461039E}"/>
    <cellStyle name="20% - Accent5 7 3" xfId="5777" xr:uid="{00000000-0005-0000-0000-000019030000}"/>
    <cellStyle name="20% - Accent5 7 3 2" xfId="14219" xr:uid="{52CCB3EF-0744-41BF-9F57-4947F155C19A}"/>
    <cellStyle name="20% - Accent5 7 4" xfId="10001" xr:uid="{071F82C3-3870-4EBB-9FA0-0DAB239140EC}"/>
    <cellStyle name="20% - Accent5 8" xfId="1883" xr:uid="{00000000-0005-0000-0000-00001A030000}"/>
    <cellStyle name="20% - Accent5 8 2" xfId="4112" xr:uid="{00000000-0005-0000-0000-00001B030000}"/>
    <cellStyle name="20% - Accent5 8 2 2" xfId="8335" xr:uid="{00000000-0005-0000-0000-00001C030000}"/>
    <cellStyle name="20% - Accent5 8 2 2 2" xfId="16777" xr:uid="{A15E358D-BABB-45D9-8772-4A2F7FFD87C0}"/>
    <cellStyle name="20% - Accent5 8 2 3" xfId="12559" xr:uid="{7441CC95-0EC5-4DF4-8C7B-129FF12C0647}"/>
    <cellStyle name="20% - Accent5 8 3" xfId="6190" xr:uid="{00000000-0005-0000-0000-00001D030000}"/>
    <cellStyle name="20% - Accent5 8 3 2" xfId="14632" xr:uid="{9B9EEBB2-DB10-4322-9ADE-BBF48801374E}"/>
    <cellStyle name="20% - Accent5 8 4" xfId="10414" xr:uid="{C79726EF-71A2-4A06-AAE9-6039451FD147}"/>
    <cellStyle name="20% - Accent5 9" xfId="2296" xr:uid="{00000000-0005-0000-0000-00001E030000}"/>
    <cellStyle name="20% - Accent5 9 2" xfId="6603" xr:uid="{00000000-0005-0000-0000-00001F030000}"/>
    <cellStyle name="20% - Accent5 9 2 2" xfId="15045" xr:uid="{E93C6D25-4AC5-4116-9A77-AFD4F786DBD1}"/>
    <cellStyle name="20% - Accent5 9 3" xfId="10827" xr:uid="{5ECA336F-508E-4A44-9F0E-FD8BADD9CD80}"/>
    <cellStyle name="20% - Accent6" xfId="41" builtinId="50" customBuiltin="1"/>
    <cellStyle name="20% - Accent6 10" xfId="4545" xr:uid="{00000000-0005-0000-0000-000021030000}"/>
    <cellStyle name="20% - Accent6 10 2" xfId="12987" xr:uid="{D36D711C-0929-46B1-8B3F-104D04E6E52B}"/>
    <cellStyle name="20% - Accent6 11" xfId="8769" xr:uid="{7D522E2E-AE47-4FD1-AFC7-36FFFF2BE493}"/>
    <cellStyle name="20% - Accent6 2" xfId="42" xr:uid="{00000000-0005-0000-0000-000022030000}"/>
    <cellStyle name="20% - Accent6 2 10" xfId="8770" xr:uid="{5594F16E-C94E-43BF-A637-916173CEBC7F}"/>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15549" xr:uid="{63A8D63D-7382-4E2F-955B-4CE2E98E3335}"/>
    <cellStyle name="20% - Accent6 2 2 2 2 2 3" xfId="11331" xr:uid="{A0B31FFF-927D-4B70-A028-45D976575143}"/>
    <cellStyle name="20% - Accent6 2 2 2 2 3" xfId="4962" xr:uid="{00000000-0005-0000-0000-000028030000}"/>
    <cellStyle name="20% - Accent6 2 2 2 2 3 2" xfId="13404" xr:uid="{5D168CD4-330F-4936-977D-6933D8681776}"/>
    <cellStyle name="20% - Accent6 2 2 2 2 4" xfId="9186" xr:uid="{79CA387C-1F0A-4FC2-A98A-B97BD19A6286}"/>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2 2" xfId="15962" xr:uid="{CA510A4E-C9EF-4219-AF83-2DC0218D025E}"/>
    <cellStyle name="20% - Accent6 2 2 2 3 2 3" xfId="11744" xr:uid="{1BCB34EF-6480-4D02-9D16-DDF5A7EF4A8F}"/>
    <cellStyle name="20% - Accent6 2 2 2 3 3" xfId="5375" xr:uid="{00000000-0005-0000-0000-00002C030000}"/>
    <cellStyle name="20% - Accent6 2 2 2 3 3 2" xfId="13817" xr:uid="{7BF620B2-1345-49AF-B306-EFA7E3FF2002}"/>
    <cellStyle name="20% - Accent6 2 2 2 3 4" xfId="9599" xr:uid="{262ED5DB-93E1-4271-A7DD-1B8FDC8B4422}"/>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2 2 2" xfId="16375" xr:uid="{30EABB35-5040-4CB4-B5BE-507BADD90BC6}"/>
    <cellStyle name="20% - Accent6 2 2 2 4 2 3" xfId="12157" xr:uid="{87BC2F5B-9AD0-46E1-8C17-85C064790869}"/>
    <cellStyle name="20% - Accent6 2 2 2 4 3" xfId="5788" xr:uid="{00000000-0005-0000-0000-000030030000}"/>
    <cellStyle name="20% - Accent6 2 2 2 4 3 2" xfId="14230" xr:uid="{A5364B88-3B29-4E2D-A4FD-D3A4D5D90EE0}"/>
    <cellStyle name="20% - Accent6 2 2 2 4 4" xfId="10012" xr:uid="{79F8EF42-C3DB-4972-80CD-1C61117C0B9C}"/>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2 2 2" xfId="16788" xr:uid="{2C185309-6A81-47DA-A184-035E5D86D3A5}"/>
    <cellStyle name="20% - Accent6 2 2 2 5 2 3" xfId="12570" xr:uid="{E48CDC61-A58D-4BE9-871C-20A4F571B4FC}"/>
    <cellStyle name="20% - Accent6 2 2 2 5 3" xfId="6201" xr:uid="{00000000-0005-0000-0000-000034030000}"/>
    <cellStyle name="20% - Accent6 2 2 2 5 3 2" xfId="14643" xr:uid="{84647A01-7F17-459A-809A-0A1ECC5B5A90}"/>
    <cellStyle name="20% - Accent6 2 2 2 5 4" xfId="10425" xr:uid="{3C257B18-6278-4F9E-ADEA-D190F248EB54}"/>
    <cellStyle name="20% - Accent6 2 2 2 6" xfId="2307" xr:uid="{00000000-0005-0000-0000-000035030000}"/>
    <cellStyle name="20% - Accent6 2 2 2 6 2" xfId="6614" xr:uid="{00000000-0005-0000-0000-000036030000}"/>
    <cellStyle name="20% - Accent6 2 2 2 6 2 2" xfId="15056" xr:uid="{18AD5A3F-9298-4257-8B80-59BF1BAC4C3D}"/>
    <cellStyle name="20% - Accent6 2 2 2 6 3" xfId="10838" xr:uid="{63E1B6CB-DE84-46B3-B910-718AA1957FA2}"/>
    <cellStyle name="20% - Accent6 2 2 2 7" xfId="4548" xr:uid="{00000000-0005-0000-0000-000037030000}"/>
    <cellStyle name="20% - Accent6 2 2 2 7 2" xfId="12990" xr:uid="{8D383325-778B-4F47-979C-33A8D69088C9}"/>
    <cellStyle name="20% - Accent6 2 2 2 8" xfId="8772" xr:uid="{E1CAAF3F-7D00-4C36-B065-D610A67D3C79}"/>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15548" xr:uid="{DEAEAD2F-758D-4A17-B70D-D7BF3A8D18B2}"/>
    <cellStyle name="20% - Accent6 2 2 3 2 3" xfId="11330" xr:uid="{E0D03045-8F6A-42F9-BA10-84856EFD4A70}"/>
    <cellStyle name="20% - Accent6 2 2 3 3" xfId="4961" xr:uid="{00000000-0005-0000-0000-00003B030000}"/>
    <cellStyle name="20% - Accent6 2 2 3 3 2" xfId="13403" xr:uid="{7EB18152-21E9-46E2-9843-1BD1FEC09729}"/>
    <cellStyle name="20% - Accent6 2 2 3 4" xfId="9185" xr:uid="{57F995C5-6355-4C64-B6DA-655399FF8AB1}"/>
    <cellStyle name="20% - Accent6 2 2 4" xfId="1065" xr:uid="{00000000-0005-0000-0000-00003C030000}"/>
    <cellStyle name="20% - Accent6 2 2 4 2" xfId="3296" xr:uid="{00000000-0005-0000-0000-00003D030000}"/>
    <cellStyle name="20% - Accent6 2 2 4 2 2" xfId="7519" xr:uid="{00000000-0005-0000-0000-00003E030000}"/>
    <cellStyle name="20% - Accent6 2 2 4 2 2 2" xfId="15961" xr:uid="{8BB89DAC-631D-40BC-A8ED-F69274322A3C}"/>
    <cellStyle name="20% - Accent6 2 2 4 2 3" xfId="11743" xr:uid="{8E741EAF-CDF5-4D43-8816-3367CB319481}"/>
    <cellStyle name="20% - Accent6 2 2 4 3" xfId="5374" xr:uid="{00000000-0005-0000-0000-00003F030000}"/>
    <cellStyle name="20% - Accent6 2 2 4 3 2" xfId="13816" xr:uid="{31E2C796-611B-4D2F-B077-CEAE148DF940}"/>
    <cellStyle name="20% - Accent6 2 2 4 4" xfId="9598" xr:uid="{FE5A8EA2-5DD1-47C3-AC2D-5F6E02728C10}"/>
    <cellStyle name="20% - Accent6 2 2 5" xfId="1479" xr:uid="{00000000-0005-0000-0000-000040030000}"/>
    <cellStyle name="20% - Accent6 2 2 5 2" xfId="3709" xr:uid="{00000000-0005-0000-0000-000041030000}"/>
    <cellStyle name="20% - Accent6 2 2 5 2 2" xfId="7932" xr:uid="{00000000-0005-0000-0000-000042030000}"/>
    <cellStyle name="20% - Accent6 2 2 5 2 2 2" xfId="16374" xr:uid="{5EDF87A3-CF73-4B93-86A4-DEC7D1A30509}"/>
    <cellStyle name="20% - Accent6 2 2 5 2 3" xfId="12156" xr:uid="{9980E3BB-AB95-4CC1-A38F-F87D690E55E4}"/>
    <cellStyle name="20% - Accent6 2 2 5 3" xfId="5787" xr:uid="{00000000-0005-0000-0000-000043030000}"/>
    <cellStyle name="20% - Accent6 2 2 5 3 2" xfId="14229" xr:uid="{034BB17A-1FB9-4FD3-87DC-4E958D291A7F}"/>
    <cellStyle name="20% - Accent6 2 2 5 4" xfId="10011" xr:uid="{A2F62EA3-DBC5-4583-AE55-7E249F9FE8A4}"/>
    <cellStyle name="20% - Accent6 2 2 6" xfId="1893" xr:uid="{00000000-0005-0000-0000-000044030000}"/>
    <cellStyle name="20% - Accent6 2 2 6 2" xfId="4122" xr:uid="{00000000-0005-0000-0000-000045030000}"/>
    <cellStyle name="20% - Accent6 2 2 6 2 2" xfId="8345" xr:uid="{00000000-0005-0000-0000-000046030000}"/>
    <cellStyle name="20% - Accent6 2 2 6 2 2 2" xfId="16787" xr:uid="{8FF8B54C-3E4A-4008-B1D2-351BAA561664}"/>
    <cellStyle name="20% - Accent6 2 2 6 2 3" xfId="12569" xr:uid="{6348F160-DBC1-4589-ABF1-15330815F070}"/>
    <cellStyle name="20% - Accent6 2 2 6 3" xfId="6200" xr:uid="{00000000-0005-0000-0000-000047030000}"/>
    <cellStyle name="20% - Accent6 2 2 6 3 2" xfId="14642" xr:uid="{B96A3544-89A1-4C1D-BAE8-DD07DF118621}"/>
    <cellStyle name="20% - Accent6 2 2 6 4" xfId="10424" xr:uid="{F1063034-94E5-4534-BAF0-06969929DF87}"/>
    <cellStyle name="20% - Accent6 2 2 7" xfId="2306" xr:uid="{00000000-0005-0000-0000-000048030000}"/>
    <cellStyle name="20% - Accent6 2 2 7 2" xfId="6613" xr:uid="{00000000-0005-0000-0000-000049030000}"/>
    <cellStyle name="20% - Accent6 2 2 7 2 2" xfId="15055" xr:uid="{8EC63907-DB29-442B-B26B-39F59DD4091B}"/>
    <cellStyle name="20% - Accent6 2 2 7 3" xfId="10837" xr:uid="{5BA1B4C6-2A5A-4162-921A-4E40A8DB180D}"/>
    <cellStyle name="20% - Accent6 2 2 8" xfId="4547" xr:uid="{00000000-0005-0000-0000-00004A030000}"/>
    <cellStyle name="20% - Accent6 2 2 8 2" xfId="12989" xr:uid="{DEA4AECE-A462-4B39-9F89-E17189D037ED}"/>
    <cellStyle name="20% - Accent6 2 2 9" xfId="8771" xr:uid="{B92B966C-B79C-4000-94B9-2D44852730F6}"/>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15550" xr:uid="{F8DEA3DF-E6D1-4841-8B49-BC182419EFA6}"/>
    <cellStyle name="20% - Accent6 2 3 2 2 3" xfId="11332" xr:uid="{E8BC5BCD-8862-463A-837B-FC93E8609CD5}"/>
    <cellStyle name="20% - Accent6 2 3 2 3" xfId="4963" xr:uid="{00000000-0005-0000-0000-00004F030000}"/>
    <cellStyle name="20% - Accent6 2 3 2 3 2" xfId="13405" xr:uid="{4A6699CD-F4BD-4C14-9A52-EEAB91348B33}"/>
    <cellStyle name="20% - Accent6 2 3 2 4" xfId="9187" xr:uid="{EACEB209-B0E1-4BC1-9DCB-B2F77C66C884}"/>
    <cellStyle name="20% - Accent6 2 3 3" xfId="1067" xr:uid="{00000000-0005-0000-0000-000050030000}"/>
    <cellStyle name="20% - Accent6 2 3 3 2" xfId="3298" xr:uid="{00000000-0005-0000-0000-000051030000}"/>
    <cellStyle name="20% - Accent6 2 3 3 2 2" xfId="7521" xr:uid="{00000000-0005-0000-0000-000052030000}"/>
    <cellStyle name="20% - Accent6 2 3 3 2 2 2" xfId="15963" xr:uid="{B1200DA7-88CE-48FE-B0E3-C554D00C5526}"/>
    <cellStyle name="20% - Accent6 2 3 3 2 3" xfId="11745" xr:uid="{D17550FD-688E-444E-8931-1CCD3FCCBE0E}"/>
    <cellStyle name="20% - Accent6 2 3 3 3" xfId="5376" xr:uid="{00000000-0005-0000-0000-000053030000}"/>
    <cellStyle name="20% - Accent6 2 3 3 3 2" xfId="13818" xr:uid="{BBF8F0E3-924B-418A-9761-928FAE012586}"/>
    <cellStyle name="20% - Accent6 2 3 3 4" xfId="9600" xr:uid="{9EE1798B-3D73-4DDE-85FC-E3B3D3F826FE}"/>
    <cellStyle name="20% - Accent6 2 3 4" xfId="1481" xr:uid="{00000000-0005-0000-0000-000054030000}"/>
    <cellStyle name="20% - Accent6 2 3 4 2" xfId="3711" xr:uid="{00000000-0005-0000-0000-000055030000}"/>
    <cellStyle name="20% - Accent6 2 3 4 2 2" xfId="7934" xr:uid="{00000000-0005-0000-0000-000056030000}"/>
    <cellStyle name="20% - Accent6 2 3 4 2 2 2" xfId="16376" xr:uid="{39E19C24-496A-4400-8395-7BACFEEB4CE6}"/>
    <cellStyle name="20% - Accent6 2 3 4 2 3" xfId="12158" xr:uid="{53A03CBF-C469-477D-ABD1-C5186677D6F7}"/>
    <cellStyle name="20% - Accent6 2 3 4 3" xfId="5789" xr:uid="{00000000-0005-0000-0000-000057030000}"/>
    <cellStyle name="20% - Accent6 2 3 4 3 2" xfId="14231" xr:uid="{D993C55C-7120-480F-9FE1-99105FC1EF6F}"/>
    <cellStyle name="20% - Accent6 2 3 4 4" xfId="10013" xr:uid="{46BC86D3-CE83-455A-A7F6-F13C84855904}"/>
    <cellStyle name="20% - Accent6 2 3 5" xfId="1895" xr:uid="{00000000-0005-0000-0000-000058030000}"/>
    <cellStyle name="20% - Accent6 2 3 5 2" xfId="4124" xr:uid="{00000000-0005-0000-0000-000059030000}"/>
    <cellStyle name="20% - Accent6 2 3 5 2 2" xfId="8347" xr:uid="{00000000-0005-0000-0000-00005A030000}"/>
    <cellStyle name="20% - Accent6 2 3 5 2 2 2" xfId="16789" xr:uid="{2C5955BF-60F8-4B64-914D-3148488682E0}"/>
    <cellStyle name="20% - Accent6 2 3 5 2 3" xfId="12571" xr:uid="{6944F818-F901-419C-AFC0-2F2C6311979B}"/>
    <cellStyle name="20% - Accent6 2 3 5 3" xfId="6202" xr:uid="{00000000-0005-0000-0000-00005B030000}"/>
    <cellStyle name="20% - Accent6 2 3 5 3 2" xfId="14644" xr:uid="{659624BA-70ED-4E08-82C1-FB9FF57E8EAC}"/>
    <cellStyle name="20% - Accent6 2 3 5 4" xfId="10426" xr:uid="{1BA23503-CE9C-4007-A4A1-F61F523A396B}"/>
    <cellStyle name="20% - Accent6 2 3 6" xfId="2308" xr:uid="{00000000-0005-0000-0000-00005C030000}"/>
    <cellStyle name="20% - Accent6 2 3 6 2" xfId="6615" xr:uid="{00000000-0005-0000-0000-00005D030000}"/>
    <cellStyle name="20% - Accent6 2 3 6 2 2" xfId="15057" xr:uid="{ADB87365-28C3-4073-9AF3-384F991A9151}"/>
    <cellStyle name="20% - Accent6 2 3 6 3" xfId="10839" xr:uid="{19611675-4947-45C8-B563-8225CD0CD4F6}"/>
    <cellStyle name="20% - Accent6 2 3 7" xfId="4549" xr:uid="{00000000-0005-0000-0000-00005E030000}"/>
    <cellStyle name="20% - Accent6 2 3 7 2" xfId="12991" xr:uid="{8D056AFD-29AD-40FD-8E18-89E94BAE6674}"/>
    <cellStyle name="20% - Accent6 2 3 8" xfId="8773" xr:uid="{AF9C5D36-679D-43DB-A123-5AB3145C0907}"/>
    <cellStyle name="20% - Accent6 2 4" xfId="611" xr:uid="{00000000-0005-0000-0000-00005F030000}"/>
    <cellStyle name="20% - Accent6 2 4 2" xfId="2882" xr:uid="{00000000-0005-0000-0000-000060030000}"/>
    <cellStyle name="20% - Accent6 2 4 2 2" xfId="7105" xr:uid="{00000000-0005-0000-0000-000061030000}"/>
    <cellStyle name="20% - Accent6 2 4 2 2 2" xfId="15547" xr:uid="{261996C9-96FF-4DFF-88C7-40297CBB42A9}"/>
    <cellStyle name="20% - Accent6 2 4 2 3" xfId="11329" xr:uid="{F96059B0-7121-4F2B-8F4F-0FB6EBA1C593}"/>
    <cellStyle name="20% - Accent6 2 4 3" xfId="4960" xr:uid="{00000000-0005-0000-0000-000062030000}"/>
    <cellStyle name="20% - Accent6 2 4 3 2" xfId="13402" xr:uid="{F12565F9-CDCD-4916-9C21-03B94EC2E4BD}"/>
    <cellStyle name="20% - Accent6 2 4 4" xfId="9184" xr:uid="{881D9E32-5157-47F0-B6ED-E298D09AE8C1}"/>
    <cellStyle name="20% - Accent6 2 5" xfId="1064" xr:uid="{00000000-0005-0000-0000-000063030000}"/>
    <cellStyle name="20% - Accent6 2 5 2" xfId="3295" xr:uid="{00000000-0005-0000-0000-000064030000}"/>
    <cellStyle name="20% - Accent6 2 5 2 2" xfId="7518" xr:uid="{00000000-0005-0000-0000-000065030000}"/>
    <cellStyle name="20% - Accent6 2 5 2 2 2" xfId="15960" xr:uid="{556BC135-ECED-4522-85DD-D86E87C9DFC0}"/>
    <cellStyle name="20% - Accent6 2 5 2 3" xfId="11742" xr:uid="{F5D648FC-856D-4379-A861-8987535E0507}"/>
    <cellStyle name="20% - Accent6 2 5 3" xfId="5373" xr:uid="{00000000-0005-0000-0000-000066030000}"/>
    <cellStyle name="20% - Accent6 2 5 3 2" xfId="13815" xr:uid="{40062864-B12F-405B-96C0-B81128A66D23}"/>
    <cellStyle name="20% - Accent6 2 5 4" xfId="9597" xr:uid="{2998EE0F-EDD6-4315-98E6-D19BAEF845BF}"/>
    <cellStyle name="20% - Accent6 2 6" xfId="1478" xr:uid="{00000000-0005-0000-0000-000067030000}"/>
    <cellStyle name="20% - Accent6 2 6 2" xfId="3708" xr:uid="{00000000-0005-0000-0000-000068030000}"/>
    <cellStyle name="20% - Accent6 2 6 2 2" xfId="7931" xr:uid="{00000000-0005-0000-0000-000069030000}"/>
    <cellStyle name="20% - Accent6 2 6 2 2 2" xfId="16373" xr:uid="{875CD29C-B356-457F-9461-0DB19DE40549}"/>
    <cellStyle name="20% - Accent6 2 6 2 3" xfId="12155" xr:uid="{8CEDC004-F745-4683-A98A-511C701F3B46}"/>
    <cellStyle name="20% - Accent6 2 6 3" xfId="5786" xr:uid="{00000000-0005-0000-0000-00006A030000}"/>
    <cellStyle name="20% - Accent6 2 6 3 2" xfId="14228" xr:uid="{9872B2BA-F223-46D2-B4D0-E43333EE6EAD}"/>
    <cellStyle name="20% - Accent6 2 6 4" xfId="10010" xr:uid="{E4BF936D-C612-45D8-932E-FB4B3554CB29}"/>
    <cellStyle name="20% - Accent6 2 7" xfId="1892" xr:uid="{00000000-0005-0000-0000-00006B030000}"/>
    <cellStyle name="20% - Accent6 2 7 2" xfId="4121" xr:uid="{00000000-0005-0000-0000-00006C030000}"/>
    <cellStyle name="20% - Accent6 2 7 2 2" xfId="8344" xr:uid="{00000000-0005-0000-0000-00006D030000}"/>
    <cellStyle name="20% - Accent6 2 7 2 2 2" xfId="16786" xr:uid="{631B1B23-6F66-453A-AF48-EF88C22709AF}"/>
    <cellStyle name="20% - Accent6 2 7 2 3" xfId="12568" xr:uid="{2742F3B1-66C6-45E3-9D9A-BBC67D135285}"/>
    <cellStyle name="20% - Accent6 2 7 3" xfId="6199" xr:uid="{00000000-0005-0000-0000-00006E030000}"/>
    <cellStyle name="20% - Accent6 2 7 3 2" xfId="14641" xr:uid="{2120511B-0BDB-4ACF-BC9F-8DFF98BBFD15}"/>
    <cellStyle name="20% - Accent6 2 7 4" xfId="10423" xr:uid="{B7D01528-C4A1-420D-B25D-C45CDA461C0E}"/>
    <cellStyle name="20% - Accent6 2 8" xfId="2305" xr:uid="{00000000-0005-0000-0000-00006F030000}"/>
    <cellStyle name="20% - Accent6 2 8 2" xfId="6612" xr:uid="{00000000-0005-0000-0000-000070030000}"/>
    <cellStyle name="20% - Accent6 2 8 2 2" xfId="15054" xr:uid="{9517C066-1611-4137-92A4-65188D588356}"/>
    <cellStyle name="20% - Accent6 2 8 3" xfId="10836" xr:uid="{255F9604-C6E4-4009-927B-6E877EC30046}"/>
    <cellStyle name="20% - Accent6 2 9" xfId="4546" xr:uid="{00000000-0005-0000-0000-000071030000}"/>
    <cellStyle name="20% - Accent6 2 9 2" xfId="12988" xr:uid="{31C6E2D3-C251-4205-BBFC-1C8DDAA4118A}"/>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15552" xr:uid="{03660CC6-E5D2-41C4-AE81-B2A5B83597B7}"/>
    <cellStyle name="20% - Accent6 3 2 2 2 3" xfId="11334" xr:uid="{E834DAB6-84D3-45C7-BB99-48583F116BB3}"/>
    <cellStyle name="20% - Accent6 3 2 2 3" xfId="4965" xr:uid="{00000000-0005-0000-0000-000077030000}"/>
    <cellStyle name="20% - Accent6 3 2 2 3 2" xfId="13407" xr:uid="{7DB873E0-11F5-49EC-9F13-D4FED90D7BA4}"/>
    <cellStyle name="20% - Accent6 3 2 2 4" xfId="9189" xr:uid="{3184735D-8870-4A69-BC74-54259B322A5E}"/>
    <cellStyle name="20% - Accent6 3 2 3" xfId="1069" xr:uid="{00000000-0005-0000-0000-000078030000}"/>
    <cellStyle name="20% - Accent6 3 2 3 2" xfId="3300" xr:uid="{00000000-0005-0000-0000-000079030000}"/>
    <cellStyle name="20% - Accent6 3 2 3 2 2" xfId="7523" xr:uid="{00000000-0005-0000-0000-00007A030000}"/>
    <cellStyle name="20% - Accent6 3 2 3 2 2 2" xfId="15965" xr:uid="{3A1655B9-5359-4CEC-8979-3B2203268B8B}"/>
    <cellStyle name="20% - Accent6 3 2 3 2 3" xfId="11747" xr:uid="{C281B2F1-5B64-4CE9-8705-0A6E9A08FCDA}"/>
    <cellStyle name="20% - Accent6 3 2 3 3" xfId="5378" xr:uid="{00000000-0005-0000-0000-00007B030000}"/>
    <cellStyle name="20% - Accent6 3 2 3 3 2" xfId="13820" xr:uid="{57624C89-7035-468E-A6FD-EEF64B9B6D6E}"/>
    <cellStyle name="20% - Accent6 3 2 3 4" xfId="9602" xr:uid="{CA58289D-961C-43BB-AC9D-0265EB4AB7F7}"/>
    <cellStyle name="20% - Accent6 3 2 4" xfId="1483" xr:uid="{00000000-0005-0000-0000-00007C030000}"/>
    <cellStyle name="20% - Accent6 3 2 4 2" xfId="3713" xr:uid="{00000000-0005-0000-0000-00007D030000}"/>
    <cellStyle name="20% - Accent6 3 2 4 2 2" xfId="7936" xr:uid="{00000000-0005-0000-0000-00007E030000}"/>
    <cellStyle name="20% - Accent6 3 2 4 2 2 2" xfId="16378" xr:uid="{C0F30388-6411-4E50-AAF0-DB7D332912A4}"/>
    <cellStyle name="20% - Accent6 3 2 4 2 3" xfId="12160" xr:uid="{F2AE51BB-343B-42AD-A4D7-CFD195924887}"/>
    <cellStyle name="20% - Accent6 3 2 4 3" xfId="5791" xr:uid="{00000000-0005-0000-0000-00007F030000}"/>
    <cellStyle name="20% - Accent6 3 2 4 3 2" xfId="14233" xr:uid="{4FEBE5E6-825F-46B3-9CE1-178518945422}"/>
    <cellStyle name="20% - Accent6 3 2 4 4" xfId="10015" xr:uid="{705D9666-6321-4375-A518-0B679F62CF88}"/>
    <cellStyle name="20% - Accent6 3 2 5" xfId="1897" xr:uid="{00000000-0005-0000-0000-000080030000}"/>
    <cellStyle name="20% - Accent6 3 2 5 2" xfId="4126" xr:uid="{00000000-0005-0000-0000-000081030000}"/>
    <cellStyle name="20% - Accent6 3 2 5 2 2" xfId="8349" xr:uid="{00000000-0005-0000-0000-000082030000}"/>
    <cellStyle name="20% - Accent6 3 2 5 2 2 2" xfId="16791" xr:uid="{D3FE93C0-0F21-4CDC-BE76-2F5EA5D57116}"/>
    <cellStyle name="20% - Accent6 3 2 5 2 3" xfId="12573" xr:uid="{6D020CD1-0CAF-4A88-850A-97DF960A7127}"/>
    <cellStyle name="20% - Accent6 3 2 5 3" xfId="6204" xr:uid="{00000000-0005-0000-0000-000083030000}"/>
    <cellStyle name="20% - Accent6 3 2 5 3 2" xfId="14646" xr:uid="{923EED2E-9AE6-44BA-A1FE-E41988550DAE}"/>
    <cellStyle name="20% - Accent6 3 2 5 4" xfId="10428" xr:uid="{2A7177C3-A566-4D02-97E9-A010BB6B513B}"/>
    <cellStyle name="20% - Accent6 3 2 6" xfId="2310" xr:uid="{00000000-0005-0000-0000-000084030000}"/>
    <cellStyle name="20% - Accent6 3 2 6 2" xfId="6617" xr:uid="{00000000-0005-0000-0000-000085030000}"/>
    <cellStyle name="20% - Accent6 3 2 6 2 2" xfId="15059" xr:uid="{B5AFA9B7-1789-4673-8A69-506888B00817}"/>
    <cellStyle name="20% - Accent6 3 2 6 3" xfId="10841" xr:uid="{71CB16D5-E85D-4B4D-8931-E9D7689F271A}"/>
    <cellStyle name="20% - Accent6 3 2 7" xfId="4551" xr:uid="{00000000-0005-0000-0000-000086030000}"/>
    <cellStyle name="20% - Accent6 3 2 7 2" xfId="12993" xr:uid="{64A29593-2A30-4B5C-A5DA-FAEF230A90D0}"/>
    <cellStyle name="20% - Accent6 3 2 8" xfId="8775" xr:uid="{3FC9E27B-2DB4-4A24-85AA-3CA2D4EC4E44}"/>
    <cellStyle name="20% - Accent6 3 3" xfId="615" xr:uid="{00000000-0005-0000-0000-000087030000}"/>
    <cellStyle name="20% - Accent6 3 3 2" xfId="2886" xr:uid="{00000000-0005-0000-0000-000088030000}"/>
    <cellStyle name="20% - Accent6 3 3 2 2" xfId="7109" xr:uid="{00000000-0005-0000-0000-000089030000}"/>
    <cellStyle name="20% - Accent6 3 3 2 2 2" xfId="15551" xr:uid="{43633C15-A919-4565-9592-D1096FA41DA6}"/>
    <cellStyle name="20% - Accent6 3 3 2 3" xfId="11333" xr:uid="{E38932D4-603E-4D58-A693-3EEBEF18612D}"/>
    <cellStyle name="20% - Accent6 3 3 3" xfId="4964" xr:uid="{00000000-0005-0000-0000-00008A030000}"/>
    <cellStyle name="20% - Accent6 3 3 3 2" xfId="13406" xr:uid="{A1F4B755-449E-4346-BE0C-D799715C3736}"/>
    <cellStyle name="20% - Accent6 3 3 4" xfId="9188" xr:uid="{5C92AD37-F9F7-41B3-8455-6FD4AD5E6880}"/>
    <cellStyle name="20% - Accent6 3 4" xfId="1068" xr:uid="{00000000-0005-0000-0000-00008B030000}"/>
    <cellStyle name="20% - Accent6 3 4 2" xfId="3299" xr:uid="{00000000-0005-0000-0000-00008C030000}"/>
    <cellStyle name="20% - Accent6 3 4 2 2" xfId="7522" xr:uid="{00000000-0005-0000-0000-00008D030000}"/>
    <cellStyle name="20% - Accent6 3 4 2 2 2" xfId="15964" xr:uid="{FFEB264B-67E1-4473-AEAC-FBA2C6A44D60}"/>
    <cellStyle name="20% - Accent6 3 4 2 3" xfId="11746" xr:uid="{A51EF391-1B02-416F-B148-481315CF01A2}"/>
    <cellStyle name="20% - Accent6 3 4 3" xfId="5377" xr:uid="{00000000-0005-0000-0000-00008E030000}"/>
    <cellStyle name="20% - Accent6 3 4 3 2" xfId="13819" xr:uid="{AD20500C-1F1A-4169-829A-DA58CDAF730B}"/>
    <cellStyle name="20% - Accent6 3 4 4" xfId="9601" xr:uid="{73274E4C-2879-4A63-B0FC-0F1D320BDDE2}"/>
    <cellStyle name="20% - Accent6 3 5" xfId="1482" xr:uid="{00000000-0005-0000-0000-00008F030000}"/>
    <cellStyle name="20% - Accent6 3 5 2" xfId="3712" xr:uid="{00000000-0005-0000-0000-000090030000}"/>
    <cellStyle name="20% - Accent6 3 5 2 2" xfId="7935" xr:uid="{00000000-0005-0000-0000-000091030000}"/>
    <cellStyle name="20% - Accent6 3 5 2 2 2" xfId="16377" xr:uid="{4942D14A-54BA-495A-917B-49C6CC0C9844}"/>
    <cellStyle name="20% - Accent6 3 5 2 3" xfId="12159" xr:uid="{9E5803F9-30F7-4894-9579-F204B0401CA7}"/>
    <cellStyle name="20% - Accent6 3 5 3" xfId="5790" xr:uid="{00000000-0005-0000-0000-000092030000}"/>
    <cellStyle name="20% - Accent6 3 5 3 2" xfId="14232" xr:uid="{5F5AB52A-54BB-47CA-962C-5C93F88B1006}"/>
    <cellStyle name="20% - Accent6 3 5 4" xfId="10014" xr:uid="{BD4FB535-DE60-49F2-BB63-121F602B037C}"/>
    <cellStyle name="20% - Accent6 3 6" xfId="1896" xr:uid="{00000000-0005-0000-0000-000093030000}"/>
    <cellStyle name="20% - Accent6 3 6 2" xfId="4125" xr:uid="{00000000-0005-0000-0000-000094030000}"/>
    <cellStyle name="20% - Accent6 3 6 2 2" xfId="8348" xr:uid="{00000000-0005-0000-0000-000095030000}"/>
    <cellStyle name="20% - Accent6 3 6 2 2 2" xfId="16790" xr:uid="{EDFE8984-7119-4395-BB1D-9B10C7E9E96A}"/>
    <cellStyle name="20% - Accent6 3 6 2 3" xfId="12572" xr:uid="{3E9A9242-61B7-4C61-BB60-706A53BFC2BA}"/>
    <cellStyle name="20% - Accent6 3 6 3" xfId="6203" xr:uid="{00000000-0005-0000-0000-000096030000}"/>
    <cellStyle name="20% - Accent6 3 6 3 2" xfId="14645" xr:uid="{949372FA-F87A-4F86-B67B-85414DF8E1F3}"/>
    <cellStyle name="20% - Accent6 3 6 4" xfId="10427" xr:uid="{9AD7697F-7A77-49C7-92B2-0BAC4880011A}"/>
    <cellStyle name="20% - Accent6 3 7" xfId="2309" xr:uid="{00000000-0005-0000-0000-000097030000}"/>
    <cellStyle name="20% - Accent6 3 7 2" xfId="6616" xr:uid="{00000000-0005-0000-0000-000098030000}"/>
    <cellStyle name="20% - Accent6 3 7 2 2" xfId="15058" xr:uid="{AA11585A-7C57-4985-8012-F0B2CE54E901}"/>
    <cellStyle name="20% - Accent6 3 7 3" xfId="10840" xr:uid="{352FAF2A-49BE-41FB-BB23-E5EF80406976}"/>
    <cellStyle name="20% - Accent6 3 8" xfId="4550" xr:uid="{00000000-0005-0000-0000-000099030000}"/>
    <cellStyle name="20% - Accent6 3 8 2" xfId="12992" xr:uid="{F77EE69B-D66B-4885-8442-644C13459C90}"/>
    <cellStyle name="20% - Accent6 3 9" xfId="8774" xr:uid="{7AC2A9FF-A580-4420-A915-310A1AA24DF9}"/>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2 2 2" xfId="15553" xr:uid="{8B06BC7E-A22E-43A2-9556-450BAA83F3B8}"/>
    <cellStyle name="20% - Accent6 4 2 2 3" xfId="11335" xr:uid="{0B559BD7-BC78-4268-A6F0-7744153C72DB}"/>
    <cellStyle name="20% - Accent6 4 2 3" xfId="4966" xr:uid="{00000000-0005-0000-0000-00009E030000}"/>
    <cellStyle name="20% - Accent6 4 2 3 2" xfId="13408" xr:uid="{1E8D572F-F198-439D-B393-E12C0926EEC7}"/>
    <cellStyle name="20% - Accent6 4 2 4" xfId="9190" xr:uid="{1210E8A9-559D-4902-AEE3-C3F6446A38BD}"/>
    <cellStyle name="20% - Accent6 4 3" xfId="1070" xr:uid="{00000000-0005-0000-0000-00009F030000}"/>
    <cellStyle name="20% - Accent6 4 3 2" xfId="3301" xr:uid="{00000000-0005-0000-0000-0000A0030000}"/>
    <cellStyle name="20% - Accent6 4 3 2 2" xfId="7524" xr:uid="{00000000-0005-0000-0000-0000A1030000}"/>
    <cellStyle name="20% - Accent6 4 3 2 2 2" xfId="15966" xr:uid="{45E0784F-A3F7-4D21-A285-FB2769B3B5B3}"/>
    <cellStyle name="20% - Accent6 4 3 2 3" xfId="11748" xr:uid="{6F8D00F7-92D7-45F8-94F3-8FC144336305}"/>
    <cellStyle name="20% - Accent6 4 3 3" xfId="5379" xr:uid="{00000000-0005-0000-0000-0000A2030000}"/>
    <cellStyle name="20% - Accent6 4 3 3 2" xfId="13821" xr:uid="{7BC22EDE-A4F0-41E1-BB93-70FAFD6D38CC}"/>
    <cellStyle name="20% - Accent6 4 3 4" xfId="9603" xr:uid="{01B40AC7-5B47-4B77-B0AB-515AF02BB23C}"/>
    <cellStyle name="20% - Accent6 4 4" xfId="1484" xr:uid="{00000000-0005-0000-0000-0000A3030000}"/>
    <cellStyle name="20% - Accent6 4 4 2" xfId="3714" xr:uid="{00000000-0005-0000-0000-0000A4030000}"/>
    <cellStyle name="20% - Accent6 4 4 2 2" xfId="7937" xr:uid="{00000000-0005-0000-0000-0000A5030000}"/>
    <cellStyle name="20% - Accent6 4 4 2 2 2" xfId="16379" xr:uid="{FB78DC52-E97B-40EE-A2DE-FE37D9286038}"/>
    <cellStyle name="20% - Accent6 4 4 2 3" xfId="12161" xr:uid="{EED415D1-0F5C-410E-986B-DA17C98A1224}"/>
    <cellStyle name="20% - Accent6 4 4 3" xfId="5792" xr:uid="{00000000-0005-0000-0000-0000A6030000}"/>
    <cellStyle name="20% - Accent6 4 4 3 2" xfId="14234" xr:uid="{521990AF-6B29-4E60-88DA-50D9F7BB8A00}"/>
    <cellStyle name="20% - Accent6 4 4 4" xfId="10016" xr:uid="{DA81AFF4-75C7-4028-927F-CF50AEF390AA}"/>
    <cellStyle name="20% - Accent6 4 5" xfId="1898" xr:uid="{00000000-0005-0000-0000-0000A7030000}"/>
    <cellStyle name="20% - Accent6 4 5 2" xfId="4127" xr:uid="{00000000-0005-0000-0000-0000A8030000}"/>
    <cellStyle name="20% - Accent6 4 5 2 2" xfId="8350" xr:uid="{00000000-0005-0000-0000-0000A9030000}"/>
    <cellStyle name="20% - Accent6 4 5 2 2 2" xfId="16792" xr:uid="{AD3B4FB0-8C4E-441E-A59A-F242227F06A9}"/>
    <cellStyle name="20% - Accent6 4 5 2 3" xfId="12574" xr:uid="{C433374C-91BF-4AEA-9408-EF4CDB2BD4FB}"/>
    <cellStyle name="20% - Accent6 4 5 3" xfId="6205" xr:uid="{00000000-0005-0000-0000-0000AA030000}"/>
    <cellStyle name="20% - Accent6 4 5 3 2" xfId="14647" xr:uid="{DCBFEB53-8BC1-4066-A76F-D3B102D0D1CF}"/>
    <cellStyle name="20% - Accent6 4 5 4" xfId="10429" xr:uid="{01C5E0F5-7399-4886-AD3E-81FDB6001DF3}"/>
    <cellStyle name="20% - Accent6 4 6" xfId="2311" xr:uid="{00000000-0005-0000-0000-0000AB030000}"/>
    <cellStyle name="20% - Accent6 4 6 2" xfId="6618" xr:uid="{00000000-0005-0000-0000-0000AC030000}"/>
    <cellStyle name="20% - Accent6 4 6 2 2" xfId="15060" xr:uid="{4A1F939F-3A21-418C-9575-DBBE646CE277}"/>
    <cellStyle name="20% - Accent6 4 6 3" xfId="10842" xr:uid="{24C8D539-4210-45F3-9B99-FAB0211CE762}"/>
    <cellStyle name="20% - Accent6 4 7" xfId="4552" xr:uid="{00000000-0005-0000-0000-0000AD030000}"/>
    <cellStyle name="20% - Accent6 4 7 2" xfId="12994" xr:uid="{97DAD7C1-7EFD-4209-A1A8-0A4E6F359B45}"/>
    <cellStyle name="20% - Accent6 4 8" xfId="8776" xr:uid="{24BA9D7A-0A2F-4257-AB99-BFE9BDE0A801}"/>
    <cellStyle name="20% - Accent6 5" xfId="610" xr:uid="{00000000-0005-0000-0000-0000AE030000}"/>
    <cellStyle name="20% - Accent6 5 2" xfId="2881" xr:uid="{00000000-0005-0000-0000-0000AF030000}"/>
    <cellStyle name="20% - Accent6 5 2 2" xfId="7104" xr:uid="{00000000-0005-0000-0000-0000B0030000}"/>
    <cellStyle name="20% - Accent6 5 2 2 2" xfId="15546" xr:uid="{2B58EC32-BE8C-49BD-899B-F9BACF8264E1}"/>
    <cellStyle name="20% - Accent6 5 2 3" xfId="11328" xr:uid="{C63DD301-BA57-49AE-8685-0070CA598255}"/>
    <cellStyle name="20% - Accent6 5 3" xfId="4959" xr:uid="{00000000-0005-0000-0000-0000B1030000}"/>
    <cellStyle name="20% - Accent6 5 3 2" xfId="13401" xr:uid="{3E702A9E-E5C7-4C37-A028-E87229BF61B9}"/>
    <cellStyle name="20% - Accent6 5 4" xfId="9183" xr:uid="{C84F6677-9D2F-4290-9301-1BE8565A929E}"/>
    <cellStyle name="20% - Accent6 6" xfId="1063" xr:uid="{00000000-0005-0000-0000-0000B2030000}"/>
    <cellStyle name="20% - Accent6 6 2" xfId="3294" xr:uid="{00000000-0005-0000-0000-0000B3030000}"/>
    <cellStyle name="20% - Accent6 6 2 2" xfId="7517" xr:uid="{00000000-0005-0000-0000-0000B4030000}"/>
    <cellStyle name="20% - Accent6 6 2 2 2" xfId="15959" xr:uid="{EDC9B3F8-23F8-4FE1-B545-0A8C8FF3EC40}"/>
    <cellStyle name="20% - Accent6 6 2 3" xfId="11741" xr:uid="{77E1F2A5-3C83-46AE-8DE5-C416A94898EF}"/>
    <cellStyle name="20% - Accent6 6 3" xfId="5372" xr:uid="{00000000-0005-0000-0000-0000B5030000}"/>
    <cellStyle name="20% - Accent6 6 3 2" xfId="13814" xr:uid="{6740E702-415A-4BC0-953D-D92882BA751C}"/>
    <cellStyle name="20% - Accent6 6 4" xfId="9596" xr:uid="{8D99D8B4-6941-4166-98A1-852330F8BE95}"/>
    <cellStyle name="20% - Accent6 7" xfId="1477" xr:uid="{00000000-0005-0000-0000-0000B6030000}"/>
    <cellStyle name="20% - Accent6 7 2" xfId="3707" xr:uid="{00000000-0005-0000-0000-0000B7030000}"/>
    <cellStyle name="20% - Accent6 7 2 2" xfId="7930" xr:uid="{00000000-0005-0000-0000-0000B8030000}"/>
    <cellStyle name="20% - Accent6 7 2 2 2" xfId="16372" xr:uid="{82B24051-F4A0-42F9-90F6-4D732DC21F3F}"/>
    <cellStyle name="20% - Accent6 7 2 3" xfId="12154" xr:uid="{5C3A59A1-455F-4F84-B3F2-B9461380D994}"/>
    <cellStyle name="20% - Accent6 7 3" xfId="5785" xr:uid="{00000000-0005-0000-0000-0000B9030000}"/>
    <cellStyle name="20% - Accent6 7 3 2" xfId="14227" xr:uid="{716C54F8-F437-458F-9780-B304B85A1F92}"/>
    <cellStyle name="20% - Accent6 7 4" xfId="10009" xr:uid="{7378355C-C096-4968-B4DE-332E1545634D}"/>
    <cellStyle name="20% - Accent6 8" xfId="1891" xr:uid="{00000000-0005-0000-0000-0000BA030000}"/>
    <cellStyle name="20% - Accent6 8 2" xfId="4120" xr:uid="{00000000-0005-0000-0000-0000BB030000}"/>
    <cellStyle name="20% - Accent6 8 2 2" xfId="8343" xr:uid="{00000000-0005-0000-0000-0000BC030000}"/>
    <cellStyle name="20% - Accent6 8 2 2 2" xfId="16785" xr:uid="{FB27BC99-99F4-40B8-AF16-D1DB72966946}"/>
    <cellStyle name="20% - Accent6 8 2 3" xfId="12567" xr:uid="{2FFDD9CE-5B43-4CE0-8EA6-1F72ACDE0E99}"/>
    <cellStyle name="20% - Accent6 8 3" xfId="6198" xr:uid="{00000000-0005-0000-0000-0000BD030000}"/>
    <cellStyle name="20% - Accent6 8 3 2" xfId="14640" xr:uid="{E50B86D7-B3A2-4740-B2D1-D22E19DE9B3F}"/>
    <cellStyle name="20% - Accent6 8 4" xfId="10422" xr:uid="{B04069F8-35D7-417F-BE4A-6CBE6B5786F3}"/>
    <cellStyle name="20% - Accent6 9" xfId="2304" xr:uid="{00000000-0005-0000-0000-0000BE030000}"/>
    <cellStyle name="20% - Accent6 9 2" xfId="6611" xr:uid="{00000000-0005-0000-0000-0000BF030000}"/>
    <cellStyle name="20% - Accent6 9 2 2" xfId="15053" xr:uid="{9C383099-1A6C-44CD-BD4E-FF69CEDC6C60}"/>
    <cellStyle name="20% - Accent6 9 3" xfId="10835" xr:uid="{F489A709-3B6E-4C50-B8CA-EB8D27CB9B35}"/>
    <cellStyle name="40% - Accent1" xfId="49" builtinId="31" customBuiltin="1"/>
    <cellStyle name="40% - Accent1 10" xfId="4553" xr:uid="{00000000-0005-0000-0000-0000C1030000}"/>
    <cellStyle name="40% - Accent1 10 2" xfId="12995" xr:uid="{3BAE0D17-3CCD-4A13-97FD-A7A971DF1A5A}"/>
    <cellStyle name="40% - Accent1 11" xfId="8777" xr:uid="{68EE7048-4FE0-4B99-AE85-4507713BC352}"/>
    <cellStyle name="40% - Accent1 2" xfId="50" xr:uid="{00000000-0005-0000-0000-0000C2030000}"/>
    <cellStyle name="40% - Accent1 2 10" xfId="8778" xr:uid="{097A12A1-E186-41F4-A1EA-5E4DA9127698}"/>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15557" xr:uid="{07294428-7C2C-4718-9CB9-12CA8D8293D1}"/>
    <cellStyle name="40% - Accent1 2 2 2 2 2 3" xfId="11339" xr:uid="{0E270C6A-1CD4-46F1-9149-61D0680EF788}"/>
    <cellStyle name="40% - Accent1 2 2 2 2 3" xfId="4970" xr:uid="{00000000-0005-0000-0000-0000C8030000}"/>
    <cellStyle name="40% - Accent1 2 2 2 2 3 2" xfId="13412" xr:uid="{678D09D8-69E5-43A3-8B16-ADBE2AD43382}"/>
    <cellStyle name="40% - Accent1 2 2 2 2 4" xfId="9194" xr:uid="{8F67AF36-7E43-447E-8387-C45875ED09E9}"/>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2 2" xfId="15970" xr:uid="{442F9B79-A4AC-452D-B5BE-E90B1EA1AB3E}"/>
    <cellStyle name="40% - Accent1 2 2 2 3 2 3" xfId="11752" xr:uid="{2B058856-EE32-4453-B8C3-83BCDF17948A}"/>
    <cellStyle name="40% - Accent1 2 2 2 3 3" xfId="5383" xr:uid="{00000000-0005-0000-0000-0000CC030000}"/>
    <cellStyle name="40% - Accent1 2 2 2 3 3 2" xfId="13825" xr:uid="{721A6FE7-2545-4E88-8591-1CC0CFAE36CA}"/>
    <cellStyle name="40% - Accent1 2 2 2 3 4" xfId="9607" xr:uid="{586A18D7-474E-457E-BFF9-A14AD25D016E}"/>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2 2 2" xfId="16383" xr:uid="{9957331F-26D1-42B1-953F-A43A0E076CA9}"/>
    <cellStyle name="40% - Accent1 2 2 2 4 2 3" xfId="12165" xr:uid="{2E5F388C-0DFD-43EC-994F-CF5E28CE45FD}"/>
    <cellStyle name="40% - Accent1 2 2 2 4 3" xfId="5796" xr:uid="{00000000-0005-0000-0000-0000D0030000}"/>
    <cellStyle name="40% - Accent1 2 2 2 4 3 2" xfId="14238" xr:uid="{69A10449-1F13-4D81-A4BF-AC54F07BD491}"/>
    <cellStyle name="40% - Accent1 2 2 2 4 4" xfId="10020" xr:uid="{73F2C73D-B8A5-44DB-BAB9-52E8BF047E05}"/>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2 2 2" xfId="16796" xr:uid="{D98DCEBC-77B7-41BB-82FC-D73F8FC3461F}"/>
    <cellStyle name="40% - Accent1 2 2 2 5 2 3" xfId="12578" xr:uid="{84CD1077-80FC-4299-B859-94600EE173FC}"/>
    <cellStyle name="40% - Accent1 2 2 2 5 3" xfId="6209" xr:uid="{00000000-0005-0000-0000-0000D4030000}"/>
    <cellStyle name="40% - Accent1 2 2 2 5 3 2" xfId="14651" xr:uid="{0AF8DA4E-BD0B-451A-8285-3C10E348E4C9}"/>
    <cellStyle name="40% - Accent1 2 2 2 5 4" xfId="10433" xr:uid="{95D2A5B7-9A53-49EE-AD62-EE6D9EB684F2}"/>
    <cellStyle name="40% - Accent1 2 2 2 6" xfId="2315" xr:uid="{00000000-0005-0000-0000-0000D5030000}"/>
    <cellStyle name="40% - Accent1 2 2 2 6 2" xfId="6622" xr:uid="{00000000-0005-0000-0000-0000D6030000}"/>
    <cellStyle name="40% - Accent1 2 2 2 6 2 2" xfId="15064" xr:uid="{C2201FEF-8AEE-423A-853E-C2C384E4B0C4}"/>
    <cellStyle name="40% - Accent1 2 2 2 6 3" xfId="10846" xr:uid="{329B9D61-6C74-49C4-BF66-CEC3D8914B40}"/>
    <cellStyle name="40% - Accent1 2 2 2 7" xfId="4556" xr:uid="{00000000-0005-0000-0000-0000D7030000}"/>
    <cellStyle name="40% - Accent1 2 2 2 7 2" xfId="12998" xr:uid="{123A699E-00C5-4C4B-A804-D514DAE10B6F}"/>
    <cellStyle name="40% - Accent1 2 2 2 8" xfId="8780" xr:uid="{63F5EF7F-3090-47D9-BA64-89F93352D7BD}"/>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15556" xr:uid="{A7935E96-52F9-4D4E-8A18-F8BCF60B5481}"/>
    <cellStyle name="40% - Accent1 2 2 3 2 3" xfId="11338" xr:uid="{BA96EBDE-5786-4784-9022-E5BD1F189883}"/>
    <cellStyle name="40% - Accent1 2 2 3 3" xfId="4969" xr:uid="{00000000-0005-0000-0000-0000DB030000}"/>
    <cellStyle name="40% - Accent1 2 2 3 3 2" xfId="13411" xr:uid="{2A364ABC-E831-4782-BE05-2FA318929F69}"/>
    <cellStyle name="40% - Accent1 2 2 3 4" xfId="9193" xr:uid="{66BD7EA5-BEC2-435A-885E-2DCCD99EB018}"/>
    <cellStyle name="40% - Accent1 2 2 4" xfId="1073" xr:uid="{00000000-0005-0000-0000-0000DC030000}"/>
    <cellStyle name="40% - Accent1 2 2 4 2" xfId="3304" xr:uid="{00000000-0005-0000-0000-0000DD030000}"/>
    <cellStyle name="40% - Accent1 2 2 4 2 2" xfId="7527" xr:uid="{00000000-0005-0000-0000-0000DE030000}"/>
    <cellStyle name="40% - Accent1 2 2 4 2 2 2" xfId="15969" xr:uid="{CD8BF451-2CD4-4E8D-A069-6E67351DF672}"/>
    <cellStyle name="40% - Accent1 2 2 4 2 3" xfId="11751" xr:uid="{05173D29-5859-4F61-B14F-AC6ADC723477}"/>
    <cellStyle name="40% - Accent1 2 2 4 3" xfId="5382" xr:uid="{00000000-0005-0000-0000-0000DF030000}"/>
    <cellStyle name="40% - Accent1 2 2 4 3 2" xfId="13824" xr:uid="{EF7A8681-63E1-4650-9463-09BA0C9C6803}"/>
    <cellStyle name="40% - Accent1 2 2 4 4" xfId="9606" xr:uid="{006D2DAA-64C7-4E15-B221-62DCFE2DD53D}"/>
    <cellStyle name="40% - Accent1 2 2 5" xfId="1487" xr:uid="{00000000-0005-0000-0000-0000E0030000}"/>
    <cellStyle name="40% - Accent1 2 2 5 2" xfId="3717" xr:uid="{00000000-0005-0000-0000-0000E1030000}"/>
    <cellStyle name="40% - Accent1 2 2 5 2 2" xfId="7940" xr:uid="{00000000-0005-0000-0000-0000E2030000}"/>
    <cellStyle name="40% - Accent1 2 2 5 2 2 2" xfId="16382" xr:uid="{BF5BEE92-0898-401A-926D-E3DDF63A9580}"/>
    <cellStyle name="40% - Accent1 2 2 5 2 3" xfId="12164" xr:uid="{8BB82481-98C2-468F-BEAF-34375A8A4F19}"/>
    <cellStyle name="40% - Accent1 2 2 5 3" xfId="5795" xr:uid="{00000000-0005-0000-0000-0000E3030000}"/>
    <cellStyle name="40% - Accent1 2 2 5 3 2" xfId="14237" xr:uid="{D35D701A-2E4A-46B2-9622-5EBAF672A117}"/>
    <cellStyle name="40% - Accent1 2 2 5 4" xfId="10019" xr:uid="{199441A3-D807-41D5-8147-288FF5D87933}"/>
    <cellStyle name="40% - Accent1 2 2 6" xfId="1901" xr:uid="{00000000-0005-0000-0000-0000E4030000}"/>
    <cellStyle name="40% - Accent1 2 2 6 2" xfId="4130" xr:uid="{00000000-0005-0000-0000-0000E5030000}"/>
    <cellStyle name="40% - Accent1 2 2 6 2 2" xfId="8353" xr:uid="{00000000-0005-0000-0000-0000E6030000}"/>
    <cellStyle name="40% - Accent1 2 2 6 2 2 2" xfId="16795" xr:uid="{FD0F2CA7-7BAE-483E-8F23-F7CDD7A548B7}"/>
    <cellStyle name="40% - Accent1 2 2 6 2 3" xfId="12577" xr:uid="{D88DE4A7-6FFE-42CE-BE1A-6317FBE669B3}"/>
    <cellStyle name="40% - Accent1 2 2 6 3" xfId="6208" xr:uid="{00000000-0005-0000-0000-0000E7030000}"/>
    <cellStyle name="40% - Accent1 2 2 6 3 2" xfId="14650" xr:uid="{2BD3606B-3F13-4E69-BB04-91DD8FA532A5}"/>
    <cellStyle name="40% - Accent1 2 2 6 4" xfId="10432" xr:uid="{D18F2D08-21B5-456D-BF01-D2F5348FFFF0}"/>
    <cellStyle name="40% - Accent1 2 2 7" xfId="2314" xr:uid="{00000000-0005-0000-0000-0000E8030000}"/>
    <cellStyle name="40% - Accent1 2 2 7 2" xfId="6621" xr:uid="{00000000-0005-0000-0000-0000E9030000}"/>
    <cellStyle name="40% - Accent1 2 2 7 2 2" xfId="15063" xr:uid="{D5A8F37D-3320-4ED4-A892-E05AE943EA7B}"/>
    <cellStyle name="40% - Accent1 2 2 7 3" xfId="10845" xr:uid="{E61C45B1-9DE1-45AD-B6C1-556E3E904687}"/>
    <cellStyle name="40% - Accent1 2 2 8" xfId="4555" xr:uid="{00000000-0005-0000-0000-0000EA030000}"/>
    <cellStyle name="40% - Accent1 2 2 8 2" xfId="12997" xr:uid="{AAF7B7FA-1FB2-4B31-B306-460B1FD3AB6B}"/>
    <cellStyle name="40% - Accent1 2 2 9" xfId="8779" xr:uid="{8B3270E0-35B5-4205-A12B-BF2C30407E7F}"/>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15558" xr:uid="{2C4671B8-DEB2-40FB-B8D0-2B4C9BDBBD3E}"/>
    <cellStyle name="40% - Accent1 2 3 2 2 3" xfId="11340" xr:uid="{8885D47F-3947-4F77-A750-4FDA6E869857}"/>
    <cellStyle name="40% - Accent1 2 3 2 3" xfId="4971" xr:uid="{00000000-0005-0000-0000-0000EF030000}"/>
    <cellStyle name="40% - Accent1 2 3 2 3 2" xfId="13413" xr:uid="{FFF1E3C1-741C-4D57-995B-061ADC3884BB}"/>
    <cellStyle name="40% - Accent1 2 3 2 4" xfId="9195" xr:uid="{B32ED812-C116-4728-896C-CFB3CDE0C05D}"/>
    <cellStyle name="40% - Accent1 2 3 3" xfId="1075" xr:uid="{00000000-0005-0000-0000-0000F0030000}"/>
    <cellStyle name="40% - Accent1 2 3 3 2" xfId="3306" xr:uid="{00000000-0005-0000-0000-0000F1030000}"/>
    <cellStyle name="40% - Accent1 2 3 3 2 2" xfId="7529" xr:uid="{00000000-0005-0000-0000-0000F2030000}"/>
    <cellStyle name="40% - Accent1 2 3 3 2 2 2" xfId="15971" xr:uid="{A95C63EA-5474-4095-B88F-07686C801F42}"/>
    <cellStyle name="40% - Accent1 2 3 3 2 3" xfId="11753" xr:uid="{E4430616-81BF-4515-A5FA-83F64227FEBF}"/>
    <cellStyle name="40% - Accent1 2 3 3 3" xfId="5384" xr:uid="{00000000-0005-0000-0000-0000F3030000}"/>
    <cellStyle name="40% - Accent1 2 3 3 3 2" xfId="13826" xr:uid="{24C59B15-5C65-421D-83E4-8D96D8426791}"/>
    <cellStyle name="40% - Accent1 2 3 3 4" xfId="9608" xr:uid="{1157A001-F393-4914-9FAF-40F450930559}"/>
    <cellStyle name="40% - Accent1 2 3 4" xfId="1489" xr:uid="{00000000-0005-0000-0000-0000F4030000}"/>
    <cellStyle name="40% - Accent1 2 3 4 2" xfId="3719" xr:uid="{00000000-0005-0000-0000-0000F5030000}"/>
    <cellStyle name="40% - Accent1 2 3 4 2 2" xfId="7942" xr:uid="{00000000-0005-0000-0000-0000F6030000}"/>
    <cellStyle name="40% - Accent1 2 3 4 2 2 2" xfId="16384" xr:uid="{11FB34E7-454D-486E-A790-BB86ECB4406E}"/>
    <cellStyle name="40% - Accent1 2 3 4 2 3" xfId="12166" xr:uid="{56543EC1-D3A1-4703-946F-23CBB1CB62B3}"/>
    <cellStyle name="40% - Accent1 2 3 4 3" xfId="5797" xr:uid="{00000000-0005-0000-0000-0000F7030000}"/>
    <cellStyle name="40% - Accent1 2 3 4 3 2" xfId="14239" xr:uid="{118BC05F-82DA-49B1-B589-76D470540F67}"/>
    <cellStyle name="40% - Accent1 2 3 4 4" xfId="10021" xr:uid="{2D42EE58-CA1C-42B4-9E87-E0C71B285267}"/>
    <cellStyle name="40% - Accent1 2 3 5" xfId="1903" xr:uid="{00000000-0005-0000-0000-0000F8030000}"/>
    <cellStyle name="40% - Accent1 2 3 5 2" xfId="4132" xr:uid="{00000000-0005-0000-0000-0000F9030000}"/>
    <cellStyle name="40% - Accent1 2 3 5 2 2" xfId="8355" xr:uid="{00000000-0005-0000-0000-0000FA030000}"/>
    <cellStyle name="40% - Accent1 2 3 5 2 2 2" xfId="16797" xr:uid="{81321A18-A7B6-4FED-B55F-0932004BE928}"/>
    <cellStyle name="40% - Accent1 2 3 5 2 3" xfId="12579" xr:uid="{FF1BD640-93F8-40E6-9425-05E7CB261E2A}"/>
    <cellStyle name="40% - Accent1 2 3 5 3" xfId="6210" xr:uid="{00000000-0005-0000-0000-0000FB030000}"/>
    <cellStyle name="40% - Accent1 2 3 5 3 2" xfId="14652" xr:uid="{87C40C2E-8D0E-4B4A-A768-0A06EB1960C4}"/>
    <cellStyle name="40% - Accent1 2 3 5 4" xfId="10434" xr:uid="{F7A1BFFA-F000-494A-B704-1AB0CD56D9D6}"/>
    <cellStyle name="40% - Accent1 2 3 6" xfId="2316" xr:uid="{00000000-0005-0000-0000-0000FC030000}"/>
    <cellStyle name="40% - Accent1 2 3 6 2" xfId="6623" xr:uid="{00000000-0005-0000-0000-0000FD030000}"/>
    <cellStyle name="40% - Accent1 2 3 6 2 2" xfId="15065" xr:uid="{BA14121B-2368-4867-86AE-FD137C39D23E}"/>
    <cellStyle name="40% - Accent1 2 3 6 3" xfId="10847" xr:uid="{10F8A0F1-8C26-481F-A86A-60022BC5B763}"/>
    <cellStyle name="40% - Accent1 2 3 7" xfId="4557" xr:uid="{00000000-0005-0000-0000-0000FE030000}"/>
    <cellStyle name="40% - Accent1 2 3 7 2" xfId="12999" xr:uid="{42858B61-019A-4BE1-96E7-6CF884E80424}"/>
    <cellStyle name="40% - Accent1 2 3 8" xfId="8781" xr:uid="{2756B8EE-2E80-44E1-A480-A4CFCBFFBD07}"/>
    <cellStyle name="40% - Accent1 2 4" xfId="619" xr:uid="{00000000-0005-0000-0000-0000FF030000}"/>
    <cellStyle name="40% - Accent1 2 4 2" xfId="2890" xr:uid="{00000000-0005-0000-0000-000000040000}"/>
    <cellStyle name="40% - Accent1 2 4 2 2" xfId="7113" xr:uid="{00000000-0005-0000-0000-000001040000}"/>
    <cellStyle name="40% - Accent1 2 4 2 2 2" xfId="15555" xr:uid="{757C9CA9-F42C-4019-A176-BB21ED723CC4}"/>
    <cellStyle name="40% - Accent1 2 4 2 3" xfId="11337" xr:uid="{0465E3D7-F203-4460-8246-7FB72C42180F}"/>
    <cellStyle name="40% - Accent1 2 4 3" xfId="4968" xr:uid="{00000000-0005-0000-0000-000002040000}"/>
    <cellStyle name="40% - Accent1 2 4 3 2" xfId="13410" xr:uid="{D5F51081-0A21-41B3-AE45-031180733C95}"/>
    <cellStyle name="40% - Accent1 2 4 4" xfId="9192" xr:uid="{768CC3E6-6D52-4346-8CBF-20FF71AD8052}"/>
    <cellStyle name="40% - Accent1 2 5" xfId="1072" xr:uid="{00000000-0005-0000-0000-000003040000}"/>
    <cellStyle name="40% - Accent1 2 5 2" xfId="3303" xr:uid="{00000000-0005-0000-0000-000004040000}"/>
    <cellStyle name="40% - Accent1 2 5 2 2" xfId="7526" xr:uid="{00000000-0005-0000-0000-000005040000}"/>
    <cellStyle name="40% - Accent1 2 5 2 2 2" xfId="15968" xr:uid="{EE7A2BC6-DF76-4DE1-8984-215E35DE0E38}"/>
    <cellStyle name="40% - Accent1 2 5 2 3" xfId="11750" xr:uid="{EB01D1F4-B220-4A80-A721-027144DFC175}"/>
    <cellStyle name="40% - Accent1 2 5 3" xfId="5381" xr:uid="{00000000-0005-0000-0000-000006040000}"/>
    <cellStyle name="40% - Accent1 2 5 3 2" xfId="13823" xr:uid="{522F49FD-8D5D-4D45-AE50-78A12C68EC41}"/>
    <cellStyle name="40% - Accent1 2 5 4" xfId="9605" xr:uid="{50E5CC40-4BA3-4DEB-8B38-D0E65B6E1521}"/>
    <cellStyle name="40% - Accent1 2 6" xfId="1486" xr:uid="{00000000-0005-0000-0000-000007040000}"/>
    <cellStyle name="40% - Accent1 2 6 2" xfId="3716" xr:uid="{00000000-0005-0000-0000-000008040000}"/>
    <cellStyle name="40% - Accent1 2 6 2 2" xfId="7939" xr:uid="{00000000-0005-0000-0000-000009040000}"/>
    <cellStyle name="40% - Accent1 2 6 2 2 2" xfId="16381" xr:uid="{E39F2C40-2F45-4ED6-9F36-627873A88270}"/>
    <cellStyle name="40% - Accent1 2 6 2 3" xfId="12163" xr:uid="{D0BCABD3-30DA-4127-A800-7354CF820479}"/>
    <cellStyle name="40% - Accent1 2 6 3" xfId="5794" xr:uid="{00000000-0005-0000-0000-00000A040000}"/>
    <cellStyle name="40% - Accent1 2 6 3 2" xfId="14236" xr:uid="{EC55244B-53E7-4763-9625-BDA562A85336}"/>
    <cellStyle name="40% - Accent1 2 6 4" xfId="10018" xr:uid="{6A784A5A-209C-4866-A75C-6C0720931ABD}"/>
    <cellStyle name="40% - Accent1 2 7" xfId="1900" xr:uid="{00000000-0005-0000-0000-00000B040000}"/>
    <cellStyle name="40% - Accent1 2 7 2" xfId="4129" xr:uid="{00000000-0005-0000-0000-00000C040000}"/>
    <cellStyle name="40% - Accent1 2 7 2 2" xfId="8352" xr:uid="{00000000-0005-0000-0000-00000D040000}"/>
    <cellStyle name="40% - Accent1 2 7 2 2 2" xfId="16794" xr:uid="{90F66BF8-40D4-4C30-B901-D95B82B8BDB7}"/>
    <cellStyle name="40% - Accent1 2 7 2 3" xfId="12576" xr:uid="{E3B78AA6-A361-4CA1-ABD2-1AA511FB4830}"/>
    <cellStyle name="40% - Accent1 2 7 3" xfId="6207" xr:uid="{00000000-0005-0000-0000-00000E040000}"/>
    <cellStyle name="40% - Accent1 2 7 3 2" xfId="14649" xr:uid="{443970FD-9C07-4E8E-B635-3676F30D07D4}"/>
    <cellStyle name="40% - Accent1 2 7 4" xfId="10431" xr:uid="{BE7AE6D2-8A64-42C2-8B80-9DBFE52ECCD3}"/>
    <cellStyle name="40% - Accent1 2 8" xfId="2313" xr:uid="{00000000-0005-0000-0000-00000F040000}"/>
    <cellStyle name="40% - Accent1 2 8 2" xfId="6620" xr:uid="{00000000-0005-0000-0000-000010040000}"/>
    <cellStyle name="40% - Accent1 2 8 2 2" xfId="15062" xr:uid="{EC4BF107-D714-4322-A71C-AE26C2BB8360}"/>
    <cellStyle name="40% - Accent1 2 8 3" xfId="10844" xr:uid="{1BC51B1C-F2A1-482D-9B49-1F6108E09A09}"/>
    <cellStyle name="40% - Accent1 2 9" xfId="4554" xr:uid="{00000000-0005-0000-0000-000011040000}"/>
    <cellStyle name="40% - Accent1 2 9 2" xfId="12996" xr:uid="{FC4B41E7-B178-486B-A891-522C22EB3965}"/>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15560" xr:uid="{32B09FC8-BFCA-4DB1-A1C3-7D2C0A91A576}"/>
    <cellStyle name="40% - Accent1 3 2 2 2 3" xfId="11342" xr:uid="{35D6B4D9-3F2E-4CCF-952B-126EA68B0724}"/>
    <cellStyle name="40% - Accent1 3 2 2 3" xfId="4973" xr:uid="{00000000-0005-0000-0000-000017040000}"/>
    <cellStyle name="40% - Accent1 3 2 2 3 2" xfId="13415" xr:uid="{4D8EF69A-9E40-481C-80DE-87C1E730BBAB}"/>
    <cellStyle name="40% - Accent1 3 2 2 4" xfId="9197" xr:uid="{1D526FB7-39BB-48AD-99A0-248D5CD9D0AD}"/>
    <cellStyle name="40% - Accent1 3 2 3" xfId="1077" xr:uid="{00000000-0005-0000-0000-000018040000}"/>
    <cellStyle name="40% - Accent1 3 2 3 2" xfId="3308" xr:uid="{00000000-0005-0000-0000-000019040000}"/>
    <cellStyle name="40% - Accent1 3 2 3 2 2" xfId="7531" xr:uid="{00000000-0005-0000-0000-00001A040000}"/>
    <cellStyle name="40% - Accent1 3 2 3 2 2 2" xfId="15973" xr:uid="{004498DC-3FF0-496B-87AB-EB560735C28A}"/>
    <cellStyle name="40% - Accent1 3 2 3 2 3" xfId="11755" xr:uid="{44963EB0-C45A-4F9C-B8B1-AFA21C40764D}"/>
    <cellStyle name="40% - Accent1 3 2 3 3" xfId="5386" xr:uid="{00000000-0005-0000-0000-00001B040000}"/>
    <cellStyle name="40% - Accent1 3 2 3 3 2" xfId="13828" xr:uid="{F16BC1CB-2B88-4704-86A2-C19D93F95877}"/>
    <cellStyle name="40% - Accent1 3 2 3 4" xfId="9610" xr:uid="{CCC6886F-3C5B-47DA-9B6D-EA68976258B3}"/>
    <cellStyle name="40% - Accent1 3 2 4" xfId="1491" xr:uid="{00000000-0005-0000-0000-00001C040000}"/>
    <cellStyle name="40% - Accent1 3 2 4 2" xfId="3721" xr:uid="{00000000-0005-0000-0000-00001D040000}"/>
    <cellStyle name="40% - Accent1 3 2 4 2 2" xfId="7944" xr:uid="{00000000-0005-0000-0000-00001E040000}"/>
    <cellStyle name="40% - Accent1 3 2 4 2 2 2" xfId="16386" xr:uid="{17143E24-68BB-4089-9DFE-BBDC2E7155DE}"/>
    <cellStyle name="40% - Accent1 3 2 4 2 3" xfId="12168" xr:uid="{1219AB97-608E-40B4-AB4C-2BA7FC6E76F0}"/>
    <cellStyle name="40% - Accent1 3 2 4 3" xfId="5799" xr:uid="{00000000-0005-0000-0000-00001F040000}"/>
    <cellStyle name="40% - Accent1 3 2 4 3 2" xfId="14241" xr:uid="{9346BAE2-C114-43C0-83A2-81017F432C9C}"/>
    <cellStyle name="40% - Accent1 3 2 4 4" xfId="10023" xr:uid="{2FFA0FCC-60FB-44E9-8584-8C6A34ABEA83}"/>
    <cellStyle name="40% - Accent1 3 2 5" xfId="1905" xr:uid="{00000000-0005-0000-0000-000020040000}"/>
    <cellStyle name="40% - Accent1 3 2 5 2" xfId="4134" xr:uid="{00000000-0005-0000-0000-000021040000}"/>
    <cellStyle name="40% - Accent1 3 2 5 2 2" xfId="8357" xr:uid="{00000000-0005-0000-0000-000022040000}"/>
    <cellStyle name="40% - Accent1 3 2 5 2 2 2" xfId="16799" xr:uid="{478019E2-B52C-461D-8818-0317631D4CA6}"/>
    <cellStyle name="40% - Accent1 3 2 5 2 3" xfId="12581" xr:uid="{9F0CF670-1D47-4174-9F30-DD4F1B704C67}"/>
    <cellStyle name="40% - Accent1 3 2 5 3" xfId="6212" xr:uid="{00000000-0005-0000-0000-000023040000}"/>
    <cellStyle name="40% - Accent1 3 2 5 3 2" xfId="14654" xr:uid="{EC3A68D9-CC81-4FB9-AC2C-65C58D693526}"/>
    <cellStyle name="40% - Accent1 3 2 5 4" xfId="10436" xr:uid="{BF4E75B9-1694-4202-B4F4-D0A4205B23E1}"/>
    <cellStyle name="40% - Accent1 3 2 6" xfId="2318" xr:uid="{00000000-0005-0000-0000-000024040000}"/>
    <cellStyle name="40% - Accent1 3 2 6 2" xfId="6625" xr:uid="{00000000-0005-0000-0000-000025040000}"/>
    <cellStyle name="40% - Accent1 3 2 6 2 2" xfId="15067" xr:uid="{4435CEAA-4BD0-412D-84E8-B567EC1411D6}"/>
    <cellStyle name="40% - Accent1 3 2 6 3" xfId="10849" xr:uid="{8569ECDF-E7E7-44E9-98F0-12D1F9478796}"/>
    <cellStyle name="40% - Accent1 3 2 7" xfId="4559" xr:uid="{00000000-0005-0000-0000-000026040000}"/>
    <cellStyle name="40% - Accent1 3 2 7 2" xfId="13001" xr:uid="{BFEBFB54-0813-4AB6-BD40-7F9A3D2E1312}"/>
    <cellStyle name="40% - Accent1 3 2 8" xfId="8783" xr:uid="{95E213A5-4E7E-47DC-AB7B-E4FDF71C39DD}"/>
    <cellStyle name="40% - Accent1 3 3" xfId="623" xr:uid="{00000000-0005-0000-0000-000027040000}"/>
    <cellStyle name="40% - Accent1 3 3 2" xfId="2894" xr:uid="{00000000-0005-0000-0000-000028040000}"/>
    <cellStyle name="40% - Accent1 3 3 2 2" xfId="7117" xr:uid="{00000000-0005-0000-0000-000029040000}"/>
    <cellStyle name="40% - Accent1 3 3 2 2 2" xfId="15559" xr:uid="{52862F65-C6DF-4308-952D-4FA7D8B8690F}"/>
    <cellStyle name="40% - Accent1 3 3 2 3" xfId="11341" xr:uid="{1A1C26B1-9699-4E1A-9182-EB231AF507A9}"/>
    <cellStyle name="40% - Accent1 3 3 3" xfId="4972" xr:uid="{00000000-0005-0000-0000-00002A040000}"/>
    <cellStyle name="40% - Accent1 3 3 3 2" xfId="13414" xr:uid="{9D92D3A6-877B-4DC9-A41F-FF1E1CDE51F0}"/>
    <cellStyle name="40% - Accent1 3 3 4" xfId="9196" xr:uid="{32D3823A-B18F-4EBC-A46C-1FC37A144462}"/>
    <cellStyle name="40% - Accent1 3 4" xfId="1076" xr:uid="{00000000-0005-0000-0000-00002B040000}"/>
    <cellStyle name="40% - Accent1 3 4 2" xfId="3307" xr:uid="{00000000-0005-0000-0000-00002C040000}"/>
    <cellStyle name="40% - Accent1 3 4 2 2" xfId="7530" xr:uid="{00000000-0005-0000-0000-00002D040000}"/>
    <cellStyle name="40% - Accent1 3 4 2 2 2" xfId="15972" xr:uid="{55EA57DF-BAB4-47B9-BC7B-3E0A1A1C3F06}"/>
    <cellStyle name="40% - Accent1 3 4 2 3" xfId="11754" xr:uid="{8AEECA88-0BE1-4AE3-843E-9F4A679DE2D6}"/>
    <cellStyle name="40% - Accent1 3 4 3" xfId="5385" xr:uid="{00000000-0005-0000-0000-00002E040000}"/>
    <cellStyle name="40% - Accent1 3 4 3 2" xfId="13827" xr:uid="{35AE23EC-E6B4-4830-8B77-679080342837}"/>
    <cellStyle name="40% - Accent1 3 4 4" xfId="9609" xr:uid="{C8BC94CC-C306-4CA8-9B5F-ACA69DA82F8E}"/>
    <cellStyle name="40% - Accent1 3 5" xfId="1490" xr:uid="{00000000-0005-0000-0000-00002F040000}"/>
    <cellStyle name="40% - Accent1 3 5 2" xfId="3720" xr:uid="{00000000-0005-0000-0000-000030040000}"/>
    <cellStyle name="40% - Accent1 3 5 2 2" xfId="7943" xr:uid="{00000000-0005-0000-0000-000031040000}"/>
    <cellStyle name="40% - Accent1 3 5 2 2 2" xfId="16385" xr:uid="{7CF6BCE6-2D2B-4425-A713-38849753B5C7}"/>
    <cellStyle name="40% - Accent1 3 5 2 3" xfId="12167" xr:uid="{046C5763-5680-4BBE-8E0B-A79E24A6984C}"/>
    <cellStyle name="40% - Accent1 3 5 3" xfId="5798" xr:uid="{00000000-0005-0000-0000-000032040000}"/>
    <cellStyle name="40% - Accent1 3 5 3 2" xfId="14240" xr:uid="{C54B9FA3-4948-40E2-A439-4D590348ABA3}"/>
    <cellStyle name="40% - Accent1 3 5 4" xfId="10022" xr:uid="{FD6E310F-002B-4EEE-965A-0329763B2264}"/>
    <cellStyle name="40% - Accent1 3 6" xfId="1904" xr:uid="{00000000-0005-0000-0000-000033040000}"/>
    <cellStyle name="40% - Accent1 3 6 2" xfId="4133" xr:uid="{00000000-0005-0000-0000-000034040000}"/>
    <cellStyle name="40% - Accent1 3 6 2 2" xfId="8356" xr:uid="{00000000-0005-0000-0000-000035040000}"/>
    <cellStyle name="40% - Accent1 3 6 2 2 2" xfId="16798" xr:uid="{2C2E0BAB-02D5-4BD3-A9CB-2DAA5CA0DD0C}"/>
    <cellStyle name="40% - Accent1 3 6 2 3" xfId="12580" xr:uid="{B17D7C8B-C3E2-4973-A355-C5878CE212CB}"/>
    <cellStyle name="40% - Accent1 3 6 3" xfId="6211" xr:uid="{00000000-0005-0000-0000-000036040000}"/>
    <cellStyle name="40% - Accent1 3 6 3 2" xfId="14653" xr:uid="{174C8324-E193-4052-90B3-C8AEB6B98C91}"/>
    <cellStyle name="40% - Accent1 3 6 4" xfId="10435" xr:uid="{D0A238A8-08E6-4321-AEEF-A19F2DC63993}"/>
    <cellStyle name="40% - Accent1 3 7" xfId="2317" xr:uid="{00000000-0005-0000-0000-000037040000}"/>
    <cellStyle name="40% - Accent1 3 7 2" xfId="6624" xr:uid="{00000000-0005-0000-0000-000038040000}"/>
    <cellStyle name="40% - Accent1 3 7 2 2" xfId="15066" xr:uid="{CD4AA99A-D144-4566-9F2D-0EA917FC5913}"/>
    <cellStyle name="40% - Accent1 3 7 3" xfId="10848" xr:uid="{B0DC02EF-394C-419A-8E3B-2F991ECD2B2B}"/>
    <cellStyle name="40% - Accent1 3 8" xfId="4558" xr:uid="{00000000-0005-0000-0000-000039040000}"/>
    <cellStyle name="40% - Accent1 3 8 2" xfId="13000" xr:uid="{B0BF0A60-5207-4D6A-9C35-6EE89B10C482}"/>
    <cellStyle name="40% - Accent1 3 9" xfId="8782" xr:uid="{6BFD39CE-E0D0-41CE-89C9-9323D0C0763E}"/>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2 2 2" xfId="15561" xr:uid="{05BEB2B2-EBF3-4C64-9E9B-3F363DE8783F}"/>
    <cellStyle name="40% - Accent1 4 2 2 3" xfId="11343" xr:uid="{9700C9A5-869A-4665-A4E3-8DB4E6E5D2AC}"/>
    <cellStyle name="40% - Accent1 4 2 3" xfId="4974" xr:uid="{00000000-0005-0000-0000-00003E040000}"/>
    <cellStyle name="40% - Accent1 4 2 3 2" xfId="13416" xr:uid="{DE873EDF-283F-49A7-B032-93B480F4A30A}"/>
    <cellStyle name="40% - Accent1 4 2 4" xfId="9198" xr:uid="{B32996B2-FF4A-4944-9583-D592CB4A39C6}"/>
    <cellStyle name="40% - Accent1 4 3" xfId="1078" xr:uid="{00000000-0005-0000-0000-00003F040000}"/>
    <cellStyle name="40% - Accent1 4 3 2" xfId="3309" xr:uid="{00000000-0005-0000-0000-000040040000}"/>
    <cellStyle name="40% - Accent1 4 3 2 2" xfId="7532" xr:uid="{00000000-0005-0000-0000-000041040000}"/>
    <cellStyle name="40% - Accent1 4 3 2 2 2" xfId="15974" xr:uid="{D4914F6E-4C3B-446C-8CB9-C0F6DEECD617}"/>
    <cellStyle name="40% - Accent1 4 3 2 3" xfId="11756" xr:uid="{3B8748A4-CE97-4ED5-B4EC-9561BE496AD4}"/>
    <cellStyle name="40% - Accent1 4 3 3" xfId="5387" xr:uid="{00000000-0005-0000-0000-000042040000}"/>
    <cellStyle name="40% - Accent1 4 3 3 2" xfId="13829" xr:uid="{F96062D7-3918-43F8-B4C0-857A57366B14}"/>
    <cellStyle name="40% - Accent1 4 3 4" xfId="9611" xr:uid="{7390DB21-0C4B-45C9-811A-B2D81F97DC2A}"/>
    <cellStyle name="40% - Accent1 4 4" xfId="1492" xr:uid="{00000000-0005-0000-0000-000043040000}"/>
    <cellStyle name="40% - Accent1 4 4 2" xfId="3722" xr:uid="{00000000-0005-0000-0000-000044040000}"/>
    <cellStyle name="40% - Accent1 4 4 2 2" xfId="7945" xr:uid="{00000000-0005-0000-0000-000045040000}"/>
    <cellStyle name="40% - Accent1 4 4 2 2 2" xfId="16387" xr:uid="{0019A2C1-F4B5-408F-BEFB-1B70E98FB7BA}"/>
    <cellStyle name="40% - Accent1 4 4 2 3" xfId="12169" xr:uid="{78F57721-2B95-48AC-803D-AEE1D12E16E1}"/>
    <cellStyle name="40% - Accent1 4 4 3" xfId="5800" xr:uid="{00000000-0005-0000-0000-000046040000}"/>
    <cellStyle name="40% - Accent1 4 4 3 2" xfId="14242" xr:uid="{2D249796-9784-4980-909A-A761CE74C3F9}"/>
    <cellStyle name="40% - Accent1 4 4 4" xfId="10024" xr:uid="{B358D7FB-AE5F-4E78-B258-A90F278BA037}"/>
    <cellStyle name="40% - Accent1 4 5" xfId="1906" xr:uid="{00000000-0005-0000-0000-000047040000}"/>
    <cellStyle name="40% - Accent1 4 5 2" xfId="4135" xr:uid="{00000000-0005-0000-0000-000048040000}"/>
    <cellStyle name="40% - Accent1 4 5 2 2" xfId="8358" xr:uid="{00000000-0005-0000-0000-000049040000}"/>
    <cellStyle name="40% - Accent1 4 5 2 2 2" xfId="16800" xr:uid="{BCC5382C-5D96-435B-8025-540EF89549B7}"/>
    <cellStyle name="40% - Accent1 4 5 2 3" xfId="12582" xr:uid="{1F5AA338-2EB8-444A-9C35-D440F37A0925}"/>
    <cellStyle name="40% - Accent1 4 5 3" xfId="6213" xr:uid="{00000000-0005-0000-0000-00004A040000}"/>
    <cellStyle name="40% - Accent1 4 5 3 2" xfId="14655" xr:uid="{F1FB3C82-4F16-4290-A251-466A69393180}"/>
    <cellStyle name="40% - Accent1 4 5 4" xfId="10437" xr:uid="{61178574-8D96-4826-A0D2-F4AEC6C4CCF2}"/>
    <cellStyle name="40% - Accent1 4 6" xfId="2319" xr:uid="{00000000-0005-0000-0000-00004B040000}"/>
    <cellStyle name="40% - Accent1 4 6 2" xfId="6626" xr:uid="{00000000-0005-0000-0000-00004C040000}"/>
    <cellStyle name="40% - Accent1 4 6 2 2" xfId="15068" xr:uid="{0899A6ED-E73C-4E5D-9339-A29C69FABE5A}"/>
    <cellStyle name="40% - Accent1 4 6 3" xfId="10850" xr:uid="{45E85DE3-E4E9-4394-8BDF-A519E45BC93E}"/>
    <cellStyle name="40% - Accent1 4 7" xfId="4560" xr:uid="{00000000-0005-0000-0000-00004D040000}"/>
    <cellStyle name="40% - Accent1 4 7 2" xfId="13002" xr:uid="{10A4748F-0D96-4C5D-B948-77429B78CCDB}"/>
    <cellStyle name="40% - Accent1 4 8" xfId="8784" xr:uid="{353D9534-ACBE-4DC3-AD62-99A94360BF8D}"/>
    <cellStyle name="40% - Accent1 5" xfId="618" xr:uid="{00000000-0005-0000-0000-00004E040000}"/>
    <cellStyle name="40% - Accent1 5 2" xfId="2889" xr:uid="{00000000-0005-0000-0000-00004F040000}"/>
    <cellStyle name="40% - Accent1 5 2 2" xfId="7112" xr:uid="{00000000-0005-0000-0000-000050040000}"/>
    <cellStyle name="40% - Accent1 5 2 2 2" xfId="15554" xr:uid="{9A0CD047-BB8C-4AD5-8A46-970929CBB503}"/>
    <cellStyle name="40% - Accent1 5 2 3" xfId="11336" xr:uid="{C2CA9207-063D-4FCC-A2A8-0639769A0B9D}"/>
    <cellStyle name="40% - Accent1 5 3" xfId="4967" xr:uid="{00000000-0005-0000-0000-000051040000}"/>
    <cellStyle name="40% - Accent1 5 3 2" xfId="13409" xr:uid="{FF5B1F85-EB98-4CD8-89A1-8A6BB38828D0}"/>
    <cellStyle name="40% - Accent1 5 4" xfId="9191" xr:uid="{FB4B8B19-F2E9-4EAA-AC79-07E6BFBB52DD}"/>
    <cellStyle name="40% - Accent1 6" xfId="1071" xr:uid="{00000000-0005-0000-0000-000052040000}"/>
    <cellStyle name="40% - Accent1 6 2" xfId="3302" xr:uid="{00000000-0005-0000-0000-000053040000}"/>
    <cellStyle name="40% - Accent1 6 2 2" xfId="7525" xr:uid="{00000000-0005-0000-0000-000054040000}"/>
    <cellStyle name="40% - Accent1 6 2 2 2" xfId="15967" xr:uid="{73275BE2-E683-47BD-A05F-E07D36FAD253}"/>
    <cellStyle name="40% - Accent1 6 2 3" xfId="11749" xr:uid="{18A7B136-5663-4C8B-9089-B2640B55307D}"/>
    <cellStyle name="40% - Accent1 6 3" xfId="5380" xr:uid="{00000000-0005-0000-0000-000055040000}"/>
    <cellStyle name="40% - Accent1 6 3 2" xfId="13822" xr:uid="{9F05D2D6-C021-4BA6-B790-6C520E1E066B}"/>
    <cellStyle name="40% - Accent1 6 4" xfId="9604" xr:uid="{348D4C84-0273-4A95-86EA-4548D541F958}"/>
    <cellStyle name="40% - Accent1 7" xfId="1485" xr:uid="{00000000-0005-0000-0000-000056040000}"/>
    <cellStyle name="40% - Accent1 7 2" xfId="3715" xr:uid="{00000000-0005-0000-0000-000057040000}"/>
    <cellStyle name="40% - Accent1 7 2 2" xfId="7938" xr:uid="{00000000-0005-0000-0000-000058040000}"/>
    <cellStyle name="40% - Accent1 7 2 2 2" xfId="16380" xr:uid="{C234109F-DBA6-4A5B-91DF-D5A3B5415E92}"/>
    <cellStyle name="40% - Accent1 7 2 3" xfId="12162" xr:uid="{06F07B44-4964-43A6-B154-368D74196F86}"/>
    <cellStyle name="40% - Accent1 7 3" xfId="5793" xr:uid="{00000000-0005-0000-0000-000059040000}"/>
    <cellStyle name="40% - Accent1 7 3 2" xfId="14235" xr:uid="{1F1CA3D3-34BA-4F7B-A7AE-43A9C0782921}"/>
    <cellStyle name="40% - Accent1 7 4" xfId="10017" xr:uid="{868ECBC6-4451-4E5D-8F14-A98AF5BA20E7}"/>
    <cellStyle name="40% - Accent1 8" xfId="1899" xr:uid="{00000000-0005-0000-0000-00005A040000}"/>
    <cellStyle name="40% - Accent1 8 2" xfId="4128" xr:uid="{00000000-0005-0000-0000-00005B040000}"/>
    <cellStyle name="40% - Accent1 8 2 2" xfId="8351" xr:uid="{00000000-0005-0000-0000-00005C040000}"/>
    <cellStyle name="40% - Accent1 8 2 2 2" xfId="16793" xr:uid="{3AE787E3-3422-4FA9-AD45-B9D55F118FAA}"/>
    <cellStyle name="40% - Accent1 8 2 3" xfId="12575" xr:uid="{5C04B6AB-D009-411D-B5A8-2056C2AB27A0}"/>
    <cellStyle name="40% - Accent1 8 3" xfId="6206" xr:uid="{00000000-0005-0000-0000-00005D040000}"/>
    <cellStyle name="40% - Accent1 8 3 2" xfId="14648" xr:uid="{4880CFC8-AA76-49CF-9156-647894572BDA}"/>
    <cellStyle name="40% - Accent1 8 4" xfId="10430" xr:uid="{EDE094B8-4E19-4CD2-90A2-6DBF5FAD447B}"/>
    <cellStyle name="40% - Accent1 9" xfId="2312" xr:uid="{00000000-0005-0000-0000-00005E040000}"/>
    <cellStyle name="40% - Accent1 9 2" xfId="6619" xr:uid="{00000000-0005-0000-0000-00005F040000}"/>
    <cellStyle name="40% - Accent1 9 2 2" xfId="15061" xr:uid="{47DD4647-513F-4A87-81CB-EB2AC146918A}"/>
    <cellStyle name="40% - Accent1 9 3" xfId="10843" xr:uid="{032C55F0-B33F-4526-8397-447C53305712}"/>
    <cellStyle name="40% - Accent2" xfId="57" builtinId="35" customBuiltin="1"/>
    <cellStyle name="40% - Accent2 10" xfId="4561" xr:uid="{00000000-0005-0000-0000-000061040000}"/>
    <cellStyle name="40% - Accent2 10 2" xfId="13003" xr:uid="{4533010B-96FA-43E3-A57B-1592C6534871}"/>
    <cellStyle name="40% - Accent2 11" xfId="8785" xr:uid="{689995F4-82B2-48FB-86AB-FDF431E5C27E}"/>
    <cellStyle name="40% - Accent2 2" xfId="58" xr:uid="{00000000-0005-0000-0000-000062040000}"/>
    <cellStyle name="40% - Accent2 2 10" xfId="8786" xr:uid="{85D42662-570A-4717-94CB-487CA5D4107F}"/>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15565" xr:uid="{1DD85091-7AAF-42DB-91BA-06996C7F1B6F}"/>
    <cellStyle name="40% - Accent2 2 2 2 2 2 3" xfId="11347" xr:uid="{73774172-9291-493F-BC1C-B0E56E723629}"/>
    <cellStyle name="40% - Accent2 2 2 2 2 3" xfId="4978" xr:uid="{00000000-0005-0000-0000-000068040000}"/>
    <cellStyle name="40% - Accent2 2 2 2 2 3 2" xfId="13420" xr:uid="{E7AB5B1E-9D48-4690-8C04-EEDC0A915D79}"/>
    <cellStyle name="40% - Accent2 2 2 2 2 4" xfId="9202" xr:uid="{01D914C7-2EDB-4C96-86E4-0E5BF837B618}"/>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2 2" xfId="15978" xr:uid="{A85228BA-DCDC-40E0-BDAC-7FE840462AFD}"/>
    <cellStyle name="40% - Accent2 2 2 2 3 2 3" xfId="11760" xr:uid="{7B848474-97A0-4DAA-AC3F-178A9A9C823E}"/>
    <cellStyle name="40% - Accent2 2 2 2 3 3" xfId="5391" xr:uid="{00000000-0005-0000-0000-00006C040000}"/>
    <cellStyle name="40% - Accent2 2 2 2 3 3 2" xfId="13833" xr:uid="{74942C06-92AA-4CBE-9C2B-813B5088E1BC}"/>
    <cellStyle name="40% - Accent2 2 2 2 3 4" xfId="9615" xr:uid="{C0633934-96A1-4202-BF6A-1269A3516956}"/>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2 2 2" xfId="16391" xr:uid="{13C16B85-7670-4C76-9D95-3CE1E77EA2BE}"/>
    <cellStyle name="40% - Accent2 2 2 2 4 2 3" xfId="12173" xr:uid="{2694C9A3-096D-449B-92B0-4255A271142D}"/>
    <cellStyle name="40% - Accent2 2 2 2 4 3" xfId="5804" xr:uid="{00000000-0005-0000-0000-000070040000}"/>
    <cellStyle name="40% - Accent2 2 2 2 4 3 2" xfId="14246" xr:uid="{6047A0E8-EFDE-4D98-A448-80927F17A334}"/>
    <cellStyle name="40% - Accent2 2 2 2 4 4" xfId="10028" xr:uid="{B26C7C05-E036-4E27-B8FA-3DBE435DC2D3}"/>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2 2 2" xfId="16804" xr:uid="{47B4E19C-3660-46EF-8818-92EF5E7183C3}"/>
    <cellStyle name="40% - Accent2 2 2 2 5 2 3" xfId="12586" xr:uid="{AFC0B22F-1A1A-4F9B-A7C0-728D81BBB828}"/>
    <cellStyle name="40% - Accent2 2 2 2 5 3" xfId="6217" xr:uid="{00000000-0005-0000-0000-000074040000}"/>
    <cellStyle name="40% - Accent2 2 2 2 5 3 2" xfId="14659" xr:uid="{B2DCB61A-2FF1-43C1-8F5F-9B7461BD2232}"/>
    <cellStyle name="40% - Accent2 2 2 2 5 4" xfId="10441" xr:uid="{0152BD7F-1730-40A1-82F2-291C70EE85B4}"/>
    <cellStyle name="40% - Accent2 2 2 2 6" xfId="2323" xr:uid="{00000000-0005-0000-0000-000075040000}"/>
    <cellStyle name="40% - Accent2 2 2 2 6 2" xfId="6630" xr:uid="{00000000-0005-0000-0000-000076040000}"/>
    <cellStyle name="40% - Accent2 2 2 2 6 2 2" xfId="15072" xr:uid="{231D6A6B-D1EC-488D-9B6C-9878B34F4352}"/>
    <cellStyle name="40% - Accent2 2 2 2 6 3" xfId="10854" xr:uid="{9834B2FA-461F-486B-B2E4-32BB166E7D59}"/>
    <cellStyle name="40% - Accent2 2 2 2 7" xfId="4564" xr:uid="{00000000-0005-0000-0000-000077040000}"/>
    <cellStyle name="40% - Accent2 2 2 2 7 2" xfId="13006" xr:uid="{0EA00957-D8A5-4716-A484-40A1892D4306}"/>
    <cellStyle name="40% - Accent2 2 2 2 8" xfId="8788" xr:uid="{F9E9D9FC-5F93-4284-9A4B-CD0808CA43B6}"/>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15564" xr:uid="{606B2B84-CF4A-44E9-AE8C-425B498431E7}"/>
    <cellStyle name="40% - Accent2 2 2 3 2 3" xfId="11346" xr:uid="{003C2361-9BB2-43A1-8F68-E846FA91CDB0}"/>
    <cellStyle name="40% - Accent2 2 2 3 3" xfId="4977" xr:uid="{00000000-0005-0000-0000-00007B040000}"/>
    <cellStyle name="40% - Accent2 2 2 3 3 2" xfId="13419" xr:uid="{ED5D92C0-17EB-42D1-97E0-D42F717435FD}"/>
    <cellStyle name="40% - Accent2 2 2 3 4" xfId="9201" xr:uid="{AFE072B8-92EF-42F6-939C-37B5B3929928}"/>
    <cellStyle name="40% - Accent2 2 2 4" xfId="1081" xr:uid="{00000000-0005-0000-0000-00007C040000}"/>
    <cellStyle name="40% - Accent2 2 2 4 2" xfId="3312" xr:uid="{00000000-0005-0000-0000-00007D040000}"/>
    <cellStyle name="40% - Accent2 2 2 4 2 2" xfId="7535" xr:uid="{00000000-0005-0000-0000-00007E040000}"/>
    <cellStyle name="40% - Accent2 2 2 4 2 2 2" xfId="15977" xr:uid="{81A9966A-3BF0-49FE-9C40-6459919B1BA8}"/>
    <cellStyle name="40% - Accent2 2 2 4 2 3" xfId="11759" xr:uid="{C7B63011-F5BF-4770-8131-CDA75333502F}"/>
    <cellStyle name="40% - Accent2 2 2 4 3" xfId="5390" xr:uid="{00000000-0005-0000-0000-00007F040000}"/>
    <cellStyle name="40% - Accent2 2 2 4 3 2" xfId="13832" xr:uid="{32BE1670-779B-4F08-B5EA-9847E9B414B7}"/>
    <cellStyle name="40% - Accent2 2 2 4 4" xfId="9614" xr:uid="{15B27BCB-20BF-416D-BEC5-39F212F73928}"/>
    <cellStyle name="40% - Accent2 2 2 5" xfId="1495" xr:uid="{00000000-0005-0000-0000-000080040000}"/>
    <cellStyle name="40% - Accent2 2 2 5 2" xfId="3725" xr:uid="{00000000-0005-0000-0000-000081040000}"/>
    <cellStyle name="40% - Accent2 2 2 5 2 2" xfId="7948" xr:uid="{00000000-0005-0000-0000-000082040000}"/>
    <cellStyle name="40% - Accent2 2 2 5 2 2 2" xfId="16390" xr:uid="{F6F0A4AF-CCC6-451D-B0CD-6E074C108A45}"/>
    <cellStyle name="40% - Accent2 2 2 5 2 3" xfId="12172" xr:uid="{7D1C4A47-CB5D-4960-8084-D3F3BB3933A8}"/>
    <cellStyle name="40% - Accent2 2 2 5 3" xfId="5803" xr:uid="{00000000-0005-0000-0000-000083040000}"/>
    <cellStyle name="40% - Accent2 2 2 5 3 2" xfId="14245" xr:uid="{29310AAF-5134-4A01-BAF0-B2CF040AB810}"/>
    <cellStyle name="40% - Accent2 2 2 5 4" xfId="10027" xr:uid="{C3AFA2A0-E9DC-460B-A886-927099DDBAE1}"/>
    <cellStyle name="40% - Accent2 2 2 6" xfId="1909" xr:uid="{00000000-0005-0000-0000-000084040000}"/>
    <cellStyle name="40% - Accent2 2 2 6 2" xfId="4138" xr:uid="{00000000-0005-0000-0000-000085040000}"/>
    <cellStyle name="40% - Accent2 2 2 6 2 2" xfId="8361" xr:uid="{00000000-0005-0000-0000-000086040000}"/>
    <cellStyle name="40% - Accent2 2 2 6 2 2 2" xfId="16803" xr:uid="{0F98D40C-85ED-44F6-8965-E994A05A0148}"/>
    <cellStyle name="40% - Accent2 2 2 6 2 3" xfId="12585" xr:uid="{E669A619-F4B9-4CA0-B49D-857E3315BFC7}"/>
    <cellStyle name="40% - Accent2 2 2 6 3" xfId="6216" xr:uid="{00000000-0005-0000-0000-000087040000}"/>
    <cellStyle name="40% - Accent2 2 2 6 3 2" xfId="14658" xr:uid="{DAA45D9A-1158-4B92-85AB-A02402612166}"/>
    <cellStyle name="40% - Accent2 2 2 6 4" xfId="10440" xr:uid="{448E502B-09E1-4F83-8827-6E46659260DD}"/>
    <cellStyle name="40% - Accent2 2 2 7" xfId="2322" xr:uid="{00000000-0005-0000-0000-000088040000}"/>
    <cellStyle name="40% - Accent2 2 2 7 2" xfId="6629" xr:uid="{00000000-0005-0000-0000-000089040000}"/>
    <cellStyle name="40% - Accent2 2 2 7 2 2" xfId="15071" xr:uid="{D2824215-DD64-4951-984B-BD2182907F93}"/>
    <cellStyle name="40% - Accent2 2 2 7 3" xfId="10853" xr:uid="{FA502D80-545E-4ABC-A73F-80E57107312D}"/>
    <cellStyle name="40% - Accent2 2 2 8" xfId="4563" xr:uid="{00000000-0005-0000-0000-00008A040000}"/>
    <cellStyle name="40% - Accent2 2 2 8 2" xfId="13005" xr:uid="{7152AE6E-B414-471E-BBA5-FD3D227DCAE7}"/>
    <cellStyle name="40% - Accent2 2 2 9" xfId="8787" xr:uid="{421F2B85-55B8-464B-B9DF-46DEB766FFFE}"/>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15566" xr:uid="{89D5E17F-EE07-4223-8707-8089ABC36E88}"/>
    <cellStyle name="40% - Accent2 2 3 2 2 3" xfId="11348" xr:uid="{F0547905-4ABB-46C6-A028-5AB31B07BCCB}"/>
    <cellStyle name="40% - Accent2 2 3 2 3" xfId="4979" xr:uid="{00000000-0005-0000-0000-00008F040000}"/>
    <cellStyle name="40% - Accent2 2 3 2 3 2" xfId="13421" xr:uid="{E810146C-4082-44FA-AD79-C290F4C359C6}"/>
    <cellStyle name="40% - Accent2 2 3 2 4" xfId="9203" xr:uid="{BF39B23C-1D2C-4B61-AF37-61847508F536}"/>
    <cellStyle name="40% - Accent2 2 3 3" xfId="1083" xr:uid="{00000000-0005-0000-0000-000090040000}"/>
    <cellStyle name="40% - Accent2 2 3 3 2" xfId="3314" xr:uid="{00000000-0005-0000-0000-000091040000}"/>
    <cellStyle name="40% - Accent2 2 3 3 2 2" xfId="7537" xr:uid="{00000000-0005-0000-0000-000092040000}"/>
    <cellStyle name="40% - Accent2 2 3 3 2 2 2" xfId="15979" xr:uid="{40B1423C-45C7-43BB-8F29-CC032980C5EA}"/>
    <cellStyle name="40% - Accent2 2 3 3 2 3" xfId="11761" xr:uid="{4F791243-C480-41D9-A29E-3B1A597B0ABB}"/>
    <cellStyle name="40% - Accent2 2 3 3 3" xfId="5392" xr:uid="{00000000-0005-0000-0000-000093040000}"/>
    <cellStyle name="40% - Accent2 2 3 3 3 2" xfId="13834" xr:uid="{9E059F9A-95DB-431A-9314-646FAEC3E745}"/>
    <cellStyle name="40% - Accent2 2 3 3 4" xfId="9616" xr:uid="{99591EBC-236A-4F1C-BA5B-9576F22279C4}"/>
    <cellStyle name="40% - Accent2 2 3 4" xfId="1497" xr:uid="{00000000-0005-0000-0000-000094040000}"/>
    <cellStyle name="40% - Accent2 2 3 4 2" xfId="3727" xr:uid="{00000000-0005-0000-0000-000095040000}"/>
    <cellStyle name="40% - Accent2 2 3 4 2 2" xfId="7950" xr:uid="{00000000-0005-0000-0000-000096040000}"/>
    <cellStyle name="40% - Accent2 2 3 4 2 2 2" xfId="16392" xr:uid="{59AFDD02-3B93-4B94-B5F9-181681949045}"/>
    <cellStyle name="40% - Accent2 2 3 4 2 3" xfId="12174" xr:uid="{F403AE0A-BCFA-44B2-B037-1AC548FF8DBA}"/>
    <cellStyle name="40% - Accent2 2 3 4 3" xfId="5805" xr:uid="{00000000-0005-0000-0000-000097040000}"/>
    <cellStyle name="40% - Accent2 2 3 4 3 2" xfId="14247" xr:uid="{C77E12FC-CDB7-4803-8A43-AE322368C6F5}"/>
    <cellStyle name="40% - Accent2 2 3 4 4" xfId="10029" xr:uid="{44D88939-7C0D-43AD-8A39-F08BD8577744}"/>
    <cellStyle name="40% - Accent2 2 3 5" xfId="1911" xr:uid="{00000000-0005-0000-0000-000098040000}"/>
    <cellStyle name="40% - Accent2 2 3 5 2" xfId="4140" xr:uid="{00000000-0005-0000-0000-000099040000}"/>
    <cellStyle name="40% - Accent2 2 3 5 2 2" xfId="8363" xr:uid="{00000000-0005-0000-0000-00009A040000}"/>
    <cellStyle name="40% - Accent2 2 3 5 2 2 2" xfId="16805" xr:uid="{13D8B9ED-92A8-4BE7-8AB8-C51826D5A7C6}"/>
    <cellStyle name="40% - Accent2 2 3 5 2 3" xfId="12587" xr:uid="{7E8EF4A3-2491-4598-9E43-288F2C4858FC}"/>
    <cellStyle name="40% - Accent2 2 3 5 3" xfId="6218" xr:uid="{00000000-0005-0000-0000-00009B040000}"/>
    <cellStyle name="40% - Accent2 2 3 5 3 2" xfId="14660" xr:uid="{BC897FC2-4230-4AC4-945D-2B1F2AE49417}"/>
    <cellStyle name="40% - Accent2 2 3 5 4" xfId="10442" xr:uid="{9FEA26CA-80CA-4455-BA3D-A8C08951B45A}"/>
    <cellStyle name="40% - Accent2 2 3 6" xfId="2324" xr:uid="{00000000-0005-0000-0000-00009C040000}"/>
    <cellStyle name="40% - Accent2 2 3 6 2" xfId="6631" xr:uid="{00000000-0005-0000-0000-00009D040000}"/>
    <cellStyle name="40% - Accent2 2 3 6 2 2" xfId="15073" xr:uid="{20AF220C-7DBC-4261-9008-0AB834B752AF}"/>
    <cellStyle name="40% - Accent2 2 3 6 3" xfId="10855" xr:uid="{190DEEAC-0ECA-4F30-843A-AF5DEAE6D532}"/>
    <cellStyle name="40% - Accent2 2 3 7" xfId="4565" xr:uid="{00000000-0005-0000-0000-00009E040000}"/>
    <cellStyle name="40% - Accent2 2 3 7 2" xfId="13007" xr:uid="{39902FD8-7990-4F06-AF46-421AEE73FF1C}"/>
    <cellStyle name="40% - Accent2 2 3 8" xfId="8789" xr:uid="{27B79228-8A0A-4A0E-9169-6C5277423F40}"/>
    <cellStyle name="40% - Accent2 2 4" xfId="627" xr:uid="{00000000-0005-0000-0000-00009F040000}"/>
    <cellStyle name="40% - Accent2 2 4 2" xfId="2898" xr:uid="{00000000-0005-0000-0000-0000A0040000}"/>
    <cellStyle name="40% - Accent2 2 4 2 2" xfId="7121" xr:uid="{00000000-0005-0000-0000-0000A1040000}"/>
    <cellStyle name="40% - Accent2 2 4 2 2 2" xfId="15563" xr:uid="{016B94D3-5906-49BC-B5D5-CFCE5D510BB9}"/>
    <cellStyle name="40% - Accent2 2 4 2 3" xfId="11345" xr:uid="{EE55BBFD-6DA5-4E60-B441-A83D5FF01721}"/>
    <cellStyle name="40% - Accent2 2 4 3" xfId="4976" xr:uid="{00000000-0005-0000-0000-0000A2040000}"/>
    <cellStyle name="40% - Accent2 2 4 3 2" xfId="13418" xr:uid="{74A8A8BA-9B20-4A42-80E3-F89607F41CD6}"/>
    <cellStyle name="40% - Accent2 2 4 4" xfId="9200" xr:uid="{43A0F638-A8EB-41A3-8BF3-FFCA870E4303}"/>
    <cellStyle name="40% - Accent2 2 5" xfId="1080" xr:uid="{00000000-0005-0000-0000-0000A3040000}"/>
    <cellStyle name="40% - Accent2 2 5 2" xfId="3311" xr:uid="{00000000-0005-0000-0000-0000A4040000}"/>
    <cellStyle name="40% - Accent2 2 5 2 2" xfId="7534" xr:uid="{00000000-0005-0000-0000-0000A5040000}"/>
    <cellStyle name="40% - Accent2 2 5 2 2 2" xfId="15976" xr:uid="{450A617B-0802-4DD7-86BD-595F43CD0D1C}"/>
    <cellStyle name="40% - Accent2 2 5 2 3" xfId="11758" xr:uid="{D2FF362A-A84C-43EB-AFBF-6E105BA68104}"/>
    <cellStyle name="40% - Accent2 2 5 3" xfId="5389" xr:uid="{00000000-0005-0000-0000-0000A6040000}"/>
    <cellStyle name="40% - Accent2 2 5 3 2" xfId="13831" xr:uid="{A43498AB-195C-4C1B-959D-6BF3090B6B62}"/>
    <cellStyle name="40% - Accent2 2 5 4" xfId="9613" xr:uid="{077CA6D4-5492-4952-BD7C-A80C14D0137E}"/>
    <cellStyle name="40% - Accent2 2 6" xfId="1494" xr:uid="{00000000-0005-0000-0000-0000A7040000}"/>
    <cellStyle name="40% - Accent2 2 6 2" xfId="3724" xr:uid="{00000000-0005-0000-0000-0000A8040000}"/>
    <cellStyle name="40% - Accent2 2 6 2 2" xfId="7947" xr:uid="{00000000-0005-0000-0000-0000A9040000}"/>
    <cellStyle name="40% - Accent2 2 6 2 2 2" xfId="16389" xr:uid="{4A85C10C-E0A7-491A-9AAC-18D5994AD8F1}"/>
    <cellStyle name="40% - Accent2 2 6 2 3" xfId="12171" xr:uid="{10FF786D-9C9F-4255-81F7-15081A22ABCD}"/>
    <cellStyle name="40% - Accent2 2 6 3" xfId="5802" xr:uid="{00000000-0005-0000-0000-0000AA040000}"/>
    <cellStyle name="40% - Accent2 2 6 3 2" xfId="14244" xr:uid="{868F4BD5-0BA6-43C5-8ACC-AEEE09119CB4}"/>
    <cellStyle name="40% - Accent2 2 6 4" xfId="10026" xr:uid="{FE23315A-4AE1-4117-8B0B-402E5A986A2C}"/>
    <cellStyle name="40% - Accent2 2 7" xfId="1908" xr:uid="{00000000-0005-0000-0000-0000AB040000}"/>
    <cellStyle name="40% - Accent2 2 7 2" xfId="4137" xr:uid="{00000000-0005-0000-0000-0000AC040000}"/>
    <cellStyle name="40% - Accent2 2 7 2 2" xfId="8360" xr:uid="{00000000-0005-0000-0000-0000AD040000}"/>
    <cellStyle name="40% - Accent2 2 7 2 2 2" xfId="16802" xr:uid="{E025D8A9-7F71-43F7-84E6-2EB43802CA37}"/>
    <cellStyle name="40% - Accent2 2 7 2 3" xfId="12584" xr:uid="{A3A7A9A1-C6B1-4337-9C19-FC38A93AB124}"/>
    <cellStyle name="40% - Accent2 2 7 3" xfId="6215" xr:uid="{00000000-0005-0000-0000-0000AE040000}"/>
    <cellStyle name="40% - Accent2 2 7 3 2" xfId="14657" xr:uid="{FC6F2D0E-C810-40AF-AACD-F0BA119792CB}"/>
    <cellStyle name="40% - Accent2 2 7 4" xfId="10439" xr:uid="{D2C87374-6C44-4E01-8A01-058E75703E39}"/>
    <cellStyle name="40% - Accent2 2 8" xfId="2321" xr:uid="{00000000-0005-0000-0000-0000AF040000}"/>
    <cellStyle name="40% - Accent2 2 8 2" xfId="6628" xr:uid="{00000000-0005-0000-0000-0000B0040000}"/>
    <cellStyle name="40% - Accent2 2 8 2 2" xfId="15070" xr:uid="{950A329C-F924-4625-8B13-2E7397AA1C8C}"/>
    <cellStyle name="40% - Accent2 2 8 3" xfId="10852" xr:uid="{AD7F706F-900A-4D31-9DF3-6A0476F1BF4A}"/>
    <cellStyle name="40% - Accent2 2 9" xfId="4562" xr:uid="{00000000-0005-0000-0000-0000B1040000}"/>
    <cellStyle name="40% - Accent2 2 9 2" xfId="13004" xr:uid="{EAE80799-823E-4308-ADBE-EBA8F015B214}"/>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15568" xr:uid="{0ED1127E-90F7-4033-82CD-C2E7D8B01E89}"/>
    <cellStyle name="40% - Accent2 3 2 2 2 3" xfId="11350" xr:uid="{97F3AC78-BD83-4F09-9BF2-5FAC0B2923A8}"/>
    <cellStyle name="40% - Accent2 3 2 2 3" xfId="4981" xr:uid="{00000000-0005-0000-0000-0000B7040000}"/>
    <cellStyle name="40% - Accent2 3 2 2 3 2" xfId="13423" xr:uid="{FE76B6C1-6B58-42E9-9F13-B65A96034F87}"/>
    <cellStyle name="40% - Accent2 3 2 2 4" xfId="9205" xr:uid="{B77E90A9-4D6F-4072-B2A6-0D8FA2C46541}"/>
    <cellStyle name="40% - Accent2 3 2 3" xfId="1085" xr:uid="{00000000-0005-0000-0000-0000B8040000}"/>
    <cellStyle name="40% - Accent2 3 2 3 2" xfId="3316" xr:uid="{00000000-0005-0000-0000-0000B9040000}"/>
    <cellStyle name="40% - Accent2 3 2 3 2 2" xfId="7539" xr:uid="{00000000-0005-0000-0000-0000BA040000}"/>
    <cellStyle name="40% - Accent2 3 2 3 2 2 2" xfId="15981" xr:uid="{707855F5-9E0B-493D-AC7D-91D776D34A1B}"/>
    <cellStyle name="40% - Accent2 3 2 3 2 3" xfId="11763" xr:uid="{E93DB0EF-E897-4681-A26D-16A9CDB482E3}"/>
    <cellStyle name="40% - Accent2 3 2 3 3" xfId="5394" xr:uid="{00000000-0005-0000-0000-0000BB040000}"/>
    <cellStyle name="40% - Accent2 3 2 3 3 2" xfId="13836" xr:uid="{FE7E4058-3D90-4382-B3F5-F16648C3ED4B}"/>
    <cellStyle name="40% - Accent2 3 2 3 4" xfId="9618" xr:uid="{AA47260F-F759-451C-8B4D-A7D56715DA17}"/>
    <cellStyle name="40% - Accent2 3 2 4" xfId="1499" xr:uid="{00000000-0005-0000-0000-0000BC040000}"/>
    <cellStyle name="40% - Accent2 3 2 4 2" xfId="3729" xr:uid="{00000000-0005-0000-0000-0000BD040000}"/>
    <cellStyle name="40% - Accent2 3 2 4 2 2" xfId="7952" xr:uid="{00000000-0005-0000-0000-0000BE040000}"/>
    <cellStyle name="40% - Accent2 3 2 4 2 2 2" xfId="16394" xr:uid="{6E106E9E-0336-4165-8E3B-6FA9E786022E}"/>
    <cellStyle name="40% - Accent2 3 2 4 2 3" xfId="12176" xr:uid="{64E87459-6092-4AD5-A794-4857BBC18861}"/>
    <cellStyle name="40% - Accent2 3 2 4 3" xfId="5807" xr:uid="{00000000-0005-0000-0000-0000BF040000}"/>
    <cellStyle name="40% - Accent2 3 2 4 3 2" xfId="14249" xr:uid="{99CA33D6-6C04-4910-9F77-290B956712A3}"/>
    <cellStyle name="40% - Accent2 3 2 4 4" xfId="10031" xr:uid="{0F8B6CBA-B9CE-4EF8-AA88-0EC7F9F1231B}"/>
    <cellStyle name="40% - Accent2 3 2 5" xfId="1913" xr:uid="{00000000-0005-0000-0000-0000C0040000}"/>
    <cellStyle name="40% - Accent2 3 2 5 2" xfId="4142" xr:uid="{00000000-0005-0000-0000-0000C1040000}"/>
    <cellStyle name="40% - Accent2 3 2 5 2 2" xfId="8365" xr:uid="{00000000-0005-0000-0000-0000C2040000}"/>
    <cellStyle name="40% - Accent2 3 2 5 2 2 2" xfId="16807" xr:uid="{583087A1-13A7-4F7F-B881-64E182249FE4}"/>
    <cellStyle name="40% - Accent2 3 2 5 2 3" xfId="12589" xr:uid="{E72C9391-0979-4160-B1A0-915CDAEBF9E8}"/>
    <cellStyle name="40% - Accent2 3 2 5 3" xfId="6220" xr:uid="{00000000-0005-0000-0000-0000C3040000}"/>
    <cellStyle name="40% - Accent2 3 2 5 3 2" xfId="14662" xr:uid="{30A4B925-0152-4FB6-B900-2D2289C1EE4C}"/>
    <cellStyle name="40% - Accent2 3 2 5 4" xfId="10444" xr:uid="{B22C1046-2343-44C1-A222-C40502285322}"/>
    <cellStyle name="40% - Accent2 3 2 6" xfId="2326" xr:uid="{00000000-0005-0000-0000-0000C4040000}"/>
    <cellStyle name="40% - Accent2 3 2 6 2" xfId="6633" xr:uid="{00000000-0005-0000-0000-0000C5040000}"/>
    <cellStyle name="40% - Accent2 3 2 6 2 2" xfId="15075" xr:uid="{47665AB9-E3FB-4D55-9AA2-137F5C71FA7F}"/>
    <cellStyle name="40% - Accent2 3 2 6 3" xfId="10857" xr:uid="{F011EB57-5B07-4F28-8048-AEF6248BF68F}"/>
    <cellStyle name="40% - Accent2 3 2 7" xfId="4567" xr:uid="{00000000-0005-0000-0000-0000C6040000}"/>
    <cellStyle name="40% - Accent2 3 2 7 2" xfId="13009" xr:uid="{BE9413DA-6ED9-479A-8978-195FD1045FF3}"/>
    <cellStyle name="40% - Accent2 3 2 8" xfId="8791" xr:uid="{1AF621FF-3D8B-4EE0-852D-0B518E6556EB}"/>
    <cellStyle name="40% - Accent2 3 3" xfId="631" xr:uid="{00000000-0005-0000-0000-0000C7040000}"/>
    <cellStyle name="40% - Accent2 3 3 2" xfId="2902" xr:uid="{00000000-0005-0000-0000-0000C8040000}"/>
    <cellStyle name="40% - Accent2 3 3 2 2" xfId="7125" xr:uid="{00000000-0005-0000-0000-0000C9040000}"/>
    <cellStyle name="40% - Accent2 3 3 2 2 2" xfId="15567" xr:uid="{33667D40-C718-45D3-8EDB-8D7433B4369E}"/>
    <cellStyle name="40% - Accent2 3 3 2 3" xfId="11349" xr:uid="{AA48421E-9404-4FBC-827D-9A6F72C43E3D}"/>
    <cellStyle name="40% - Accent2 3 3 3" xfId="4980" xr:uid="{00000000-0005-0000-0000-0000CA040000}"/>
    <cellStyle name="40% - Accent2 3 3 3 2" xfId="13422" xr:uid="{7DA7F314-BC95-4BD4-83F7-688D6C66BE39}"/>
    <cellStyle name="40% - Accent2 3 3 4" xfId="9204" xr:uid="{BD82777B-93CA-4530-A815-C2B6A7B46054}"/>
    <cellStyle name="40% - Accent2 3 4" xfId="1084" xr:uid="{00000000-0005-0000-0000-0000CB040000}"/>
    <cellStyle name="40% - Accent2 3 4 2" xfId="3315" xr:uid="{00000000-0005-0000-0000-0000CC040000}"/>
    <cellStyle name="40% - Accent2 3 4 2 2" xfId="7538" xr:uid="{00000000-0005-0000-0000-0000CD040000}"/>
    <cellStyle name="40% - Accent2 3 4 2 2 2" xfId="15980" xr:uid="{A4CE3567-00A6-4E51-ADF2-0FBA05BD673D}"/>
    <cellStyle name="40% - Accent2 3 4 2 3" xfId="11762" xr:uid="{CE72218D-168A-4622-BB28-14F7B39282D7}"/>
    <cellStyle name="40% - Accent2 3 4 3" xfId="5393" xr:uid="{00000000-0005-0000-0000-0000CE040000}"/>
    <cellStyle name="40% - Accent2 3 4 3 2" xfId="13835" xr:uid="{9192513D-E6E4-489A-9BD8-D962CDC4008E}"/>
    <cellStyle name="40% - Accent2 3 4 4" xfId="9617" xr:uid="{DDC2355F-2CC5-4883-93C8-4F4A3B6907FA}"/>
    <cellStyle name="40% - Accent2 3 5" xfId="1498" xr:uid="{00000000-0005-0000-0000-0000CF040000}"/>
    <cellStyle name="40% - Accent2 3 5 2" xfId="3728" xr:uid="{00000000-0005-0000-0000-0000D0040000}"/>
    <cellStyle name="40% - Accent2 3 5 2 2" xfId="7951" xr:uid="{00000000-0005-0000-0000-0000D1040000}"/>
    <cellStyle name="40% - Accent2 3 5 2 2 2" xfId="16393" xr:uid="{BE9F27FF-B846-4A79-97BC-0BD55E040D1D}"/>
    <cellStyle name="40% - Accent2 3 5 2 3" xfId="12175" xr:uid="{BEC7FE5C-5C37-4B40-94A2-5581E1AF409B}"/>
    <cellStyle name="40% - Accent2 3 5 3" xfId="5806" xr:uid="{00000000-0005-0000-0000-0000D2040000}"/>
    <cellStyle name="40% - Accent2 3 5 3 2" xfId="14248" xr:uid="{D8913201-9D85-4C4D-BA1D-69C5BCF58A6E}"/>
    <cellStyle name="40% - Accent2 3 5 4" xfId="10030" xr:uid="{187B6565-60FC-48B7-946B-81EAA6F5D538}"/>
    <cellStyle name="40% - Accent2 3 6" xfId="1912" xr:uid="{00000000-0005-0000-0000-0000D3040000}"/>
    <cellStyle name="40% - Accent2 3 6 2" xfId="4141" xr:uid="{00000000-0005-0000-0000-0000D4040000}"/>
    <cellStyle name="40% - Accent2 3 6 2 2" xfId="8364" xr:uid="{00000000-0005-0000-0000-0000D5040000}"/>
    <cellStyle name="40% - Accent2 3 6 2 2 2" xfId="16806" xr:uid="{26FF0B2C-D9CC-4ACD-9866-6F98DF9804A3}"/>
    <cellStyle name="40% - Accent2 3 6 2 3" xfId="12588" xr:uid="{9C9A6A24-3010-4043-8C8C-7245F49258B4}"/>
    <cellStyle name="40% - Accent2 3 6 3" xfId="6219" xr:uid="{00000000-0005-0000-0000-0000D6040000}"/>
    <cellStyle name="40% - Accent2 3 6 3 2" xfId="14661" xr:uid="{D0BF6887-CDF5-45A8-AB76-54DA0B53F99A}"/>
    <cellStyle name="40% - Accent2 3 6 4" xfId="10443" xr:uid="{08BD9067-4147-4F81-844D-C29E02345021}"/>
    <cellStyle name="40% - Accent2 3 7" xfId="2325" xr:uid="{00000000-0005-0000-0000-0000D7040000}"/>
    <cellStyle name="40% - Accent2 3 7 2" xfId="6632" xr:uid="{00000000-0005-0000-0000-0000D8040000}"/>
    <cellStyle name="40% - Accent2 3 7 2 2" xfId="15074" xr:uid="{8B940C8F-128F-4FCB-BBF8-E60CCA1FFF5B}"/>
    <cellStyle name="40% - Accent2 3 7 3" xfId="10856" xr:uid="{96FD6F6D-6E34-416F-8881-0C15E3FAB68F}"/>
    <cellStyle name="40% - Accent2 3 8" xfId="4566" xr:uid="{00000000-0005-0000-0000-0000D9040000}"/>
    <cellStyle name="40% - Accent2 3 8 2" xfId="13008" xr:uid="{7D5D375F-3ACF-4C03-B854-3640BC5ABEAA}"/>
    <cellStyle name="40% - Accent2 3 9" xfId="8790" xr:uid="{94C33AF1-4306-4187-B970-31CB6790BE2A}"/>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2 2 2" xfId="15569" xr:uid="{9CE85156-C1CB-442D-9E35-EA1952E8D223}"/>
    <cellStyle name="40% - Accent2 4 2 2 3" xfId="11351" xr:uid="{DBC373D8-3FDF-4842-BD5A-D1FBCA66732D}"/>
    <cellStyle name="40% - Accent2 4 2 3" xfId="4982" xr:uid="{00000000-0005-0000-0000-0000DE040000}"/>
    <cellStyle name="40% - Accent2 4 2 3 2" xfId="13424" xr:uid="{9F5A8AAE-D466-4036-BE89-4B3906BF1819}"/>
    <cellStyle name="40% - Accent2 4 2 4" xfId="9206" xr:uid="{8BFC63BE-D3B1-4ACF-9590-BB478CFD748E}"/>
    <cellStyle name="40% - Accent2 4 3" xfId="1086" xr:uid="{00000000-0005-0000-0000-0000DF040000}"/>
    <cellStyle name="40% - Accent2 4 3 2" xfId="3317" xr:uid="{00000000-0005-0000-0000-0000E0040000}"/>
    <cellStyle name="40% - Accent2 4 3 2 2" xfId="7540" xr:uid="{00000000-0005-0000-0000-0000E1040000}"/>
    <cellStyle name="40% - Accent2 4 3 2 2 2" xfId="15982" xr:uid="{B93F1457-6CB6-4A9B-9044-A015D6061C5A}"/>
    <cellStyle name="40% - Accent2 4 3 2 3" xfId="11764" xr:uid="{9EDCD2B0-0105-4A2B-81C9-B9D68B2C7BF1}"/>
    <cellStyle name="40% - Accent2 4 3 3" xfId="5395" xr:uid="{00000000-0005-0000-0000-0000E2040000}"/>
    <cellStyle name="40% - Accent2 4 3 3 2" xfId="13837" xr:uid="{81A77EFC-2544-44BA-8D58-1BEADE967317}"/>
    <cellStyle name="40% - Accent2 4 3 4" xfId="9619" xr:uid="{50D271ED-A1C9-42B8-BCCA-62730FBC5B05}"/>
    <cellStyle name="40% - Accent2 4 4" xfId="1500" xr:uid="{00000000-0005-0000-0000-0000E3040000}"/>
    <cellStyle name="40% - Accent2 4 4 2" xfId="3730" xr:uid="{00000000-0005-0000-0000-0000E4040000}"/>
    <cellStyle name="40% - Accent2 4 4 2 2" xfId="7953" xr:uid="{00000000-0005-0000-0000-0000E5040000}"/>
    <cellStyle name="40% - Accent2 4 4 2 2 2" xfId="16395" xr:uid="{624C39B7-D471-410A-AE0D-5E318F8F3BBC}"/>
    <cellStyle name="40% - Accent2 4 4 2 3" xfId="12177" xr:uid="{B75BB024-7320-4340-8BA6-65E20F88E8BA}"/>
    <cellStyle name="40% - Accent2 4 4 3" xfId="5808" xr:uid="{00000000-0005-0000-0000-0000E6040000}"/>
    <cellStyle name="40% - Accent2 4 4 3 2" xfId="14250" xr:uid="{9A2EADFE-5661-4D1D-AF44-0C5A297ABAE3}"/>
    <cellStyle name="40% - Accent2 4 4 4" xfId="10032" xr:uid="{FD24E907-5D7C-4529-AE97-165AFF7FEAF5}"/>
    <cellStyle name="40% - Accent2 4 5" xfId="1914" xr:uid="{00000000-0005-0000-0000-0000E7040000}"/>
    <cellStyle name="40% - Accent2 4 5 2" xfId="4143" xr:uid="{00000000-0005-0000-0000-0000E8040000}"/>
    <cellStyle name="40% - Accent2 4 5 2 2" xfId="8366" xr:uid="{00000000-0005-0000-0000-0000E9040000}"/>
    <cellStyle name="40% - Accent2 4 5 2 2 2" xfId="16808" xr:uid="{2FE7EE1B-6590-4353-A7EC-DEDC22AE46F3}"/>
    <cellStyle name="40% - Accent2 4 5 2 3" xfId="12590" xr:uid="{24C12E95-19D2-4264-BB0C-42B5DFB2B53F}"/>
    <cellStyle name="40% - Accent2 4 5 3" xfId="6221" xr:uid="{00000000-0005-0000-0000-0000EA040000}"/>
    <cellStyle name="40% - Accent2 4 5 3 2" xfId="14663" xr:uid="{5096F178-0D2B-41D3-A878-CDC3C12E94AC}"/>
    <cellStyle name="40% - Accent2 4 5 4" xfId="10445" xr:uid="{37039150-C663-49C0-9A6D-60CED524E74D}"/>
    <cellStyle name="40% - Accent2 4 6" xfId="2327" xr:uid="{00000000-0005-0000-0000-0000EB040000}"/>
    <cellStyle name="40% - Accent2 4 6 2" xfId="6634" xr:uid="{00000000-0005-0000-0000-0000EC040000}"/>
    <cellStyle name="40% - Accent2 4 6 2 2" xfId="15076" xr:uid="{604AB4B1-8B8F-4E16-BCB9-083174CD8DDE}"/>
    <cellStyle name="40% - Accent2 4 6 3" xfId="10858" xr:uid="{E9F0F1C1-98EA-4DA6-A5CB-67F83AD9A4CB}"/>
    <cellStyle name="40% - Accent2 4 7" xfId="4568" xr:uid="{00000000-0005-0000-0000-0000ED040000}"/>
    <cellStyle name="40% - Accent2 4 7 2" xfId="13010" xr:uid="{C668959E-FF27-49A7-9387-954DAC6D65DB}"/>
    <cellStyle name="40% - Accent2 4 8" xfId="8792" xr:uid="{39DD48F3-DFF8-4BF5-987F-643791EBD375}"/>
    <cellStyle name="40% - Accent2 5" xfId="626" xr:uid="{00000000-0005-0000-0000-0000EE040000}"/>
    <cellStyle name="40% - Accent2 5 2" xfId="2897" xr:uid="{00000000-0005-0000-0000-0000EF040000}"/>
    <cellStyle name="40% - Accent2 5 2 2" xfId="7120" xr:uid="{00000000-0005-0000-0000-0000F0040000}"/>
    <cellStyle name="40% - Accent2 5 2 2 2" xfId="15562" xr:uid="{54706650-6BFC-4194-8CD8-EC9AB25A5313}"/>
    <cellStyle name="40% - Accent2 5 2 3" xfId="11344" xr:uid="{835F3624-B439-49AB-BBD8-D305310B0DCA}"/>
    <cellStyle name="40% - Accent2 5 3" xfId="4975" xr:uid="{00000000-0005-0000-0000-0000F1040000}"/>
    <cellStyle name="40% - Accent2 5 3 2" xfId="13417" xr:uid="{8D6ED18C-1925-44C9-83E5-6FA029772025}"/>
    <cellStyle name="40% - Accent2 5 4" xfId="9199" xr:uid="{14AA6CCB-4892-4349-B413-1DA12801F058}"/>
    <cellStyle name="40% - Accent2 6" xfId="1079" xr:uid="{00000000-0005-0000-0000-0000F2040000}"/>
    <cellStyle name="40% - Accent2 6 2" xfId="3310" xr:uid="{00000000-0005-0000-0000-0000F3040000}"/>
    <cellStyle name="40% - Accent2 6 2 2" xfId="7533" xr:uid="{00000000-0005-0000-0000-0000F4040000}"/>
    <cellStyle name="40% - Accent2 6 2 2 2" xfId="15975" xr:uid="{BA90D73C-C474-4B85-B497-DFDE27F48AAF}"/>
    <cellStyle name="40% - Accent2 6 2 3" xfId="11757" xr:uid="{BD5C7B7A-A12B-44E7-9692-5DF395C1B242}"/>
    <cellStyle name="40% - Accent2 6 3" xfId="5388" xr:uid="{00000000-0005-0000-0000-0000F5040000}"/>
    <cellStyle name="40% - Accent2 6 3 2" xfId="13830" xr:uid="{307C96CC-B66F-490B-B8F8-6363D21861B5}"/>
    <cellStyle name="40% - Accent2 6 4" xfId="9612" xr:uid="{D9CAF490-4880-4F4F-95CB-DCDA65439F52}"/>
    <cellStyle name="40% - Accent2 7" xfId="1493" xr:uid="{00000000-0005-0000-0000-0000F6040000}"/>
    <cellStyle name="40% - Accent2 7 2" xfId="3723" xr:uid="{00000000-0005-0000-0000-0000F7040000}"/>
    <cellStyle name="40% - Accent2 7 2 2" xfId="7946" xr:uid="{00000000-0005-0000-0000-0000F8040000}"/>
    <cellStyle name="40% - Accent2 7 2 2 2" xfId="16388" xr:uid="{41033A18-9424-487B-9BE4-499204AF0122}"/>
    <cellStyle name="40% - Accent2 7 2 3" xfId="12170" xr:uid="{0F4DBCA4-2F79-4728-8369-32113FD257E2}"/>
    <cellStyle name="40% - Accent2 7 3" xfId="5801" xr:uid="{00000000-0005-0000-0000-0000F9040000}"/>
    <cellStyle name="40% - Accent2 7 3 2" xfId="14243" xr:uid="{07C8F838-0812-4C3B-B1F4-D90BF994A58F}"/>
    <cellStyle name="40% - Accent2 7 4" xfId="10025" xr:uid="{3DEB07B8-D70F-429C-B4F9-83FAFCB07F3C}"/>
    <cellStyle name="40% - Accent2 8" xfId="1907" xr:uid="{00000000-0005-0000-0000-0000FA040000}"/>
    <cellStyle name="40% - Accent2 8 2" xfId="4136" xr:uid="{00000000-0005-0000-0000-0000FB040000}"/>
    <cellStyle name="40% - Accent2 8 2 2" xfId="8359" xr:uid="{00000000-0005-0000-0000-0000FC040000}"/>
    <cellStyle name="40% - Accent2 8 2 2 2" xfId="16801" xr:uid="{9E54C529-9AA8-4FB4-B4A5-A764584B21BA}"/>
    <cellStyle name="40% - Accent2 8 2 3" xfId="12583" xr:uid="{B29FB947-E972-4679-BF0A-7904C1DC5DF5}"/>
    <cellStyle name="40% - Accent2 8 3" xfId="6214" xr:uid="{00000000-0005-0000-0000-0000FD040000}"/>
    <cellStyle name="40% - Accent2 8 3 2" xfId="14656" xr:uid="{E056AC2D-03CD-424B-B471-9A0B0C639215}"/>
    <cellStyle name="40% - Accent2 8 4" xfId="10438" xr:uid="{AA0FD388-09E8-4717-B37C-3220E81CBEEF}"/>
    <cellStyle name="40% - Accent2 9" xfId="2320" xr:uid="{00000000-0005-0000-0000-0000FE040000}"/>
    <cellStyle name="40% - Accent2 9 2" xfId="6627" xr:uid="{00000000-0005-0000-0000-0000FF040000}"/>
    <cellStyle name="40% - Accent2 9 2 2" xfId="15069" xr:uid="{119A183C-62A6-46B9-ACE2-1391D35307DB}"/>
    <cellStyle name="40% - Accent2 9 3" xfId="10851" xr:uid="{6E368112-997C-4BD4-A286-4625E16273E3}"/>
    <cellStyle name="40% - Accent3" xfId="65" builtinId="39" customBuiltin="1"/>
    <cellStyle name="40% - Accent3 10" xfId="4569" xr:uid="{00000000-0005-0000-0000-000001050000}"/>
    <cellStyle name="40% - Accent3 10 2" xfId="13011" xr:uid="{10D60EF1-7397-4CB0-8BC5-1F6B61C460B1}"/>
    <cellStyle name="40% - Accent3 11" xfId="8793" xr:uid="{FC214801-CD3E-4A13-811C-0E7CFB39AE9B}"/>
    <cellStyle name="40% - Accent3 2" xfId="66" xr:uid="{00000000-0005-0000-0000-000002050000}"/>
    <cellStyle name="40% - Accent3 2 10" xfId="8794" xr:uid="{FABB3839-EA40-4FE6-B55C-00BC867A2DA6}"/>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15573" xr:uid="{D681CD3E-A617-483F-A137-A17221F4AF82}"/>
    <cellStyle name="40% - Accent3 2 2 2 2 2 3" xfId="11355" xr:uid="{72C50657-F117-4A8F-8C61-800E6F0B345D}"/>
    <cellStyle name="40% - Accent3 2 2 2 2 3" xfId="4986" xr:uid="{00000000-0005-0000-0000-000008050000}"/>
    <cellStyle name="40% - Accent3 2 2 2 2 3 2" xfId="13428" xr:uid="{630782F8-0BAE-46B5-AF96-A547BAAA5F94}"/>
    <cellStyle name="40% - Accent3 2 2 2 2 4" xfId="9210" xr:uid="{1D624DE4-F909-4776-A2D6-EF9C2D136338}"/>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2 2" xfId="15986" xr:uid="{EA738B1B-4C3F-4A73-9C09-CC329CA43BA2}"/>
    <cellStyle name="40% - Accent3 2 2 2 3 2 3" xfId="11768" xr:uid="{D14FDEE1-712D-4A06-A3CB-FCAE2EB63C8B}"/>
    <cellStyle name="40% - Accent3 2 2 2 3 3" xfId="5399" xr:uid="{00000000-0005-0000-0000-00000C050000}"/>
    <cellStyle name="40% - Accent3 2 2 2 3 3 2" xfId="13841" xr:uid="{A4E0434C-1A21-4EA0-97CC-625F650A54A5}"/>
    <cellStyle name="40% - Accent3 2 2 2 3 4" xfId="9623" xr:uid="{43D3D0E0-E7A6-4461-857F-24082FBC7BCE}"/>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2 2 2" xfId="16399" xr:uid="{5F9D7918-1E0B-4DF3-8C55-B906F2626305}"/>
    <cellStyle name="40% - Accent3 2 2 2 4 2 3" xfId="12181" xr:uid="{8D0E8AE4-67D9-4B69-A407-1D6F488F2CAA}"/>
    <cellStyle name="40% - Accent3 2 2 2 4 3" xfId="5812" xr:uid="{00000000-0005-0000-0000-000010050000}"/>
    <cellStyle name="40% - Accent3 2 2 2 4 3 2" xfId="14254" xr:uid="{3462B935-9CA0-4317-B78E-D41A7E6559D4}"/>
    <cellStyle name="40% - Accent3 2 2 2 4 4" xfId="10036" xr:uid="{00B37B22-D605-4224-84AF-927775D850EB}"/>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2 2 2" xfId="16812" xr:uid="{56FEDF4C-C01A-4B51-A1AD-13D9617CAAF8}"/>
    <cellStyle name="40% - Accent3 2 2 2 5 2 3" xfId="12594" xr:uid="{262991B3-6A41-452C-AD0E-71050FFA9371}"/>
    <cellStyle name="40% - Accent3 2 2 2 5 3" xfId="6225" xr:uid="{00000000-0005-0000-0000-000014050000}"/>
    <cellStyle name="40% - Accent3 2 2 2 5 3 2" xfId="14667" xr:uid="{914206DB-96C2-4E5B-A4DF-325CF89768CF}"/>
    <cellStyle name="40% - Accent3 2 2 2 5 4" xfId="10449" xr:uid="{E7609404-FB68-43F7-B6E4-3B8C67490D16}"/>
    <cellStyle name="40% - Accent3 2 2 2 6" xfId="2331" xr:uid="{00000000-0005-0000-0000-000015050000}"/>
    <cellStyle name="40% - Accent3 2 2 2 6 2" xfId="6638" xr:uid="{00000000-0005-0000-0000-000016050000}"/>
    <cellStyle name="40% - Accent3 2 2 2 6 2 2" xfId="15080" xr:uid="{71058C9A-C649-4F26-9250-CD966B3ABD91}"/>
    <cellStyle name="40% - Accent3 2 2 2 6 3" xfId="10862" xr:uid="{54341385-3533-4C0E-8658-2850DF4547B1}"/>
    <cellStyle name="40% - Accent3 2 2 2 7" xfId="4572" xr:uid="{00000000-0005-0000-0000-000017050000}"/>
    <cellStyle name="40% - Accent3 2 2 2 7 2" xfId="13014" xr:uid="{BC96BC2B-52B9-46FB-A5C5-76FB0FB35790}"/>
    <cellStyle name="40% - Accent3 2 2 2 8" xfId="8796" xr:uid="{A07A7AEC-89D1-4F6F-BB64-2C427238E783}"/>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15572" xr:uid="{43090F00-EC09-4404-9779-42A2F0076F15}"/>
    <cellStyle name="40% - Accent3 2 2 3 2 3" xfId="11354" xr:uid="{EF0A7E52-F85A-4F36-97A5-FF18B201BF2C}"/>
    <cellStyle name="40% - Accent3 2 2 3 3" xfId="4985" xr:uid="{00000000-0005-0000-0000-00001B050000}"/>
    <cellStyle name="40% - Accent3 2 2 3 3 2" xfId="13427" xr:uid="{FC495BAF-69EB-4665-8380-2A7C6D77A57B}"/>
    <cellStyle name="40% - Accent3 2 2 3 4" xfId="9209" xr:uid="{E92A7211-2B34-497D-B9AE-16AF327D52F5}"/>
    <cellStyle name="40% - Accent3 2 2 4" xfId="1089" xr:uid="{00000000-0005-0000-0000-00001C050000}"/>
    <cellStyle name="40% - Accent3 2 2 4 2" xfId="3320" xr:uid="{00000000-0005-0000-0000-00001D050000}"/>
    <cellStyle name="40% - Accent3 2 2 4 2 2" xfId="7543" xr:uid="{00000000-0005-0000-0000-00001E050000}"/>
    <cellStyle name="40% - Accent3 2 2 4 2 2 2" xfId="15985" xr:uid="{E46B20D4-D254-465E-BA9F-05081DB20519}"/>
    <cellStyle name="40% - Accent3 2 2 4 2 3" xfId="11767" xr:uid="{ED2BF1E6-6C05-4B41-9E45-2E785BC110E1}"/>
    <cellStyle name="40% - Accent3 2 2 4 3" xfId="5398" xr:uid="{00000000-0005-0000-0000-00001F050000}"/>
    <cellStyle name="40% - Accent3 2 2 4 3 2" xfId="13840" xr:uid="{CE4B8C8A-7D86-4FB1-BBC3-02427D981DF2}"/>
    <cellStyle name="40% - Accent3 2 2 4 4" xfId="9622" xr:uid="{CF77F886-E0FB-42AB-9566-46FACAC211CA}"/>
    <cellStyle name="40% - Accent3 2 2 5" xfId="1503" xr:uid="{00000000-0005-0000-0000-000020050000}"/>
    <cellStyle name="40% - Accent3 2 2 5 2" xfId="3733" xr:uid="{00000000-0005-0000-0000-000021050000}"/>
    <cellStyle name="40% - Accent3 2 2 5 2 2" xfId="7956" xr:uid="{00000000-0005-0000-0000-000022050000}"/>
    <cellStyle name="40% - Accent3 2 2 5 2 2 2" xfId="16398" xr:uid="{B7DF554C-B6FB-49D3-9F98-4B413CDF5638}"/>
    <cellStyle name="40% - Accent3 2 2 5 2 3" xfId="12180" xr:uid="{4597D69A-1A89-431B-BE37-DF5CF672C6D7}"/>
    <cellStyle name="40% - Accent3 2 2 5 3" xfId="5811" xr:uid="{00000000-0005-0000-0000-000023050000}"/>
    <cellStyle name="40% - Accent3 2 2 5 3 2" xfId="14253" xr:uid="{09A1A78B-681A-418C-9C36-6B4E2DE93771}"/>
    <cellStyle name="40% - Accent3 2 2 5 4" xfId="10035" xr:uid="{9869FD4A-B5CF-4937-949C-F1985F5A120F}"/>
    <cellStyle name="40% - Accent3 2 2 6" xfId="1917" xr:uid="{00000000-0005-0000-0000-000024050000}"/>
    <cellStyle name="40% - Accent3 2 2 6 2" xfId="4146" xr:uid="{00000000-0005-0000-0000-000025050000}"/>
    <cellStyle name="40% - Accent3 2 2 6 2 2" xfId="8369" xr:uid="{00000000-0005-0000-0000-000026050000}"/>
    <cellStyle name="40% - Accent3 2 2 6 2 2 2" xfId="16811" xr:uid="{FED6B98E-638A-45DE-8D6E-945A5EF46E2A}"/>
    <cellStyle name="40% - Accent3 2 2 6 2 3" xfId="12593" xr:uid="{96D1477B-A423-455F-869E-BA75FAF0C4AD}"/>
    <cellStyle name="40% - Accent3 2 2 6 3" xfId="6224" xr:uid="{00000000-0005-0000-0000-000027050000}"/>
    <cellStyle name="40% - Accent3 2 2 6 3 2" xfId="14666" xr:uid="{ABFAA975-CDD9-410A-8B45-997EE573609C}"/>
    <cellStyle name="40% - Accent3 2 2 6 4" xfId="10448" xr:uid="{D4500053-4DA8-4210-A6BA-69CBCC43CCFA}"/>
    <cellStyle name="40% - Accent3 2 2 7" xfId="2330" xr:uid="{00000000-0005-0000-0000-000028050000}"/>
    <cellStyle name="40% - Accent3 2 2 7 2" xfId="6637" xr:uid="{00000000-0005-0000-0000-000029050000}"/>
    <cellStyle name="40% - Accent3 2 2 7 2 2" xfId="15079" xr:uid="{A03E34C5-5964-4E89-BBBC-C6C93A6DEA70}"/>
    <cellStyle name="40% - Accent3 2 2 7 3" xfId="10861" xr:uid="{A567CDE4-CDBC-488F-A406-029969559071}"/>
    <cellStyle name="40% - Accent3 2 2 8" xfId="4571" xr:uid="{00000000-0005-0000-0000-00002A050000}"/>
    <cellStyle name="40% - Accent3 2 2 8 2" xfId="13013" xr:uid="{903DAFD0-30C2-4034-8030-45F96A20DF4A}"/>
    <cellStyle name="40% - Accent3 2 2 9" xfId="8795" xr:uid="{0F195AF3-4378-49E3-B751-C655F05DA421}"/>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15574" xr:uid="{BE4E74F2-B580-4F89-B774-28F07C673966}"/>
    <cellStyle name="40% - Accent3 2 3 2 2 3" xfId="11356" xr:uid="{1032D5D5-12AA-4573-A6A5-2B60D5951020}"/>
    <cellStyle name="40% - Accent3 2 3 2 3" xfId="4987" xr:uid="{00000000-0005-0000-0000-00002F050000}"/>
    <cellStyle name="40% - Accent3 2 3 2 3 2" xfId="13429" xr:uid="{D0D06764-67D9-4078-878A-98F23D2B50A9}"/>
    <cellStyle name="40% - Accent3 2 3 2 4" xfId="9211" xr:uid="{FD4D8C30-ACD1-4619-8E8D-12BAA6C99616}"/>
    <cellStyle name="40% - Accent3 2 3 3" xfId="1091" xr:uid="{00000000-0005-0000-0000-000030050000}"/>
    <cellStyle name="40% - Accent3 2 3 3 2" xfId="3322" xr:uid="{00000000-0005-0000-0000-000031050000}"/>
    <cellStyle name="40% - Accent3 2 3 3 2 2" xfId="7545" xr:uid="{00000000-0005-0000-0000-000032050000}"/>
    <cellStyle name="40% - Accent3 2 3 3 2 2 2" xfId="15987" xr:uid="{0F1017CF-CDF9-4DB0-A58C-1D5E1B82A1C1}"/>
    <cellStyle name="40% - Accent3 2 3 3 2 3" xfId="11769" xr:uid="{38FCEADC-495C-406D-A49D-557ED7EEBC2B}"/>
    <cellStyle name="40% - Accent3 2 3 3 3" xfId="5400" xr:uid="{00000000-0005-0000-0000-000033050000}"/>
    <cellStyle name="40% - Accent3 2 3 3 3 2" xfId="13842" xr:uid="{4BF17F9C-7805-4FFA-B0E0-D97D39F7E2B3}"/>
    <cellStyle name="40% - Accent3 2 3 3 4" xfId="9624" xr:uid="{B83B2670-74F1-4648-A0B9-86162D59AE25}"/>
    <cellStyle name="40% - Accent3 2 3 4" xfId="1505" xr:uid="{00000000-0005-0000-0000-000034050000}"/>
    <cellStyle name="40% - Accent3 2 3 4 2" xfId="3735" xr:uid="{00000000-0005-0000-0000-000035050000}"/>
    <cellStyle name="40% - Accent3 2 3 4 2 2" xfId="7958" xr:uid="{00000000-0005-0000-0000-000036050000}"/>
    <cellStyle name="40% - Accent3 2 3 4 2 2 2" xfId="16400" xr:uid="{B3B4260E-4F2D-4610-B23C-C4469F2FC552}"/>
    <cellStyle name="40% - Accent3 2 3 4 2 3" xfId="12182" xr:uid="{83C0D870-2FCC-4432-A761-5C38CE8E5BB7}"/>
    <cellStyle name="40% - Accent3 2 3 4 3" xfId="5813" xr:uid="{00000000-0005-0000-0000-000037050000}"/>
    <cellStyle name="40% - Accent3 2 3 4 3 2" xfId="14255" xr:uid="{D1540C0E-3C9A-47D5-9BA3-8F4D84CC7618}"/>
    <cellStyle name="40% - Accent3 2 3 4 4" xfId="10037" xr:uid="{C72E3040-E8FA-4BC3-B445-EE1C7F837917}"/>
    <cellStyle name="40% - Accent3 2 3 5" xfId="1919" xr:uid="{00000000-0005-0000-0000-000038050000}"/>
    <cellStyle name="40% - Accent3 2 3 5 2" xfId="4148" xr:uid="{00000000-0005-0000-0000-000039050000}"/>
    <cellStyle name="40% - Accent3 2 3 5 2 2" xfId="8371" xr:uid="{00000000-0005-0000-0000-00003A050000}"/>
    <cellStyle name="40% - Accent3 2 3 5 2 2 2" xfId="16813" xr:uid="{8515EC0A-EEEF-4F2F-AB88-B2E4FA9B8E94}"/>
    <cellStyle name="40% - Accent3 2 3 5 2 3" xfId="12595" xr:uid="{4372B15E-E0EB-45A8-85A5-308A19D3F3F2}"/>
    <cellStyle name="40% - Accent3 2 3 5 3" xfId="6226" xr:uid="{00000000-0005-0000-0000-00003B050000}"/>
    <cellStyle name="40% - Accent3 2 3 5 3 2" xfId="14668" xr:uid="{48F145E2-EB41-49DF-9AAC-6638C292249E}"/>
    <cellStyle name="40% - Accent3 2 3 5 4" xfId="10450" xr:uid="{11A3CC93-2D13-4A0D-A507-8534F5F57537}"/>
    <cellStyle name="40% - Accent3 2 3 6" xfId="2332" xr:uid="{00000000-0005-0000-0000-00003C050000}"/>
    <cellStyle name="40% - Accent3 2 3 6 2" xfId="6639" xr:uid="{00000000-0005-0000-0000-00003D050000}"/>
    <cellStyle name="40% - Accent3 2 3 6 2 2" xfId="15081" xr:uid="{3AA93AA9-8264-4039-8F45-BFFA20DBD625}"/>
    <cellStyle name="40% - Accent3 2 3 6 3" xfId="10863" xr:uid="{6397B4ED-58BC-4C18-899A-3B7027897D13}"/>
    <cellStyle name="40% - Accent3 2 3 7" xfId="4573" xr:uid="{00000000-0005-0000-0000-00003E050000}"/>
    <cellStyle name="40% - Accent3 2 3 7 2" xfId="13015" xr:uid="{B170FFA5-D1A1-4961-9CB5-3735E34C4986}"/>
    <cellStyle name="40% - Accent3 2 3 8" xfId="8797" xr:uid="{A6203417-9505-497B-99E9-910FAD51FC8A}"/>
    <cellStyle name="40% - Accent3 2 4" xfId="635" xr:uid="{00000000-0005-0000-0000-00003F050000}"/>
    <cellStyle name="40% - Accent3 2 4 2" xfId="2906" xr:uid="{00000000-0005-0000-0000-000040050000}"/>
    <cellStyle name="40% - Accent3 2 4 2 2" xfId="7129" xr:uid="{00000000-0005-0000-0000-000041050000}"/>
    <cellStyle name="40% - Accent3 2 4 2 2 2" xfId="15571" xr:uid="{DF025EB9-2DE3-4490-8996-66E04122839D}"/>
    <cellStyle name="40% - Accent3 2 4 2 3" xfId="11353" xr:uid="{C56DEBA7-576D-4E95-BF7D-2A7D7C2A46E3}"/>
    <cellStyle name="40% - Accent3 2 4 3" xfId="4984" xr:uid="{00000000-0005-0000-0000-000042050000}"/>
    <cellStyle name="40% - Accent3 2 4 3 2" xfId="13426" xr:uid="{91BD0F49-A548-4F74-A78A-A7DC6AE541C2}"/>
    <cellStyle name="40% - Accent3 2 4 4" xfId="9208" xr:uid="{229B9C46-FF36-4E73-A9DA-B6A44E46B040}"/>
    <cellStyle name="40% - Accent3 2 5" xfId="1088" xr:uid="{00000000-0005-0000-0000-000043050000}"/>
    <cellStyle name="40% - Accent3 2 5 2" xfId="3319" xr:uid="{00000000-0005-0000-0000-000044050000}"/>
    <cellStyle name="40% - Accent3 2 5 2 2" xfId="7542" xr:uid="{00000000-0005-0000-0000-000045050000}"/>
    <cellStyle name="40% - Accent3 2 5 2 2 2" xfId="15984" xr:uid="{A46A482D-AC29-449A-B9D6-24497DCC8C45}"/>
    <cellStyle name="40% - Accent3 2 5 2 3" xfId="11766" xr:uid="{085BF406-33C6-49CA-A454-CDA43C437D33}"/>
    <cellStyle name="40% - Accent3 2 5 3" xfId="5397" xr:uid="{00000000-0005-0000-0000-000046050000}"/>
    <cellStyle name="40% - Accent3 2 5 3 2" xfId="13839" xr:uid="{55758C7D-9CDC-481B-94D4-A4EB7FCB6969}"/>
    <cellStyle name="40% - Accent3 2 5 4" xfId="9621" xr:uid="{F7D749A6-76A2-42DC-8AB8-64AEDB2D994F}"/>
    <cellStyle name="40% - Accent3 2 6" xfId="1502" xr:uid="{00000000-0005-0000-0000-000047050000}"/>
    <cellStyle name="40% - Accent3 2 6 2" xfId="3732" xr:uid="{00000000-0005-0000-0000-000048050000}"/>
    <cellStyle name="40% - Accent3 2 6 2 2" xfId="7955" xr:uid="{00000000-0005-0000-0000-000049050000}"/>
    <cellStyle name="40% - Accent3 2 6 2 2 2" xfId="16397" xr:uid="{835D992D-C5C9-48A3-91A5-3BE6476B110E}"/>
    <cellStyle name="40% - Accent3 2 6 2 3" xfId="12179" xr:uid="{CD7A793B-0FD0-4959-9662-E1D0FB89AA36}"/>
    <cellStyle name="40% - Accent3 2 6 3" xfId="5810" xr:uid="{00000000-0005-0000-0000-00004A050000}"/>
    <cellStyle name="40% - Accent3 2 6 3 2" xfId="14252" xr:uid="{24D9028C-AD5E-474E-91DB-E42804224C63}"/>
    <cellStyle name="40% - Accent3 2 6 4" xfId="10034" xr:uid="{9E4DFF43-D9E9-4891-9D53-A4519C7A218A}"/>
    <cellStyle name="40% - Accent3 2 7" xfId="1916" xr:uid="{00000000-0005-0000-0000-00004B050000}"/>
    <cellStyle name="40% - Accent3 2 7 2" xfId="4145" xr:uid="{00000000-0005-0000-0000-00004C050000}"/>
    <cellStyle name="40% - Accent3 2 7 2 2" xfId="8368" xr:uid="{00000000-0005-0000-0000-00004D050000}"/>
    <cellStyle name="40% - Accent3 2 7 2 2 2" xfId="16810" xr:uid="{38A7B321-70C7-4679-BB16-0C20FB425679}"/>
    <cellStyle name="40% - Accent3 2 7 2 3" xfId="12592" xr:uid="{21F3D9E8-D166-40F9-85BF-0EEB853EA199}"/>
    <cellStyle name="40% - Accent3 2 7 3" xfId="6223" xr:uid="{00000000-0005-0000-0000-00004E050000}"/>
    <cellStyle name="40% - Accent3 2 7 3 2" xfId="14665" xr:uid="{D825C241-CCDA-4A0C-8BC6-ED3DF579AA60}"/>
    <cellStyle name="40% - Accent3 2 7 4" xfId="10447" xr:uid="{F68AAC09-0993-4600-82B7-E2122FA837BB}"/>
    <cellStyle name="40% - Accent3 2 8" xfId="2329" xr:uid="{00000000-0005-0000-0000-00004F050000}"/>
    <cellStyle name="40% - Accent3 2 8 2" xfId="6636" xr:uid="{00000000-0005-0000-0000-000050050000}"/>
    <cellStyle name="40% - Accent3 2 8 2 2" xfId="15078" xr:uid="{A808B1EA-BD01-489D-9BBA-EBB71AD90807}"/>
    <cellStyle name="40% - Accent3 2 8 3" xfId="10860" xr:uid="{77B65961-EEC1-4F29-8820-CB540C6E04CD}"/>
    <cellStyle name="40% - Accent3 2 9" xfId="4570" xr:uid="{00000000-0005-0000-0000-000051050000}"/>
    <cellStyle name="40% - Accent3 2 9 2" xfId="13012" xr:uid="{55FE53C0-D2A4-4038-9B91-C65299E61417}"/>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15576" xr:uid="{E87496F7-367B-4844-B0CC-5AE8A9D5264B}"/>
    <cellStyle name="40% - Accent3 3 2 2 2 3" xfId="11358" xr:uid="{D783FBB5-C863-486D-BC81-99495D7149A5}"/>
    <cellStyle name="40% - Accent3 3 2 2 3" xfId="4989" xr:uid="{00000000-0005-0000-0000-000057050000}"/>
    <cellStyle name="40% - Accent3 3 2 2 3 2" xfId="13431" xr:uid="{26E1557E-0AEF-4F50-B433-73868BBA0F7D}"/>
    <cellStyle name="40% - Accent3 3 2 2 4" xfId="9213" xr:uid="{FF23DD13-105D-4B6A-95CF-1C53C621D23F}"/>
    <cellStyle name="40% - Accent3 3 2 3" xfId="1093" xr:uid="{00000000-0005-0000-0000-000058050000}"/>
    <cellStyle name="40% - Accent3 3 2 3 2" xfId="3324" xr:uid="{00000000-0005-0000-0000-000059050000}"/>
    <cellStyle name="40% - Accent3 3 2 3 2 2" xfId="7547" xr:uid="{00000000-0005-0000-0000-00005A050000}"/>
    <cellStyle name="40% - Accent3 3 2 3 2 2 2" xfId="15989" xr:uid="{D439367D-097F-4ACE-84AB-575B880718F6}"/>
    <cellStyle name="40% - Accent3 3 2 3 2 3" xfId="11771" xr:uid="{2C93E34B-7B59-49EE-ACDE-8BD524C93167}"/>
    <cellStyle name="40% - Accent3 3 2 3 3" xfId="5402" xr:uid="{00000000-0005-0000-0000-00005B050000}"/>
    <cellStyle name="40% - Accent3 3 2 3 3 2" xfId="13844" xr:uid="{A419B559-169D-4E96-87E9-6F2D83C440EC}"/>
    <cellStyle name="40% - Accent3 3 2 3 4" xfId="9626" xr:uid="{F03CE44A-49F2-45DB-B8B3-6DC21563C471}"/>
    <cellStyle name="40% - Accent3 3 2 4" xfId="1507" xr:uid="{00000000-0005-0000-0000-00005C050000}"/>
    <cellStyle name="40% - Accent3 3 2 4 2" xfId="3737" xr:uid="{00000000-0005-0000-0000-00005D050000}"/>
    <cellStyle name="40% - Accent3 3 2 4 2 2" xfId="7960" xr:uid="{00000000-0005-0000-0000-00005E050000}"/>
    <cellStyle name="40% - Accent3 3 2 4 2 2 2" xfId="16402" xr:uid="{7E6E6FB8-23D5-431B-9F6E-3D0E23E7E3CE}"/>
    <cellStyle name="40% - Accent3 3 2 4 2 3" xfId="12184" xr:uid="{1E599A8C-E847-4D1A-A06D-DDA84E6C3424}"/>
    <cellStyle name="40% - Accent3 3 2 4 3" xfId="5815" xr:uid="{00000000-0005-0000-0000-00005F050000}"/>
    <cellStyle name="40% - Accent3 3 2 4 3 2" xfId="14257" xr:uid="{0CA92D93-9AC9-41A6-AA1B-BB44070337BE}"/>
    <cellStyle name="40% - Accent3 3 2 4 4" xfId="10039" xr:uid="{760D6B07-C825-4D24-8014-8EC8555F5F2D}"/>
    <cellStyle name="40% - Accent3 3 2 5" xfId="1921" xr:uid="{00000000-0005-0000-0000-000060050000}"/>
    <cellStyle name="40% - Accent3 3 2 5 2" xfId="4150" xr:uid="{00000000-0005-0000-0000-000061050000}"/>
    <cellStyle name="40% - Accent3 3 2 5 2 2" xfId="8373" xr:uid="{00000000-0005-0000-0000-000062050000}"/>
    <cellStyle name="40% - Accent3 3 2 5 2 2 2" xfId="16815" xr:uid="{673078EF-540F-4656-ACA2-936A1E1ED5BD}"/>
    <cellStyle name="40% - Accent3 3 2 5 2 3" xfId="12597" xr:uid="{7E2D7BDD-C2C0-466A-8E03-C07BF740279A}"/>
    <cellStyle name="40% - Accent3 3 2 5 3" xfId="6228" xr:uid="{00000000-0005-0000-0000-000063050000}"/>
    <cellStyle name="40% - Accent3 3 2 5 3 2" xfId="14670" xr:uid="{191FAAC1-F907-44CF-914C-A627C1DBD969}"/>
    <cellStyle name="40% - Accent3 3 2 5 4" xfId="10452" xr:uid="{B7316E3C-B7A9-45BC-B776-CD809736527B}"/>
    <cellStyle name="40% - Accent3 3 2 6" xfId="2334" xr:uid="{00000000-0005-0000-0000-000064050000}"/>
    <cellStyle name="40% - Accent3 3 2 6 2" xfId="6641" xr:uid="{00000000-0005-0000-0000-000065050000}"/>
    <cellStyle name="40% - Accent3 3 2 6 2 2" xfId="15083" xr:uid="{0C2F2D9E-F3CC-41A2-8990-755D2A3EC3B9}"/>
    <cellStyle name="40% - Accent3 3 2 6 3" xfId="10865" xr:uid="{4EBFF4D3-E507-47F2-B5E0-55798E41D6A1}"/>
    <cellStyle name="40% - Accent3 3 2 7" xfId="4575" xr:uid="{00000000-0005-0000-0000-000066050000}"/>
    <cellStyle name="40% - Accent3 3 2 7 2" xfId="13017" xr:uid="{091B38D9-880F-41B1-92EB-90980305C887}"/>
    <cellStyle name="40% - Accent3 3 2 8" xfId="8799" xr:uid="{B00C55FE-F9DF-4342-8F9C-257BA4BA1895}"/>
    <cellStyle name="40% - Accent3 3 3" xfId="639" xr:uid="{00000000-0005-0000-0000-000067050000}"/>
    <cellStyle name="40% - Accent3 3 3 2" xfId="2910" xr:uid="{00000000-0005-0000-0000-000068050000}"/>
    <cellStyle name="40% - Accent3 3 3 2 2" xfId="7133" xr:uid="{00000000-0005-0000-0000-000069050000}"/>
    <cellStyle name="40% - Accent3 3 3 2 2 2" xfId="15575" xr:uid="{7C65519E-10B3-4C5E-A62B-2149D8D2381B}"/>
    <cellStyle name="40% - Accent3 3 3 2 3" xfId="11357" xr:uid="{82ED6D9A-48EC-4CC3-A219-17920BCC0D86}"/>
    <cellStyle name="40% - Accent3 3 3 3" xfId="4988" xr:uid="{00000000-0005-0000-0000-00006A050000}"/>
    <cellStyle name="40% - Accent3 3 3 3 2" xfId="13430" xr:uid="{B5BE6887-D863-4AD0-AF0E-FF4B75A466A0}"/>
    <cellStyle name="40% - Accent3 3 3 4" xfId="9212" xr:uid="{0C4DE339-4CFC-476D-AE8E-EC9E5BDDF52E}"/>
    <cellStyle name="40% - Accent3 3 4" xfId="1092" xr:uid="{00000000-0005-0000-0000-00006B050000}"/>
    <cellStyle name="40% - Accent3 3 4 2" xfId="3323" xr:uid="{00000000-0005-0000-0000-00006C050000}"/>
    <cellStyle name="40% - Accent3 3 4 2 2" xfId="7546" xr:uid="{00000000-0005-0000-0000-00006D050000}"/>
    <cellStyle name="40% - Accent3 3 4 2 2 2" xfId="15988" xr:uid="{DF1633EF-00E1-4D70-B44B-50A502F12BFF}"/>
    <cellStyle name="40% - Accent3 3 4 2 3" xfId="11770" xr:uid="{742178FC-1207-4BFF-A685-99A7054E2471}"/>
    <cellStyle name="40% - Accent3 3 4 3" xfId="5401" xr:uid="{00000000-0005-0000-0000-00006E050000}"/>
    <cellStyle name="40% - Accent3 3 4 3 2" xfId="13843" xr:uid="{17DE2884-0E1F-477A-928C-F21C58C1CFB1}"/>
    <cellStyle name="40% - Accent3 3 4 4" xfId="9625" xr:uid="{672016A3-BB27-467E-B819-1BDEE6DB5427}"/>
    <cellStyle name="40% - Accent3 3 5" xfId="1506" xr:uid="{00000000-0005-0000-0000-00006F050000}"/>
    <cellStyle name="40% - Accent3 3 5 2" xfId="3736" xr:uid="{00000000-0005-0000-0000-000070050000}"/>
    <cellStyle name="40% - Accent3 3 5 2 2" xfId="7959" xr:uid="{00000000-0005-0000-0000-000071050000}"/>
    <cellStyle name="40% - Accent3 3 5 2 2 2" xfId="16401" xr:uid="{8CA33BDB-2602-4B12-B8C2-4D5144DB705A}"/>
    <cellStyle name="40% - Accent3 3 5 2 3" xfId="12183" xr:uid="{5186DBA0-F166-4E1F-813A-78170DDFF22E}"/>
    <cellStyle name="40% - Accent3 3 5 3" xfId="5814" xr:uid="{00000000-0005-0000-0000-000072050000}"/>
    <cellStyle name="40% - Accent3 3 5 3 2" xfId="14256" xr:uid="{E07B8432-9604-407D-9C12-C16AA6F07E7C}"/>
    <cellStyle name="40% - Accent3 3 5 4" xfId="10038" xr:uid="{533310BB-41CB-4F04-985C-A35F11933DBB}"/>
    <cellStyle name="40% - Accent3 3 6" xfId="1920" xr:uid="{00000000-0005-0000-0000-000073050000}"/>
    <cellStyle name="40% - Accent3 3 6 2" xfId="4149" xr:uid="{00000000-0005-0000-0000-000074050000}"/>
    <cellStyle name="40% - Accent3 3 6 2 2" xfId="8372" xr:uid="{00000000-0005-0000-0000-000075050000}"/>
    <cellStyle name="40% - Accent3 3 6 2 2 2" xfId="16814" xr:uid="{DEE78863-E5DB-4373-8728-426CAF626B5F}"/>
    <cellStyle name="40% - Accent3 3 6 2 3" xfId="12596" xr:uid="{D5178E88-E78A-4438-BFD5-E14E81A0AF5F}"/>
    <cellStyle name="40% - Accent3 3 6 3" xfId="6227" xr:uid="{00000000-0005-0000-0000-000076050000}"/>
    <cellStyle name="40% - Accent3 3 6 3 2" xfId="14669" xr:uid="{FEA07AF6-8046-48DF-9F68-B76BEA0CFEAE}"/>
    <cellStyle name="40% - Accent3 3 6 4" xfId="10451" xr:uid="{3DDE66F9-E9D0-4CFC-9327-CEFE47C05B49}"/>
    <cellStyle name="40% - Accent3 3 7" xfId="2333" xr:uid="{00000000-0005-0000-0000-000077050000}"/>
    <cellStyle name="40% - Accent3 3 7 2" xfId="6640" xr:uid="{00000000-0005-0000-0000-000078050000}"/>
    <cellStyle name="40% - Accent3 3 7 2 2" xfId="15082" xr:uid="{2D433D47-BCFC-4331-8063-A07FF9059B4B}"/>
    <cellStyle name="40% - Accent3 3 7 3" xfId="10864" xr:uid="{8157BBCD-04EB-4C57-BE4B-5703B79C7ADD}"/>
    <cellStyle name="40% - Accent3 3 8" xfId="4574" xr:uid="{00000000-0005-0000-0000-000079050000}"/>
    <cellStyle name="40% - Accent3 3 8 2" xfId="13016" xr:uid="{9F50427A-9DE1-4017-AEE7-2DFEC289834A}"/>
    <cellStyle name="40% - Accent3 3 9" xfId="8798" xr:uid="{BC7B756B-E7CD-4DDD-9197-D26C2ECAA67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2 2 2" xfId="15577" xr:uid="{09EA7957-13C0-4C7D-97B4-0C1973A64873}"/>
    <cellStyle name="40% - Accent3 4 2 2 3" xfId="11359" xr:uid="{64064ED2-A723-4F46-9B0D-E458DE142B1A}"/>
    <cellStyle name="40% - Accent3 4 2 3" xfId="4990" xr:uid="{00000000-0005-0000-0000-00007E050000}"/>
    <cellStyle name="40% - Accent3 4 2 3 2" xfId="13432" xr:uid="{2D403DA7-739D-4D87-9075-F7311BD4D8E5}"/>
    <cellStyle name="40% - Accent3 4 2 4" xfId="9214" xr:uid="{77744F13-587A-4279-9D16-02539742BEB6}"/>
    <cellStyle name="40% - Accent3 4 3" xfId="1094" xr:uid="{00000000-0005-0000-0000-00007F050000}"/>
    <cellStyle name="40% - Accent3 4 3 2" xfId="3325" xr:uid="{00000000-0005-0000-0000-000080050000}"/>
    <cellStyle name="40% - Accent3 4 3 2 2" xfId="7548" xr:uid="{00000000-0005-0000-0000-000081050000}"/>
    <cellStyle name="40% - Accent3 4 3 2 2 2" xfId="15990" xr:uid="{6DF8C75A-7F3B-485C-BA29-C070EAEEFF2F}"/>
    <cellStyle name="40% - Accent3 4 3 2 3" xfId="11772" xr:uid="{BB9C7876-DCAD-4C6F-A2FE-243D134E55ED}"/>
    <cellStyle name="40% - Accent3 4 3 3" xfId="5403" xr:uid="{00000000-0005-0000-0000-000082050000}"/>
    <cellStyle name="40% - Accent3 4 3 3 2" xfId="13845" xr:uid="{3164E65F-75F3-48EF-A7CD-F56267B445F6}"/>
    <cellStyle name="40% - Accent3 4 3 4" xfId="9627" xr:uid="{2029C03B-05D0-4673-8DC2-CC39CCE271DC}"/>
    <cellStyle name="40% - Accent3 4 4" xfId="1508" xr:uid="{00000000-0005-0000-0000-000083050000}"/>
    <cellStyle name="40% - Accent3 4 4 2" xfId="3738" xr:uid="{00000000-0005-0000-0000-000084050000}"/>
    <cellStyle name="40% - Accent3 4 4 2 2" xfId="7961" xr:uid="{00000000-0005-0000-0000-000085050000}"/>
    <cellStyle name="40% - Accent3 4 4 2 2 2" xfId="16403" xr:uid="{2E363AD8-AA92-4D8A-B419-6F9B3085DE10}"/>
    <cellStyle name="40% - Accent3 4 4 2 3" xfId="12185" xr:uid="{0AE0D88A-1DBC-4205-BF4A-947283F5A7A0}"/>
    <cellStyle name="40% - Accent3 4 4 3" xfId="5816" xr:uid="{00000000-0005-0000-0000-000086050000}"/>
    <cellStyle name="40% - Accent3 4 4 3 2" xfId="14258" xr:uid="{AD2AD809-D102-4DB1-B722-D816FAD433FA}"/>
    <cellStyle name="40% - Accent3 4 4 4" xfId="10040" xr:uid="{2748F6D8-290F-4A77-83CE-05E00800221A}"/>
    <cellStyle name="40% - Accent3 4 5" xfId="1922" xr:uid="{00000000-0005-0000-0000-000087050000}"/>
    <cellStyle name="40% - Accent3 4 5 2" xfId="4151" xr:uid="{00000000-0005-0000-0000-000088050000}"/>
    <cellStyle name="40% - Accent3 4 5 2 2" xfId="8374" xr:uid="{00000000-0005-0000-0000-000089050000}"/>
    <cellStyle name="40% - Accent3 4 5 2 2 2" xfId="16816" xr:uid="{C4991824-B872-460A-AEE2-FD4A3D0F2BB4}"/>
    <cellStyle name="40% - Accent3 4 5 2 3" xfId="12598" xr:uid="{8957D785-01EE-4DF4-9250-D04598F608EE}"/>
    <cellStyle name="40% - Accent3 4 5 3" xfId="6229" xr:uid="{00000000-0005-0000-0000-00008A050000}"/>
    <cellStyle name="40% - Accent3 4 5 3 2" xfId="14671" xr:uid="{F76E5FC5-31AA-4F72-9EB7-0D5E3A8AB164}"/>
    <cellStyle name="40% - Accent3 4 5 4" xfId="10453" xr:uid="{627D9467-1780-4364-AB34-076FA75801C5}"/>
    <cellStyle name="40% - Accent3 4 6" xfId="2335" xr:uid="{00000000-0005-0000-0000-00008B050000}"/>
    <cellStyle name="40% - Accent3 4 6 2" xfId="6642" xr:uid="{00000000-0005-0000-0000-00008C050000}"/>
    <cellStyle name="40% - Accent3 4 6 2 2" xfId="15084" xr:uid="{F80B6E1D-F5DD-49ED-BFA4-48A7D6AB5553}"/>
    <cellStyle name="40% - Accent3 4 6 3" xfId="10866" xr:uid="{1988B97F-2630-4716-A54D-4B4155F0D870}"/>
    <cellStyle name="40% - Accent3 4 7" xfId="4576" xr:uid="{00000000-0005-0000-0000-00008D050000}"/>
    <cellStyle name="40% - Accent3 4 7 2" xfId="13018" xr:uid="{9890E036-189E-40B9-9135-176E6C4824F6}"/>
    <cellStyle name="40% - Accent3 4 8" xfId="8800" xr:uid="{6EC59167-4141-4C54-94C6-2275EB43C901}"/>
    <cellStyle name="40% - Accent3 5" xfId="634" xr:uid="{00000000-0005-0000-0000-00008E050000}"/>
    <cellStyle name="40% - Accent3 5 2" xfId="2905" xr:uid="{00000000-0005-0000-0000-00008F050000}"/>
    <cellStyle name="40% - Accent3 5 2 2" xfId="7128" xr:uid="{00000000-0005-0000-0000-000090050000}"/>
    <cellStyle name="40% - Accent3 5 2 2 2" xfId="15570" xr:uid="{1B2E4D25-1BBC-4064-B7FB-60ED559683E3}"/>
    <cellStyle name="40% - Accent3 5 2 3" xfId="11352" xr:uid="{B11C3C4E-13FB-4DC8-BAE9-263771B1E1C6}"/>
    <cellStyle name="40% - Accent3 5 3" xfId="4983" xr:uid="{00000000-0005-0000-0000-000091050000}"/>
    <cellStyle name="40% - Accent3 5 3 2" xfId="13425" xr:uid="{005461BC-B7CD-49E8-8AAF-27F937C510E5}"/>
    <cellStyle name="40% - Accent3 5 4" xfId="9207" xr:uid="{E9E446BF-72B8-42A6-9D45-D051BAF44561}"/>
    <cellStyle name="40% - Accent3 6" xfId="1087" xr:uid="{00000000-0005-0000-0000-000092050000}"/>
    <cellStyle name="40% - Accent3 6 2" xfId="3318" xr:uid="{00000000-0005-0000-0000-000093050000}"/>
    <cellStyle name="40% - Accent3 6 2 2" xfId="7541" xr:uid="{00000000-0005-0000-0000-000094050000}"/>
    <cellStyle name="40% - Accent3 6 2 2 2" xfId="15983" xr:uid="{E066B523-EA28-4B33-8D12-4BDF86E8A408}"/>
    <cellStyle name="40% - Accent3 6 2 3" xfId="11765" xr:uid="{4B4EFF81-2417-4605-85FC-BCE7A8DC5179}"/>
    <cellStyle name="40% - Accent3 6 3" xfId="5396" xr:uid="{00000000-0005-0000-0000-000095050000}"/>
    <cellStyle name="40% - Accent3 6 3 2" xfId="13838" xr:uid="{AAF73835-04A2-4FFB-A000-D3B01B80B558}"/>
    <cellStyle name="40% - Accent3 6 4" xfId="9620" xr:uid="{33E17639-04AA-4DB1-A39A-9F6AC4DC7037}"/>
    <cellStyle name="40% - Accent3 7" xfId="1501" xr:uid="{00000000-0005-0000-0000-000096050000}"/>
    <cellStyle name="40% - Accent3 7 2" xfId="3731" xr:uid="{00000000-0005-0000-0000-000097050000}"/>
    <cellStyle name="40% - Accent3 7 2 2" xfId="7954" xr:uid="{00000000-0005-0000-0000-000098050000}"/>
    <cellStyle name="40% - Accent3 7 2 2 2" xfId="16396" xr:uid="{9EC4752F-8F95-478F-B754-6B37EE2668B5}"/>
    <cellStyle name="40% - Accent3 7 2 3" xfId="12178" xr:uid="{41E5D063-82CB-4099-9DBF-8CD8DD3BFAA4}"/>
    <cellStyle name="40% - Accent3 7 3" xfId="5809" xr:uid="{00000000-0005-0000-0000-000099050000}"/>
    <cellStyle name="40% - Accent3 7 3 2" xfId="14251" xr:uid="{5A03804C-F046-4F97-8C49-AABB559EA85A}"/>
    <cellStyle name="40% - Accent3 7 4" xfId="10033" xr:uid="{EB93B076-793A-4B30-9F5A-7201140D0699}"/>
    <cellStyle name="40% - Accent3 8" xfId="1915" xr:uid="{00000000-0005-0000-0000-00009A050000}"/>
    <cellStyle name="40% - Accent3 8 2" xfId="4144" xr:uid="{00000000-0005-0000-0000-00009B050000}"/>
    <cellStyle name="40% - Accent3 8 2 2" xfId="8367" xr:uid="{00000000-0005-0000-0000-00009C050000}"/>
    <cellStyle name="40% - Accent3 8 2 2 2" xfId="16809" xr:uid="{16289713-26B2-41E3-94A6-868ECE532A04}"/>
    <cellStyle name="40% - Accent3 8 2 3" xfId="12591" xr:uid="{B77EF2A6-BBC8-4D13-BEBB-3AA72FE328F4}"/>
    <cellStyle name="40% - Accent3 8 3" xfId="6222" xr:uid="{00000000-0005-0000-0000-00009D050000}"/>
    <cellStyle name="40% - Accent3 8 3 2" xfId="14664" xr:uid="{4866BA13-E6B2-4540-9E8C-F37D81C771A5}"/>
    <cellStyle name="40% - Accent3 8 4" xfId="10446" xr:uid="{5EF6434A-0094-4D58-9E95-2F8A627C3ADC}"/>
    <cellStyle name="40% - Accent3 9" xfId="2328" xr:uid="{00000000-0005-0000-0000-00009E050000}"/>
    <cellStyle name="40% - Accent3 9 2" xfId="6635" xr:uid="{00000000-0005-0000-0000-00009F050000}"/>
    <cellStyle name="40% - Accent3 9 2 2" xfId="15077" xr:uid="{9D3534FC-68F8-46E6-8098-803D501CE56C}"/>
    <cellStyle name="40% - Accent3 9 3" xfId="10859" xr:uid="{4E5076A0-A6B4-4A3B-83FF-CDAF7BBD78A4}"/>
    <cellStyle name="40% - Accent4" xfId="73" builtinId="43" customBuiltin="1"/>
    <cellStyle name="40% - Accent4 10" xfId="4577" xr:uid="{00000000-0005-0000-0000-0000A1050000}"/>
    <cellStyle name="40% - Accent4 10 2" xfId="13019" xr:uid="{43ED3164-1784-42CD-9EC1-FF99D04296C8}"/>
    <cellStyle name="40% - Accent4 11" xfId="8801" xr:uid="{4E80B89F-E888-4B6F-97AA-E5E23A80B28A}"/>
    <cellStyle name="40% - Accent4 2" xfId="74" xr:uid="{00000000-0005-0000-0000-0000A2050000}"/>
    <cellStyle name="40% - Accent4 2 10" xfId="8802" xr:uid="{B6475DA2-54DD-4DAA-8AE4-50CC7737FD49}"/>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15581" xr:uid="{810FBD1C-5DA8-4400-B08C-4DF707D39C71}"/>
    <cellStyle name="40% - Accent4 2 2 2 2 2 3" xfId="11363" xr:uid="{87BF97D5-19B1-4261-BB30-4A05709A5AAF}"/>
    <cellStyle name="40% - Accent4 2 2 2 2 3" xfId="4994" xr:uid="{00000000-0005-0000-0000-0000A8050000}"/>
    <cellStyle name="40% - Accent4 2 2 2 2 3 2" xfId="13436" xr:uid="{455B42BD-3725-4F63-93D4-20224D1F63A9}"/>
    <cellStyle name="40% - Accent4 2 2 2 2 4" xfId="9218" xr:uid="{BCF3F605-1A9D-4096-94A5-22844C93A53B}"/>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2 2" xfId="15994" xr:uid="{5D10F2D9-E8B5-433A-8565-E6B41465B776}"/>
    <cellStyle name="40% - Accent4 2 2 2 3 2 3" xfId="11776" xr:uid="{385C3E23-BBD7-41F9-BAC5-39801ED16051}"/>
    <cellStyle name="40% - Accent4 2 2 2 3 3" xfId="5407" xr:uid="{00000000-0005-0000-0000-0000AC050000}"/>
    <cellStyle name="40% - Accent4 2 2 2 3 3 2" xfId="13849" xr:uid="{88F2140B-F1C7-4526-B85A-5946379FA378}"/>
    <cellStyle name="40% - Accent4 2 2 2 3 4" xfId="9631" xr:uid="{AF5AB140-17EB-4FF3-8A6C-18DA814B6344}"/>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2 2 2" xfId="16407" xr:uid="{6DC6E4D5-8892-4BD4-95D6-D47F0061F2C5}"/>
    <cellStyle name="40% - Accent4 2 2 2 4 2 3" xfId="12189" xr:uid="{EE0FAB51-3CE0-4745-8FCF-02D15D147058}"/>
    <cellStyle name="40% - Accent4 2 2 2 4 3" xfId="5820" xr:uid="{00000000-0005-0000-0000-0000B0050000}"/>
    <cellStyle name="40% - Accent4 2 2 2 4 3 2" xfId="14262" xr:uid="{B6F040FC-50F8-4345-8CA1-AACCDD9DB828}"/>
    <cellStyle name="40% - Accent4 2 2 2 4 4" xfId="10044" xr:uid="{A959AF56-D506-45F7-B814-09695E9CE3BE}"/>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2 2 2" xfId="16820" xr:uid="{BC2B4630-1331-4922-8F59-AE72A07E3099}"/>
    <cellStyle name="40% - Accent4 2 2 2 5 2 3" xfId="12602" xr:uid="{7C18E054-1CD9-4203-B03E-0FD1F3FDA9DB}"/>
    <cellStyle name="40% - Accent4 2 2 2 5 3" xfId="6233" xr:uid="{00000000-0005-0000-0000-0000B4050000}"/>
    <cellStyle name="40% - Accent4 2 2 2 5 3 2" xfId="14675" xr:uid="{E66EDA28-B875-4656-BC97-738D35DE97F8}"/>
    <cellStyle name="40% - Accent4 2 2 2 5 4" xfId="10457" xr:uid="{815ECAF1-F609-46C7-8B56-0E645997ADD9}"/>
    <cellStyle name="40% - Accent4 2 2 2 6" xfId="2339" xr:uid="{00000000-0005-0000-0000-0000B5050000}"/>
    <cellStyle name="40% - Accent4 2 2 2 6 2" xfId="6646" xr:uid="{00000000-0005-0000-0000-0000B6050000}"/>
    <cellStyle name="40% - Accent4 2 2 2 6 2 2" xfId="15088" xr:uid="{C8D99013-9704-4D9C-A3CD-2FC2E0916B9A}"/>
    <cellStyle name="40% - Accent4 2 2 2 6 3" xfId="10870" xr:uid="{390EB017-D79C-4787-B782-34231FBBEE40}"/>
    <cellStyle name="40% - Accent4 2 2 2 7" xfId="4580" xr:uid="{00000000-0005-0000-0000-0000B7050000}"/>
    <cellStyle name="40% - Accent4 2 2 2 7 2" xfId="13022" xr:uid="{FCC2352D-B428-49DF-A585-6FF6F8AA3EE3}"/>
    <cellStyle name="40% - Accent4 2 2 2 8" xfId="8804" xr:uid="{A1157078-59F9-419E-BCE2-14DC31000DFF}"/>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15580" xr:uid="{F064FE31-9957-4AF2-A8E8-E43EAA6BDFF9}"/>
    <cellStyle name="40% - Accent4 2 2 3 2 3" xfId="11362" xr:uid="{59ECA443-2230-4E5D-A131-C98374959E32}"/>
    <cellStyle name="40% - Accent4 2 2 3 3" xfId="4993" xr:uid="{00000000-0005-0000-0000-0000BB050000}"/>
    <cellStyle name="40% - Accent4 2 2 3 3 2" xfId="13435" xr:uid="{D98CA72C-6DA4-4B30-9527-0F6C8C3A9D4B}"/>
    <cellStyle name="40% - Accent4 2 2 3 4" xfId="9217" xr:uid="{F1F99730-21B8-4D3E-B425-886E78AB707B}"/>
    <cellStyle name="40% - Accent4 2 2 4" xfId="1097" xr:uid="{00000000-0005-0000-0000-0000BC050000}"/>
    <cellStyle name="40% - Accent4 2 2 4 2" xfId="3328" xr:uid="{00000000-0005-0000-0000-0000BD050000}"/>
    <cellStyle name="40% - Accent4 2 2 4 2 2" xfId="7551" xr:uid="{00000000-0005-0000-0000-0000BE050000}"/>
    <cellStyle name="40% - Accent4 2 2 4 2 2 2" xfId="15993" xr:uid="{7A9E48F9-86B5-4BEB-81EC-30460C2389A1}"/>
    <cellStyle name="40% - Accent4 2 2 4 2 3" xfId="11775" xr:uid="{64CAC128-07E6-489F-AEF2-691B735B6164}"/>
    <cellStyle name="40% - Accent4 2 2 4 3" xfId="5406" xr:uid="{00000000-0005-0000-0000-0000BF050000}"/>
    <cellStyle name="40% - Accent4 2 2 4 3 2" xfId="13848" xr:uid="{5B771901-D4C1-4041-9971-53DB67D8584B}"/>
    <cellStyle name="40% - Accent4 2 2 4 4" xfId="9630" xr:uid="{014864C3-33FA-4C73-8E0B-280469D6541F}"/>
    <cellStyle name="40% - Accent4 2 2 5" xfId="1511" xr:uid="{00000000-0005-0000-0000-0000C0050000}"/>
    <cellStyle name="40% - Accent4 2 2 5 2" xfId="3741" xr:uid="{00000000-0005-0000-0000-0000C1050000}"/>
    <cellStyle name="40% - Accent4 2 2 5 2 2" xfId="7964" xr:uid="{00000000-0005-0000-0000-0000C2050000}"/>
    <cellStyle name="40% - Accent4 2 2 5 2 2 2" xfId="16406" xr:uid="{17006B30-65BC-4424-9C21-848ABCB693B4}"/>
    <cellStyle name="40% - Accent4 2 2 5 2 3" xfId="12188" xr:uid="{84641544-45D3-4514-A2DD-0FB082F3ECFD}"/>
    <cellStyle name="40% - Accent4 2 2 5 3" xfId="5819" xr:uid="{00000000-0005-0000-0000-0000C3050000}"/>
    <cellStyle name="40% - Accent4 2 2 5 3 2" xfId="14261" xr:uid="{18BBD49C-1830-4DA3-9FDD-A60BC3CE007C}"/>
    <cellStyle name="40% - Accent4 2 2 5 4" xfId="10043" xr:uid="{4A3C6126-E6AC-4724-BF2D-FA63B111C2FE}"/>
    <cellStyle name="40% - Accent4 2 2 6" xfId="1925" xr:uid="{00000000-0005-0000-0000-0000C4050000}"/>
    <cellStyle name="40% - Accent4 2 2 6 2" xfId="4154" xr:uid="{00000000-0005-0000-0000-0000C5050000}"/>
    <cellStyle name="40% - Accent4 2 2 6 2 2" xfId="8377" xr:uid="{00000000-0005-0000-0000-0000C6050000}"/>
    <cellStyle name="40% - Accent4 2 2 6 2 2 2" xfId="16819" xr:uid="{CEEE0BE8-2449-4C0F-9438-DA59CEE42D20}"/>
    <cellStyle name="40% - Accent4 2 2 6 2 3" xfId="12601" xr:uid="{3C429C6D-F740-4C13-BBFD-57B702B66598}"/>
    <cellStyle name="40% - Accent4 2 2 6 3" xfId="6232" xr:uid="{00000000-0005-0000-0000-0000C7050000}"/>
    <cellStyle name="40% - Accent4 2 2 6 3 2" xfId="14674" xr:uid="{61FBD2F3-E8E8-4FB2-A47E-D2E6DC7053E6}"/>
    <cellStyle name="40% - Accent4 2 2 6 4" xfId="10456" xr:uid="{DE1CEC81-2D35-43A9-A492-635AC4E863D0}"/>
    <cellStyle name="40% - Accent4 2 2 7" xfId="2338" xr:uid="{00000000-0005-0000-0000-0000C8050000}"/>
    <cellStyle name="40% - Accent4 2 2 7 2" xfId="6645" xr:uid="{00000000-0005-0000-0000-0000C9050000}"/>
    <cellStyle name="40% - Accent4 2 2 7 2 2" xfId="15087" xr:uid="{3CD7B9C6-24F9-49B4-9A04-3014044D1CE1}"/>
    <cellStyle name="40% - Accent4 2 2 7 3" xfId="10869" xr:uid="{D81238A5-B726-42F9-B422-95C02FD97198}"/>
    <cellStyle name="40% - Accent4 2 2 8" xfId="4579" xr:uid="{00000000-0005-0000-0000-0000CA050000}"/>
    <cellStyle name="40% - Accent4 2 2 8 2" xfId="13021" xr:uid="{F5A88F2B-EFE0-4304-8DE0-730DD076E5E7}"/>
    <cellStyle name="40% - Accent4 2 2 9" xfId="8803" xr:uid="{0A2132E6-2446-42F2-8983-12F11FC0AC28}"/>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15582" xr:uid="{EF8CCC84-A9FA-4A63-AD94-B5509DA78CA0}"/>
    <cellStyle name="40% - Accent4 2 3 2 2 3" xfId="11364" xr:uid="{32A34DC6-2A73-4704-B496-CEA11F1B3AA6}"/>
    <cellStyle name="40% - Accent4 2 3 2 3" xfId="4995" xr:uid="{00000000-0005-0000-0000-0000CF050000}"/>
    <cellStyle name="40% - Accent4 2 3 2 3 2" xfId="13437" xr:uid="{418394E9-302B-44FC-B86C-3BBF48DBE6E6}"/>
    <cellStyle name="40% - Accent4 2 3 2 4" xfId="9219" xr:uid="{C55FA2A6-D5EE-45A7-917F-5783EC939C05}"/>
    <cellStyle name="40% - Accent4 2 3 3" xfId="1099" xr:uid="{00000000-0005-0000-0000-0000D0050000}"/>
    <cellStyle name="40% - Accent4 2 3 3 2" xfId="3330" xr:uid="{00000000-0005-0000-0000-0000D1050000}"/>
    <cellStyle name="40% - Accent4 2 3 3 2 2" xfId="7553" xr:uid="{00000000-0005-0000-0000-0000D2050000}"/>
    <cellStyle name="40% - Accent4 2 3 3 2 2 2" xfId="15995" xr:uid="{DEC6D1D7-E38B-404A-B5DE-10C470BE7A93}"/>
    <cellStyle name="40% - Accent4 2 3 3 2 3" xfId="11777" xr:uid="{9D7BCA62-7CAF-4D7D-B194-378E83D83773}"/>
    <cellStyle name="40% - Accent4 2 3 3 3" xfId="5408" xr:uid="{00000000-0005-0000-0000-0000D3050000}"/>
    <cellStyle name="40% - Accent4 2 3 3 3 2" xfId="13850" xr:uid="{FF9B8A86-B6D8-4F52-98F5-D8133E372100}"/>
    <cellStyle name="40% - Accent4 2 3 3 4" xfId="9632" xr:uid="{53232ECD-1302-47F9-91E6-D3631769313C}"/>
    <cellStyle name="40% - Accent4 2 3 4" xfId="1513" xr:uid="{00000000-0005-0000-0000-0000D4050000}"/>
    <cellStyle name="40% - Accent4 2 3 4 2" xfId="3743" xr:uid="{00000000-0005-0000-0000-0000D5050000}"/>
    <cellStyle name="40% - Accent4 2 3 4 2 2" xfId="7966" xr:uid="{00000000-0005-0000-0000-0000D6050000}"/>
    <cellStyle name="40% - Accent4 2 3 4 2 2 2" xfId="16408" xr:uid="{54003502-33E3-463B-AC7F-022836BA1DE5}"/>
    <cellStyle name="40% - Accent4 2 3 4 2 3" xfId="12190" xr:uid="{818A47F1-674C-4520-92E4-9DF7C1B9EE1E}"/>
    <cellStyle name="40% - Accent4 2 3 4 3" xfId="5821" xr:uid="{00000000-0005-0000-0000-0000D7050000}"/>
    <cellStyle name="40% - Accent4 2 3 4 3 2" xfId="14263" xr:uid="{14F7E693-0213-4F82-B18D-518EA31A270C}"/>
    <cellStyle name="40% - Accent4 2 3 4 4" xfId="10045" xr:uid="{3FD7BB2B-9C0E-4B20-8CBE-124DFDD6CD63}"/>
    <cellStyle name="40% - Accent4 2 3 5" xfId="1927" xr:uid="{00000000-0005-0000-0000-0000D8050000}"/>
    <cellStyle name="40% - Accent4 2 3 5 2" xfId="4156" xr:uid="{00000000-0005-0000-0000-0000D9050000}"/>
    <cellStyle name="40% - Accent4 2 3 5 2 2" xfId="8379" xr:uid="{00000000-0005-0000-0000-0000DA050000}"/>
    <cellStyle name="40% - Accent4 2 3 5 2 2 2" xfId="16821" xr:uid="{62358D15-352B-4FC7-B7A3-FEE5DEF4D006}"/>
    <cellStyle name="40% - Accent4 2 3 5 2 3" xfId="12603" xr:uid="{6EEF8F5F-1C3F-4838-B8ED-98DF7A7000BC}"/>
    <cellStyle name="40% - Accent4 2 3 5 3" xfId="6234" xr:uid="{00000000-0005-0000-0000-0000DB050000}"/>
    <cellStyle name="40% - Accent4 2 3 5 3 2" xfId="14676" xr:uid="{4FC2A691-58A1-49C9-A4C3-BC7150286535}"/>
    <cellStyle name="40% - Accent4 2 3 5 4" xfId="10458" xr:uid="{3A079982-00AF-46EB-A2E8-F2305C25FB37}"/>
    <cellStyle name="40% - Accent4 2 3 6" xfId="2340" xr:uid="{00000000-0005-0000-0000-0000DC050000}"/>
    <cellStyle name="40% - Accent4 2 3 6 2" xfId="6647" xr:uid="{00000000-0005-0000-0000-0000DD050000}"/>
    <cellStyle name="40% - Accent4 2 3 6 2 2" xfId="15089" xr:uid="{91A82CA8-E8AC-4DED-A875-FF622FDF99D7}"/>
    <cellStyle name="40% - Accent4 2 3 6 3" xfId="10871" xr:uid="{6DAB8386-43D7-4C23-9F50-CF182FABA601}"/>
    <cellStyle name="40% - Accent4 2 3 7" xfId="4581" xr:uid="{00000000-0005-0000-0000-0000DE050000}"/>
    <cellStyle name="40% - Accent4 2 3 7 2" xfId="13023" xr:uid="{9CC1B8D4-724D-45DD-9F81-9D77FCD45904}"/>
    <cellStyle name="40% - Accent4 2 3 8" xfId="8805" xr:uid="{B293AF4D-7046-4A18-B5F4-5741014A810B}"/>
    <cellStyle name="40% - Accent4 2 4" xfId="643" xr:uid="{00000000-0005-0000-0000-0000DF050000}"/>
    <cellStyle name="40% - Accent4 2 4 2" xfId="2914" xr:uid="{00000000-0005-0000-0000-0000E0050000}"/>
    <cellStyle name="40% - Accent4 2 4 2 2" xfId="7137" xr:uid="{00000000-0005-0000-0000-0000E1050000}"/>
    <cellStyle name="40% - Accent4 2 4 2 2 2" xfId="15579" xr:uid="{2F1E6EA5-D6C6-41C8-B20C-8F6822F6C266}"/>
    <cellStyle name="40% - Accent4 2 4 2 3" xfId="11361" xr:uid="{F0AFF12C-FD57-4644-BA19-EC8B5F13FEAB}"/>
    <cellStyle name="40% - Accent4 2 4 3" xfId="4992" xr:uid="{00000000-0005-0000-0000-0000E2050000}"/>
    <cellStyle name="40% - Accent4 2 4 3 2" xfId="13434" xr:uid="{6909F5C2-CE2B-4016-B8D5-728AB9D85E06}"/>
    <cellStyle name="40% - Accent4 2 4 4" xfId="9216" xr:uid="{7856C4A5-C95E-49BF-B18A-373CC4509D63}"/>
    <cellStyle name="40% - Accent4 2 5" xfId="1096" xr:uid="{00000000-0005-0000-0000-0000E3050000}"/>
    <cellStyle name="40% - Accent4 2 5 2" xfId="3327" xr:uid="{00000000-0005-0000-0000-0000E4050000}"/>
    <cellStyle name="40% - Accent4 2 5 2 2" xfId="7550" xr:uid="{00000000-0005-0000-0000-0000E5050000}"/>
    <cellStyle name="40% - Accent4 2 5 2 2 2" xfId="15992" xr:uid="{DA3FE078-2618-40B1-A1B9-1BF4629AB30B}"/>
    <cellStyle name="40% - Accent4 2 5 2 3" xfId="11774" xr:uid="{F8E98D12-16E5-49F5-AD50-485193F7ED37}"/>
    <cellStyle name="40% - Accent4 2 5 3" xfId="5405" xr:uid="{00000000-0005-0000-0000-0000E6050000}"/>
    <cellStyle name="40% - Accent4 2 5 3 2" xfId="13847" xr:uid="{4AC8DBDA-061A-44DF-AA50-E4E1497E0EAF}"/>
    <cellStyle name="40% - Accent4 2 5 4" xfId="9629" xr:uid="{062F737E-DAE8-433C-88CA-DAD8A86F1D57}"/>
    <cellStyle name="40% - Accent4 2 6" xfId="1510" xr:uid="{00000000-0005-0000-0000-0000E7050000}"/>
    <cellStyle name="40% - Accent4 2 6 2" xfId="3740" xr:uid="{00000000-0005-0000-0000-0000E8050000}"/>
    <cellStyle name="40% - Accent4 2 6 2 2" xfId="7963" xr:uid="{00000000-0005-0000-0000-0000E9050000}"/>
    <cellStyle name="40% - Accent4 2 6 2 2 2" xfId="16405" xr:uid="{51515F2E-4A14-4B7B-8427-7DBF16C3993B}"/>
    <cellStyle name="40% - Accent4 2 6 2 3" xfId="12187" xr:uid="{9DB5C0D5-006D-4DC6-99C1-D18331A70264}"/>
    <cellStyle name="40% - Accent4 2 6 3" xfId="5818" xr:uid="{00000000-0005-0000-0000-0000EA050000}"/>
    <cellStyle name="40% - Accent4 2 6 3 2" xfId="14260" xr:uid="{48E81351-4873-4303-A019-ADE3A59B1FBD}"/>
    <cellStyle name="40% - Accent4 2 6 4" xfId="10042" xr:uid="{ADC74807-CA6E-413F-BD38-AF2E3E94CAF0}"/>
    <cellStyle name="40% - Accent4 2 7" xfId="1924" xr:uid="{00000000-0005-0000-0000-0000EB050000}"/>
    <cellStyle name="40% - Accent4 2 7 2" xfId="4153" xr:uid="{00000000-0005-0000-0000-0000EC050000}"/>
    <cellStyle name="40% - Accent4 2 7 2 2" xfId="8376" xr:uid="{00000000-0005-0000-0000-0000ED050000}"/>
    <cellStyle name="40% - Accent4 2 7 2 2 2" xfId="16818" xr:uid="{A568C589-EFBA-4616-8CFC-01541D7F3327}"/>
    <cellStyle name="40% - Accent4 2 7 2 3" xfId="12600" xr:uid="{9345B1EE-3DC9-4FE9-ACD3-E97510E97EA7}"/>
    <cellStyle name="40% - Accent4 2 7 3" xfId="6231" xr:uid="{00000000-0005-0000-0000-0000EE050000}"/>
    <cellStyle name="40% - Accent4 2 7 3 2" xfId="14673" xr:uid="{9D51CF61-AB64-4C78-A94E-19F44BB431E7}"/>
    <cellStyle name="40% - Accent4 2 7 4" xfId="10455" xr:uid="{A96E0135-DEB1-452E-95BD-1F00810E4692}"/>
    <cellStyle name="40% - Accent4 2 8" xfId="2337" xr:uid="{00000000-0005-0000-0000-0000EF050000}"/>
    <cellStyle name="40% - Accent4 2 8 2" xfId="6644" xr:uid="{00000000-0005-0000-0000-0000F0050000}"/>
    <cellStyle name="40% - Accent4 2 8 2 2" xfId="15086" xr:uid="{5B133A51-3B31-4CEE-87A1-6099C45B86C2}"/>
    <cellStyle name="40% - Accent4 2 8 3" xfId="10868" xr:uid="{1297E4EB-56E7-437D-96D5-8FE50E305C4D}"/>
    <cellStyle name="40% - Accent4 2 9" xfId="4578" xr:uid="{00000000-0005-0000-0000-0000F1050000}"/>
    <cellStyle name="40% - Accent4 2 9 2" xfId="13020" xr:uid="{8C45D969-E1C7-4C03-810B-BFF0B01FFB68}"/>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15584" xr:uid="{C418FC8D-F858-4D51-B22C-EA8745E94656}"/>
    <cellStyle name="40% - Accent4 3 2 2 2 3" xfId="11366" xr:uid="{1AFCF8B3-3D53-45FD-999C-05B69D2E1541}"/>
    <cellStyle name="40% - Accent4 3 2 2 3" xfId="4997" xr:uid="{00000000-0005-0000-0000-0000F7050000}"/>
    <cellStyle name="40% - Accent4 3 2 2 3 2" xfId="13439" xr:uid="{319E403D-089F-4781-93BF-F71924D68406}"/>
    <cellStyle name="40% - Accent4 3 2 2 4" xfId="9221" xr:uid="{FB3FB13C-7825-4785-8FAE-DCF09DDCE53E}"/>
    <cellStyle name="40% - Accent4 3 2 3" xfId="1101" xr:uid="{00000000-0005-0000-0000-0000F8050000}"/>
    <cellStyle name="40% - Accent4 3 2 3 2" xfId="3332" xr:uid="{00000000-0005-0000-0000-0000F9050000}"/>
    <cellStyle name="40% - Accent4 3 2 3 2 2" xfId="7555" xr:uid="{00000000-0005-0000-0000-0000FA050000}"/>
    <cellStyle name="40% - Accent4 3 2 3 2 2 2" xfId="15997" xr:uid="{0AE71C64-BF69-4ABA-B804-6C51D14D7FB4}"/>
    <cellStyle name="40% - Accent4 3 2 3 2 3" xfId="11779" xr:uid="{7F66C25C-AB6E-47DC-BA46-E093641005A7}"/>
    <cellStyle name="40% - Accent4 3 2 3 3" xfId="5410" xr:uid="{00000000-0005-0000-0000-0000FB050000}"/>
    <cellStyle name="40% - Accent4 3 2 3 3 2" xfId="13852" xr:uid="{BF46C3EB-E2B8-4F31-91AE-7CF0BBDD676F}"/>
    <cellStyle name="40% - Accent4 3 2 3 4" xfId="9634" xr:uid="{441C46EB-0729-4C8D-85D1-5DEB7EE72619}"/>
    <cellStyle name="40% - Accent4 3 2 4" xfId="1515" xr:uid="{00000000-0005-0000-0000-0000FC050000}"/>
    <cellStyle name="40% - Accent4 3 2 4 2" xfId="3745" xr:uid="{00000000-0005-0000-0000-0000FD050000}"/>
    <cellStyle name="40% - Accent4 3 2 4 2 2" xfId="7968" xr:uid="{00000000-0005-0000-0000-0000FE050000}"/>
    <cellStyle name="40% - Accent4 3 2 4 2 2 2" xfId="16410" xr:uid="{D2B76D31-6648-48BF-95BC-4F35F87584C9}"/>
    <cellStyle name="40% - Accent4 3 2 4 2 3" xfId="12192" xr:uid="{E13EECC2-13EF-4890-9C48-12F2BE721C06}"/>
    <cellStyle name="40% - Accent4 3 2 4 3" xfId="5823" xr:uid="{00000000-0005-0000-0000-0000FF050000}"/>
    <cellStyle name="40% - Accent4 3 2 4 3 2" xfId="14265" xr:uid="{297EE211-EEF5-4F05-BBAE-980A11BF375B}"/>
    <cellStyle name="40% - Accent4 3 2 4 4" xfId="10047" xr:uid="{1E4689EB-2A98-4CD1-9B20-3651FE331437}"/>
    <cellStyle name="40% - Accent4 3 2 5" xfId="1929" xr:uid="{00000000-0005-0000-0000-000000060000}"/>
    <cellStyle name="40% - Accent4 3 2 5 2" xfId="4158" xr:uid="{00000000-0005-0000-0000-000001060000}"/>
    <cellStyle name="40% - Accent4 3 2 5 2 2" xfId="8381" xr:uid="{00000000-0005-0000-0000-000002060000}"/>
    <cellStyle name="40% - Accent4 3 2 5 2 2 2" xfId="16823" xr:uid="{B7F5AF8A-121C-4BFE-A906-0D3A89B4F345}"/>
    <cellStyle name="40% - Accent4 3 2 5 2 3" xfId="12605" xr:uid="{EF6B0568-2052-43D2-8ABF-F0513D6887B1}"/>
    <cellStyle name="40% - Accent4 3 2 5 3" xfId="6236" xr:uid="{00000000-0005-0000-0000-000003060000}"/>
    <cellStyle name="40% - Accent4 3 2 5 3 2" xfId="14678" xr:uid="{1A05A126-435F-4617-B754-C0CA3C0CA30B}"/>
    <cellStyle name="40% - Accent4 3 2 5 4" xfId="10460" xr:uid="{7F52BCC2-E590-4C26-85A1-E54830B2EAA3}"/>
    <cellStyle name="40% - Accent4 3 2 6" xfId="2342" xr:uid="{00000000-0005-0000-0000-000004060000}"/>
    <cellStyle name="40% - Accent4 3 2 6 2" xfId="6649" xr:uid="{00000000-0005-0000-0000-000005060000}"/>
    <cellStyle name="40% - Accent4 3 2 6 2 2" xfId="15091" xr:uid="{BDFFD9B0-D89E-4188-B78F-06EA956505CA}"/>
    <cellStyle name="40% - Accent4 3 2 6 3" xfId="10873" xr:uid="{19EEC34F-0B15-4F8D-9BD5-242F844E9097}"/>
    <cellStyle name="40% - Accent4 3 2 7" xfId="4583" xr:uid="{00000000-0005-0000-0000-000006060000}"/>
    <cellStyle name="40% - Accent4 3 2 7 2" xfId="13025" xr:uid="{A37AB091-E05A-4AE7-BF40-0A5468D8DD2C}"/>
    <cellStyle name="40% - Accent4 3 2 8" xfId="8807" xr:uid="{9E17E3B6-89DC-40E8-B1FF-1319D9A118F5}"/>
    <cellStyle name="40% - Accent4 3 3" xfId="647" xr:uid="{00000000-0005-0000-0000-000007060000}"/>
    <cellStyle name="40% - Accent4 3 3 2" xfId="2918" xr:uid="{00000000-0005-0000-0000-000008060000}"/>
    <cellStyle name="40% - Accent4 3 3 2 2" xfId="7141" xr:uid="{00000000-0005-0000-0000-000009060000}"/>
    <cellStyle name="40% - Accent4 3 3 2 2 2" xfId="15583" xr:uid="{8B8B61A1-0A13-4343-8E5C-2E3B8AF932BF}"/>
    <cellStyle name="40% - Accent4 3 3 2 3" xfId="11365" xr:uid="{57A23782-1EB7-4807-847B-97B7556B0E52}"/>
    <cellStyle name="40% - Accent4 3 3 3" xfId="4996" xr:uid="{00000000-0005-0000-0000-00000A060000}"/>
    <cellStyle name="40% - Accent4 3 3 3 2" xfId="13438" xr:uid="{BB365D4B-0DA7-4A09-B100-082222DD6C77}"/>
    <cellStyle name="40% - Accent4 3 3 4" xfId="9220" xr:uid="{825CF0FE-2426-4AFD-95E0-5EA57756CE96}"/>
    <cellStyle name="40% - Accent4 3 4" xfId="1100" xr:uid="{00000000-0005-0000-0000-00000B060000}"/>
    <cellStyle name="40% - Accent4 3 4 2" xfId="3331" xr:uid="{00000000-0005-0000-0000-00000C060000}"/>
    <cellStyle name="40% - Accent4 3 4 2 2" xfId="7554" xr:uid="{00000000-0005-0000-0000-00000D060000}"/>
    <cellStyle name="40% - Accent4 3 4 2 2 2" xfId="15996" xr:uid="{ABC99473-7654-4D5C-B269-318439EFF97D}"/>
    <cellStyle name="40% - Accent4 3 4 2 3" xfId="11778" xr:uid="{F9822333-7EE5-47C0-8BFC-7EF62C7C2172}"/>
    <cellStyle name="40% - Accent4 3 4 3" xfId="5409" xr:uid="{00000000-0005-0000-0000-00000E060000}"/>
    <cellStyle name="40% - Accent4 3 4 3 2" xfId="13851" xr:uid="{5B95EE03-842F-487F-A5A8-26AE71087575}"/>
    <cellStyle name="40% - Accent4 3 4 4" xfId="9633" xr:uid="{58E0D4CF-A70E-4902-B8DF-9702F31ED984}"/>
    <cellStyle name="40% - Accent4 3 5" xfId="1514" xr:uid="{00000000-0005-0000-0000-00000F060000}"/>
    <cellStyle name="40% - Accent4 3 5 2" xfId="3744" xr:uid="{00000000-0005-0000-0000-000010060000}"/>
    <cellStyle name="40% - Accent4 3 5 2 2" xfId="7967" xr:uid="{00000000-0005-0000-0000-000011060000}"/>
    <cellStyle name="40% - Accent4 3 5 2 2 2" xfId="16409" xr:uid="{AC37DBAE-1D1C-4A5F-B92F-051B280DDE01}"/>
    <cellStyle name="40% - Accent4 3 5 2 3" xfId="12191" xr:uid="{6A325571-52AF-43CF-AAF1-4EBD12809754}"/>
    <cellStyle name="40% - Accent4 3 5 3" xfId="5822" xr:uid="{00000000-0005-0000-0000-000012060000}"/>
    <cellStyle name="40% - Accent4 3 5 3 2" xfId="14264" xr:uid="{ABE1650F-2FE1-4AC5-9B7B-6266AF3207FD}"/>
    <cellStyle name="40% - Accent4 3 5 4" xfId="10046" xr:uid="{7A7CFC2E-C697-4EB6-81D1-AABBB46CF5FC}"/>
    <cellStyle name="40% - Accent4 3 6" xfId="1928" xr:uid="{00000000-0005-0000-0000-000013060000}"/>
    <cellStyle name="40% - Accent4 3 6 2" xfId="4157" xr:uid="{00000000-0005-0000-0000-000014060000}"/>
    <cellStyle name="40% - Accent4 3 6 2 2" xfId="8380" xr:uid="{00000000-0005-0000-0000-000015060000}"/>
    <cellStyle name="40% - Accent4 3 6 2 2 2" xfId="16822" xr:uid="{0DA72A19-59A8-44F5-8FD6-43D3CFCDF59E}"/>
    <cellStyle name="40% - Accent4 3 6 2 3" xfId="12604" xr:uid="{5C6111FD-080E-438C-A82F-7CEA881225E9}"/>
    <cellStyle name="40% - Accent4 3 6 3" xfId="6235" xr:uid="{00000000-0005-0000-0000-000016060000}"/>
    <cellStyle name="40% - Accent4 3 6 3 2" xfId="14677" xr:uid="{44F2E9C1-2ADE-4306-944F-13E2652B103A}"/>
    <cellStyle name="40% - Accent4 3 6 4" xfId="10459" xr:uid="{B6DB4234-424F-4864-B83A-4A90796BC037}"/>
    <cellStyle name="40% - Accent4 3 7" xfId="2341" xr:uid="{00000000-0005-0000-0000-000017060000}"/>
    <cellStyle name="40% - Accent4 3 7 2" xfId="6648" xr:uid="{00000000-0005-0000-0000-000018060000}"/>
    <cellStyle name="40% - Accent4 3 7 2 2" xfId="15090" xr:uid="{D7CA7408-6F7C-490B-88C5-F354E1D8789A}"/>
    <cellStyle name="40% - Accent4 3 7 3" xfId="10872" xr:uid="{7A8B08A6-1971-4C3B-A945-410DFE24E665}"/>
    <cellStyle name="40% - Accent4 3 8" xfId="4582" xr:uid="{00000000-0005-0000-0000-000019060000}"/>
    <cellStyle name="40% - Accent4 3 8 2" xfId="13024" xr:uid="{858FADF4-3420-4484-B414-5DF523F2C4F8}"/>
    <cellStyle name="40% - Accent4 3 9" xfId="8806" xr:uid="{FDB5D212-859D-4464-81DF-E1AF97391292}"/>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2 2 2" xfId="15585" xr:uid="{917B9164-79A2-4067-AFCB-11276D045647}"/>
    <cellStyle name="40% - Accent4 4 2 2 3" xfId="11367" xr:uid="{554C38BD-0BCF-4E3E-AA72-1DEB3F2A9A1C}"/>
    <cellStyle name="40% - Accent4 4 2 3" xfId="4998" xr:uid="{00000000-0005-0000-0000-00001E060000}"/>
    <cellStyle name="40% - Accent4 4 2 3 2" xfId="13440" xr:uid="{48A1C1E5-BFEB-46FB-8EF1-43DE8EF40985}"/>
    <cellStyle name="40% - Accent4 4 2 4" xfId="9222" xr:uid="{236F4964-BF84-4819-95B8-43706844D2FE}"/>
    <cellStyle name="40% - Accent4 4 3" xfId="1102" xr:uid="{00000000-0005-0000-0000-00001F060000}"/>
    <cellStyle name="40% - Accent4 4 3 2" xfId="3333" xr:uid="{00000000-0005-0000-0000-000020060000}"/>
    <cellStyle name="40% - Accent4 4 3 2 2" xfId="7556" xr:uid="{00000000-0005-0000-0000-000021060000}"/>
    <cellStyle name="40% - Accent4 4 3 2 2 2" xfId="15998" xr:uid="{0CA346AC-A12F-4B05-8DC2-E10F3877A160}"/>
    <cellStyle name="40% - Accent4 4 3 2 3" xfId="11780" xr:uid="{228E37BB-EA07-4E96-8722-7F7B30A210F2}"/>
    <cellStyle name="40% - Accent4 4 3 3" xfId="5411" xr:uid="{00000000-0005-0000-0000-000022060000}"/>
    <cellStyle name="40% - Accent4 4 3 3 2" xfId="13853" xr:uid="{4C2E2BF1-A166-4109-9CF9-ABF13810FA1B}"/>
    <cellStyle name="40% - Accent4 4 3 4" xfId="9635" xr:uid="{0721D132-D91A-413A-91F0-5B6545307196}"/>
    <cellStyle name="40% - Accent4 4 4" xfId="1516" xr:uid="{00000000-0005-0000-0000-000023060000}"/>
    <cellStyle name="40% - Accent4 4 4 2" xfId="3746" xr:uid="{00000000-0005-0000-0000-000024060000}"/>
    <cellStyle name="40% - Accent4 4 4 2 2" xfId="7969" xr:uid="{00000000-0005-0000-0000-000025060000}"/>
    <cellStyle name="40% - Accent4 4 4 2 2 2" xfId="16411" xr:uid="{C531CF26-743D-4027-A337-4C9FC3B8D46E}"/>
    <cellStyle name="40% - Accent4 4 4 2 3" xfId="12193" xr:uid="{1A29A73A-A8CA-458A-AE55-026D75678B90}"/>
    <cellStyle name="40% - Accent4 4 4 3" xfId="5824" xr:uid="{00000000-0005-0000-0000-000026060000}"/>
    <cellStyle name="40% - Accent4 4 4 3 2" xfId="14266" xr:uid="{2F1E0B67-CEAA-4EB3-BC0A-B8613309755D}"/>
    <cellStyle name="40% - Accent4 4 4 4" xfId="10048" xr:uid="{82643737-48CE-4B12-BC0D-5C61A0A84B02}"/>
    <cellStyle name="40% - Accent4 4 5" xfId="1930" xr:uid="{00000000-0005-0000-0000-000027060000}"/>
    <cellStyle name="40% - Accent4 4 5 2" xfId="4159" xr:uid="{00000000-0005-0000-0000-000028060000}"/>
    <cellStyle name="40% - Accent4 4 5 2 2" xfId="8382" xr:uid="{00000000-0005-0000-0000-000029060000}"/>
    <cellStyle name="40% - Accent4 4 5 2 2 2" xfId="16824" xr:uid="{1C6BC782-1CF6-4D68-8A23-48AAA3226F3C}"/>
    <cellStyle name="40% - Accent4 4 5 2 3" xfId="12606" xr:uid="{E8B80F94-B5D8-42C1-9A37-03C0AE73C2C9}"/>
    <cellStyle name="40% - Accent4 4 5 3" xfId="6237" xr:uid="{00000000-0005-0000-0000-00002A060000}"/>
    <cellStyle name="40% - Accent4 4 5 3 2" xfId="14679" xr:uid="{FEBC6E00-B9EB-4F81-90AF-C1ED6A921C40}"/>
    <cellStyle name="40% - Accent4 4 5 4" xfId="10461" xr:uid="{2F1453F7-9318-4869-9C8D-C58C4FD1D1C5}"/>
    <cellStyle name="40% - Accent4 4 6" xfId="2343" xr:uid="{00000000-0005-0000-0000-00002B060000}"/>
    <cellStyle name="40% - Accent4 4 6 2" xfId="6650" xr:uid="{00000000-0005-0000-0000-00002C060000}"/>
    <cellStyle name="40% - Accent4 4 6 2 2" xfId="15092" xr:uid="{B77AD87F-FEF7-46FF-A6E2-886D4364619A}"/>
    <cellStyle name="40% - Accent4 4 6 3" xfId="10874" xr:uid="{E67A924F-59C4-4B5A-B868-89FE2E46467A}"/>
    <cellStyle name="40% - Accent4 4 7" xfId="4584" xr:uid="{00000000-0005-0000-0000-00002D060000}"/>
    <cellStyle name="40% - Accent4 4 7 2" xfId="13026" xr:uid="{FDCC432B-7AE9-4F7E-A26B-C5572502348C}"/>
    <cellStyle name="40% - Accent4 4 8" xfId="8808" xr:uid="{E07F5BE2-4E1A-4211-9407-5DAB76ACF7F4}"/>
    <cellStyle name="40% - Accent4 5" xfId="642" xr:uid="{00000000-0005-0000-0000-00002E060000}"/>
    <cellStyle name="40% - Accent4 5 2" xfId="2913" xr:uid="{00000000-0005-0000-0000-00002F060000}"/>
    <cellStyle name="40% - Accent4 5 2 2" xfId="7136" xr:uid="{00000000-0005-0000-0000-000030060000}"/>
    <cellStyle name="40% - Accent4 5 2 2 2" xfId="15578" xr:uid="{EFB3B9A8-8B50-4A1A-8EA1-11003C8DEE13}"/>
    <cellStyle name="40% - Accent4 5 2 3" xfId="11360" xr:uid="{92254C54-1271-4B2C-86A3-3D39E496CD9C}"/>
    <cellStyle name="40% - Accent4 5 3" xfId="4991" xr:uid="{00000000-0005-0000-0000-000031060000}"/>
    <cellStyle name="40% - Accent4 5 3 2" xfId="13433" xr:uid="{C953031D-3B2B-4501-BB73-4F6DCC3AC4A9}"/>
    <cellStyle name="40% - Accent4 5 4" xfId="9215" xr:uid="{FAEF0A63-0AE9-4F25-B439-70CDCBAA200C}"/>
    <cellStyle name="40% - Accent4 6" xfId="1095" xr:uid="{00000000-0005-0000-0000-000032060000}"/>
    <cellStyle name="40% - Accent4 6 2" xfId="3326" xr:uid="{00000000-0005-0000-0000-000033060000}"/>
    <cellStyle name="40% - Accent4 6 2 2" xfId="7549" xr:uid="{00000000-0005-0000-0000-000034060000}"/>
    <cellStyle name="40% - Accent4 6 2 2 2" xfId="15991" xr:uid="{38BF09E4-CD6E-491D-95E5-0CC6DE0A9D34}"/>
    <cellStyle name="40% - Accent4 6 2 3" xfId="11773" xr:uid="{BA3D281C-25CF-4396-BA7F-20178ECD2A0B}"/>
    <cellStyle name="40% - Accent4 6 3" xfId="5404" xr:uid="{00000000-0005-0000-0000-000035060000}"/>
    <cellStyle name="40% - Accent4 6 3 2" xfId="13846" xr:uid="{785518B7-5B28-4BED-9831-F065CAB05BF7}"/>
    <cellStyle name="40% - Accent4 6 4" xfId="9628" xr:uid="{E8508948-C58A-46C7-A44F-3F14AA0055AC}"/>
    <cellStyle name="40% - Accent4 7" xfId="1509" xr:uid="{00000000-0005-0000-0000-000036060000}"/>
    <cellStyle name="40% - Accent4 7 2" xfId="3739" xr:uid="{00000000-0005-0000-0000-000037060000}"/>
    <cellStyle name="40% - Accent4 7 2 2" xfId="7962" xr:uid="{00000000-0005-0000-0000-000038060000}"/>
    <cellStyle name="40% - Accent4 7 2 2 2" xfId="16404" xr:uid="{2D17F605-65AF-47A5-8B08-F1C88D22F8E0}"/>
    <cellStyle name="40% - Accent4 7 2 3" xfId="12186" xr:uid="{528167A6-4734-4A5B-BC2C-29ADE9DA3C67}"/>
    <cellStyle name="40% - Accent4 7 3" xfId="5817" xr:uid="{00000000-0005-0000-0000-000039060000}"/>
    <cellStyle name="40% - Accent4 7 3 2" xfId="14259" xr:uid="{4D2BE851-7E48-417E-BDF8-C7A7AAAF06B3}"/>
    <cellStyle name="40% - Accent4 7 4" xfId="10041" xr:uid="{A05E702F-0BB7-4C82-94E5-B69194BD66EB}"/>
    <cellStyle name="40% - Accent4 8" xfId="1923" xr:uid="{00000000-0005-0000-0000-00003A060000}"/>
    <cellStyle name="40% - Accent4 8 2" xfId="4152" xr:uid="{00000000-0005-0000-0000-00003B060000}"/>
    <cellStyle name="40% - Accent4 8 2 2" xfId="8375" xr:uid="{00000000-0005-0000-0000-00003C060000}"/>
    <cellStyle name="40% - Accent4 8 2 2 2" xfId="16817" xr:uid="{402F2C89-A5C4-4CE0-8A9C-60FD99DE25D1}"/>
    <cellStyle name="40% - Accent4 8 2 3" xfId="12599" xr:uid="{E6B3C87C-3CE1-4D99-9366-52B950B79401}"/>
    <cellStyle name="40% - Accent4 8 3" xfId="6230" xr:uid="{00000000-0005-0000-0000-00003D060000}"/>
    <cellStyle name="40% - Accent4 8 3 2" xfId="14672" xr:uid="{D1409377-1C65-489F-8AB4-3B1A80C4B89C}"/>
    <cellStyle name="40% - Accent4 8 4" xfId="10454" xr:uid="{5ED80B78-07C2-49D4-A8E1-84F2C2A23C3F}"/>
    <cellStyle name="40% - Accent4 9" xfId="2336" xr:uid="{00000000-0005-0000-0000-00003E060000}"/>
    <cellStyle name="40% - Accent4 9 2" xfId="6643" xr:uid="{00000000-0005-0000-0000-00003F060000}"/>
    <cellStyle name="40% - Accent4 9 2 2" xfId="15085" xr:uid="{9B22D95F-7C92-4DF2-8E98-4D079AD92F01}"/>
    <cellStyle name="40% - Accent4 9 3" xfId="10867" xr:uid="{A0E382BE-8A5F-49A4-B47C-12B4C1346D19}"/>
    <cellStyle name="40% - Accent5" xfId="81" builtinId="47" customBuiltin="1"/>
    <cellStyle name="40% - Accent5 10" xfId="4585" xr:uid="{00000000-0005-0000-0000-000041060000}"/>
    <cellStyle name="40% - Accent5 10 2" xfId="13027" xr:uid="{49CDC036-DAA2-413F-A5AE-93F6A1B50EFA}"/>
    <cellStyle name="40% - Accent5 11" xfId="8809" xr:uid="{AC90CAAB-6D79-4A7A-AB23-046D183081EC}"/>
    <cellStyle name="40% - Accent5 2" xfId="82" xr:uid="{00000000-0005-0000-0000-000042060000}"/>
    <cellStyle name="40% - Accent5 2 10" xfId="8810" xr:uid="{B5C6AB60-D820-4CC1-BDE4-5BAC55C4F2B6}"/>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15589" xr:uid="{12F5CAFB-CF53-4605-9577-6D8C9224B55B}"/>
    <cellStyle name="40% - Accent5 2 2 2 2 2 3" xfId="11371" xr:uid="{7B0F9EBE-1337-43CB-9F0E-CAD8CCFDF689}"/>
    <cellStyle name="40% - Accent5 2 2 2 2 3" xfId="5002" xr:uid="{00000000-0005-0000-0000-000048060000}"/>
    <cellStyle name="40% - Accent5 2 2 2 2 3 2" xfId="13444" xr:uid="{D3C59390-12EA-4CA9-B907-3091ACBF36C3}"/>
    <cellStyle name="40% - Accent5 2 2 2 2 4" xfId="9226" xr:uid="{4E53B9EB-A39E-4C67-B100-16E097C9334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2 2" xfId="16002" xr:uid="{D25B6DEC-E924-43EB-BF4C-45FA424F4CF3}"/>
    <cellStyle name="40% - Accent5 2 2 2 3 2 3" xfId="11784" xr:uid="{3F9E5A73-160B-4CD9-A812-08F704926F2D}"/>
    <cellStyle name="40% - Accent5 2 2 2 3 3" xfId="5415" xr:uid="{00000000-0005-0000-0000-00004C060000}"/>
    <cellStyle name="40% - Accent5 2 2 2 3 3 2" xfId="13857" xr:uid="{838C76F7-D060-47D9-A19B-93DEAB5DF4C8}"/>
    <cellStyle name="40% - Accent5 2 2 2 3 4" xfId="9639" xr:uid="{1F592766-D37F-474D-832E-6813A85C4E83}"/>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2 2 2" xfId="16415" xr:uid="{D81BA65D-3BC8-496C-8DB0-6EC8D3C98FFB}"/>
    <cellStyle name="40% - Accent5 2 2 2 4 2 3" xfId="12197" xr:uid="{078A0173-6A24-4328-B501-4B3597783900}"/>
    <cellStyle name="40% - Accent5 2 2 2 4 3" xfId="5828" xr:uid="{00000000-0005-0000-0000-000050060000}"/>
    <cellStyle name="40% - Accent5 2 2 2 4 3 2" xfId="14270" xr:uid="{B364C539-3C7C-4523-8D98-C04460E2099B}"/>
    <cellStyle name="40% - Accent5 2 2 2 4 4" xfId="10052" xr:uid="{D8DA6C52-DE97-4FAC-B8B8-242B07867E3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2 2 2" xfId="16828" xr:uid="{13EBDE38-448B-4EDE-8049-2E382F83D58E}"/>
    <cellStyle name="40% - Accent5 2 2 2 5 2 3" xfId="12610" xr:uid="{EA77211E-DD42-4668-BBE8-9516159D7E56}"/>
    <cellStyle name="40% - Accent5 2 2 2 5 3" xfId="6241" xr:uid="{00000000-0005-0000-0000-000054060000}"/>
    <cellStyle name="40% - Accent5 2 2 2 5 3 2" xfId="14683" xr:uid="{7CB7E13F-4828-40CE-95FE-868B1E091BE6}"/>
    <cellStyle name="40% - Accent5 2 2 2 5 4" xfId="10465" xr:uid="{22801527-004B-461E-9FF8-05C034FCB4E4}"/>
    <cellStyle name="40% - Accent5 2 2 2 6" xfId="2347" xr:uid="{00000000-0005-0000-0000-000055060000}"/>
    <cellStyle name="40% - Accent5 2 2 2 6 2" xfId="6654" xr:uid="{00000000-0005-0000-0000-000056060000}"/>
    <cellStyle name="40% - Accent5 2 2 2 6 2 2" xfId="15096" xr:uid="{6B33421D-4EB8-4F3E-9421-07EBC87F2286}"/>
    <cellStyle name="40% - Accent5 2 2 2 6 3" xfId="10878" xr:uid="{66465BEE-6F3F-469A-9B1D-7DAA8BE45FEC}"/>
    <cellStyle name="40% - Accent5 2 2 2 7" xfId="4588" xr:uid="{00000000-0005-0000-0000-000057060000}"/>
    <cellStyle name="40% - Accent5 2 2 2 7 2" xfId="13030" xr:uid="{EDFD5D8D-D8E0-42BD-B565-15CD1E1F28D5}"/>
    <cellStyle name="40% - Accent5 2 2 2 8" xfId="8812" xr:uid="{A285A27D-54E6-4C85-B155-072388CD0320}"/>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15588" xr:uid="{30603CBE-2BA6-44C0-94F5-54EFF1D56087}"/>
    <cellStyle name="40% - Accent5 2 2 3 2 3" xfId="11370" xr:uid="{FA92FC01-8C73-4A05-A567-8A8ED2B143C1}"/>
    <cellStyle name="40% - Accent5 2 2 3 3" xfId="5001" xr:uid="{00000000-0005-0000-0000-00005B060000}"/>
    <cellStyle name="40% - Accent5 2 2 3 3 2" xfId="13443" xr:uid="{BC41757F-F002-4E7B-AE99-C75B8685042E}"/>
    <cellStyle name="40% - Accent5 2 2 3 4" xfId="9225" xr:uid="{5A3EC7AF-E73F-46E5-A82A-1BFD14BC48AE}"/>
    <cellStyle name="40% - Accent5 2 2 4" xfId="1105" xr:uid="{00000000-0005-0000-0000-00005C060000}"/>
    <cellStyle name="40% - Accent5 2 2 4 2" xfId="3336" xr:uid="{00000000-0005-0000-0000-00005D060000}"/>
    <cellStyle name="40% - Accent5 2 2 4 2 2" xfId="7559" xr:uid="{00000000-0005-0000-0000-00005E060000}"/>
    <cellStyle name="40% - Accent5 2 2 4 2 2 2" xfId="16001" xr:uid="{4ED108B1-ADE0-4009-9209-2B64789B7C05}"/>
    <cellStyle name="40% - Accent5 2 2 4 2 3" xfId="11783" xr:uid="{36D60695-36BF-49E1-A6AE-844D9F98E643}"/>
    <cellStyle name="40% - Accent5 2 2 4 3" xfId="5414" xr:uid="{00000000-0005-0000-0000-00005F060000}"/>
    <cellStyle name="40% - Accent5 2 2 4 3 2" xfId="13856" xr:uid="{6CC46A0C-4A39-4C07-8841-93B2E0235042}"/>
    <cellStyle name="40% - Accent5 2 2 4 4" xfId="9638" xr:uid="{8FF04FE4-52F7-4A75-B86E-BF63FC74DA94}"/>
    <cellStyle name="40% - Accent5 2 2 5" xfId="1519" xr:uid="{00000000-0005-0000-0000-000060060000}"/>
    <cellStyle name="40% - Accent5 2 2 5 2" xfId="3749" xr:uid="{00000000-0005-0000-0000-000061060000}"/>
    <cellStyle name="40% - Accent5 2 2 5 2 2" xfId="7972" xr:uid="{00000000-0005-0000-0000-000062060000}"/>
    <cellStyle name="40% - Accent5 2 2 5 2 2 2" xfId="16414" xr:uid="{57CE3729-CBBB-4DB2-B597-FA756157390A}"/>
    <cellStyle name="40% - Accent5 2 2 5 2 3" xfId="12196" xr:uid="{B71DB9CD-BBFE-4FE1-A8FC-958E43F1CF9C}"/>
    <cellStyle name="40% - Accent5 2 2 5 3" xfId="5827" xr:uid="{00000000-0005-0000-0000-000063060000}"/>
    <cellStyle name="40% - Accent5 2 2 5 3 2" xfId="14269" xr:uid="{4F707823-C568-455A-9761-F4C296F99B48}"/>
    <cellStyle name="40% - Accent5 2 2 5 4" xfId="10051" xr:uid="{6B5E91FB-553B-4AEE-A64D-D1750160E87C}"/>
    <cellStyle name="40% - Accent5 2 2 6" xfId="1933" xr:uid="{00000000-0005-0000-0000-000064060000}"/>
    <cellStyle name="40% - Accent5 2 2 6 2" xfId="4162" xr:uid="{00000000-0005-0000-0000-000065060000}"/>
    <cellStyle name="40% - Accent5 2 2 6 2 2" xfId="8385" xr:uid="{00000000-0005-0000-0000-000066060000}"/>
    <cellStyle name="40% - Accent5 2 2 6 2 2 2" xfId="16827" xr:uid="{A0081DA9-C96F-47F8-87E1-C60CADF22A78}"/>
    <cellStyle name="40% - Accent5 2 2 6 2 3" xfId="12609" xr:uid="{200A52DA-57AE-472E-A8D4-A724E08358BE}"/>
    <cellStyle name="40% - Accent5 2 2 6 3" xfId="6240" xr:uid="{00000000-0005-0000-0000-000067060000}"/>
    <cellStyle name="40% - Accent5 2 2 6 3 2" xfId="14682" xr:uid="{7CEBEAB0-917D-4950-BBBE-2E9E5D2E8C48}"/>
    <cellStyle name="40% - Accent5 2 2 6 4" xfId="10464" xr:uid="{C3587FC6-CF98-45AD-84D9-826A8E0E6070}"/>
    <cellStyle name="40% - Accent5 2 2 7" xfId="2346" xr:uid="{00000000-0005-0000-0000-000068060000}"/>
    <cellStyle name="40% - Accent5 2 2 7 2" xfId="6653" xr:uid="{00000000-0005-0000-0000-000069060000}"/>
    <cellStyle name="40% - Accent5 2 2 7 2 2" xfId="15095" xr:uid="{E69737EE-87BA-4091-ACFE-150C12CE2E5F}"/>
    <cellStyle name="40% - Accent5 2 2 7 3" xfId="10877" xr:uid="{AF0FE01A-8AE9-444E-B858-0296982A347B}"/>
    <cellStyle name="40% - Accent5 2 2 8" xfId="4587" xr:uid="{00000000-0005-0000-0000-00006A060000}"/>
    <cellStyle name="40% - Accent5 2 2 8 2" xfId="13029" xr:uid="{1F04E747-1228-4134-822D-4AA214997B85}"/>
    <cellStyle name="40% - Accent5 2 2 9" xfId="8811" xr:uid="{DA8C3F47-0A80-410F-86F6-B95327814F35}"/>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15590" xr:uid="{0893CA39-62E7-4180-B043-D7FBD9B5320E}"/>
    <cellStyle name="40% - Accent5 2 3 2 2 3" xfId="11372" xr:uid="{8A6FCCB2-B09A-4118-B52A-43C35A2AAFED}"/>
    <cellStyle name="40% - Accent5 2 3 2 3" xfId="5003" xr:uid="{00000000-0005-0000-0000-00006F060000}"/>
    <cellStyle name="40% - Accent5 2 3 2 3 2" xfId="13445" xr:uid="{9044EC7B-EEEB-4435-A537-E70934AF137A}"/>
    <cellStyle name="40% - Accent5 2 3 2 4" xfId="9227" xr:uid="{F9B5D1CD-A469-4523-BF18-670E76D719EC}"/>
    <cellStyle name="40% - Accent5 2 3 3" xfId="1107" xr:uid="{00000000-0005-0000-0000-000070060000}"/>
    <cellStyle name="40% - Accent5 2 3 3 2" xfId="3338" xr:uid="{00000000-0005-0000-0000-000071060000}"/>
    <cellStyle name="40% - Accent5 2 3 3 2 2" xfId="7561" xr:uid="{00000000-0005-0000-0000-000072060000}"/>
    <cellStyle name="40% - Accent5 2 3 3 2 2 2" xfId="16003" xr:uid="{C2D62220-953E-4364-916D-9A48051DBE92}"/>
    <cellStyle name="40% - Accent5 2 3 3 2 3" xfId="11785" xr:uid="{BC166497-98F2-4F76-91D5-39A18027FE48}"/>
    <cellStyle name="40% - Accent5 2 3 3 3" xfId="5416" xr:uid="{00000000-0005-0000-0000-000073060000}"/>
    <cellStyle name="40% - Accent5 2 3 3 3 2" xfId="13858" xr:uid="{F3486BF8-5964-41B2-AA62-70018A63EA94}"/>
    <cellStyle name="40% - Accent5 2 3 3 4" xfId="9640" xr:uid="{B8B3F37D-2C9B-43E9-A027-246A6310093F}"/>
    <cellStyle name="40% - Accent5 2 3 4" xfId="1521" xr:uid="{00000000-0005-0000-0000-000074060000}"/>
    <cellStyle name="40% - Accent5 2 3 4 2" xfId="3751" xr:uid="{00000000-0005-0000-0000-000075060000}"/>
    <cellStyle name="40% - Accent5 2 3 4 2 2" xfId="7974" xr:uid="{00000000-0005-0000-0000-000076060000}"/>
    <cellStyle name="40% - Accent5 2 3 4 2 2 2" xfId="16416" xr:uid="{854B619B-9BE5-43BD-B943-8BE78B23BE57}"/>
    <cellStyle name="40% - Accent5 2 3 4 2 3" xfId="12198" xr:uid="{3E77D9F2-FC11-4F66-A6F1-D4F87DC5928E}"/>
    <cellStyle name="40% - Accent5 2 3 4 3" xfId="5829" xr:uid="{00000000-0005-0000-0000-000077060000}"/>
    <cellStyle name="40% - Accent5 2 3 4 3 2" xfId="14271" xr:uid="{9B824DFC-6698-47B9-BFD4-E97637A7B735}"/>
    <cellStyle name="40% - Accent5 2 3 4 4" xfId="10053" xr:uid="{ED3C6B71-C95A-4F83-BCD2-1B1E4282BC36}"/>
    <cellStyle name="40% - Accent5 2 3 5" xfId="1935" xr:uid="{00000000-0005-0000-0000-000078060000}"/>
    <cellStyle name="40% - Accent5 2 3 5 2" xfId="4164" xr:uid="{00000000-0005-0000-0000-000079060000}"/>
    <cellStyle name="40% - Accent5 2 3 5 2 2" xfId="8387" xr:uid="{00000000-0005-0000-0000-00007A060000}"/>
    <cellStyle name="40% - Accent5 2 3 5 2 2 2" xfId="16829" xr:uid="{5D56B409-C1D8-4961-BCE8-A1044129F3D3}"/>
    <cellStyle name="40% - Accent5 2 3 5 2 3" xfId="12611" xr:uid="{C0CE8AAB-3E75-44D7-9F6E-1AC7037F86A4}"/>
    <cellStyle name="40% - Accent5 2 3 5 3" xfId="6242" xr:uid="{00000000-0005-0000-0000-00007B060000}"/>
    <cellStyle name="40% - Accent5 2 3 5 3 2" xfId="14684" xr:uid="{68D03A02-AFC0-47AC-A15F-72AE61621810}"/>
    <cellStyle name="40% - Accent5 2 3 5 4" xfId="10466" xr:uid="{FEBF2CCF-CC6B-442F-AA49-2FAF333158CE}"/>
    <cellStyle name="40% - Accent5 2 3 6" xfId="2348" xr:uid="{00000000-0005-0000-0000-00007C060000}"/>
    <cellStyle name="40% - Accent5 2 3 6 2" xfId="6655" xr:uid="{00000000-0005-0000-0000-00007D060000}"/>
    <cellStyle name="40% - Accent5 2 3 6 2 2" xfId="15097" xr:uid="{6B212A86-1D30-4EDB-897B-B58CB4CC77B1}"/>
    <cellStyle name="40% - Accent5 2 3 6 3" xfId="10879" xr:uid="{772DF9A8-C37B-4822-9145-84E3C2812962}"/>
    <cellStyle name="40% - Accent5 2 3 7" xfId="4589" xr:uid="{00000000-0005-0000-0000-00007E060000}"/>
    <cellStyle name="40% - Accent5 2 3 7 2" xfId="13031" xr:uid="{6EC143BE-561B-47AA-B6CE-76459857EA59}"/>
    <cellStyle name="40% - Accent5 2 3 8" xfId="8813" xr:uid="{56110E55-4CA4-47AF-A345-597375B29FB4}"/>
    <cellStyle name="40% - Accent5 2 4" xfId="651" xr:uid="{00000000-0005-0000-0000-00007F060000}"/>
    <cellStyle name="40% - Accent5 2 4 2" xfId="2922" xr:uid="{00000000-0005-0000-0000-000080060000}"/>
    <cellStyle name="40% - Accent5 2 4 2 2" xfId="7145" xr:uid="{00000000-0005-0000-0000-000081060000}"/>
    <cellStyle name="40% - Accent5 2 4 2 2 2" xfId="15587" xr:uid="{15F90852-06BE-4DC2-8A1C-A4C460940098}"/>
    <cellStyle name="40% - Accent5 2 4 2 3" xfId="11369" xr:uid="{1C8E806E-CC80-48D5-B52E-79B0C58526F5}"/>
    <cellStyle name="40% - Accent5 2 4 3" xfId="5000" xr:uid="{00000000-0005-0000-0000-000082060000}"/>
    <cellStyle name="40% - Accent5 2 4 3 2" xfId="13442" xr:uid="{ADDCB0FA-9C6E-4E7B-B395-4646CF496696}"/>
    <cellStyle name="40% - Accent5 2 4 4" xfId="9224" xr:uid="{D1398A65-A7BE-4232-B175-8425F8654624}"/>
    <cellStyle name="40% - Accent5 2 5" xfId="1104" xr:uid="{00000000-0005-0000-0000-000083060000}"/>
    <cellStyle name="40% - Accent5 2 5 2" xfId="3335" xr:uid="{00000000-0005-0000-0000-000084060000}"/>
    <cellStyle name="40% - Accent5 2 5 2 2" xfId="7558" xr:uid="{00000000-0005-0000-0000-000085060000}"/>
    <cellStyle name="40% - Accent5 2 5 2 2 2" xfId="16000" xr:uid="{9C36F939-DE2A-4EE4-B12C-D229C8B2F6F6}"/>
    <cellStyle name="40% - Accent5 2 5 2 3" xfId="11782" xr:uid="{1B102BFF-05CA-4D2C-A5D1-676A48614133}"/>
    <cellStyle name="40% - Accent5 2 5 3" xfId="5413" xr:uid="{00000000-0005-0000-0000-000086060000}"/>
    <cellStyle name="40% - Accent5 2 5 3 2" xfId="13855" xr:uid="{777CE811-33F4-4B07-AC73-9E60DC5AC4CE}"/>
    <cellStyle name="40% - Accent5 2 5 4" xfId="9637" xr:uid="{BF17E000-5502-4FB1-879E-BA4CA8B9F0E5}"/>
    <cellStyle name="40% - Accent5 2 6" xfId="1518" xr:uid="{00000000-0005-0000-0000-000087060000}"/>
    <cellStyle name="40% - Accent5 2 6 2" xfId="3748" xr:uid="{00000000-0005-0000-0000-000088060000}"/>
    <cellStyle name="40% - Accent5 2 6 2 2" xfId="7971" xr:uid="{00000000-0005-0000-0000-000089060000}"/>
    <cellStyle name="40% - Accent5 2 6 2 2 2" xfId="16413" xr:uid="{D3CA94BD-4AF8-44AB-A3BE-68E5A19569D0}"/>
    <cellStyle name="40% - Accent5 2 6 2 3" xfId="12195" xr:uid="{571E9628-00D1-45A2-9AD6-CE9D670AFA90}"/>
    <cellStyle name="40% - Accent5 2 6 3" xfId="5826" xr:uid="{00000000-0005-0000-0000-00008A060000}"/>
    <cellStyle name="40% - Accent5 2 6 3 2" xfId="14268" xr:uid="{DE1F0C4F-A212-45BD-B0B4-029E77FF7961}"/>
    <cellStyle name="40% - Accent5 2 6 4" xfId="10050" xr:uid="{D39C5137-95E4-44CC-8DDD-D15EDB5BEF4C}"/>
    <cellStyle name="40% - Accent5 2 7" xfId="1932" xr:uid="{00000000-0005-0000-0000-00008B060000}"/>
    <cellStyle name="40% - Accent5 2 7 2" xfId="4161" xr:uid="{00000000-0005-0000-0000-00008C060000}"/>
    <cellStyle name="40% - Accent5 2 7 2 2" xfId="8384" xr:uid="{00000000-0005-0000-0000-00008D060000}"/>
    <cellStyle name="40% - Accent5 2 7 2 2 2" xfId="16826" xr:uid="{A8B2206A-82DA-4122-BD68-19C4F73984DE}"/>
    <cellStyle name="40% - Accent5 2 7 2 3" xfId="12608" xr:uid="{78C1484C-4832-4298-9290-A2DB745939D1}"/>
    <cellStyle name="40% - Accent5 2 7 3" xfId="6239" xr:uid="{00000000-0005-0000-0000-00008E060000}"/>
    <cellStyle name="40% - Accent5 2 7 3 2" xfId="14681" xr:uid="{9278F521-2BF5-4C8C-AF77-DB6EC7CBCBAC}"/>
    <cellStyle name="40% - Accent5 2 7 4" xfId="10463" xr:uid="{C4A4ECD8-3A70-42DC-910D-0A5778B27FB3}"/>
    <cellStyle name="40% - Accent5 2 8" xfId="2345" xr:uid="{00000000-0005-0000-0000-00008F060000}"/>
    <cellStyle name="40% - Accent5 2 8 2" xfId="6652" xr:uid="{00000000-0005-0000-0000-000090060000}"/>
    <cellStyle name="40% - Accent5 2 8 2 2" xfId="15094" xr:uid="{6B36E62D-349A-44CC-BC48-FF6A0E4EAFE5}"/>
    <cellStyle name="40% - Accent5 2 8 3" xfId="10876" xr:uid="{47C8E0C7-C77C-474A-ADBE-0B8A9857AA4F}"/>
    <cellStyle name="40% - Accent5 2 9" xfId="4586" xr:uid="{00000000-0005-0000-0000-000091060000}"/>
    <cellStyle name="40% - Accent5 2 9 2" xfId="13028" xr:uid="{95AAA895-888D-4E26-96E3-3B99636BF9BD}"/>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15592" xr:uid="{7B0E2948-4826-477E-B775-00F10D88D5AF}"/>
    <cellStyle name="40% - Accent5 3 2 2 2 3" xfId="11374" xr:uid="{DC193E87-2D57-4D7C-B600-675B0D77B5E5}"/>
    <cellStyle name="40% - Accent5 3 2 2 3" xfId="5005" xr:uid="{00000000-0005-0000-0000-000097060000}"/>
    <cellStyle name="40% - Accent5 3 2 2 3 2" xfId="13447" xr:uid="{120FBA99-E587-4AC9-ADCF-DDF856B1ECEE}"/>
    <cellStyle name="40% - Accent5 3 2 2 4" xfId="9229" xr:uid="{306EA4C6-0451-47D3-A637-A09701AE9845}"/>
    <cellStyle name="40% - Accent5 3 2 3" xfId="1109" xr:uid="{00000000-0005-0000-0000-000098060000}"/>
    <cellStyle name="40% - Accent5 3 2 3 2" xfId="3340" xr:uid="{00000000-0005-0000-0000-000099060000}"/>
    <cellStyle name="40% - Accent5 3 2 3 2 2" xfId="7563" xr:uid="{00000000-0005-0000-0000-00009A060000}"/>
    <cellStyle name="40% - Accent5 3 2 3 2 2 2" xfId="16005" xr:uid="{6AC16979-58F8-471B-A447-2376652BCCC1}"/>
    <cellStyle name="40% - Accent5 3 2 3 2 3" xfId="11787" xr:uid="{2A01F6D7-9EA6-4442-9AF8-73B0E700434B}"/>
    <cellStyle name="40% - Accent5 3 2 3 3" xfId="5418" xr:uid="{00000000-0005-0000-0000-00009B060000}"/>
    <cellStyle name="40% - Accent5 3 2 3 3 2" xfId="13860" xr:uid="{EB8392C7-C62D-4AFA-B802-416440772BE3}"/>
    <cellStyle name="40% - Accent5 3 2 3 4" xfId="9642" xr:uid="{91CFD8B4-6115-4890-AA17-8FE90BDCF13D}"/>
    <cellStyle name="40% - Accent5 3 2 4" xfId="1523" xr:uid="{00000000-0005-0000-0000-00009C060000}"/>
    <cellStyle name="40% - Accent5 3 2 4 2" xfId="3753" xr:uid="{00000000-0005-0000-0000-00009D060000}"/>
    <cellStyle name="40% - Accent5 3 2 4 2 2" xfId="7976" xr:uid="{00000000-0005-0000-0000-00009E060000}"/>
    <cellStyle name="40% - Accent5 3 2 4 2 2 2" xfId="16418" xr:uid="{2B99DADD-B41C-46B9-8EA0-C401689AE309}"/>
    <cellStyle name="40% - Accent5 3 2 4 2 3" xfId="12200" xr:uid="{EE9F336D-6885-4F6A-A12E-94826CEE8D6D}"/>
    <cellStyle name="40% - Accent5 3 2 4 3" xfId="5831" xr:uid="{00000000-0005-0000-0000-00009F060000}"/>
    <cellStyle name="40% - Accent5 3 2 4 3 2" xfId="14273" xr:uid="{11FD1772-1334-48D3-B6F7-9C4A9A812A41}"/>
    <cellStyle name="40% - Accent5 3 2 4 4" xfId="10055" xr:uid="{F9E86578-20D3-42A9-9106-1921DB6ECFBF}"/>
    <cellStyle name="40% - Accent5 3 2 5" xfId="1937" xr:uid="{00000000-0005-0000-0000-0000A0060000}"/>
    <cellStyle name="40% - Accent5 3 2 5 2" xfId="4166" xr:uid="{00000000-0005-0000-0000-0000A1060000}"/>
    <cellStyle name="40% - Accent5 3 2 5 2 2" xfId="8389" xr:uid="{00000000-0005-0000-0000-0000A2060000}"/>
    <cellStyle name="40% - Accent5 3 2 5 2 2 2" xfId="16831" xr:uid="{8F5BFE6E-F68C-456A-9C0B-1FB76D85FFF2}"/>
    <cellStyle name="40% - Accent5 3 2 5 2 3" xfId="12613" xr:uid="{B27EB594-B06D-44A0-BAEA-E85D2D63B72C}"/>
    <cellStyle name="40% - Accent5 3 2 5 3" xfId="6244" xr:uid="{00000000-0005-0000-0000-0000A3060000}"/>
    <cellStyle name="40% - Accent5 3 2 5 3 2" xfId="14686" xr:uid="{87D30BD1-029A-4E3A-B367-D212AE7A2652}"/>
    <cellStyle name="40% - Accent5 3 2 5 4" xfId="10468" xr:uid="{BC2F5C6A-8073-4BFF-BE41-30F4CA9C8850}"/>
    <cellStyle name="40% - Accent5 3 2 6" xfId="2350" xr:uid="{00000000-0005-0000-0000-0000A4060000}"/>
    <cellStyle name="40% - Accent5 3 2 6 2" xfId="6657" xr:uid="{00000000-0005-0000-0000-0000A5060000}"/>
    <cellStyle name="40% - Accent5 3 2 6 2 2" xfId="15099" xr:uid="{D80AEE9B-F89F-462A-911C-09B5EF36236D}"/>
    <cellStyle name="40% - Accent5 3 2 6 3" xfId="10881" xr:uid="{95A1E459-A7BB-42F7-B92A-12AE436C10E3}"/>
    <cellStyle name="40% - Accent5 3 2 7" xfId="4591" xr:uid="{00000000-0005-0000-0000-0000A6060000}"/>
    <cellStyle name="40% - Accent5 3 2 7 2" xfId="13033" xr:uid="{A0CD1678-7D2F-4717-B8B6-2DF24E17DB2C}"/>
    <cellStyle name="40% - Accent5 3 2 8" xfId="8815" xr:uid="{CA1246C2-5B3D-4144-BA05-1D89E8D5026B}"/>
    <cellStyle name="40% - Accent5 3 3" xfId="655" xr:uid="{00000000-0005-0000-0000-0000A7060000}"/>
    <cellStyle name="40% - Accent5 3 3 2" xfId="2926" xr:uid="{00000000-0005-0000-0000-0000A8060000}"/>
    <cellStyle name="40% - Accent5 3 3 2 2" xfId="7149" xr:uid="{00000000-0005-0000-0000-0000A9060000}"/>
    <cellStyle name="40% - Accent5 3 3 2 2 2" xfId="15591" xr:uid="{57413E98-2F8F-4042-9D67-9CD5C8DBF94B}"/>
    <cellStyle name="40% - Accent5 3 3 2 3" xfId="11373" xr:uid="{216F4BC3-3E03-46EE-893D-043A808217E1}"/>
    <cellStyle name="40% - Accent5 3 3 3" xfId="5004" xr:uid="{00000000-0005-0000-0000-0000AA060000}"/>
    <cellStyle name="40% - Accent5 3 3 3 2" xfId="13446" xr:uid="{396E2FBC-D3B4-4BD8-8582-EB288691B7A0}"/>
    <cellStyle name="40% - Accent5 3 3 4" xfId="9228" xr:uid="{92F3BC64-0F4E-4979-866B-C7DB2A456851}"/>
    <cellStyle name="40% - Accent5 3 4" xfId="1108" xr:uid="{00000000-0005-0000-0000-0000AB060000}"/>
    <cellStyle name="40% - Accent5 3 4 2" xfId="3339" xr:uid="{00000000-0005-0000-0000-0000AC060000}"/>
    <cellStyle name="40% - Accent5 3 4 2 2" xfId="7562" xr:uid="{00000000-0005-0000-0000-0000AD060000}"/>
    <cellStyle name="40% - Accent5 3 4 2 2 2" xfId="16004" xr:uid="{B0160931-DCD9-462E-9F3B-2B5DE7BBA54E}"/>
    <cellStyle name="40% - Accent5 3 4 2 3" xfId="11786" xr:uid="{F3B01FE7-6866-4015-9977-5D8367559181}"/>
    <cellStyle name="40% - Accent5 3 4 3" xfId="5417" xr:uid="{00000000-0005-0000-0000-0000AE060000}"/>
    <cellStyle name="40% - Accent5 3 4 3 2" xfId="13859" xr:uid="{E8E9811A-23A8-40C1-87EA-4610D4A4C65F}"/>
    <cellStyle name="40% - Accent5 3 4 4" xfId="9641" xr:uid="{CE158488-BCF5-4659-B5BC-F52372044226}"/>
    <cellStyle name="40% - Accent5 3 5" xfId="1522" xr:uid="{00000000-0005-0000-0000-0000AF060000}"/>
    <cellStyle name="40% - Accent5 3 5 2" xfId="3752" xr:uid="{00000000-0005-0000-0000-0000B0060000}"/>
    <cellStyle name="40% - Accent5 3 5 2 2" xfId="7975" xr:uid="{00000000-0005-0000-0000-0000B1060000}"/>
    <cellStyle name="40% - Accent5 3 5 2 2 2" xfId="16417" xr:uid="{E1600344-27EE-487C-B4DA-9FF6ABC27885}"/>
    <cellStyle name="40% - Accent5 3 5 2 3" xfId="12199" xr:uid="{FEFDB41C-B365-45FF-8486-B96B8F62DE91}"/>
    <cellStyle name="40% - Accent5 3 5 3" xfId="5830" xr:uid="{00000000-0005-0000-0000-0000B2060000}"/>
    <cellStyle name="40% - Accent5 3 5 3 2" xfId="14272" xr:uid="{EA1730FD-930C-4295-B550-3288FC6C1985}"/>
    <cellStyle name="40% - Accent5 3 5 4" xfId="10054" xr:uid="{24AE8975-60F9-40A2-BF58-1477CEE539F7}"/>
    <cellStyle name="40% - Accent5 3 6" xfId="1936" xr:uid="{00000000-0005-0000-0000-0000B3060000}"/>
    <cellStyle name="40% - Accent5 3 6 2" xfId="4165" xr:uid="{00000000-0005-0000-0000-0000B4060000}"/>
    <cellStyle name="40% - Accent5 3 6 2 2" xfId="8388" xr:uid="{00000000-0005-0000-0000-0000B5060000}"/>
    <cellStyle name="40% - Accent5 3 6 2 2 2" xfId="16830" xr:uid="{B13DDA6A-0FB3-4427-B857-D0CC7E0EBB19}"/>
    <cellStyle name="40% - Accent5 3 6 2 3" xfId="12612" xr:uid="{858508A4-7365-4D5E-A60A-D111B16F5B68}"/>
    <cellStyle name="40% - Accent5 3 6 3" xfId="6243" xr:uid="{00000000-0005-0000-0000-0000B6060000}"/>
    <cellStyle name="40% - Accent5 3 6 3 2" xfId="14685" xr:uid="{EBBCA81C-16F9-4B4A-ABFD-FF437391F0FE}"/>
    <cellStyle name="40% - Accent5 3 6 4" xfId="10467" xr:uid="{2B2947C5-DA8D-4F63-8BA9-6889D6C96DAB}"/>
    <cellStyle name="40% - Accent5 3 7" xfId="2349" xr:uid="{00000000-0005-0000-0000-0000B7060000}"/>
    <cellStyle name="40% - Accent5 3 7 2" xfId="6656" xr:uid="{00000000-0005-0000-0000-0000B8060000}"/>
    <cellStyle name="40% - Accent5 3 7 2 2" xfId="15098" xr:uid="{85703350-51A9-4D88-82A2-2468B5C3CD1E}"/>
    <cellStyle name="40% - Accent5 3 7 3" xfId="10880" xr:uid="{AFF1DC0E-8264-4916-A7FA-0B0D8CB7BA93}"/>
    <cellStyle name="40% - Accent5 3 8" xfId="4590" xr:uid="{00000000-0005-0000-0000-0000B9060000}"/>
    <cellStyle name="40% - Accent5 3 8 2" xfId="13032" xr:uid="{1727BE9D-1197-4B4E-A5A8-AD1547D51C92}"/>
    <cellStyle name="40% - Accent5 3 9" xfId="8814" xr:uid="{4C77E12F-7CF4-4C77-86BD-6FF77F6EB552}"/>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2 2 2" xfId="15593" xr:uid="{75A4BD6C-D80B-4954-941E-CD8E3ADFF11A}"/>
    <cellStyle name="40% - Accent5 4 2 2 3" xfId="11375" xr:uid="{EE4852D3-5598-4C63-9D24-0BC7E281B4D5}"/>
    <cellStyle name="40% - Accent5 4 2 3" xfId="5006" xr:uid="{00000000-0005-0000-0000-0000BE060000}"/>
    <cellStyle name="40% - Accent5 4 2 3 2" xfId="13448" xr:uid="{B2E86FAB-04B5-46BC-B74C-1F18C0432206}"/>
    <cellStyle name="40% - Accent5 4 2 4" xfId="9230" xr:uid="{30B37392-1120-4EFC-AFD7-174C5EA3D1E8}"/>
    <cellStyle name="40% - Accent5 4 3" xfId="1110" xr:uid="{00000000-0005-0000-0000-0000BF060000}"/>
    <cellStyle name="40% - Accent5 4 3 2" xfId="3341" xr:uid="{00000000-0005-0000-0000-0000C0060000}"/>
    <cellStyle name="40% - Accent5 4 3 2 2" xfId="7564" xr:uid="{00000000-0005-0000-0000-0000C1060000}"/>
    <cellStyle name="40% - Accent5 4 3 2 2 2" xfId="16006" xr:uid="{FF98DBEE-922F-4CE5-8A79-25183284ED39}"/>
    <cellStyle name="40% - Accent5 4 3 2 3" xfId="11788" xr:uid="{8D66BE83-247C-4338-9039-4C2F85C26EC8}"/>
    <cellStyle name="40% - Accent5 4 3 3" xfId="5419" xr:uid="{00000000-0005-0000-0000-0000C2060000}"/>
    <cellStyle name="40% - Accent5 4 3 3 2" xfId="13861" xr:uid="{9D4710B0-8D43-43F8-8E09-ED57FC1891B1}"/>
    <cellStyle name="40% - Accent5 4 3 4" xfId="9643" xr:uid="{3AA4137D-8407-4286-B94C-E26EB9FBC5E4}"/>
    <cellStyle name="40% - Accent5 4 4" xfId="1524" xr:uid="{00000000-0005-0000-0000-0000C3060000}"/>
    <cellStyle name="40% - Accent5 4 4 2" xfId="3754" xr:uid="{00000000-0005-0000-0000-0000C4060000}"/>
    <cellStyle name="40% - Accent5 4 4 2 2" xfId="7977" xr:uid="{00000000-0005-0000-0000-0000C5060000}"/>
    <cellStyle name="40% - Accent5 4 4 2 2 2" xfId="16419" xr:uid="{E3D36983-2235-4DB0-84EA-0010845AB8BD}"/>
    <cellStyle name="40% - Accent5 4 4 2 3" xfId="12201" xr:uid="{8F8A2477-9709-4497-9A6C-62B665352AB6}"/>
    <cellStyle name="40% - Accent5 4 4 3" xfId="5832" xr:uid="{00000000-0005-0000-0000-0000C6060000}"/>
    <cellStyle name="40% - Accent5 4 4 3 2" xfId="14274" xr:uid="{3225F988-176C-4E74-B855-E8B9436B6005}"/>
    <cellStyle name="40% - Accent5 4 4 4" xfId="10056" xr:uid="{26D156D2-F1A3-4017-8A7D-D2DF3A10DA41}"/>
    <cellStyle name="40% - Accent5 4 5" xfId="1938" xr:uid="{00000000-0005-0000-0000-0000C7060000}"/>
    <cellStyle name="40% - Accent5 4 5 2" xfId="4167" xr:uid="{00000000-0005-0000-0000-0000C8060000}"/>
    <cellStyle name="40% - Accent5 4 5 2 2" xfId="8390" xr:uid="{00000000-0005-0000-0000-0000C9060000}"/>
    <cellStyle name="40% - Accent5 4 5 2 2 2" xfId="16832" xr:uid="{B55BE26B-D87D-41C6-B896-8EC8AB47105D}"/>
    <cellStyle name="40% - Accent5 4 5 2 3" xfId="12614" xr:uid="{1105F111-133E-41F3-8E3F-B0A12EE5E61D}"/>
    <cellStyle name="40% - Accent5 4 5 3" xfId="6245" xr:uid="{00000000-0005-0000-0000-0000CA060000}"/>
    <cellStyle name="40% - Accent5 4 5 3 2" xfId="14687" xr:uid="{13A01AB4-737D-49F2-AC4B-D02F0C4868A0}"/>
    <cellStyle name="40% - Accent5 4 5 4" xfId="10469" xr:uid="{04231A55-2F73-4BC3-8B99-B8A676BE7537}"/>
    <cellStyle name="40% - Accent5 4 6" xfId="2351" xr:uid="{00000000-0005-0000-0000-0000CB060000}"/>
    <cellStyle name="40% - Accent5 4 6 2" xfId="6658" xr:uid="{00000000-0005-0000-0000-0000CC060000}"/>
    <cellStyle name="40% - Accent5 4 6 2 2" xfId="15100" xr:uid="{32F3B499-F806-495A-9A97-FAB3B75530AB}"/>
    <cellStyle name="40% - Accent5 4 6 3" xfId="10882" xr:uid="{FD7FF1DA-9BB2-4F23-8D0E-7AE7EDF75C0E}"/>
    <cellStyle name="40% - Accent5 4 7" xfId="4592" xr:uid="{00000000-0005-0000-0000-0000CD060000}"/>
    <cellStyle name="40% - Accent5 4 7 2" xfId="13034" xr:uid="{B45F2213-BD05-4581-9F76-F5A0E72BA749}"/>
    <cellStyle name="40% - Accent5 4 8" xfId="8816" xr:uid="{72F50B8C-1D85-4991-825F-D0E70F0C6CAC}"/>
    <cellStyle name="40% - Accent5 5" xfId="650" xr:uid="{00000000-0005-0000-0000-0000CE060000}"/>
    <cellStyle name="40% - Accent5 5 2" xfId="2921" xr:uid="{00000000-0005-0000-0000-0000CF060000}"/>
    <cellStyle name="40% - Accent5 5 2 2" xfId="7144" xr:uid="{00000000-0005-0000-0000-0000D0060000}"/>
    <cellStyle name="40% - Accent5 5 2 2 2" xfId="15586" xr:uid="{68D68D10-E6AC-4514-B72B-D6A29D83B3C9}"/>
    <cellStyle name="40% - Accent5 5 2 3" xfId="11368" xr:uid="{44E12F8B-7147-49A4-93D6-D78DBDDCC8FC}"/>
    <cellStyle name="40% - Accent5 5 3" xfId="4999" xr:uid="{00000000-0005-0000-0000-0000D1060000}"/>
    <cellStyle name="40% - Accent5 5 3 2" xfId="13441" xr:uid="{1724848A-85C1-4229-8744-69FD65BF78E3}"/>
    <cellStyle name="40% - Accent5 5 4" xfId="9223" xr:uid="{38B9BDF1-A996-4E90-AD66-74F586D07733}"/>
    <cellStyle name="40% - Accent5 6" xfId="1103" xr:uid="{00000000-0005-0000-0000-0000D2060000}"/>
    <cellStyle name="40% - Accent5 6 2" xfId="3334" xr:uid="{00000000-0005-0000-0000-0000D3060000}"/>
    <cellStyle name="40% - Accent5 6 2 2" xfId="7557" xr:uid="{00000000-0005-0000-0000-0000D4060000}"/>
    <cellStyle name="40% - Accent5 6 2 2 2" xfId="15999" xr:uid="{40CFFE17-864D-442F-8D69-895E94E8DEB7}"/>
    <cellStyle name="40% - Accent5 6 2 3" xfId="11781" xr:uid="{E653549A-812C-42D9-9504-8AB410F86AF3}"/>
    <cellStyle name="40% - Accent5 6 3" xfId="5412" xr:uid="{00000000-0005-0000-0000-0000D5060000}"/>
    <cellStyle name="40% - Accent5 6 3 2" xfId="13854" xr:uid="{85E206EB-7D6B-4436-B1CB-5B482C782B47}"/>
    <cellStyle name="40% - Accent5 6 4" xfId="9636" xr:uid="{4660169D-FF77-401C-BB91-86ED6279B9B0}"/>
    <cellStyle name="40% - Accent5 7" xfId="1517" xr:uid="{00000000-0005-0000-0000-0000D6060000}"/>
    <cellStyle name="40% - Accent5 7 2" xfId="3747" xr:uid="{00000000-0005-0000-0000-0000D7060000}"/>
    <cellStyle name="40% - Accent5 7 2 2" xfId="7970" xr:uid="{00000000-0005-0000-0000-0000D8060000}"/>
    <cellStyle name="40% - Accent5 7 2 2 2" xfId="16412" xr:uid="{C1F8F6BB-203B-4076-A1A8-DF9D53175092}"/>
    <cellStyle name="40% - Accent5 7 2 3" xfId="12194" xr:uid="{A4D0E20A-6D41-40DE-A547-A9416E59E7B4}"/>
    <cellStyle name="40% - Accent5 7 3" xfId="5825" xr:uid="{00000000-0005-0000-0000-0000D9060000}"/>
    <cellStyle name="40% - Accent5 7 3 2" xfId="14267" xr:uid="{FBD6B8C5-C5DE-4C72-BA29-1C7FBC3D4D3B}"/>
    <cellStyle name="40% - Accent5 7 4" xfId="10049" xr:uid="{F6497FD4-FB5D-4137-9F49-44F99CA9DE24}"/>
    <cellStyle name="40% - Accent5 8" xfId="1931" xr:uid="{00000000-0005-0000-0000-0000DA060000}"/>
    <cellStyle name="40% - Accent5 8 2" xfId="4160" xr:uid="{00000000-0005-0000-0000-0000DB060000}"/>
    <cellStyle name="40% - Accent5 8 2 2" xfId="8383" xr:uid="{00000000-0005-0000-0000-0000DC060000}"/>
    <cellStyle name="40% - Accent5 8 2 2 2" xfId="16825" xr:uid="{2F13ED13-77A5-403E-BF92-E92E04AEE3DE}"/>
    <cellStyle name="40% - Accent5 8 2 3" xfId="12607" xr:uid="{5B938757-E9CA-45FF-B24F-6F22463B52ED}"/>
    <cellStyle name="40% - Accent5 8 3" xfId="6238" xr:uid="{00000000-0005-0000-0000-0000DD060000}"/>
    <cellStyle name="40% - Accent5 8 3 2" xfId="14680" xr:uid="{469CDFC9-D05C-4D6B-BCC5-86695EBE1143}"/>
    <cellStyle name="40% - Accent5 8 4" xfId="10462" xr:uid="{3EDC5724-B709-4663-A4C5-1333D3830B16}"/>
    <cellStyle name="40% - Accent5 9" xfId="2344" xr:uid="{00000000-0005-0000-0000-0000DE060000}"/>
    <cellStyle name="40% - Accent5 9 2" xfId="6651" xr:uid="{00000000-0005-0000-0000-0000DF060000}"/>
    <cellStyle name="40% - Accent5 9 2 2" xfId="15093" xr:uid="{51B2E719-3D22-493C-8C25-6F3E9014B869}"/>
    <cellStyle name="40% - Accent5 9 3" xfId="10875" xr:uid="{9BF70884-CE97-4380-B3BE-6BD93B1B9F0D}"/>
    <cellStyle name="40% - Accent6" xfId="89" builtinId="51" customBuiltin="1"/>
    <cellStyle name="40% - Accent6 10" xfId="4593" xr:uid="{00000000-0005-0000-0000-0000E1060000}"/>
    <cellStyle name="40% - Accent6 10 2" xfId="13035" xr:uid="{D6F40051-1B6B-4281-B39E-FAEDE2F6193D}"/>
    <cellStyle name="40% - Accent6 11" xfId="8817" xr:uid="{D832794B-570E-408D-B8B0-7C2C5CD56B86}"/>
    <cellStyle name="40% - Accent6 2" xfId="90" xr:uid="{00000000-0005-0000-0000-0000E2060000}"/>
    <cellStyle name="40% - Accent6 2 10" xfId="8818" xr:uid="{183EF06B-6FCC-46AB-806C-D6835183F595}"/>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15597" xr:uid="{127642FF-F8A1-4F48-8264-9E6875D2130B}"/>
    <cellStyle name="40% - Accent6 2 2 2 2 2 3" xfId="11379" xr:uid="{C21232E8-55F1-45B0-A691-66A56E907D00}"/>
    <cellStyle name="40% - Accent6 2 2 2 2 3" xfId="5010" xr:uid="{00000000-0005-0000-0000-0000E8060000}"/>
    <cellStyle name="40% - Accent6 2 2 2 2 3 2" xfId="13452" xr:uid="{BFB33523-B762-449E-9AB6-B4699D956E8D}"/>
    <cellStyle name="40% - Accent6 2 2 2 2 4" xfId="9234" xr:uid="{D21AAC3A-895E-4E9D-A6BE-B9692B5E8D4F}"/>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2 2" xfId="16010" xr:uid="{192FBA9C-3AF0-44DD-9C1D-1EF0B1232FCC}"/>
    <cellStyle name="40% - Accent6 2 2 2 3 2 3" xfId="11792" xr:uid="{B2FF0B11-75AE-4F11-9E1D-1BB70B2CDB46}"/>
    <cellStyle name="40% - Accent6 2 2 2 3 3" xfId="5423" xr:uid="{00000000-0005-0000-0000-0000EC060000}"/>
    <cellStyle name="40% - Accent6 2 2 2 3 3 2" xfId="13865" xr:uid="{E4C0709B-8FB3-4A14-9987-1CC96C661FBC}"/>
    <cellStyle name="40% - Accent6 2 2 2 3 4" xfId="9647" xr:uid="{6157D087-44F5-49BB-964F-F1FF2CB5DE94}"/>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2 2 2" xfId="16423" xr:uid="{C4750FE0-84DE-4F47-BFA4-9037C1AE23E6}"/>
    <cellStyle name="40% - Accent6 2 2 2 4 2 3" xfId="12205" xr:uid="{1B4E70E2-A296-4AC6-908F-564CAFEE624F}"/>
    <cellStyle name="40% - Accent6 2 2 2 4 3" xfId="5836" xr:uid="{00000000-0005-0000-0000-0000F0060000}"/>
    <cellStyle name="40% - Accent6 2 2 2 4 3 2" xfId="14278" xr:uid="{F1D1F757-9370-49AB-A22C-C141B653393E}"/>
    <cellStyle name="40% - Accent6 2 2 2 4 4" xfId="10060" xr:uid="{C6964468-8402-4F13-97EF-80323724411B}"/>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2 2 2" xfId="16836" xr:uid="{1864E1A9-9806-4022-BD26-0AC57E3EC66E}"/>
    <cellStyle name="40% - Accent6 2 2 2 5 2 3" xfId="12618" xr:uid="{90756449-AF70-4385-9201-7CD16457F6F8}"/>
    <cellStyle name="40% - Accent6 2 2 2 5 3" xfId="6249" xr:uid="{00000000-0005-0000-0000-0000F4060000}"/>
    <cellStyle name="40% - Accent6 2 2 2 5 3 2" xfId="14691" xr:uid="{F2BBCB16-B484-4E8B-A18B-0A0A59004BE9}"/>
    <cellStyle name="40% - Accent6 2 2 2 5 4" xfId="10473" xr:uid="{B0D8D06D-0094-4DBD-A3C2-959F4332DD8F}"/>
    <cellStyle name="40% - Accent6 2 2 2 6" xfId="2355" xr:uid="{00000000-0005-0000-0000-0000F5060000}"/>
    <cellStyle name="40% - Accent6 2 2 2 6 2" xfId="6662" xr:uid="{00000000-0005-0000-0000-0000F6060000}"/>
    <cellStyle name="40% - Accent6 2 2 2 6 2 2" xfId="15104" xr:uid="{09779A31-F562-48D0-B792-7076AEBA4E6B}"/>
    <cellStyle name="40% - Accent6 2 2 2 6 3" xfId="10886" xr:uid="{90083A20-7DBA-4868-80CE-DF2AD004FF04}"/>
    <cellStyle name="40% - Accent6 2 2 2 7" xfId="4596" xr:uid="{00000000-0005-0000-0000-0000F7060000}"/>
    <cellStyle name="40% - Accent6 2 2 2 7 2" xfId="13038" xr:uid="{49898D69-D3F9-432E-9D4F-A95DAFB12600}"/>
    <cellStyle name="40% - Accent6 2 2 2 8" xfId="8820" xr:uid="{20965B84-5B43-4F8B-A011-39A220605026}"/>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15596" xr:uid="{B005D653-0CBA-4CFB-B2FD-68190DF48B28}"/>
    <cellStyle name="40% - Accent6 2 2 3 2 3" xfId="11378" xr:uid="{D90CD24A-18EE-4992-92F5-A7EA422ED3B7}"/>
    <cellStyle name="40% - Accent6 2 2 3 3" xfId="5009" xr:uid="{00000000-0005-0000-0000-0000FB060000}"/>
    <cellStyle name="40% - Accent6 2 2 3 3 2" xfId="13451" xr:uid="{5D88D595-BFCC-41C3-90A9-DADA62B57D36}"/>
    <cellStyle name="40% - Accent6 2 2 3 4" xfId="9233" xr:uid="{0016ED00-D776-45B1-8E58-0B144F70E794}"/>
    <cellStyle name="40% - Accent6 2 2 4" xfId="1113" xr:uid="{00000000-0005-0000-0000-0000FC060000}"/>
    <cellStyle name="40% - Accent6 2 2 4 2" xfId="3344" xr:uid="{00000000-0005-0000-0000-0000FD060000}"/>
    <cellStyle name="40% - Accent6 2 2 4 2 2" xfId="7567" xr:uid="{00000000-0005-0000-0000-0000FE060000}"/>
    <cellStyle name="40% - Accent6 2 2 4 2 2 2" xfId="16009" xr:uid="{48DB93D3-35B8-4ECF-845C-4251CF2AEC96}"/>
    <cellStyle name="40% - Accent6 2 2 4 2 3" xfId="11791" xr:uid="{AA90679E-8D1F-49E6-9DCE-9CB5D1585124}"/>
    <cellStyle name="40% - Accent6 2 2 4 3" xfId="5422" xr:uid="{00000000-0005-0000-0000-0000FF060000}"/>
    <cellStyle name="40% - Accent6 2 2 4 3 2" xfId="13864" xr:uid="{653D6DD6-78D9-4E0D-ADE2-15252ED5DE56}"/>
    <cellStyle name="40% - Accent6 2 2 4 4" xfId="9646" xr:uid="{CA7CCD0B-1533-48E6-89BC-6ACDBE9C285E}"/>
    <cellStyle name="40% - Accent6 2 2 5" xfId="1527" xr:uid="{00000000-0005-0000-0000-000000070000}"/>
    <cellStyle name="40% - Accent6 2 2 5 2" xfId="3757" xr:uid="{00000000-0005-0000-0000-000001070000}"/>
    <cellStyle name="40% - Accent6 2 2 5 2 2" xfId="7980" xr:uid="{00000000-0005-0000-0000-000002070000}"/>
    <cellStyle name="40% - Accent6 2 2 5 2 2 2" xfId="16422" xr:uid="{CFFE1CC6-CED8-44CD-87CE-15FDFFC59133}"/>
    <cellStyle name="40% - Accent6 2 2 5 2 3" xfId="12204" xr:uid="{B5976F51-3263-4774-8C20-DCDB2F2B3328}"/>
    <cellStyle name="40% - Accent6 2 2 5 3" xfId="5835" xr:uid="{00000000-0005-0000-0000-000003070000}"/>
    <cellStyle name="40% - Accent6 2 2 5 3 2" xfId="14277" xr:uid="{352FBF24-18DC-4456-B4CA-1CEFE730FCE3}"/>
    <cellStyle name="40% - Accent6 2 2 5 4" xfId="10059" xr:uid="{75B2B607-3B36-4208-AD5E-0BF91009FDA9}"/>
    <cellStyle name="40% - Accent6 2 2 6" xfId="1941" xr:uid="{00000000-0005-0000-0000-000004070000}"/>
    <cellStyle name="40% - Accent6 2 2 6 2" xfId="4170" xr:uid="{00000000-0005-0000-0000-000005070000}"/>
    <cellStyle name="40% - Accent6 2 2 6 2 2" xfId="8393" xr:uid="{00000000-0005-0000-0000-000006070000}"/>
    <cellStyle name="40% - Accent6 2 2 6 2 2 2" xfId="16835" xr:uid="{B4CC2899-7021-46C4-AF09-AE66909B6201}"/>
    <cellStyle name="40% - Accent6 2 2 6 2 3" xfId="12617" xr:uid="{E6A9E9C4-4EB6-40B5-AD46-D43E60252899}"/>
    <cellStyle name="40% - Accent6 2 2 6 3" xfId="6248" xr:uid="{00000000-0005-0000-0000-000007070000}"/>
    <cellStyle name="40% - Accent6 2 2 6 3 2" xfId="14690" xr:uid="{5B34D624-E013-42D1-A297-4B7DC0DC54B8}"/>
    <cellStyle name="40% - Accent6 2 2 6 4" xfId="10472" xr:uid="{22381961-A00C-417A-870C-FDB5F7F75A65}"/>
    <cellStyle name="40% - Accent6 2 2 7" xfId="2354" xr:uid="{00000000-0005-0000-0000-000008070000}"/>
    <cellStyle name="40% - Accent6 2 2 7 2" xfId="6661" xr:uid="{00000000-0005-0000-0000-000009070000}"/>
    <cellStyle name="40% - Accent6 2 2 7 2 2" xfId="15103" xr:uid="{FE2FEBC1-201A-4A98-9BDE-7348AF412495}"/>
    <cellStyle name="40% - Accent6 2 2 7 3" xfId="10885" xr:uid="{B9683831-90CF-40AE-B2DB-33684455020F}"/>
    <cellStyle name="40% - Accent6 2 2 8" xfId="4595" xr:uid="{00000000-0005-0000-0000-00000A070000}"/>
    <cellStyle name="40% - Accent6 2 2 8 2" xfId="13037" xr:uid="{C63E4474-2A1F-493D-8D0C-71E565C92D31}"/>
    <cellStyle name="40% - Accent6 2 2 9" xfId="8819" xr:uid="{3487B7F2-3F91-4FF9-A3E7-72303A4927E5}"/>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15598" xr:uid="{7C286186-709A-41A1-AD6A-0DA4EF4F0BD8}"/>
    <cellStyle name="40% - Accent6 2 3 2 2 3" xfId="11380" xr:uid="{5D0F2729-2BE8-4171-B051-F353A942E019}"/>
    <cellStyle name="40% - Accent6 2 3 2 3" xfId="5011" xr:uid="{00000000-0005-0000-0000-00000F070000}"/>
    <cellStyle name="40% - Accent6 2 3 2 3 2" xfId="13453" xr:uid="{F78E0CBC-6503-47CE-A71E-71B02D6B380F}"/>
    <cellStyle name="40% - Accent6 2 3 2 4" xfId="9235" xr:uid="{29A2F9BD-77DF-4CFC-BB0C-A0FBDB61FFD7}"/>
    <cellStyle name="40% - Accent6 2 3 3" xfId="1115" xr:uid="{00000000-0005-0000-0000-000010070000}"/>
    <cellStyle name="40% - Accent6 2 3 3 2" xfId="3346" xr:uid="{00000000-0005-0000-0000-000011070000}"/>
    <cellStyle name="40% - Accent6 2 3 3 2 2" xfId="7569" xr:uid="{00000000-0005-0000-0000-000012070000}"/>
    <cellStyle name="40% - Accent6 2 3 3 2 2 2" xfId="16011" xr:uid="{6EAC1D1E-36D6-4F53-AA13-772B9A92080C}"/>
    <cellStyle name="40% - Accent6 2 3 3 2 3" xfId="11793" xr:uid="{E37D4B7D-1A4E-479E-9BB5-E86A10C4E91A}"/>
    <cellStyle name="40% - Accent6 2 3 3 3" xfId="5424" xr:uid="{00000000-0005-0000-0000-000013070000}"/>
    <cellStyle name="40% - Accent6 2 3 3 3 2" xfId="13866" xr:uid="{DAA0F51F-B566-4303-9759-CA93204CF80A}"/>
    <cellStyle name="40% - Accent6 2 3 3 4" xfId="9648" xr:uid="{21A11A1C-0372-4DA2-AAA6-9D6F7BEB0274}"/>
    <cellStyle name="40% - Accent6 2 3 4" xfId="1529" xr:uid="{00000000-0005-0000-0000-000014070000}"/>
    <cellStyle name="40% - Accent6 2 3 4 2" xfId="3759" xr:uid="{00000000-0005-0000-0000-000015070000}"/>
    <cellStyle name="40% - Accent6 2 3 4 2 2" xfId="7982" xr:uid="{00000000-0005-0000-0000-000016070000}"/>
    <cellStyle name="40% - Accent6 2 3 4 2 2 2" xfId="16424" xr:uid="{136BD7CF-D5FD-41D1-89F5-F48CB2017E55}"/>
    <cellStyle name="40% - Accent6 2 3 4 2 3" xfId="12206" xr:uid="{EB74369D-E6A1-49C7-B1CD-4AECBD205002}"/>
    <cellStyle name="40% - Accent6 2 3 4 3" xfId="5837" xr:uid="{00000000-0005-0000-0000-000017070000}"/>
    <cellStyle name="40% - Accent6 2 3 4 3 2" xfId="14279" xr:uid="{300E28EC-5589-4226-BC9E-6F293804D007}"/>
    <cellStyle name="40% - Accent6 2 3 4 4" xfId="10061" xr:uid="{A0109439-ADB2-407B-942C-674EE6D570B6}"/>
    <cellStyle name="40% - Accent6 2 3 5" xfId="1943" xr:uid="{00000000-0005-0000-0000-000018070000}"/>
    <cellStyle name="40% - Accent6 2 3 5 2" xfId="4172" xr:uid="{00000000-0005-0000-0000-000019070000}"/>
    <cellStyle name="40% - Accent6 2 3 5 2 2" xfId="8395" xr:uid="{00000000-0005-0000-0000-00001A070000}"/>
    <cellStyle name="40% - Accent6 2 3 5 2 2 2" xfId="16837" xr:uid="{59A76774-0CF2-46A0-9777-E36A7EFF6416}"/>
    <cellStyle name="40% - Accent6 2 3 5 2 3" xfId="12619" xr:uid="{223DEAE2-72DD-4A31-B923-F45A80024683}"/>
    <cellStyle name="40% - Accent6 2 3 5 3" xfId="6250" xr:uid="{00000000-0005-0000-0000-00001B070000}"/>
    <cellStyle name="40% - Accent6 2 3 5 3 2" xfId="14692" xr:uid="{2753CAF4-CF6B-4EE4-BB87-305EF057CBB6}"/>
    <cellStyle name="40% - Accent6 2 3 5 4" xfId="10474" xr:uid="{2D238EFB-7F03-40D5-A7CF-8C14E54785C6}"/>
    <cellStyle name="40% - Accent6 2 3 6" xfId="2356" xr:uid="{00000000-0005-0000-0000-00001C070000}"/>
    <cellStyle name="40% - Accent6 2 3 6 2" xfId="6663" xr:uid="{00000000-0005-0000-0000-00001D070000}"/>
    <cellStyle name="40% - Accent6 2 3 6 2 2" xfId="15105" xr:uid="{C33483D0-149E-4DA5-94B9-DFFB77399E85}"/>
    <cellStyle name="40% - Accent6 2 3 6 3" xfId="10887" xr:uid="{091E5ACD-4EF4-4293-8729-B7C234440971}"/>
    <cellStyle name="40% - Accent6 2 3 7" xfId="4597" xr:uid="{00000000-0005-0000-0000-00001E070000}"/>
    <cellStyle name="40% - Accent6 2 3 7 2" xfId="13039" xr:uid="{BC7D0FFE-AB97-47FE-8E83-0B49F8F335AD}"/>
    <cellStyle name="40% - Accent6 2 3 8" xfId="8821" xr:uid="{FEB562C6-2787-45C3-B93B-8E09542C9F26}"/>
    <cellStyle name="40% - Accent6 2 4" xfId="659" xr:uid="{00000000-0005-0000-0000-00001F070000}"/>
    <cellStyle name="40% - Accent6 2 4 2" xfId="2930" xr:uid="{00000000-0005-0000-0000-000020070000}"/>
    <cellStyle name="40% - Accent6 2 4 2 2" xfId="7153" xr:uid="{00000000-0005-0000-0000-000021070000}"/>
    <cellStyle name="40% - Accent6 2 4 2 2 2" xfId="15595" xr:uid="{B58D2641-F7B8-47C8-B5D2-145984BD5416}"/>
    <cellStyle name="40% - Accent6 2 4 2 3" xfId="11377" xr:uid="{7073D2B7-EAF7-4A6E-AB7C-233B08E4DA46}"/>
    <cellStyle name="40% - Accent6 2 4 3" xfId="5008" xr:uid="{00000000-0005-0000-0000-000022070000}"/>
    <cellStyle name="40% - Accent6 2 4 3 2" xfId="13450" xr:uid="{42C02DF4-88FC-4564-BFFF-E741FEDBB692}"/>
    <cellStyle name="40% - Accent6 2 4 4" xfId="9232" xr:uid="{2E48BFF1-9B2B-4D1C-93AA-1C52AF37F3D0}"/>
    <cellStyle name="40% - Accent6 2 5" xfId="1112" xr:uid="{00000000-0005-0000-0000-000023070000}"/>
    <cellStyle name="40% - Accent6 2 5 2" xfId="3343" xr:uid="{00000000-0005-0000-0000-000024070000}"/>
    <cellStyle name="40% - Accent6 2 5 2 2" xfId="7566" xr:uid="{00000000-0005-0000-0000-000025070000}"/>
    <cellStyle name="40% - Accent6 2 5 2 2 2" xfId="16008" xr:uid="{3992D4A6-8E8A-4963-BD72-8B76EC21233F}"/>
    <cellStyle name="40% - Accent6 2 5 2 3" xfId="11790" xr:uid="{904D287E-B195-4F02-BD62-93888CCE4220}"/>
    <cellStyle name="40% - Accent6 2 5 3" xfId="5421" xr:uid="{00000000-0005-0000-0000-000026070000}"/>
    <cellStyle name="40% - Accent6 2 5 3 2" xfId="13863" xr:uid="{C12D5FA3-8836-4241-B118-4361543B23BD}"/>
    <cellStyle name="40% - Accent6 2 5 4" xfId="9645" xr:uid="{618F1202-CACD-430E-AE7F-82A965A5DE49}"/>
    <cellStyle name="40% - Accent6 2 6" xfId="1526" xr:uid="{00000000-0005-0000-0000-000027070000}"/>
    <cellStyle name="40% - Accent6 2 6 2" xfId="3756" xr:uid="{00000000-0005-0000-0000-000028070000}"/>
    <cellStyle name="40% - Accent6 2 6 2 2" xfId="7979" xr:uid="{00000000-0005-0000-0000-000029070000}"/>
    <cellStyle name="40% - Accent6 2 6 2 2 2" xfId="16421" xr:uid="{50559433-882F-4055-A9E2-3B7CA4C80C8E}"/>
    <cellStyle name="40% - Accent6 2 6 2 3" xfId="12203" xr:uid="{E6B7BB66-4043-4C8B-898B-054BF64BA2AE}"/>
    <cellStyle name="40% - Accent6 2 6 3" xfId="5834" xr:uid="{00000000-0005-0000-0000-00002A070000}"/>
    <cellStyle name="40% - Accent6 2 6 3 2" xfId="14276" xr:uid="{26D39BE6-2D5D-4831-A09E-B610D405A097}"/>
    <cellStyle name="40% - Accent6 2 6 4" xfId="10058" xr:uid="{EDB30691-44ED-4F4F-A9B9-381670A6F4E2}"/>
    <cellStyle name="40% - Accent6 2 7" xfId="1940" xr:uid="{00000000-0005-0000-0000-00002B070000}"/>
    <cellStyle name="40% - Accent6 2 7 2" xfId="4169" xr:uid="{00000000-0005-0000-0000-00002C070000}"/>
    <cellStyle name="40% - Accent6 2 7 2 2" xfId="8392" xr:uid="{00000000-0005-0000-0000-00002D070000}"/>
    <cellStyle name="40% - Accent6 2 7 2 2 2" xfId="16834" xr:uid="{7DE5FD82-542D-4A3D-9F0C-2986D350B93D}"/>
    <cellStyle name="40% - Accent6 2 7 2 3" xfId="12616" xr:uid="{F1A1EBB7-3F87-4075-8795-3382435DD049}"/>
    <cellStyle name="40% - Accent6 2 7 3" xfId="6247" xr:uid="{00000000-0005-0000-0000-00002E070000}"/>
    <cellStyle name="40% - Accent6 2 7 3 2" xfId="14689" xr:uid="{9543053E-6E63-40CC-9180-88DC93C5C671}"/>
    <cellStyle name="40% - Accent6 2 7 4" xfId="10471" xr:uid="{24FE69EA-FFD3-4ED4-8D83-3A08ACE99833}"/>
    <cellStyle name="40% - Accent6 2 8" xfId="2353" xr:uid="{00000000-0005-0000-0000-00002F070000}"/>
    <cellStyle name="40% - Accent6 2 8 2" xfId="6660" xr:uid="{00000000-0005-0000-0000-000030070000}"/>
    <cellStyle name="40% - Accent6 2 8 2 2" xfId="15102" xr:uid="{024C2947-1404-4606-9796-195CFBBFDCA2}"/>
    <cellStyle name="40% - Accent6 2 8 3" xfId="10884" xr:uid="{7B2C3B55-C139-402B-8229-71D825E0689B}"/>
    <cellStyle name="40% - Accent6 2 9" xfId="4594" xr:uid="{00000000-0005-0000-0000-000031070000}"/>
    <cellStyle name="40% - Accent6 2 9 2" xfId="13036" xr:uid="{08EF118F-1175-43A2-898A-053DDBB2CB7B}"/>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15600" xr:uid="{CAC34A90-D391-4726-9400-15FD6EACF7BB}"/>
    <cellStyle name="40% - Accent6 3 2 2 2 3" xfId="11382" xr:uid="{1F952B03-0D4B-4A49-A3F4-BB0FAAFFBBCC}"/>
    <cellStyle name="40% - Accent6 3 2 2 3" xfId="5013" xr:uid="{00000000-0005-0000-0000-000037070000}"/>
    <cellStyle name="40% - Accent6 3 2 2 3 2" xfId="13455" xr:uid="{CAD438C8-C70D-4710-96F6-F89BE230A088}"/>
    <cellStyle name="40% - Accent6 3 2 2 4" xfId="9237" xr:uid="{3E93654E-D73D-4A38-8429-2BBBEB5057E6}"/>
    <cellStyle name="40% - Accent6 3 2 3" xfId="1117" xr:uid="{00000000-0005-0000-0000-000038070000}"/>
    <cellStyle name="40% - Accent6 3 2 3 2" xfId="3348" xr:uid="{00000000-0005-0000-0000-000039070000}"/>
    <cellStyle name="40% - Accent6 3 2 3 2 2" xfId="7571" xr:uid="{00000000-0005-0000-0000-00003A070000}"/>
    <cellStyle name="40% - Accent6 3 2 3 2 2 2" xfId="16013" xr:uid="{361CA734-4DA3-4060-8E26-89ACE7E338D6}"/>
    <cellStyle name="40% - Accent6 3 2 3 2 3" xfId="11795" xr:uid="{110471B9-69BC-4DB2-BA27-79DEEA6E94E3}"/>
    <cellStyle name="40% - Accent6 3 2 3 3" xfId="5426" xr:uid="{00000000-0005-0000-0000-00003B070000}"/>
    <cellStyle name="40% - Accent6 3 2 3 3 2" xfId="13868" xr:uid="{78DF8022-B76C-4BD8-8CC0-59F4CD0B9B72}"/>
    <cellStyle name="40% - Accent6 3 2 3 4" xfId="9650" xr:uid="{0DCE94A8-5750-4599-B75A-07EE21281483}"/>
    <cellStyle name="40% - Accent6 3 2 4" xfId="1531" xr:uid="{00000000-0005-0000-0000-00003C070000}"/>
    <cellStyle name="40% - Accent6 3 2 4 2" xfId="3761" xr:uid="{00000000-0005-0000-0000-00003D070000}"/>
    <cellStyle name="40% - Accent6 3 2 4 2 2" xfId="7984" xr:uid="{00000000-0005-0000-0000-00003E070000}"/>
    <cellStyle name="40% - Accent6 3 2 4 2 2 2" xfId="16426" xr:uid="{EA7FECFC-599F-424E-93C1-FAB9D0F95815}"/>
    <cellStyle name="40% - Accent6 3 2 4 2 3" xfId="12208" xr:uid="{FF61D068-C8CC-478E-A12B-6779EF1BF466}"/>
    <cellStyle name="40% - Accent6 3 2 4 3" xfId="5839" xr:uid="{00000000-0005-0000-0000-00003F070000}"/>
    <cellStyle name="40% - Accent6 3 2 4 3 2" xfId="14281" xr:uid="{8745528C-848D-4890-8592-D8DA470A845C}"/>
    <cellStyle name="40% - Accent6 3 2 4 4" xfId="10063" xr:uid="{9FFAA26C-5CF5-4CFF-89F5-67F3E6F331D3}"/>
    <cellStyle name="40% - Accent6 3 2 5" xfId="1945" xr:uid="{00000000-0005-0000-0000-000040070000}"/>
    <cellStyle name="40% - Accent6 3 2 5 2" xfId="4174" xr:uid="{00000000-0005-0000-0000-000041070000}"/>
    <cellStyle name="40% - Accent6 3 2 5 2 2" xfId="8397" xr:uid="{00000000-0005-0000-0000-000042070000}"/>
    <cellStyle name="40% - Accent6 3 2 5 2 2 2" xfId="16839" xr:uid="{65F466BB-6947-4C25-8A9A-7618D9D83D9B}"/>
    <cellStyle name="40% - Accent6 3 2 5 2 3" xfId="12621" xr:uid="{AD036C20-780C-43F5-AF86-5B3813B1E548}"/>
    <cellStyle name="40% - Accent6 3 2 5 3" xfId="6252" xr:uid="{00000000-0005-0000-0000-000043070000}"/>
    <cellStyle name="40% - Accent6 3 2 5 3 2" xfId="14694" xr:uid="{93CE9CDB-F345-4581-9539-D09E1B76E37A}"/>
    <cellStyle name="40% - Accent6 3 2 5 4" xfId="10476" xr:uid="{BC8B09AA-59DC-451E-98B6-53D4D23ED771}"/>
    <cellStyle name="40% - Accent6 3 2 6" xfId="2358" xr:uid="{00000000-0005-0000-0000-000044070000}"/>
    <cellStyle name="40% - Accent6 3 2 6 2" xfId="6665" xr:uid="{00000000-0005-0000-0000-000045070000}"/>
    <cellStyle name="40% - Accent6 3 2 6 2 2" xfId="15107" xr:uid="{1859E5C0-37D5-412E-9612-880064588ED0}"/>
    <cellStyle name="40% - Accent6 3 2 6 3" xfId="10889" xr:uid="{99AE8B2D-9211-408B-83CA-CE9E0F5BC7E2}"/>
    <cellStyle name="40% - Accent6 3 2 7" xfId="4599" xr:uid="{00000000-0005-0000-0000-000046070000}"/>
    <cellStyle name="40% - Accent6 3 2 7 2" xfId="13041" xr:uid="{D3C50058-5725-4900-A220-16567ABBEBFB}"/>
    <cellStyle name="40% - Accent6 3 2 8" xfId="8823" xr:uid="{B33900FE-7CAE-4531-B528-6063F1614BCF}"/>
    <cellStyle name="40% - Accent6 3 3" xfId="663" xr:uid="{00000000-0005-0000-0000-000047070000}"/>
    <cellStyle name="40% - Accent6 3 3 2" xfId="2934" xr:uid="{00000000-0005-0000-0000-000048070000}"/>
    <cellStyle name="40% - Accent6 3 3 2 2" xfId="7157" xr:uid="{00000000-0005-0000-0000-000049070000}"/>
    <cellStyle name="40% - Accent6 3 3 2 2 2" xfId="15599" xr:uid="{EC639323-33C7-45BB-9F7A-410EE8559FFE}"/>
    <cellStyle name="40% - Accent6 3 3 2 3" xfId="11381" xr:uid="{0366E5A3-0EC5-4570-9E7A-A81BC696D63F}"/>
    <cellStyle name="40% - Accent6 3 3 3" xfId="5012" xr:uid="{00000000-0005-0000-0000-00004A070000}"/>
    <cellStyle name="40% - Accent6 3 3 3 2" xfId="13454" xr:uid="{662B21A9-33BD-4477-9D91-8D70FB849062}"/>
    <cellStyle name="40% - Accent6 3 3 4" xfId="9236" xr:uid="{DEF0F6C8-4154-4941-9E7A-C8C1C1EE8923}"/>
    <cellStyle name="40% - Accent6 3 4" xfId="1116" xr:uid="{00000000-0005-0000-0000-00004B070000}"/>
    <cellStyle name="40% - Accent6 3 4 2" xfId="3347" xr:uid="{00000000-0005-0000-0000-00004C070000}"/>
    <cellStyle name="40% - Accent6 3 4 2 2" xfId="7570" xr:uid="{00000000-0005-0000-0000-00004D070000}"/>
    <cellStyle name="40% - Accent6 3 4 2 2 2" xfId="16012" xr:uid="{5FB53ACA-F4BD-4FEB-8DD1-00CE4DCF574D}"/>
    <cellStyle name="40% - Accent6 3 4 2 3" xfId="11794" xr:uid="{EA87A7CA-14FF-4CD4-A3AC-C0EB22E17F39}"/>
    <cellStyle name="40% - Accent6 3 4 3" xfId="5425" xr:uid="{00000000-0005-0000-0000-00004E070000}"/>
    <cellStyle name="40% - Accent6 3 4 3 2" xfId="13867" xr:uid="{DFE8F22F-9496-45D8-8879-3BE98560FA77}"/>
    <cellStyle name="40% - Accent6 3 4 4" xfId="9649" xr:uid="{ACFBC927-14ED-4EF2-97D5-A268A0A53781}"/>
    <cellStyle name="40% - Accent6 3 5" xfId="1530" xr:uid="{00000000-0005-0000-0000-00004F070000}"/>
    <cellStyle name="40% - Accent6 3 5 2" xfId="3760" xr:uid="{00000000-0005-0000-0000-000050070000}"/>
    <cellStyle name="40% - Accent6 3 5 2 2" xfId="7983" xr:uid="{00000000-0005-0000-0000-000051070000}"/>
    <cellStyle name="40% - Accent6 3 5 2 2 2" xfId="16425" xr:uid="{D8383264-01D0-41D7-B3AE-5A291BF68DAB}"/>
    <cellStyle name="40% - Accent6 3 5 2 3" xfId="12207" xr:uid="{CC349425-35F3-49B0-AE89-FB13310A6705}"/>
    <cellStyle name="40% - Accent6 3 5 3" xfId="5838" xr:uid="{00000000-0005-0000-0000-000052070000}"/>
    <cellStyle name="40% - Accent6 3 5 3 2" xfId="14280" xr:uid="{7F988AB7-0C48-4614-95FF-D5B60E6F0A33}"/>
    <cellStyle name="40% - Accent6 3 5 4" xfId="10062" xr:uid="{2353BB5E-DBAB-46FE-A0BF-6E630C0E4EBE}"/>
    <cellStyle name="40% - Accent6 3 6" xfId="1944" xr:uid="{00000000-0005-0000-0000-000053070000}"/>
    <cellStyle name="40% - Accent6 3 6 2" xfId="4173" xr:uid="{00000000-0005-0000-0000-000054070000}"/>
    <cellStyle name="40% - Accent6 3 6 2 2" xfId="8396" xr:uid="{00000000-0005-0000-0000-000055070000}"/>
    <cellStyle name="40% - Accent6 3 6 2 2 2" xfId="16838" xr:uid="{70E5AD1D-C7C3-47F8-92D2-D9064DFA76CE}"/>
    <cellStyle name="40% - Accent6 3 6 2 3" xfId="12620" xr:uid="{A5C4F445-2318-4818-9A9F-826641942EC9}"/>
    <cellStyle name="40% - Accent6 3 6 3" xfId="6251" xr:uid="{00000000-0005-0000-0000-000056070000}"/>
    <cellStyle name="40% - Accent6 3 6 3 2" xfId="14693" xr:uid="{976C1895-1B12-41E0-930C-812976B2BA64}"/>
    <cellStyle name="40% - Accent6 3 6 4" xfId="10475" xr:uid="{B10B8CD3-EF0D-4667-8784-DA7981992F7A}"/>
    <cellStyle name="40% - Accent6 3 7" xfId="2357" xr:uid="{00000000-0005-0000-0000-000057070000}"/>
    <cellStyle name="40% - Accent6 3 7 2" xfId="6664" xr:uid="{00000000-0005-0000-0000-000058070000}"/>
    <cellStyle name="40% - Accent6 3 7 2 2" xfId="15106" xr:uid="{9E3A5FE3-F0C2-46DB-8BE3-45CE7D9F8683}"/>
    <cellStyle name="40% - Accent6 3 7 3" xfId="10888" xr:uid="{24C6A272-732B-4DE3-85C6-8FEEF690E9C5}"/>
    <cellStyle name="40% - Accent6 3 8" xfId="4598" xr:uid="{00000000-0005-0000-0000-000059070000}"/>
    <cellStyle name="40% - Accent6 3 8 2" xfId="13040" xr:uid="{092BD5F6-B390-4DF6-A75A-EEFCFE7B6EC0}"/>
    <cellStyle name="40% - Accent6 3 9" xfId="8822" xr:uid="{93D0B594-F221-4EB9-85C9-AD09ACD5F3FC}"/>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2 2 2" xfId="15601" xr:uid="{FEF7B8C5-E5E9-4C2C-979C-7CFADB098EDF}"/>
    <cellStyle name="40% - Accent6 4 2 2 3" xfId="11383" xr:uid="{93DFC009-4B7C-487D-96B8-E6B0363DE3F6}"/>
    <cellStyle name="40% - Accent6 4 2 3" xfId="5014" xr:uid="{00000000-0005-0000-0000-00005E070000}"/>
    <cellStyle name="40% - Accent6 4 2 3 2" xfId="13456" xr:uid="{68A4E640-D70E-49A2-8F9F-F56335135BF3}"/>
    <cellStyle name="40% - Accent6 4 2 4" xfId="9238" xr:uid="{C380962D-7EEE-4DD6-8F0C-7691839E84CB}"/>
    <cellStyle name="40% - Accent6 4 3" xfId="1118" xr:uid="{00000000-0005-0000-0000-00005F070000}"/>
    <cellStyle name="40% - Accent6 4 3 2" xfId="3349" xr:uid="{00000000-0005-0000-0000-000060070000}"/>
    <cellStyle name="40% - Accent6 4 3 2 2" xfId="7572" xr:uid="{00000000-0005-0000-0000-000061070000}"/>
    <cellStyle name="40% - Accent6 4 3 2 2 2" xfId="16014" xr:uid="{B814F307-E5C3-4C87-B247-2347E994EC32}"/>
    <cellStyle name="40% - Accent6 4 3 2 3" xfId="11796" xr:uid="{FCD275AE-60E5-4CCF-80FB-637C8CE12243}"/>
    <cellStyle name="40% - Accent6 4 3 3" xfId="5427" xr:uid="{00000000-0005-0000-0000-000062070000}"/>
    <cellStyle name="40% - Accent6 4 3 3 2" xfId="13869" xr:uid="{C84D8D7C-FED6-460D-BF29-D3110CA91C05}"/>
    <cellStyle name="40% - Accent6 4 3 4" xfId="9651" xr:uid="{8CFAB14A-3BC5-44F0-B0D3-1881F8E42B81}"/>
    <cellStyle name="40% - Accent6 4 4" xfId="1532" xr:uid="{00000000-0005-0000-0000-000063070000}"/>
    <cellStyle name="40% - Accent6 4 4 2" xfId="3762" xr:uid="{00000000-0005-0000-0000-000064070000}"/>
    <cellStyle name="40% - Accent6 4 4 2 2" xfId="7985" xr:uid="{00000000-0005-0000-0000-000065070000}"/>
    <cellStyle name="40% - Accent6 4 4 2 2 2" xfId="16427" xr:uid="{9F57CEA0-F7D6-4722-BB57-4CE1D8B102B4}"/>
    <cellStyle name="40% - Accent6 4 4 2 3" xfId="12209" xr:uid="{ECCA3281-1BCF-40C5-8CC2-27E53A2A1EF6}"/>
    <cellStyle name="40% - Accent6 4 4 3" xfId="5840" xr:uid="{00000000-0005-0000-0000-000066070000}"/>
    <cellStyle name="40% - Accent6 4 4 3 2" xfId="14282" xr:uid="{D1DB6DA8-B1EF-42B6-91C1-DF92B9FCD6CC}"/>
    <cellStyle name="40% - Accent6 4 4 4" xfId="10064" xr:uid="{0A863FF5-3062-4AA4-AEB8-DA285D71F61B}"/>
    <cellStyle name="40% - Accent6 4 5" xfId="1946" xr:uid="{00000000-0005-0000-0000-000067070000}"/>
    <cellStyle name="40% - Accent6 4 5 2" xfId="4175" xr:uid="{00000000-0005-0000-0000-000068070000}"/>
    <cellStyle name="40% - Accent6 4 5 2 2" xfId="8398" xr:uid="{00000000-0005-0000-0000-000069070000}"/>
    <cellStyle name="40% - Accent6 4 5 2 2 2" xfId="16840" xr:uid="{48BCB5A9-7F97-451E-B30A-C5E290C3A3B2}"/>
    <cellStyle name="40% - Accent6 4 5 2 3" xfId="12622" xr:uid="{56986584-E324-49CF-8BB1-BB5E811636A2}"/>
    <cellStyle name="40% - Accent6 4 5 3" xfId="6253" xr:uid="{00000000-0005-0000-0000-00006A070000}"/>
    <cellStyle name="40% - Accent6 4 5 3 2" xfId="14695" xr:uid="{DC1B3AD5-1E07-499C-87B8-DFDC74F0241C}"/>
    <cellStyle name="40% - Accent6 4 5 4" xfId="10477" xr:uid="{74DB4A7A-52D5-44FD-9E9F-61F0A5ED74D1}"/>
    <cellStyle name="40% - Accent6 4 6" xfId="2359" xr:uid="{00000000-0005-0000-0000-00006B070000}"/>
    <cellStyle name="40% - Accent6 4 6 2" xfId="6666" xr:uid="{00000000-0005-0000-0000-00006C070000}"/>
    <cellStyle name="40% - Accent6 4 6 2 2" xfId="15108" xr:uid="{3D575B6E-BEF1-40D7-A1EC-47C9C242A13A}"/>
    <cellStyle name="40% - Accent6 4 6 3" xfId="10890" xr:uid="{71C2C3CA-7B09-4E66-A321-4F572064357B}"/>
    <cellStyle name="40% - Accent6 4 7" xfId="4600" xr:uid="{00000000-0005-0000-0000-00006D070000}"/>
    <cellStyle name="40% - Accent6 4 7 2" xfId="13042" xr:uid="{6A65D286-EC92-4D0E-8272-8AB170AFAE53}"/>
    <cellStyle name="40% - Accent6 4 8" xfId="8824" xr:uid="{1D2C88E9-132E-40B5-8A15-2CAADC54DEAA}"/>
    <cellStyle name="40% - Accent6 5" xfId="658" xr:uid="{00000000-0005-0000-0000-00006E070000}"/>
    <cellStyle name="40% - Accent6 5 2" xfId="2929" xr:uid="{00000000-0005-0000-0000-00006F070000}"/>
    <cellStyle name="40% - Accent6 5 2 2" xfId="7152" xr:uid="{00000000-0005-0000-0000-000070070000}"/>
    <cellStyle name="40% - Accent6 5 2 2 2" xfId="15594" xr:uid="{A6635BD5-4A81-40A6-B508-D51DC544EC25}"/>
    <cellStyle name="40% - Accent6 5 2 3" xfId="11376" xr:uid="{2352CAEB-207A-4D49-9306-AC7B8A9D979B}"/>
    <cellStyle name="40% - Accent6 5 3" xfId="5007" xr:uid="{00000000-0005-0000-0000-000071070000}"/>
    <cellStyle name="40% - Accent6 5 3 2" xfId="13449" xr:uid="{40A513BF-CA66-4EAA-AA76-A5A0EEFE635D}"/>
    <cellStyle name="40% - Accent6 5 4" xfId="9231" xr:uid="{231E8A50-4DF0-4CA2-978B-52ACB45320D2}"/>
    <cellStyle name="40% - Accent6 6" xfId="1111" xr:uid="{00000000-0005-0000-0000-000072070000}"/>
    <cellStyle name="40% - Accent6 6 2" xfId="3342" xr:uid="{00000000-0005-0000-0000-000073070000}"/>
    <cellStyle name="40% - Accent6 6 2 2" xfId="7565" xr:uid="{00000000-0005-0000-0000-000074070000}"/>
    <cellStyle name="40% - Accent6 6 2 2 2" xfId="16007" xr:uid="{530CA0A7-3EFF-4328-A133-A1F927205ABB}"/>
    <cellStyle name="40% - Accent6 6 2 3" xfId="11789" xr:uid="{A872FCB0-78B4-4D9D-984D-D27F0F949B94}"/>
    <cellStyle name="40% - Accent6 6 3" xfId="5420" xr:uid="{00000000-0005-0000-0000-000075070000}"/>
    <cellStyle name="40% - Accent6 6 3 2" xfId="13862" xr:uid="{E50BD6B8-315B-457A-B819-F8D86DCE7B9B}"/>
    <cellStyle name="40% - Accent6 6 4" xfId="9644" xr:uid="{68A51703-7F8E-408B-96BF-C6A277A59216}"/>
    <cellStyle name="40% - Accent6 7" xfId="1525" xr:uid="{00000000-0005-0000-0000-000076070000}"/>
    <cellStyle name="40% - Accent6 7 2" xfId="3755" xr:uid="{00000000-0005-0000-0000-000077070000}"/>
    <cellStyle name="40% - Accent6 7 2 2" xfId="7978" xr:uid="{00000000-0005-0000-0000-000078070000}"/>
    <cellStyle name="40% - Accent6 7 2 2 2" xfId="16420" xr:uid="{43A741E6-B8B7-4D50-931E-A4D9FE5392C3}"/>
    <cellStyle name="40% - Accent6 7 2 3" xfId="12202" xr:uid="{CF828AB7-A47E-4B2A-A41D-B9ABCC5A8ABC}"/>
    <cellStyle name="40% - Accent6 7 3" xfId="5833" xr:uid="{00000000-0005-0000-0000-000079070000}"/>
    <cellStyle name="40% - Accent6 7 3 2" xfId="14275" xr:uid="{46B4E6C7-542E-4EB3-829B-1D2C72A3D3F9}"/>
    <cellStyle name="40% - Accent6 7 4" xfId="10057" xr:uid="{F3C43FEC-BBFC-4022-8B06-49259F5C1E41}"/>
    <cellStyle name="40% - Accent6 8" xfId="1939" xr:uid="{00000000-0005-0000-0000-00007A070000}"/>
    <cellStyle name="40% - Accent6 8 2" xfId="4168" xr:uid="{00000000-0005-0000-0000-00007B070000}"/>
    <cellStyle name="40% - Accent6 8 2 2" xfId="8391" xr:uid="{00000000-0005-0000-0000-00007C070000}"/>
    <cellStyle name="40% - Accent6 8 2 2 2" xfId="16833" xr:uid="{01337A53-1E75-409D-8F11-F9CE130A5CDB}"/>
    <cellStyle name="40% - Accent6 8 2 3" xfId="12615" xr:uid="{5734E566-DD07-4FB8-879A-6BB970C4CEF6}"/>
    <cellStyle name="40% - Accent6 8 3" xfId="6246" xr:uid="{00000000-0005-0000-0000-00007D070000}"/>
    <cellStyle name="40% - Accent6 8 3 2" xfId="14688" xr:uid="{ECC44466-1BF6-4F3F-A8C4-F94A1765E27E}"/>
    <cellStyle name="40% - Accent6 8 4" xfId="10470" xr:uid="{5CADF900-53F8-4897-A97E-BDD669103AE7}"/>
    <cellStyle name="40% - Accent6 9" xfId="2352" xr:uid="{00000000-0005-0000-0000-00007E070000}"/>
    <cellStyle name="40% - Accent6 9 2" xfId="6659" xr:uid="{00000000-0005-0000-0000-00007F070000}"/>
    <cellStyle name="40% - Accent6 9 2 2" xfId="15101" xr:uid="{93FCDFCA-BE99-445D-880C-EA2DBC5E046F}"/>
    <cellStyle name="40% - Accent6 9 3" xfId="10883" xr:uid="{988E0549-EC67-4ED1-9446-226029C0C35F}"/>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0 2 2" xfId="15426" xr:uid="{9C47A14F-C6BD-440C-948F-3A4D955722C0}"/>
    <cellStyle name="Comma 4 2 2 2 10 3" xfId="11208" xr:uid="{FA892195-241D-4139-9B26-8662D632FA61}"/>
    <cellStyle name="Comma 4 2 2 2 11" xfId="4601" xr:uid="{00000000-0005-0000-0000-0000A3070000}"/>
    <cellStyle name="Comma 4 2 2 2 11 2" xfId="13043" xr:uid="{D0DA9626-BF09-4D8E-964E-01490DC20C0A}"/>
    <cellStyle name="Comma 4 2 2 2 12" xfId="8825" xr:uid="{044EE2F2-7F9E-4D10-B47B-202C9C414AC8}"/>
    <cellStyle name="Comma 4 2 2 2 2" xfId="129" xr:uid="{00000000-0005-0000-0000-0000A4070000}"/>
    <cellStyle name="Comma 4 2 2 2 2 10" xfId="4602" xr:uid="{00000000-0005-0000-0000-0000A5070000}"/>
    <cellStyle name="Comma 4 2 2 2 2 10 2" xfId="13044" xr:uid="{AD6F6C1A-507F-4BAB-8AD3-152C7EB95166}"/>
    <cellStyle name="Comma 4 2 2 2 2 11" xfId="8826" xr:uid="{F18ACBE8-761F-4B16-BBD5-9DF2D10B6208}"/>
    <cellStyle name="Comma 4 2 2 2 2 2" xfId="130" xr:uid="{00000000-0005-0000-0000-0000A6070000}"/>
    <cellStyle name="Comma 4 2 2 2 2 2 10" xfId="8827" xr:uid="{BF10905B-1BD4-4DF5-AB67-7F03891A9B33}"/>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15604" xr:uid="{DE6D6405-AAA6-4DC7-8705-196FF33E1017}"/>
    <cellStyle name="Comma 4 2 2 2 2 2 2 2 3" xfId="11386" xr:uid="{EDA5B01B-AFF7-484A-8C1B-0035DD2016D9}"/>
    <cellStyle name="Comma 4 2 2 2 2 2 2 3" xfId="5017" xr:uid="{00000000-0005-0000-0000-0000AA070000}"/>
    <cellStyle name="Comma 4 2 2 2 2 2 2 3 2" xfId="13459" xr:uid="{9E2F2873-D328-4F81-A4A0-8A9504118D93}"/>
    <cellStyle name="Comma 4 2 2 2 2 2 2 4" xfId="9241" xr:uid="{3BED3083-D1EB-41A0-93CA-ACB731DCED7F}"/>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2 2" xfId="16017" xr:uid="{44F4E1CC-49E4-4E31-9021-A0ED46CCB5EA}"/>
    <cellStyle name="Comma 4 2 2 2 2 2 3 2 3" xfId="11799" xr:uid="{CDC8C340-12DD-4F0C-B213-C97649653637}"/>
    <cellStyle name="Comma 4 2 2 2 2 2 3 3" xfId="5430" xr:uid="{00000000-0005-0000-0000-0000AE070000}"/>
    <cellStyle name="Comma 4 2 2 2 2 2 3 3 2" xfId="13872" xr:uid="{49EF51D1-DDD0-4E0D-9BD7-E19E5009DFAA}"/>
    <cellStyle name="Comma 4 2 2 2 2 2 3 4" xfId="9654" xr:uid="{C92A6550-4F90-477E-8D50-4E532B6AD78E}"/>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2 2 2" xfId="16430" xr:uid="{77050566-A85E-49F6-8035-28611DED9A04}"/>
    <cellStyle name="Comma 4 2 2 2 2 2 4 2 3" xfId="12212" xr:uid="{AE9F4900-DAFE-4FA9-93D7-39A88F326C3C}"/>
    <cellStyle name="Comma 4 2 2 2 2 2 4 3" xfId="5843" xr:uid="{00000000-0005-0000-0000-0000B2070000}"/>
    <cellStyle name="Comma 4 2 2 2 2 2 4 3 2" xfId="14285" xr:uid="{433477E4-19C8-46E8-867F-266B2BC9C378}"/>
    <cellStyle name="Comma 4 2 2 2 2 2 4 4" xfId="10067" xr:uid="{6A51A781-D881-49B7-8F57-9E2462F429E7}"/>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2 2 2" xfId="16843" xr:uid="{F2967FD2-CEAC-4C48-8178-10E746D4E2BA}"/>
    <cellStyle name="Comma 4 2 2 2 2 2 5 2 3" xfId="12625" xr:uid="{4AA4CA9C-F8CC-43F9-9655-301621854314}"/>
    <cellStyle name="Comma 4 2 2 2 2 2 5 3" xfId="6256" xr:uid="{00000000-0005-0000-0000-0000B6070000}"/>
    <cellStyle name="Comma 4 2 2 2 2 2 5 3 2" xfId="14698" xr:uid="{78BDA816-7D20-46F8-BA23-EF4D03A166C9}"/>
    <cellStyle name="Comma 4 2 2 2 2 2 5 4" xfId="10480" xr:uid="{104A1F45-8142-4459-8B7F-CB7F716C8574}"/>
    <cellStyle name="Comma 4 2 2 2 2 2 6" xfId="2384" xr:uid="{00000000-0005-0000-0000-0000B7070000}"/>
    <cellStyle name="Comma 4 2 2 2 2 2 6 2" xfId="6669" xr:uid="{00000000-0005-0000-0000-0000B8070000}"/>
    <cellStyle name="Comma 4 2 2 2 2 2 6 2 2" xfId="15111" xr:uid="{224A49D3-C8B9-42B5-BE6C-F0A6D29BB5AC}"/>
    <cellStyle name="Comma 4 2 2 2 2 2 6 3" xfId="10893" xr:uid="{2091D856-BCD5-4522-A34E-519413EEB244}"/>
    <cellStyle name="Comma 4 2 2 2 2 2 7" xfId="2379" xr:uid="{00000000-0005-0000-0000-0000B9070000}"/>
    <cellStyle name="Comma 4 2 2 2 2 2 8" xfId="2762" xr:uid="{00000000-0005-0000-0000-0000BA070000}"/>
    <cellStyle name="Comma 4 2 2 2 2 2 8 2" xfId="6986" xr:uid="{00000000-0005-0000-0000-0000BB070000}"/>
    <cellStyle name="Comma 4 2 2 2 2 2 8 2 2" xfId="15428" xr:uid="{C50E3884-5BD1-4DCC-A244-34D6AC54FAF3}"/>
    <cellStyle name="Comma 4 2 2 2 2 2 8 3" xfId="11210" xr:uid="{35964A1F-F544-4E6C-ADA3-7FCD7816CCA8}"/>
    <cellStyle name="Comma 4 2 2 2 2 2 9" xfId="4603" xr:uid="{00000000-0005-0000-0000-0000BC070000}"/>
    <cellStyle name="Comma 4 2 2 2 2 2 9 2" xfId="13045" xr:uid="{96349187-A352-4E8C-8B94-3F0807D2FB17}"/>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15603" xr:uid="{F9C9655F-09E3-4302-BF4A-BD69F49F86B0}"/>
    <cellStyle name="Comma 4 2 2 2 2 3 2 3" xfId="11385" xr:uid="{9082EF69-5C96-476B-86B5-695994DFD657}"/>
    <cellStyle name="Comma 4 2 2 2 2 3 3" xfId="5016" xr:uid="{00000000-0005-0000-0000-0000C0070000}"/>
    <cellStyle name="Comma 4 2 2 2 2 3 3 2" xfId="13458" xr:uid="{79C3A7D5-0A86-45C9-9214-285FFACDDFE3}"/>
    <cellStyle name="Comma 4 2 2 2 2 3 4" xfId="9240" xr:uid="{F137B259-6540-44AF-987E-4C3E3F852663}"/>
    <cellStyle name="Comma 4 2 2 2 2 4" xfId="1120" xr:uid="{00000000-0005-0000-0000-0000C1070000}"/>
    <cellStyle name="Comma 4 2 2 2 2 4 2" xfId="3351" xr:uid="{00000000-0005-0000-0000-0000C2070000}"/>
    <cellStyle name="Comma 4 2 2 2 2 4 2 2" xfId="7574" xr:uid="{00000000-0005-0000-0000-0000C3070000}"/>
    <cellStyle name="Comma 4 2 2 2 2 4 2 2 2" xfId="16016" xr:uid="{F5C9DFA6-2F84-470F-A3E5-03E26463AEA4}"/>
    <cellStyle name="Comma 4 2 2 2 2 4 2 3" xfId="11798" xr:uid="{1B67BAB5-D7C5-4E8D-8520-E4E945D1BCBB}"/>
    <cellStyle name="Comma 4 2 2 2 2 4 3" xfId="5429" xr:uid="{00000000-0005-0000-0000-0000C4070000}"/>
    <cellStyle name="Comma 4 2 2 2 2 4 3 2" xfId="13871" xr:uid="{BA3C3866-28A4-4B91-8CCE-F12BF39EBBAF}"/>
    <cellStyle name="Comma 4 2 2 2 2 4 4" xfId="9653" xr:uid="{9665036E-D976-4C20-B1B0-086BC784FE65}"/>
    <cellStyle name="Comma 4 2 2 2 2 5" xfId="1534" xr:uid="{00000000-0005-0000-0000-0000C5070000}"/>
    <cellStyle name="Comma 4 2 2 2 2 5 2" xfId="3764" xr:uid="{00000000-0005-0000-0000-0000C6070000}"/>
    <cellStyle name="Comma 4 2 2 2 2 5 2 2" xfId="7987" xr:uid="{00000000-0005-0000-0000-0000C7070000}"/>
    <cellStyle name="Comma 4 2 2 2 2 5 2 2 2" xfId="16429" xr:uid="{04B9F08B-1A16-4DB7-BB72-1C3F5CC3AD87}"/>
    <cellStyle name="Comma 4 2 2 2 2 5 2 3" xfId="12211" xr:uid="{B9ABCBB3-53B6-433D-9379-06CAA2DCD933}"/>
    <cellStyle name="Comma 4 2 2 2 2 5 3" xfId="5842" xr:uid="{00000000-0005-0000-0000-0000C8070000}"/>
    <cellStyle name="Comma 4 2 2 2 2 5 3 2" xfId="14284" xr:uid="{DA2506FF-F1E8-4FCE-BE08-D41F8A54FB95}"/>
    <cellStyle name="Comma 4 2 2 2 2 5 4" xfId="10066" xr:uid="{E932F6EA-EA4C-4419-B5B6-48DD048603CD}"/>
    <cellStyle name="Comma 4 2 2 2 2 6" xfId="1948" xr:uid="{00000000-0005-0000-0000-0000C9070000}"/>
    <cellStyle name="Comma 4 2 2 2 2 6 2" xfId="4177" xr:uid="{00000000-0005-0000-0000-0000CA070000}"/>
    <cellStyle name="Comma 4 2 2 2 2 6 2 2" xfId="8400" xr:uid="{00000000-0005-0000-0000-0000CB070000}"/>
    <cellStyle name="Comma 4 2 2 2 2 6 2 2 2" xfId="16842" xr:uid="{615F2322-207A-44B2-881D-12CAB2776715}"/>
    <cellStyle name="Comma 4 2 2 2 2 6 2 3" xfId="12624" xr:uid="{69B14F96-0EFB-486F-A826-EA210B2A2FE8}"/>
    <cellStyle name="Comma 4 2 2 2 2 6 3" xfId="6255" xr:uid="{00000000-0005-0000-0000-0000CC070000}"/>
    <cellStyle name="Comma 4 2 2 2 2 6 3 2" xfId="14697" xr:uid="{6E93B5FA-7071-4446-8B70-77B2CAFBD24D}"/>
    <cellStyle name="Comma 4 2 2 2 2 6 4" xfId="10479" xr:uid="{4CC5B0DE-D8A4-4CD2-9CD1-418BD0D29D25}"/>
    <cellStyle name="Comma 4 2 2 2 2 7" xfId="2383" xr:uid="{00000000-0005-0000-0000-0000CD070000}"/>
    <cellStyle name="Comma 4 2 2 2 2 7 2" xfId="6668" xr:uid="{00000000-0005-0000-0000-0000CE070000}"/>
    <cellStyle name="Comma 4 2 2 2 2 7 2 2" xfId="15110" xr:uid="{2C2FB730-8B88-47CB-9336-4D70FD1F2E49}"/>
    <cellStyle name="Comma 4 2 2 2 2 7 3" xfId="10892" xr:uid="{34456806-EB1B-440F-8023-EED0004EDF2A}"/>
    <cellStyle name="Comma 4 2 2 2 2 8" xfId="2380" xr:uid="{00000000-0005-0000-0000-0000CF070000}"/>
    <cellStyle name="Comma 4 2 2 2 2 9" xfId="2761" xr:uid="{00000000-0005-0000-0000-0000D0070000}"/>
    <cellStyle name="Comma 4 2 2 2 2 9 2" xfId="6985" xr:uid="{00000000-0005-0000-0000-0000D1070000}"/>
    <cellStyle name="Comma 4 2 2 2 2 9 2 2" xfId="15427" xr:uid="{9F84132E-80EA-4E95-A191-FF41A7AC2CD2}"/>
    <cellStyle name="Comma 4 2 2 2 2 9 3" xfId="11209" xr:uid="{0BBA96D8-2D83-44C9-9279-401E5623579F}"/>
    <cellStyle name="Comma 4 2 2 2 3" xfId="131" xr:uid="{00000000-0005-0000-0000-0000D2070000}"/>
    <cellStyle name="Comma 4 2 2 2 3 10" xfId="8828" xr:uid="{AC245CD2-3590-4015-A510-1CC51ADA7289}"/>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15605" xr:uid="{64202D61-B94D-47B5-B009-BE09F4240711}"/>
    <cellStyle name="Comma 4 2 2 2 3 2 2 3" xfId="11387" xr:uid="{E3D8E5AA-E3EE-4909-A9A2-0ED174C07AD7}"/>
    <cellStyle name="Comma 4 2 2 2 3 2 3" xfId="5018" xr:uid="{00000000-0005-0000-0000-0000D6070000}"/>
    <cellStyle name="Comma 4 2 2 2 3 2 3 2" xfId="13460" xr:uid="{3662289F-4BA6-4AC8-84D9-135D302AC6AB}"/>
    <cellStyle name="Comma 4 2 2 2 3 2 4" xfId="9242" xr:uid="{1F03AB02-D0C1-4E7C-8E8F-57B10677CA68}"/>
    <cellStyle name="Comma 4 2 2 2 3 3" xfId="1122" xr:uid="{00000000-0005-0000-0000-0000D7070000}"/>
    <cellStyle name="Comma 4 2 2 2 3 3 2" xfId="3353" xr:uid="{00000000-0005-0000-0000-0000D8070000}"/>
    <cellStyle name="Comma 4 2 2 2 3 3 2 2" xfId="7576" xr:uid="{00000000-0005-0000-0000-0000D9070000}"/>
    <cellStyle name="Comma 4 2 2 2 3 3 2 2 2" xfId="16018" xr:uid="{29547F8D-1FB7-4DC6-9214-01547B9AD121}"/>
    <cellStyle name="Comma 4 2 2 2 3 3 2 3" xfId="11800" xr:uid="{268420E3-A8D9-412C-B1BA-61FC6394355A}"/>
    <cellStyle name="Comma 4 2 2 2 3 3 3" xfId="5431" xr:uid="{00000000-0005-0000-0000-0000DA070000}"/>
    <cellStyle name="Comma 4 2 2 2 3 3 3 2" xfId="13873" xr:uid="{69C97263-644D-4649-B3D1-71AAACEEF54F}"/>
    <cellStyle name="Comma 4 2 2 2 3 3 4" xfId="9655" xr:uid="{152073CE-475D-4C00-9BF8-FF8BD38DAE47}"/>
    <cellStyle name="Comma 4 2 2 2 3 4" xfId="1536" xr:uid="{00000000-0005-0000-0000-0000DB070000}"/>
    <cellStyle name="Comma 4 2 2 2 3 4 2" xfId="3766" xr:uid="{00000000-0005-0000-0000-0000DC070000}"/>
    <cellStyle name="Comma 4 2 2 2 3 4 2 2" xfId="7989" xr:uid="{00000000-0005-0000-0000-0000DD070000}"/>
    <cellStyle name="Comma 4 2 2 2 3 4 2 2 2" xfId="16431" xr:uid="{930ABAAC-38FE-487C-AF08-077776F89976}"/>
    <cellStyle name="Comma 4 2 2 2 3 4 2 3" xfId="12213" xr:uid="{8CAB0503-4F9A-4492-804D-95F531DBBB37}"/>
    <cellStyle name="Comma 4 2 2 2 3 4 3" xfId="5844" xr:uid="{00000000-0005-0000-0000-0000DE070000}"/>
    <cellStyle name="Comma 4 2 2 2 3 4 3 2" xfId="14286" xr:uid="{2AAE499F-21BD-42AD-93DA-9F70510FF408}"/>
    <cellStyle name="Comma 4 2 2 2 3 4 4" xfId="10068" xr:uid="{A1814A89-A5D7-4767-A53C-A05E691CC938}"/>
    <cellStyle name="Comma 4 2 2 2 3 5" xfId="1950" xr:uid="{00000000-0005-0000-0000-0000DF070000}"/>
    <cellStyle name="Comma 4 2 2 2 3 5 2" xfId="4179" xr:uid="{00000000-0005-0000-0000-0000E0070000}"/>
    <cellStyle name="Comma 4 2 2 2 3 5 2 2" xfId="8402" xr:uid="{00000000-0005-0000-0000-0000E1070000}"/>
    <cellStyle name="Comma 4 2 2 2 3 5 2 2 2" xfId="16844" xr:uid="{09C7DCF3-BCC2-4805-B45A-B4AF669D0663}"/>
    <cellStyle name="Comma 4 2 2 2 3 5 2 3" xfId="12626" xr:uid="{A9354558-FF8D-42F3-8CA3-1FB82E20B3A9}"/>
    <cellStyle name="Comma 4 2 2 2 3 5 3" xfId="6257" xr:uid="{00000000-0005-0000-0000-0000E2070000}"/>
    <cellStyle name="Comma 4 2 2 2 3 5 3 2" xfId="14699" xr:uid="{6F8FDDE0-FD91-4E07-A526-C5929A8C12C1}"/>
    <cellStyle name="Comma 4 2 2 2 3 5 4" xfId="10481" xr:uid="{31EFEAB7-E72F-49C7-A2BE-382B59B4407A}"/>
    <cellStyle name="Comma 4 2 2 2 3 6" xfId="2385" xr:uid="{00000000-0005-0000-0000-0000E3070000}"/>
    <cellStyle name="Comma 4 2 2 2 3 6 2" xfId="6670" xr:uid="{00000000-0005-0000-0000-0000E4070000}"/>
    <cellStyle name="Comma 4 2 2 2 3 6 2 2" xfId="15112" xr:uid="{1E80E50D-795E-4970-8B8C-62AA9DA09642}"/>
    <cellStyle name="Comma 4 2 2 2 3 6 3" xfId="10894" xr:uid="{8C4FFB83-8551-42D2-8789-1E9D7CBBAEF8}"/>
    <cellStyle name="Comma 4 2 2 2 3 7" xfId="2378" xr:uid="{00000000-0005-0000-0000-0000E5070000}"/>
    <cellStyle name="Comma 4 2 2 2 3 8" xfId="2763" xr:uid="{00000000-0005-0000-0000-0000E6070000}"/>
    <cellStyle name="Comma 4 2 2 2 3 8 2" xfId="6987" xr:uid="{00000000-0005-0000-0000-0000E7070000}"/>
    <cellStyle name="Comma 4 2 2 2 3 8 2 2" xfId="15429" xr:uid="{E534E405-2CB9-4E77-885F-EAF2F3A13035}"/>
    <cellStyle name="Comma 4 2 2 2 3 8 3" xfId="11211" xr:uid="{C6BE8DDB-75A4-4C48-B51E-9C5970643E77}"/>
    <cellStyle name="Comma 4 2 2 2 3 9" xfId="4604" xr:uid="{00000000-0005-0000-0000-0000E8070000}"/>
    <cellStyle name="Comma 4 2 2 2 3 9 2" xfId="13046" xr:uid="{88837C5C-FFF1-4541-8DD5-77FC5A94C95D}"/>
    <cellStyle name="Comma 4 2 2 2 4" xfId="666" xr:uid="{00000000-0005-0000-0000-0000E9070000}"/>
    <cellStyle name="Comma 4 2 2 2 4 2" xfId="2937" xr:uid="{00000000-0005-0000-0000-0000EA070000}"/>
    <cellStyle name="Comma 4 2 2 2 4 2 2" xfId="7160" xr:uid="{00000000-0005-0000-0000-0000EB070000}"/>
    <cellStyle name="Comma 4 2 2 2 4 2 2 2" xfId="15602" xr:uid="{D6B5F7FB-FF93-45D3-B005-2AB4979161FB}"/>
    <cellStyle name="Comma 4 2 2 2 4 2 3" xfId="11384" xr:uid="{3270A093-5A03-40A7-89A2-A425DA1394A1}"/>
    <cellStyle name="Comma 4 2 2 2 4 3" xfId="5015" xr:uid="{00000000-0005-0000-0000-0000EC070000}"/>
    <cellStyle name="Comma 4 2 2 2 4 3 2" xfId="13457" xr:uid="{D2C9FC29-8D7A-4D05-BD99-8A4D819A7A98}"/>
    <cellStyle name="Comma 4 2 2 2 4 4" xfId="9239" xr:uid="{5E5C21D7-24CE-49BE-8C1E-DA25BDFC404D}"/>
    <cellStyle name="Comma 4 2 2 2 5" xfId="1119" xr:uid="{00000000-0005-0000-0000-0000ED070000}"/>
    <cellStyle name="Comma 4 2 2 2 5 2" xfId="3350" xr:uid="{00000000-0005-0000-0000-0000EE070000}"/>
    <cellStyle name="Comma 4 2 2 2 5 2 2" xfId="7573" xr:uid="{00000000-0005-0000-0000-0000EF070000}"/>
    <cellStyle name="Comma 4 2 2 2 5 2 2 2" xfId="16015" xr:uid="{53606B5F-1545-4D6A-A8A1-92A90343CE55}"/>
    <cellStyle name="Comma 4 2 2 2 5 2 3" xfId="11797" xr:uid="{7C089F86-01B3-46C5-9DD5-235481202C95}"/>
    <cellStyle name="Comma 4 2 2 2 5 3" xfId="5428" xr:uid="{00000000-0005-0000-0000-0000F0070000}"/>
    <cellStyle name="Comma 4 2 2 2 5 3 2" xfId="13870" xr:uid="{C3952124-9BBC-4943-A12B-2D37F61D6E11}"/>
    <cellStyle name="Comma 4 2 2 2 5 4" xfId="9652" xr:uid="{AD507F1C-E5C3-4D82-9F13-DFCBDC729820}"/>
    <cellStyle name="Comma 4 2 2 2 6" xfId="1533" xr:uid="{00000000-0005-0000-0000-0000F1070000}"/>
    <cellStyle name="Comma 4 2 2 2 6 2" xfId="3763" xr:uid="{00000000-0005-0000-0000-0000F2070000}"/>
    <cellStyle name="Comma 4 2 2 2 6 2 2" xfId="7986" xr:uid="{00000000-0005-0000-0000-0000F3070000}"/>
    <cellStyle name="Comma 4 2 2 2 6 2 2 2" xfId="16428" xr:uid="{78EEC2FE-3B1C-4C7E-B917-E67EDC6CFADC}"/>
    <cellStyle name="Comma 4 2 2 2 6 2 3" xfId="12210" xr:uid="{F1D13A00-74DC-4A78-B0C9-BD29D43F0F7C}"/>
    <cellStyle name="Comma 4 2 2 2 6 3" xfId="5841" xr:uid="{00000000-0005-0000-0000-0000F4070000}"/>
    <cellStyle name="Comma 4 2 2 2 6 3 2" xfId="14283" xr:uid="{3A5665AA-AACD-4B6C-A9D2-528A3A47726F}"/>
    <cellStyle name="Comma 4 2 2 2 6 4" xfId="10065" xr:uid="{B2C3B803-1965-4F1C-853B-D00DBA25A0E7}"/>
    <cellStyle name="Comma 4 2 2 2 7" xfId="1947" xr:uid="{00000000-0005-0000-0000-0000F5070000}"/>
    <cellStyle name="Comma 4 2 2 2 7 2" xfId="4176" xr:uid="{00000000-0005-0000-0000-0000F6070000}"/>
    <cellStyle name="Comma 4 2 2 2 7 2 2" xfId="8399" xr:uid="{00000000-0005-0000-0000-0000F7070000}"/>
    <cellStyle name="Comma 4 2 2 2 7 2 2 2" xfId="16841" xr:uid="{DA8BC086-F7BF-4159-A587-1E5FD395F7E4}"/>
    <cellStyle name="Comma 4 2 2 2 7 2 3" xfId="12623" xr:uid="{DFD66241-E004-447C-8CF5-20E1466579D7}"/>
    <cellStyle name="Comma 4 2 2 2 7 3" xfId="6254" xr:uid="{00000000-0005-0000-0000-0000F8070000}"/>
    <cellStyle name="Comma 4 2 2 2 7 3 2" xfId="14696" xr:uid="{2F9ED43F-DC95-4F79-9581-179DE3AD3F71}"/>
    <cellStyle name="Comma 4 2 2 2 7 4" xfId="10478" xr:uid="{01F3A563-2B80-46E1-9DFA-1A2ECFEAD387}"/>
    <cellStyle name="Comma 4 2 2 2 8" xfId="2382" xr:uid="{00000000-0005-0000-0000-0000F9070000}"/>
    <cellStyle name="Comma 4 2 2 2 8 2" xfId="6667" xr:uid="{00000000-0005-0000-0000-0000FA070000}"/>
    <cellStyle name="Comma 4 2 2 2 8 2 2" xfId="15109" xr:uid="{B8253685-61A3-4F0E-855D-E3D488221D3B}"/>
    <cellStyle name="Comma 4 2 2 2 8 3" xfId="10891" xr:uid="{05A72A9B-A064-48D4-8B00-A3438347B834}"/>
    <cellStyle name="Comma 4 2 2 2 9" xfId="2381" xr:uid="{00000000-0005-0000-0000-0000FB070000}"/>
    <cellStyle name="Comma 4 2 2 3" xfId="132" xr:uid="{00000000-0005-0000-0000-0000FC070000}"/>
    <cellStyle name="Comma 4 2 2 3 10" xfId="4605" xr:uid="{00000000-0005-0000-0000-0000FD070000}"/>
    <cellStyle name="Comma 4 2 2 3 10 2" xfId="13047" xr:uid="{C65605E5-FABF-4E2B-B461-8BB89D642B68}"/>
    <cellStyle name="Comma 4 2 2 3 11" xfId="8829" xr:uid="{E2A7F521-B9B8-4594-A6C8-A80F7659E300}"/>
    <cellStyle name="Comma 4 2 2 3 2" xfId="133" xr:uid="{00000000-0005-0000-0000-0000FE070000}"/>
    <cellStyle name="Comma 4 2 2 3 2 10" xfId="8830" xr:uid="{97DC7A34-26BA-42B5-B2AE-B72684D56497}"/>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15607" xr:uid="{516C76A6-977F-4DFE-B2D1-49BC61B7B7D8}"/>
    <cellStyle name="Comma 4 2 2 3 2 2 2 3" xfId="11389" xr:uid="{F38AD4F9-F346-4B28-A9C1-6F10C8A93FC4}"/>
    <cellStyle name="Comma 4 2 2 3 2 2 3" xfId="5020" xr:uid="{00000000-0005-0000-0000-000002080000}"/>
    <cellStyle name="Comma 4 2 2 3 2 2 3 2" xfId="13462" xr:uid="{897C6E0E-3030-4D18-A4A2-7E22826716B7}"/>
    <cellStyle name="Comma 4 2 2 3 2 2 4" xfId="9244" xr:uid="{33853D40-7518-4975-8F8F-78938F8D5712}"/>
    <cellStyle name="Comma 4 2 2 3 2 3" xfId="1124" xr:uid="{00000000-0005-0000-0000-000003080000}"/>
    <cellStyle name="Comma 4 2 2 3 2 3 2" xfId="3355" xr:uid="{00000000-0005-0000-0000-000004080000}"/>
    <cellStyle name="Comma 4 2 2 3 2 3 2 2" xfId="7578" xr:uid="{00000000-0005-0000-0000-000005080000}"/>
    <cellStyle name="Comma 4 2 2 3 2 3 2 2 2" xfId="16020" xr:uid="{24AEB2DC-B29E-475F-B0C6-A1502A582D6E}"/>
    <cellStyle name="Comma 4 2 2 3 2 3 2 3" xfId="11802" xr:uid="{CE13F633-4068-4A51-BF2C-F5E043D74DE4}"/>
    <cellStyle name="Comma 4 2 2 3 2 3 3" xfId="5433" xr:uid="{00000000-0005-0000-0000-000006080000}"/>
    <cellStyle name="Comma 4 2 2 3 2 3 3 2" xfId="13875" xr:uid="{F180F3B0-6CD1-47D3-B044-C82DE42AB837}"/>
    <cellStyle name="Comma 4 2 2 3 2 3 4" xfId="9657" xr:uid="{4A4D7DBE-498E-41CF-A059-97BA2D4522CA}"/>
    <cellStyle name="Comma 4 2 2 3 2 4" xfId="1538" xr:uid="{00000000-0005-0000-0000-000007080000}"/>
    <cellStyle name="Comma 4 2 2 3 2 4 2" xfId="3768" xr:uid="{00000000-0005-0000-0000-000008080000}"/>
    <cellStyle name="Comma 4 2 2 3 2 4 2 2" xfId="7991" xr:uid="{00000000-0005-0000-0000-000009080000}"/>
    <cellStyle name="Comma 4 2 2 3 2 4 2 2 2" xfId="16433" xr:uid="{BDDDCF64-6A78-43EF-B7F7-F2E8EC7BDB51}"/>
    <cellStyle name="Comma 4 2 2 3 2 4 2 3" xfId="12215" xr:uid="{D5E2787E-7DA4-42BF-8129-9639702B751B}"/>
    <cellStyle name="Comma 4 2 2 3 2 4 3" xfId="5846" xr:uid="{00000000-0005-0000-0000-00000A080000}"/>
    <cellStyle name="Comma 4 2 2 3 2 4 3 2" xfId="14288" xr:uid="{398FD940-7300-4D90-8F1F-CCD6CB435E25}"/>
    <cellStyle name="Comma 4 2 2 3 2 4 4" xfId="10070" xr:uid="{9FAD31E1-B520-4C49-9488-0E8F8CCFA6AE}"/>
    <cellStyle name="Comma 4 2 2 3 2 5" xfId="1952" xr:uid="{00000000-0005-0000-0000-00000B080000}"/>
    <cellStyle name="Comma 4 2 2 3 2 5 2" xfId="4181" xr:uid="{00000000-0005-0000-0000-00000C080000}"/>
    <cellStyle name="Comma 4 2 2 3 2 5 2 2" xfId="8404" xr:uid="{00000000-0005-0000-0000-00000D080000}"/>
    <cellStyle name="Comma 4 2 2 3 2 5 2 2 2" xfId="16846" xr:uid="{76DCFD7C-EC3F-46E4-9A7E-77B401ED5D34}"/>
    <cellStyle name="Comma 4 2 2 3 2 5 2 3" xfId="12628" xr:uid="{C31E4F40-7C4A-456A-A2AC-4021B2277998}"/>
    <cellStyle name="Comma 4 2 2 3 2 5 3" xfId="6259" xr:uid="{00000000-0005-0000-0000-00000E080000}"/>
    <cellStyle name="Comma 4 2 2 3 2 5 3 2" xfId="14701" xr:uid="{AF704ED3-AB96-4FBE-927C-4F3E085B4405}"/>
    <cellStyle name="Comma 4 2 2 3 2 5 4" xfId="10483" xr:uid="{371AD42C-DCDD-41A3-AC20-19B46E42ED70}"/>
    <cellStyle name="Comma 4 2 2 3 2 6" xfId="2387" xr:uid="{00000000-0005-0000-0000-00000F080000}"/>
    <cellStyle name="Comma 4 2 2 3 2 6 2" xfId="6672" xr:uid="{00000000-0005-0000-0000-000010080000}"/>
    <cellStyle name="Comma 4 2 2 3 2 6 2 2" xfId="15114" xr:uid="{6F2A7718-E783-4D93-8068-3183C8438C11}"/>
    <cellStyle name="Comma 4 2 2 3 2 6 3" xfId="10896" xr:uid="{16399BE5-5959-4EB6-A673-AC6085041DBA}"/>
    <cellStyle name="Comma 4 2 2 3 2 7" xfId="2376" xr:uid="{00000000-0005-0000-0000-000011080000}"/>
    <cellStyle name="Comma 4 2 2 3 2 8" xfId="2765" xr:uid="{00000000-0005-0000-0000-000012080000}"/>
    <cellStyle name="Comma 4 2 2 3 2 8 2" xfId="6989" xr:uid="{00000000-0005-0000-0000-000013080000}"/>
    <cellStyle name="Comma 4 2 2 3 2 8 2 2" xfId="15431" xr:uid="{750036B7-BD4A-4F68-ABA3-77C0740E694C}"/>
    <cellStyle name="Comma 4 2 2 3 2 8 3" xfId="11213" xr:uid="{8EF5EBCF-AB64-4F6C-B59D-31E4372CDE6E}"/>
    <cellStyle name="Comma 4 2 2 3 2 9" xfId="4606" xr:uid="{00000000-0005-0000-0000-000014080000}"/>
    <cellStyle name="Comma 4 2 2 3 2 9 2" xfId="13048" xr:uid="{4551847E-B8CF-4E1D-BA65-1C6EADBB3B8F}"/>
    <cellStyle name="Comma 4 2 2 3 3" xfId="670" xr:uid="{00000000-0005-0000-0000-000015080000}"/>
    <cellStyle name="Comma 4 2 2 3 3 2" xfId="2941" xr:uid="{00000000-0005-0000-0000-000016080000}"/>
    <cellStyle name="Comma 4 2 2 3 3 2 2" xfId="7164" xr:uid="{00000000-0005-0000-0000-000017080000}"/>
    <cellStyle name="Comma 4 2 2 3 3 2 2 2" xfId="15606" xr:uid="{E42650D3-F3BB-48CF-8DDD-990A92924B56}"/>
    <cellStyle name="Comma 4 2 2 3 3 2 3" xfId="11388" xr:uid="{F15C6A43-6648-4627-841D-62C1550051FE}"/>
    <cellStyle name="Comma 4 2 2 3 3 3" xfId="5019" xr:uid="{00000000-0005-0000-0000-000018080000}"/>
    <cellStyle name="Comma 4 2 2 3 3 3 2" xfId="13461" xr:uid="{98B26FE2-A940-4B1C-B46B-6F6764878DFD}"/>
    <cellStyle name="Comma 4 2 2 3 3 4" xfId="9243" xr:uid="{67A21996-C47C-45D4-B5AD-C562DAE4C696}"/>
    <cellStyle name="Comma 4 2 2 3 4" xfId="1123" xr:uid="{00000000-0005-0000-0000-000019080000}"/>
    <cellStyle name="Comma 4 2 2 3 4 2" xfId="3354" xr:uid="{00000000-0005-0000-0000-00001A080000}"/>
    <cellStyle name="Comma 4 2 2 3 4 2 2" xfId="7577" xr:uid="{00000000-0005-0000-0000-00001B080000}"/>
    <cellStyle name="Comma 4 2 2 3 4 2 2 2" xfId="16019" xr:uid="{FE2F6E35-E352-45F0-A2EF-3AC3015D615D}"/>
    <cellStyle name="Comma 4 2 2 3 4 2 3" xfId="11801" xr:uid="{27900A92-51BC-45DE-B5B7-A361FD4692FD}"/>
    <cellStyle name="Comma 4 2 2 3 4 3" xfId="5432" xr:uid="{00000000-0005-0000-0000-00001C080000}"/>
    <cellStyle name="Comma 4 2 2 3 4 3 2" xfId="13874" xr:uid="{1783F112-095F-40DC-B374-8FB8859042D0}"/>
    <cellStyle name="Comma 4 2 2 3 4 4" xfId="9656" xr:uid="{5D96CF9A-0624-4FC4-9E06-C0F0F6AC6AB7}"/>
    <cellStyle name="Comma 4 2 2 3 5" xfId="1537" xr:uid="{00000000-0005-0000-0000-00001D080000}"/>
    <cellStyle name="Comma 4 2 2 3 5 2" xfId="3767" xr:uid="{00000000-0005-0000-0000-00001E080000}"/>
    <cellStyle name="Comma 4 2 2 3 5 2 2" xfId="7990" xr:uid="{00000000-0005-0000-0000-00001F080000}"/>
    <cellStyle name="Comma 4 2 2 3 5 2 2 2" xfId="16432" xr:uid="{15F3B2AA-3BE3-4F56-84B4-2F4A43931B1D}"/>
    <cellStyle name="Comma 4 2 2 3 5 2 3" xfId="12214" xr:uid="{5C2127F0-6828-46A3-A3BE-F42F3E44BE11}"/>
    <cellStyle name="Comma 4 2 2 3 5 3" xfId="5845" xr:uid="{00000000-0005-0000-0000-000020080000}"/>
    <cellStyle name="Comma 4 2 2 3 5 3 2" xfId="14287" xr:uid="{5955B639-99C0-4636-B45B-DCE831EDEE45}"/>
    <cellStyle name="Comma 4 2 2 3 5 4" xfId="10069" xr:uid="{A18C4C8D-A302-4F3E-A585-6417C210F985}"/>
    <cellStyle name="Comma 4 2 2 3 6" xfId="1951" xr:uid="{00000000-0005-0000-0000-000021080000}"/>
    <cellStyle name="Comma 4 2 2 3 6 2" xfId="4180" xr:uid="{00000000-0005-0000-0000-000022080000}"/>
    <cellStyle name="Comma 4 2 2 3 6 2 2" xfId="8403" xr:uid="{00000000-0005-0000-0000-000023080000}"/>
    <cellStyle name="Comma 4 2 2 3 6 2 2 2" xfId="16845" xr:uid="{2339C336-5FFB-47C6-8A36-74333EA4E3C4}"/>
    <cellStyle name="Comma 4 2 2 3 6 2 3" xfId="12627" xr:uid="{4C393A19-1935-4CA9-B883-A49C6143D350}"/>
    <cellStyle name="Comma 4 2 2 3 6 3" xfId="6258" xr:uid="{00000000-0005-0000-0000-000024080000}"/>
    <cellStyle name="Comma 4 2 2 3 6 3 2" xfId="14700" xr:uid="{A6C411EE-97D1-4B5D-BBDB-5548C75AAFFC}"/>
    <cellStyle name="Comma 4 2 2 3 6 4" xfId="10482" xr:uid="{D65C6028-75A9-4C4D-9401-34B71F3BDB9C}"/>
    <cellStyle name="Comma 4 2 2 3 7" xfId="2386" xr:uid="{00000000-0005-0000-0000-000025080000}"/>
    <cellStyle name="Comma 4 2 2 3 7 2" xfId="6671" xr:uid="{00000000-0005-0000-0000-000026080000}"/>
    <cellStyle name="Comma 4 2 2 3 7 2 2" xfId="15113" xr:uid="{3AA80CBD-60C2-4199-BE9F-9BEE25CDB0A5}"/>
    <cellStyle name="Comma 4 2 2 3 7 3" xfId="10895" xr:uid="{62A7E0E3-E42D-4492-8EF5-56CAED3BCE1E}"/>
    <cellStyle name="Comma 4 2 2 3 8" xfId="2377" xr:uid="{00000000-0005-0000-0000-000027080000}"/>
    <cellStyle name="Comma 4 2 2 3 9" xfId="2764" xr:uid="{00000000-0005-0000-0000-000028080000}"/>
    <cellStyle name="Comma 4 2 2 3 9 2" xfId="6988" xr:uid="{00000000-0005-0000-0000-000029080000}"/>
    <cellStyle name="Comma 4 2 2 3 9 2 2" xfId="15430" xr:uid="{74A4C66B-3EC6-4CF8-9879-CE054FBA91C1}"/>
    <cellStyle name="Comma 4 2 2 3 9 3" xfId="11212" xr:uid="{10726223-5F03-4E09-9545-76763A7FA1BB}"/>
    <cellStyle name="Comma 4 2 2 4" xfId="134" xr:uid="{00000000-0005-0000-0000-00002A080000}"/>
    <cellStyle name="Comma 4 2 2 4 10" xfId="8831" xr:uid="{CCD3394E-1DAD-4727-ABDF-821BE874C6BE}"/>
    <cellStyle name="Comma 4 2 2 4 2" xfId="672" xr:uid="{00000000-0005-0000-0000-00002B080000}"/>
    <cellStyle name="Comma 4 2 2 4 2 2" xfId="2943" xr:uid="{00000000-0005-0000-0000-00002C080000}"/>
    <cellStyle name="Comma 4 2 2 4 2 2 2" xfId="7166" xr:uid="{00000000-0005-0000-0000-00002D080000}"/>
    <cellStyle name="Comma 4 2 2 4 2 2 2 2" xfId="15608" xr:uid="{6ED1AACA-1E52-4810-A7C9-F10DCBAAEAF7}"/>
    <cellStyle name="Comma 4 2 2 4 2 2 3" xfId="11390" xr:uid="{D8B11DCE-7805-4355-8900-BA1668CBC124}"/>
    <cellStyle name="Comma 4 2 2 4 2 3" xfId="5021" xr:uid="{00000000-0005-0000-0000-00002E080000}"/>
    <cellStyle name="Comma 4 2 2 4 2 3 2" xfId="13463" xr:uid="{29248D3F-45E3-4334-814F-FDB02B855D57}"/>
    <cellStyle name="Comma 4 2 2 4 2 4" xfId="9245" xr:uid="{B9491B72-4093-41D6-8436-A3E9004F75AA}"/>
    <cellStyle name="Comma 4 2 2 4 3" xfId="1125" xr:uid="{00000000-0005-0000-0000-00002F080000}"/>
    <cellStyle name="Comma 4 2 2 4 3 2" xfId="3356" xr:uid="{00000000-0005-0000-0000-000030080000}"/>
    <cellStyle name="Comma 4 2 2 4 3 2 2" xfId="7579" xr:uid="{00000000-0005-0000-0000-000031080000}"/>
    <cellStyle name="Comma 4 2 2 4 3 2 2 2" xfId="16021" xr:uid="{7AEEB154-F771-4B18-9419-739C7D81CD8A}"/>
    <cellStyle name="Comma 4 2 2 4 3 2 3" xfId="11803" xr:uid="{9AB5F029-4995-4597-969C-C2173E838CA5}"/>
    <cellStyle name="Comma 4 2 2 4 3 3" xfId="5434" xr:uid="{00000000-0005-0000-0000-000032080000}"/>
    <cellStyle name="Comma 4 2 2 4 3 3 2" xfId="13876" xr:uid="{3EC35C01-42F5-47FD-A8EA-C3980D45A227}"/>
    <cellStyle name="Comma 4 2 2 4 3 4" xfId="9658" xr:uid="{047C9CBE-42C6-476C-BD55-53AA4C10682B}"/>
    <cellStyle name="Comma 4 2 2 4 4" xfId="1539" xr:uid="{00000000-0005-0000-0000-000033080000}"/>
    <cellStyle name="Comma 4 2 2 4 4 2" xfId="3769" xr:uid="{00000000-0005-0000-0000-000034080000}"/>
    <cellStyle name="Comma 4 2 2 4 4 2 2" xfId="7992" xr:uid="{00000000-0005-0000-0000-000035080000}"/>
    <cellStyle name="Comma 4 2 2 4 4 2 2 2" xfId="16434" xr:uid="{EC9D4CC3-178C-450E-97BD-AFFF058C52D5}"/>
    <cellStyle name="Comma 4 2 2 4 4 2 3" xfId="12216" xr:uid="{AA3EC590-1B06-4B21-BF55-BB38B16F99D6}"/>
    <cellStyle name="Comma 4 2 2 4 4 3" xfId="5847" xr:uid="{00000000-0005-0000-0000-000036080000}"/>
    <cellStyle name="Comma 4 2 2 4 4 3 2" xfId="14289" xr:uid="{E546F5C0-2F4B-4E4D-A06F-E44CEC6F5616}"/>
    <cellStyle name="Comma 4 2 2 4 4 4" xfId="10071" xr:uid="{B3F9FD58-CEBC-4377-AD68-7DEA5BA9AC74}"/>
    <cellStyle name="Comma 4 2 2 4 5" xfId="1953" xr:uid="{00000000-0005-0000-0000-000037080000}"/>
    <cellStyle name="Comma 4 2 2 4 5 2" xfId="4182" xr:uid="{00000000-0005-0000-0000-000038080000}"/>
    <cellStyle name="Comma 4 2 2 4 5 2 2" xfId="8405" xr:uid="{00000000-0005-0000-0000-000039080000}"/>
    <cellStyle name="Comma 4 2 2 4 5 2 2 2" xfId="16847" xr:uid="{76BCF489-1E89-4CA8-9361-7EBD72F6E0DB}"/>
    <cellStyle name="Comma 4 2 2 4 5 2 3" xfId="12629" xr:uid="{C758515C-9DC4-4FCB-A717-776CB8B6AFD0}"/>
    <cellStyle name="Comma 4 2 2 4 5 3" xfId="6260" xr:uid="{00000000-0005-0000-0000-00003A080000}"/>
    <cellStyle name="Comma 4 2 2 4 5 3 2" xfId="14702" xr:uid="{1DE018D3-FF66-456B-8A29-A8A3545FB4D8}"/>
    <cellStyle name="Comma 4 2 2 4 5 4" xfId="10484" xr:uid="{A3C5F4C0-0232-4BB7-9E00-300C32D8D203}"/>
    <cellStyle name="Comma 4 2 2 4 6" xfId="2388" xr:uid="{00000000-0005-0000-0000-00003B080000}"/>
    <cellStyle name="Comma 4 2 2 4 6 2" xfId="6673" xr:uid="{00000000-0005-0000-0000-00003C080000}"/>
    <cellStyle name="Comma 4 2 2 4 6 2 2" xfId="15115" xr:uid="{4A2AEB6D-D8CC-4E27-B451-A5A740C221DB}"/>
    <cellStyle name="Comma 4 2 2 4 6 3" xfId="10897" xr:uid="{2C62D501-5988-418E-A519-9F819C95BDBF}"/>
    <cellStyle name="Comma 4 2 2 4 7" xfId="2375" xr:uid="{00000000-0005-0000-0000-00003D080000}"/>
    <cellStyle name="Comma 4 2 2 4 8" xfId="2766" xr:uid="{00000000-0005-0000-0000-00003E080000}"/>
    <cellStyle name="Comma 4 2 2 4 8 2" xfId="6990" xr:uid="{00000000-0005-0000-0000-00003F080000}"/>
    <cellStyle name="Comma 4 2 2 4 8 2 2" xfId="15432" xr:uid="{FB1E3195-9356-46C1-8803-2A53175091E6}"/>
    <cellStyle name="Comma 4 2 2 4 8 3" xfId="11214" xr:uid="{D63833D6-C103-4D62-9607-A50B935A5E45}"/>
    <cellStyle name="Comma 4 2 2 4 9" xfId="4607" xr:uid="{00000000-0005-0000-0000-000040080000}"/>
    <cellStyle name="Comma 4 2 2 4 9 2" xfId="13049" xr:uid="{4A322B0C-E6E3-4195-AA22-94C6EE42EADE}"/>
    <cellStyle name="Comma 4 2 2 5" xfId="135" xr:uid="{00000000-0005-0000-0000-000041080000}"/>
    <cellStyle name="Comma 4 2 2 5 10" xfId="8832" xr:uid="{D2738B08-BDF2-4115-A6D8-C8738EC97EE9}"/>
    <cellStyle name="Comma 4 2 2 5 2" xfId="673" xr:uid="{00000000-0005-0000-0000-000042080000}"/>
    <cellStyle name="Comma 4 2 2 5 2 2" xfId="2944" xr:uid="{00000000-0005-0000-0000-000043080000}"/>
    <cellStyle name="Comma 4 2 2 5 2 2 2" xfId="7167" xr:uid="{00000000-0005-0000-0000-000044080000}"/>
    <cellStyle name="Comma 4 2 2 5 2 2 2 2" xfId="15609" xr:uid="{D75B3C11-AAB4-48F5-A52A-770919685450}"/>
    <cellStyle name="Comma 4 2 2 5 2 2 3" xfId="11391" xr:uid="{0FEC4C36-0518-47CA-8729-7EA205B3D2CF}"/>
    <cellStyle name="Comma 4 2 2 5 2 3" xfId="5022" xr:uid="{00000000-0005-0000-0000-000045080000}"/>
    <cellStyle name="Comma 4 2 2 5 2 3 2" xfId="13464" xr:uid="{03F99921-E3C7-4976-9EBE-6A9B23DFAAED}"/>
    <cellStyle name="Comma 4 2 2 5 2 4" xfId="9246" xr:uid="{6194A8D7-6B51-4C44-ABF7-8AFC6486EE31}"/>
    <cellStyle name="Comma 4 2 2 5 3" xfId="1126" xr:uid="{00000000-0005-0000-0000-000046080000}"/>
    <cellStyle name="Comma 4 2 2 5 3 2" xfId="3357" xr:uid="{00000000-0005-0000-0000-000047080000}"/>
    <cellStyle name="Comma 4 2 2 5 3 2 2" xfId="7580" xr:uid="{00000000-0005-0000-0000-000048080000}"/>
    <cellStyle name="Comma 4 2 2 5 3 2 2 2" xfId="16022" xr:uid="{33345A3D-840F-4153-A740-3DDA01C56A1E}"/>
    <cellStyle name="Comma 4 2 2 5 3 2 3" xfId="11804" xr:uid="{67983A15-DCBC-4C59-AA0A-D135B0A3D6AE}"/>
    <cellStyle name="Comma 4 2 2 5 3 3" xfId="5435" xr:uid="{00000000-0005-0000-0000-000049080000}"/>
    <cellStyle name="Comma 4 2 2 5 3 3 2" xfId="13877" xr:uid="{54865A56-AD8F-411A-8273-3A87624AB400}"/>
    <cellStyle name="Comma 4 2 2 5 3 4" xfId="9659" xr:uid="{6DB58D39-0096-4F9E-B68B-238A99B4962A}"/>
    <cellStyle name="Comma 4 2 2 5 4" xfId="1540" xr:uid="{00000000-0005-0000-0000-00004A080000}"/>
    <cellStyle name="Comma 4 2 2 5 4 2" xfId="3770" xr:uid="{00000000-0005-0000-0000-00004B080000}"/>
    <cellStyle name="Comma 4 2 2 5 4 2 2" xfId="7993" xr:uid="{00000000-0005-0000-0000-00004C080000}"/>
    <cellStyle name="Comma 4 2 2 5 4 2 2 2" xfId="16435" xr:uid="{BA0A61DC-6909-45EF-A427-69F189B3F807}"/>
    <cellStyle name="Comma 4 2 2 5 4 2 3" xfId="12217" xr:uid="{6A08F6D9-5B4C-4954-97FC-276285CE2535}"/>
    <cellStyle name="Comma 4 2 2 5 4 3" xfId="5848" xr:uid="{00000000-0005-0000-0000-00004D080000}"/>
    <cellStyle name="Comma 4 2 2 5 4 3 2" xfId="14290" xr:uid="{408D660D-2963-4185-A465-B58125A28652}"/>
    <cellStyle name="Comma 4 2 2 5 4 4" xfId="10072" xr:uid="{9B1A63DE-51FB-43E8-82D5-91EDA7C64135}"/>
    <cellStyle name="Comma 4 2 2 5 5" xfId="1954" xr:uid="{00000000-0005-0000-0000-00004E080000}"/>
    <cellStyle name="Comma 4 2 2 5 5 2" xfId="4183" xr:uid="{00000000-0005-0000-0000-00004F080000}"/>
    <cellStyle name="Comma 4 2 2 5 5 2 2" xfId="8406" xr:uid="{00000000-0005-0000-0000-000050080000}"/>
    <cellStyle name="Comma 4 2 2 5 5 2 2 2" xfId="16848" xr:uid="{A8632266-658F-497D-92E8-634A14CC6078}"/>
    <cellStyle name="Comma 4 2 2 5 5 2 3" xfId="12630" xr:uid="{86ABD3C5-FBBD-46B3-B45B-73D3BCD760C3}"/>
    <cellStyle name="Comma 4 2 2 5 5 3" xfId="6261" xr:uid="{00000000-0005-0000-0000-000051080000}"/>
    <cellStyle name="Comma 4 2 2 5 5 3 2" xfId="14703" xr:uid="{E4C4D483-59E5-48C5-9307-E1FFA2BFE255}"/>
    <cellStyle name="Comma 4 2 2 5 5 4" xfId="10485" xr:uid="{97D5080F-AE8C-4C7B-97E7-ED2BA8ACF2E9}"/>
    <cellStyle name="Comma 4 2 2 5 6" xfId="2389" xr:uid="{00000000-0005-0000-0000-000052080000}"/>
    <cellStyle name="Comma 4 2 2 5 6 2" xfId="6674" xr:uid="{00000000-0005-0000-0000-000053080000}"/>
    <cellStyle name="Comma 4 2 2 5 6 2 2" xfId="15116" xr:uid="{52A4975E-80D3-4BC3-AD4A-7F38043321FF}"/>
    <cellStyle name="Comma 4 2 2 5 6 3" xfId="10898" xr:uid="{3422CB74-FAC4-4B2D-9C3F-C9A575F5CE7A}"/>
    <cellStyle name="Comma 4 2 2 5 7" xfId="2374" xr:uid="{00000000-0005-0000-0000-000054080000}"/>
    <cellStyle name="Comma 4 2 2 5 8" xfId="2767" xr:uid="{00000000-0005-0000-0000-000055080000}"/>
    <cellStyle name="Comma 4 2 2 5 8 2" xfId="6991" xr:uid="{00000000-0005-0000-0000-000056080000}"/>
    <cellStyle name="Comma 4 2 2 5 8 2 2" xfId="15433" xr:uid="{3E27C256-F7CB-4409-97F2-49AB52541973}"/>
    <cellStyle name="Comma 4 2 2 5 8 3" xfId="11215" xr:uid="{738EEF5B-A8E8-4135-B9F1-1851C73B8769}"/>
    <cellStyle name="Comma 4 2 2 5 9" xfId="4608" xr:uid="{00000000-0005-0000-0000-000057080000}"/>
    <cellStyle name="Comma 4 2 2 5 9 2" xfId="13050" xr:uid="{F5ED05AB-FFCF-45C3-82BB-91BC78ABE87D}"/>
    <cellStyle name="Comma 4 2 3" xfId="136" xr:uid="{00000000-0005-0000-0000-000058080000}"/>
    <cellStyle name="Comma 4 2 3 10" xfId="2768" xr:uid="{00000000-0005-0000-0000-000059080000}"/>
    <cellStyle name="Comma 4 2 3 10 2" xfId="6992" xr:uid="{00000000-0005-0000-0000-00005A080000}"/>
    <cellStyle name="Comma 4 2 3 10 2 2" xfId="15434" xr:uid="{21A3770E-CF91-47F9-BB77-0887BCC7CD87}"/>
    <cellStyle name="Comma 4 2 3 10 3" xfId="11216" xr:uid="{E078553E-D8A4-4480-BF8E-9DFF78A23540}"/>
    <cellStyle name="Comma 4 2 3 11" xfId="4609" xr:uid="{00000000-0005-0000-0000-00005B080000}"/>
    <cellStyle name="Comma 4 2 3 11 2" xfId="13051" xr:uid="{1ED03809-1E72-4A52-9E75-F105E88AAD01}"/>
    <cellStyle name="Comma 4 2 3 12" xfId="8833" xr:uid="{10D2B1B1-2398-49E5-BDC5-0BAE8CEBC354}"/>
    <cellStyle name="Comma 4 2 3 2" xfId="137" xr:uid="{00000000-0005-0000-0000-00005C080000}"/>
    <cellStyle name="Comma 4 2 3 2 10" xfId="4610" xr:uid="{00000000-0005-0000-0000-00005D080000}"/>
    <cellStyle name="Comma 4 2 3 2 10 2" xfId="13052" xr:uid="{7060F903-47B1-40F7-A8E8-8A5D9F7E29E2}"/>
    <cellStyle name="Comma 4 2 3 2 11" xfId="8834" xr:uid="{27FD9CC2-4CDF-464A-84DF-AFB4E4EC42F7}"/>
    <cellStyle name="Comma 4 2 3 2 2" xfId="138" xr:uid="{00000000-0005-0000-0000-00005E080000}"/>
    <cellStyle name="Comma 4 2 3 2 2 10" xfId="8835" xr:uid="{6DB99D65-14DF-41C4-B040-8C833E01BA1B}"/>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15612" xr:uid="{E2D37165-EC2E-4E59-B130-BD0697EA80F0}"/>
    <cellStyle name="Comma 4 2 3 2 2 2 2 3" xfId="11394" xr:uid="{FF3B1DDB-02BD-4CD2-A01F-791212F113F7}"/>
    <cellStyle name="Comma 4 2 3 2 2 2 3" xfId="5025" xr:uid="{00000000-0005-0000-0000-000062080000}"/>
    <cellStyle name="Comma 4 2 3 2 2 2 3 2" xfId="13467" xr:uid="{2C61E213-DCDB-444A-A783-822DADCFE24F}"/>
    <cellStyle name="Comma 4 2 3 2 2 2 4" xfId="9249" xr:uid="{ADF8C790-1B22-42F0-92D0-662B523E432D}"/>
    <cellStyle name="Comma 4 2 3 2 2 3" xfId="1129" xr:uid="{00000000-0005-0000-0000-000063080000}"/>
    <cellStyle name="Comma 4 2 3 2 2 3 2" xfId="3360" xr:uid="{00000000-0005-0000-0000-000064080000}"/>
    <cellStyle name="Comma 4 2 3 2 2 3 2 2" xfId="7583" xr:uid="{00000000-0005-0000-0000-000065080000}"/>
    <cellStyle name="Comma 4 2 3 2 2 3 2 2 2" xfId="16025" xr:uid="{C4320576-6DC4-4457-BC2F-9F24A61BB6B6}"/>
    <cellStyle name="Comma 4 2 3 2 2 3 2 3" xfId="11807" xr:uid="{9FFC5ACC-BF8E-490B-8FF2-DCD3068696FF}"/>
    <cellStyle name="Comma 4 2 3 2 2 3 3" xfId="5438" xr:uid="{00000000-0005-0000-0000-000066080000}"/>
    <cellStyle name="Comma 4 2 3 2 2 3 3 2" xfId="13880" xr:uid="{967956D5-AFAC-49E1-8238-BA009F60CBD4}"/>
    <cellStyle name="Comma 4 2 3 2 2 3 4" xfId="9662" xr:uid="{5AC1DC72-79CC-47EE-A324-D37AF635CEA6}"/>
    <cellStyle name="Comma 4 2 3 2 2 4" xfId="1543" xr:uid="{00000000-0005-0000-0000-000067080000}"/>
    <cellStyle name="Comma 4 2 3 2 2 4 2" xfId="3773" xr:uid="{00000000-0005-0000-0000-000068080000}"/>
    <cellStyle name="Comma 4 2 3 2 2 4 2 2" xfId="7996" xr:uid="{00000000-0005-0000-0000-000069080000}"/>
    <cellStyle name="Comma 4 2 3 2 2 4 2 2 2" xfId="16438" xr:uid="{888C9328-9024-4AB5-9B61-EA4E18145FFB}"/>
    <cellStyle name="Comma 4 2 3 2 2 4 2 3" xfId="12220" xr:uid="{8C48E0C9-6BC6-4597-8769-09A59A279200}"/>
    <cellStyle name="Comma 4 2 3 2 2 4 3" xfId="5851" xr:uid="{00000000-0005-0000-0000-00006A080000}"/>
    <cellStyle name="Comma 4 2 3 2 2 4 3 2" xfId="14293" xr:uid="{20444163-F4DD-4523-9238-193EDDEF83D2}"/>
    <cellStyle name="Comma 4 2 3 2 2 4 4" xfId="10075" xr:uid="{D731F697-2733-4B18-90AE-320A25D17D0F}"/>
    <cellStyle name="Comma 4 2 3 2 2 5" xfId="1957" xr:uid="{00000000-0005-0000-0000-00006B080000}"/>
    <cellStyle name="Comma 4 2 3 2 2 5 2" xfId="4186" xr:uid="{00000000-0005-0000-0000-00006C080000}"/>
    <cellStyle name="Comma 4 2 3 2 2 5 2 2" xfId="8409" xr:uid="{00000000-0005-0000-0000-00006D080000}"/>
    <cellStyle name="Comma 4 2 3 2 2 5 2 2 2" xfId="16851" xr:uid="{BE47FF64-2670-4289-9300-614544BF7B14}"/>
    <cellStyle name="Comma 4 2 3 2 2 5 2 3" xfId="12633" xr:uid="{F0B35C71-91BD-4061-9A88-1D36431AC6A4}"/>
    <cellStyle name="Comma 4 2 3 2 2 5 3" xfId="6264" xr:uid="{00000000-0005-0000-0000-00006E080000}"/>
    <cellStyle name="Comma 4 2 3 2 2 5 3 2" xfId="14706" xr:uid="{530961B0-06C8-435C-BCB1-C2755F5C530C}"/>
    <cellStyle name="Comma 4 2 3 2 2 5 4" xfId="10488" xr:uid="{6913F6ED-FA91-4E2E-9A4C-1F2CD26506D2}"/>
    <cellStyle name="Comma 4 2 3 2 2 6" xfId="2392" xr:uid="{00000000-0005-0000-0000-00006F080000}"/>
    <cellStyle name="Comma 4 2 3 2 2 6 2" xfId="6677" xr:uid="{00000000-0005-0000-0000-000070080000}"/>
    <cellStyle name="Comma 4 2 3 2 2 6 2 2" xfId="15119" xr:uid="{32017E29-A6CC-47FC-903B-9C9E4176078F}"/>
    <cellStyle name="Comma 4 2 3 2 2 6 3" xfId="10901" xr:uid="{AECA7E3E-F6C6-49E8-9C3A-0063D6B52AD6}"/>
    <cellStyle name="Comma 4 2 3 2 2 7" xfId="2371" xr:uid="{00000000-0005-0000-0000-000071080000}"/>
    <cellStyle name="Comma 4 2 3 2 2 8" xfId="2770" xr:uid="{00000000-0005-0000-0000-000072080000}"/>
    <cellStyle name="Comma 4 2 3 2 2 8 2" xfId="6994" xr:uid="{00000000-0005-0000-0000-000073080000}"/>
    <cellStyle name="Comma 4 2 3 2 2 8 2 2" xfId="15436" xr:uid="{E7007FD9-D353-4643-84FB-4B1361BE1042}"/>
    <cellStyle name="Comma 4 2 3 2 2 8 3" xfId="11218" xr:uid="{27BC618A-8B49-4CBE-83FE-708AA9F45888}"/>
    <cellStyle name="Comma 4 2 3 2 2 9" xfId="4611" xr:uid="{00000000-0005-0000-0000-000074080000}"/>
    <cellStyle name="Comma 4 2 3 2 2 9 2" xfId="13053" xr:uid="{1495C5B6-D9FB-4DF7-8D72-C2C5547005A9}"/>
    <cellStyle name="Comma 4 2 3 2 3" xfId="675" xr:uid="{00000000-0005-0000-0000-000075080000}"/>
    <cellStyle name="Comma 4 2 3 2 3 2" xfId="2946" xr:uid="{00000000-0005-0000-0000-000076080000}"/>
    <cellStyle name="Comma 4 2 3 2 3 2 2" xfId="7169" xr:uid="{00000000-0005-0000-0000-000077080000}"/>
    <cellStyle name="Comma 4 2 3 2 3 2 2 2" xfId="15611" xr:uid="{79BBC0F0-16D6-4B18-B3E1-61BEE5BD50EE}"/>
    <cellStyle name="Comma 4 2 3 2 3 2 3" xfId="11393" xr:uid="{74F56A04-E69C-4746-8351-70EFA1DB3FE2}"/>
    <cellStyle name="Comma 4 2 3 2 3 3" xfId="5024" xr:uid="{00000000-0005-0000-0000-000078080000}"/>
    <cellStyle name="Comma 4 2 3 2 3 3 2" xfId="13466" xr:uid="{E0AD3BD1-474D-4774-8960-27EDEDD09155}"/>
    <cellStyle name="Comma 4 2 3 2 3 4" xfId="9248" xr:uid="{317FA0FD-5048-483E-9D95-B42647133F66}"/>
    <cellStyle name="Comma 4 2 3 2 4" xfId="1128" xr:uid="{00000000-0005-0000-0000-000079080000}"/>
    <cellStyle name="Comma 4 2 3 2 4 2" xfId="3359" xr:uid="{00000000-0005-0000-0000-00007A080000}"/>
    <cellStyle name="Comma 4 2 3 2 4 2 2" xfId="7582" xr:uid="{00000000-0005-0000-0000-00007B080000}"/>
    <cellStyle name="Comma 4 2 3 2 4 2 2 2" xfId="16024" xr:uid="{31A38B59-BE82-4385-A30F-AAB2C685D40B}"/>
    <cellStyle name="Comma 4 2 3 2 4 2 3" xfId="11806" xr:uid="{E7B60A1B-EE08-45CE-A255-A70B22194539}"/>
    <cellStyle name="Comma 4 2 3 2 4 3" xfId="5437" xr:uid="{00000000-0005-0000-0000-00007C080000}"/>
    <cellStyle name="Comma 4 2 3 2 4 3 2" xfId="13879" xr:uid="{4EA984F0-74B8-428C-897E-20A8FA501877}"/>
    <cellStyle name="Comma 4 2 3 2 4 4" xfId="9661" xr:uid="{4A275D3D-1530-4245-8952-1482EE310046}"/>
    <cellStyle name="Comma 4 2 3 2 5" xfId="1542" xr:uid="{00000000-0005-0000-0000-00007D080000}"/>
    <cellStyle name="Comma 4 2 3 2 5 2" xfId="3772" xr:uid="{00000000-0005-0000-0000-00007E080000}"/>
    <cellStyle name="Comma 4 2 3 2 5 2 2" xfId="7995" xr:uid="{00000000-0005-0000-0000-00007F080000}"/>
    <cellStyle name="Comma 4 2 3 2 5 2 2 2" xfId="16437" xr:uid="{B0C75CA7-98FD-4C2F-BE1B-E2A3C8439DBA}"/>
    <cellStyle name="Comma 4 2 3 2 5 2 3" xfId="12219" xr:uid="{8C159BE8-B644-4DBE-88A8-977227A25009}"/>
    <cellStyle name="Comma 4 2 3 2 5 3" xfId="5850" xr:uid="{00000000-0005-0000-0000-000080080000}"/>
    <cellStyle name="Comma 4 2 3 2 5 3 2" xfId="14292" xr:uid="{FB499920-2495-40DD-A967-EDEDE4A98CF9}"/>
    <cellStyle name="Comma 4 2 3 2 5 4" xfId="10074" xr:uid="{73918CCD-D65E-41F9-98D2-61FA8ED9D735}"/>
    <cellStyle name="Comma 4 2 3 2 6" xfId="1956" xr:uid="{00000000-0005-0000-0000-000081080000}"/>
    <cellStyle name="Comma 4 2 3 2 6 2" xfId="4185" xr:uid="{00000000-0005-0000-0000-000082080000}"/>
    <cellStyle name="Comma 4 2 3 2 6 2 2" xfId="8408" xr:uid="{00000000-0005-0000-0000-000083080000}"/>
    <cellStyle name="Comma 4 2 3 2 6 2 2 2" xfId="16850" xr:uid="{AA5D8768-503B-44E9-990B-40EC5E54B2CB}"/>
    <cellStyle name="Comma 4 2 3 2 6 2 3" xfId="12632" xr:uid="{878C8C08-90F1-4F78-85D7-64F5BD74DE21}"/>
    <cellStyle name="Comma 4 2 3 2 6 3" xfId="6263" xr:uid="{00000000-0005-0000-0000-000084080000}"/>
    <cellStyle name="Comma 4 2 3 2 6 3 2" xfId="14705" xr:uid="{AEE67708-F71E-47A6-B69D-1E0B2C646BFD}"/>
    <cellStyle name="Comma 4 2 3 2 6 4" xfId="10487" xr:uid="{C30004C7-7E13-4F64-A012-9077D3AD88D6}"/>
    <cellStyle name="Comma 4 2 3 2 7" xfId="2391" xr:uid="{00000000-0005-0000-0000-000085080000}"/>
    <cellStyle name="Comma 4 2 3 2 7 2" xfId="6676" xr:uid="{00000000-0005-0000-0000-000086080000}"/>
    <cellStyle name="Comma 4 2 3 2 7 2 2" xfId="15118" xr:uid="{FC0D60CF-B534-402D-8D30-919DE2961C2A}"/>
    <cellStyle name="Comma 4 2 3 2 7 3" xfId="10900" xr:uid="{76DDA769-AFD7-4579-8504-FEACE947A738}"/>
    <cellStyle name="Comma 4 2 3 2 8" xfId="2372" xr:uid="{00000000-0005-0000-0000-000087080000}"/>
    <cellStyle name="Comma 4 2 3 2 9" xfId="2769" xr:uid="{00000000-0005-0000-0000-000088080000}"/>
    <cellStyle name="Comma 4 2 3 2 9 2" xfId="6993" xr:uid="{00000000-0005-0000-0000-000089080000}"/>
    <cellStyle name="Comma 4 2 3 2 9 2 2" xfId="15435" xr:uid="{AA72CDCC-F2C2-4408-84F6-E3EBA7DB0AB2}"/>
    <cellStyle name="Comma 4 2 3 2 9 3" xfId="11217" xr:uid="{A1991F62-A4A2-4C55-A167-004208BB0829}"/>
    <cellStyle name="Comma 4 2 3 3" xfId="139" xr:uid="{00000000-0005-0000-0000-00008A080000}"/>
    <cellStyle name="Comma 4 2 3 3 10" xfId="8836" xr:uid="{5FA62F87-C7A0-4141-8EB7-B1E215CDC81F}"/>
    <cellStyle name="Comma 4 2 3 3 2" xfId="677" xr:uid="{00000000-0005-0000-0000-00008B080000}"/>
    <cellStyle name="Comma 4 2 3 3 2 2" xfId="2948" xr:uid="{00000000-0005-0000-0000-00008C080000}"/>
    <cellStyle name="Comma 4 2 3 3 2 2 2" xfId="7171" xr:uid="{00000000-0005-0000-0000-00008D080000}"/>
    <cellStyle name="Comma 4 2 3 3 2 2 2 2" xfId="15613" xr:uid="{036D165D-BAB2-4687-A506-2970FA3A6485}"/>
    <cellStyle name="Comma 4 2 3 3 2 2 3" xfId="11395" xr:uid="{BD3F0E30-FCCA-4E56-9210-371DC1B2FCE6}"/>
    <cellStyle name="Comma 4 2 3 3 2 3" xfId="5026" xr:uid="{00000000-0005-0000-0000-00008E080000}"/>
    <cellStyle name="Comma 4 2 3 3 2 3 2" xfId="13468" xr:uid="{6864251B-5E66-4171-8D37-22BE6F99AE0D}"/>
    <cellStyle name="Comma 4 2 3 3 2 4" xfId="9250" xr:uid="{2A2FC340-7FAF-49B9-9282-8A1AC829291D}"/>
    <cellStyle name="Comma 4 2 3 3 3" xfId="1130" xr:uid="{00000000-0005-0000-0000-00008F080000}"/>
    <cellStyle name="Comma 4 2 3 3 3 2" xfId="3361" xr:uid="{00000000-0005-0000-0000-000090080000}"/>
    <cellStyle name="Comma 4 2 3 3 3 2 2" xfId="7584" xr:uid="{00000000-0005-0000-0000-000091080000}"/>
    <cellStyle name="Comma 4 2 3 3 3 2 2 2" xfId="16026" xr:uid="{0A3BE13C-5B5B-4BEA-88F2-69141E7BA4D3}"/>
    <cellStyle name="Comma 4 2 3 3 3 2 3" xfId="11808" xr:uid="{6A9A999A-2C7F-4DC7-909B-8EB73F0B6A06}"/>
    <cellStyle name="Comma 4 2 3 3 3 3" xfId="5439" xr:uid="{00000000-0005-0000-0000-000092080000}"/>
    <cellStyle name="Comma 4 2 3 3 3 3 2" xfId="13881" xr:uid="{B06FCCF0-EC63-45DB-8AEB-96C709C3F8E2}"/>
    <cellStyle name="Comma 4 2 3 3 3 4" xfId="9663" xr:uid="{D83547E2-FC36-4AEC-B6EA-7B6A3B96E965}"/>
    <cellStyle name="Comma 4 2 3 3 4" xfId="1544" xr:uid="{00000000-0005-0000-0000-000093080000}"/>
    <cellStyle name="Comma 4 2 3 3 4 2" xfId="3774" xr:uid="{00000000-0005-0000-0000-000094080000}"/>
    <cellStyle name="Comma 4 2 3 3 4 2 2" xfId="7997" xr:uid="{00000000-0005-0000-0000-000095080000}"/>
    <cellStyle name="Comma 4 2 3 3 4 2 2 2" xfId="16439" xr:uid="{ED9773E6-FC0D-47CF-ACBA-4C829AA69E86}"/>
    <cellStyle name="Comma 4 2 3 3 4 2 3" xfId="12221" xr:uid="{FA956452-6688-4FCA-A60C-84DB5CA582E5}"/>
    <cellStyle name="Comma 4 2 3 3 4 3" xfId="5852" xr:uid="{00000000-0005-0000-0000-000096080000}"/>
    <cellStyle name="Comma 4 2 3 3 4 3 2" xfId="14294" xr:uid="{827C2FAA-A7E8-4922-82FB-61DA337BC402}"/>
    <cellStyle name="Comma 4 2 3 3 4 4" xfId="10076" xr:uid="{224D5B48-6784-40E4-9B8B-6562E187E120}"/>
    <cellStyle name="Comma 4 2 3 3 5" xfId="1958" xr:uid="{00000000-0005-0000-0000-000097080000}"/>
    <cellStyle name="Comma 4 2 3 3 5 2" xfId="4187" xr:uid="{00000000-0005-0000-0000-000098080000}"/>
    <cellStyle name="Comma 4 2 3 3 5 2 2" xfId="8410" xr:uid="{00000000-0005-0000-0000-000099080000}"/>
    <cellStyle name="Comma 4 2 3 3 5 2 2 2" xfId="16852" xr:uid="{BAA26BED-2FDD-40EB-999F-E368209F05AB}"/>
    <cellStyle name="Comma 4 2 3 3 5 2 3" xfId="12634" xr:uid="{64FF8D01-A321-41C4-A0B2-5A1C02E65691}"/>
    <cellStyle name="Comma 4 2 3 3 5 3" xfId="6265" xr:uid="{00000000-0005-0000-0000-00009A080000}"/>
    <cellStyle name="Comma 4 2 3 3 5 3 2" xfId="14707" xr:uid="{FAED44E5-9B4B-40E8-AD7D-BFF1D20987DE}"/>
    <cellStyle name="Comma 4 2 3 3 5 4" xfId="10489" xr:uid="{22A155A7-3D17-4FA1-88A6-B1FE8D2DAA35}"/>
    <cellStyle name="Comma 4 2 3 3 6" xfId="2393" xr:uid="{00000000-0005-0000-0000-00009B080000}"/>
    <cellStyle name="Comma 4 2 3 3 6 2" xfId="6678" xr:uid="{00000000-0005-0000-0000-00009C080000}"/>
    <cellStyle name="Comma 4 2 3 3 6 2 2" xfId="15120" xr:uid="{E3D40986-DE6B-4E08-9451-DECDDEC48F8E}"/>
    <cellStyle name="Comma 4 2 3 3 6 3" xfId="10902" xr:uid="{474DD3D4-729E-4627-9148-D6EE630A4E91}"/>
    <cellStyle name="Comma 4 2 3 3 7" xfId="2370" xr:uid="{00000000-0005-0000-0000-00009D080000}"/>
    <cellStyle name="Comma 4 2 3 3 8" xfId="2771" xr:uid="{00000000-0005-0000-0000-00009E080000}"/>
    <cellStyle name="Comma 4 2 3 3 8 2" xfId="6995" xr:uid="{00000000-0005-0000-0000-00009F080000}"/>
    <cellStyle name="Comma 4 2 3 3 8 2 2" xfId="15437" xr:uid="{B21EA132-5EE2-4FD3-A297-799EB41B92A6}"/>
    <cellStyle name="Comma 4 2 3 3 8 3" xfId="11219" xr:uid="{91DB9E04-6ED7-4733-9741-94E3B1E880E3}"/>
    <cellStyle name="Comma 4 2 3 3 9" xfId="4612" xr:uid="{00000000-0005-0000-0000-0000A0080000}"/>
    <cellStyle name="Comma 4 2 3 3 9 2" xfId="13054" xr:uid="{D817E8DF-F0BA-42DD-ACF7-0F35C87D2520}"/>
    <cellStyle name="Comma 4 2 3 4" xfId="674" xr:uid="{00000000-0005-0000-0000-0000A1080000}"/>
    <cellStyle name="Comma 4 2 3 4 2" xfId="2945" xr:uid="{00000000-0005-0000-0000-0000A2080000}"/>
    <cellStyle name="Comma 4 2 3 4 2 2" xfId="7168" xr:uid="{00000000-0005-0000-0000-0000A3080000}"/>
    <cellStyle name="Comma 4 2 3 4 2 2 2" xfId="15610" xr:uid="{E715C09A-3A35-4A3B-8904-840258D147DC}"/>
    <cellStyle name="Comma 4 2 3 4 2 3" xfId="11392" xr:uid="{8D14B8FC-C079-444A-BA5F-CE982D322951}"/>
    <cellStyle name="Comma 4 2 3 4 3" xfId="5023" xr:uid="{00000000-0005-0000-0000-0000A4080000}"/>
    <cellStyle name="Comma 4 2 3 4 3 2" xfId="13465" xr:uid="{36B1C4FA-492E-4AF6-8E73-04058DBB4CF5}"/>
    <cellStyle name="Comma 4 2 3 4 4" xfId="9247" xr:uid="{879D3FD2-BED5-4FB3-8D2D-08B6422FCFEE}"/>
    <cellStyle name="Comma 4 2 3 5" xfId="1127" xr:uid="{00000000-0005-0000-0000-0000A5080000}"/>
    <cellStyle name="Comma 4 2 3 5 2" xfId="3358" xr:uid="{00000000-0005-0000-0000-0000A6080000}"/>
    <cellStyle name="Comma 4 2 3 5 2 2" xfId="7581" xr:uid="{00000000-0005-0000-0000-0000A7080000}"/>
    <cellStyle name="Comma 4 2 3 5 2 2 2" xfId="16023" xr:uid="{9F6975DD-03A5-4830-9D90-6C10AF4270CB}"/>
    <cellStyle name="Comma 4 2 3 5 2 3" xfId="11805" xr:uid="{CAEA8FE1-2C58-406B-BC1D-73AF6957307B}"/>
    <cellStyle name="Comma 4 2 3 5 3" xfId="5436" xr:uid="{00000000-0005-0000-0000-0000A8080000}"/>
    <cellStyle name="Comma 4 2 3 5 3 2" xfId="13878" xr:uid="{660A3684-FF51-4006-8AE8-F1DAF8D9DB1B}"/>
    <cellStyle name="Comma 4 2 3 5 4" xfId="9660" xr:uid="{1C529573-5A96-4102-B41A-9CD0A57D6CD6}"/>
    <cellStyle name="Comma 4 2 3 6" xfId="1541" xr:uid="{00000000-0005-0000-0000-0000A9080000}"/>
    <cellStyle name="Comma 4 2 3 6 2" xfId="3771" xr:uid="{00000000-0005-0000-0000-0000AA080000}"/>
    <cellStyle name="Comma 4 2 3 6 2 2" xfId="7994" xr:uid="{00000000-0005-0000-0000-0000AB080000}"/>
    <cellStyle name="Comma 4 2 3 6 2 2 2" xfId="16436" xr:uid="{F59C23AB-3306-4552-80F6-DD808C983995}"/>
    <cellStyle name="Comma 4 2 3 6 2 3" xfId="12218" xr:uid="{A1B208DB-A2C0-4BCB-BCAA-8183D85D89DF}"/>
    <cellStyle name="Comma 4 2 3 6 3" xfId="5849" xr:uid="{00000000-0005-0000-0000-0000AC080000}"/>
    <cellStyle name="Comma 4 2 3 6 3 2" xfId="14291" xr:uid="{9A07A8F6-1DBB-42C3-8113-55FF241FF137}"/>
    <cellStyle name="Comma 4 2 3 6 4" xfId="10073" xr:uid="{82EE9BB5-5A08-414C-973A-598312C3F65F}"/>
    <cellStyle name="Comma 4 2 3 7" xfId="1955" xr:uid="{00000000-0005-0000-0000-0000AD080000}"/>
    <cellStyle name="Comma 4 2 3 7 2" xfId="4184" xr:uid="{00000000-0005-0000-0000-0000AE080000}"/>
    <cellStyle name="Comma 4 2 3 7 2 2" xfId="8407" xr:uid="{00000000-0005-0000-0000-0000AF080000}"/>
    <cellStyle name="Comma 4 2 3 7 2 2 2" xfId="16849" xr:uid="{FACE2A11-A816-4C1D-83F0-8FF76ED42D8A}"/>
    <cellStyle name="Comma 4 2 3 7 2 3" xfId="12631" xr:uid="{38107521-6B5D-46C4-9AA0-B456F58E453C}"/>
    <cellStyle name="Comma 4 2 3 7 3" xfId="6262" xr:uid="{00000000-0005-0000-0000-0000B0080000}"/>
    <cellStyle name="Comma 4 2 3 7 3 2" xfId="14704" xr:uid="{B8249D4A-DA3A-4CA8-B89A-267B47994920}"/>
    <cellStyle name="Comma 4 2 3 7 4" xfId="10486" xr:uid="{8FB2833F-3DAE-45BC-BD93-676D31CA2FCD}"/>
    <cellStyle name="Comma 4 2 3 8" xfId="2390" xr:uid="{00000000-0005-0000-0000-0000B1080000}"/>
    <cellStyle name="Comma 4 2 3 8 2" xfId="6675" xr:uid="{00000000-0005-0000-0000-0000B2080000}"/>
    <cellStyle name="Comma 4 2 3 8 2 2" xfId="15117" xr:uid="{02EB2116-0283-4DB3-8799-591F9CE9C197}"/>
    <cellStyle name="Comma 4 2 3 8 3" xfId="10899" xr:uid="{4EE6C5CB-AC45-4456-9588-8403A65F4F72}"/>
    <cellStyle name="Comma 4 2 3 9" xfId="2373" xr:uid="{00000000-0005-0000-0000-0000B3080000}"/>
    <cellStyle name="Comma 4 2 4" xfId="140" xr:uid="{00000000-0005-0000-0000-0000B4080000}"/>
    <cellStyle name="Comma 4 2 4 10" xfId="4613" xr:uid="{00000000-0005-0000-0000-0000B5080000}"/>
    <cellStyle name="Comma 4 2 4 10 2" xfId="13055" xr:uid="{57954AA8-DA0D-4E1B-92F7-8072F145EC8C}"/>
    <cellStyle name="Comma 4 2 4 11" xfId="8837" xr:uid="{7F492BD8-6B53-4DF9-9FF1-5F3A04A66AB4}"/>
    <cellStyle name="Comma 4 2 4 2" xfId="141" xr:uid="{00000000-0005-0000-0000-0000B6080000}"/>
    <cellStyle name="Comma 4 2 4 2 10" xfId="8838" xr:uid="{55067206-6287-4FC1-849C-8A3937D5D641}"/>
    <cellStyle name="Comma 4 2 4 2 2" xfId="679" xr:uid="{00000000-0005-0000-0000-0000B7080000}"/>
    <cellStyle name="Comma 4 2 4 2 2 2" xfId="2950" xr:uid="{00000000-0005-0000-0000-0000B8080000}"/>
    <cellStyle name="Comma 4 2 4 2 2 2 2" xfId="7173" xr:uid="{00000000-0005-0000-0000-0000B9080000}"/>
    <cellStyle name="Comma 4 2 4 2 2 2 2 2" xfId="15615" xr:uid="{F3E6FC94-8E09-411E-AA6F-15AAB81AB51C}"/>
    <cellStyle name="Comma 4 2 4 2 2 2 3" xfId="11397" xr:uid="{0FFD5EE9-5E4F-46C9-9F5D-95CA1AB5A1F5}"/>
    <cellStyle name="Comma 4 2 4 2 2 3" xfId="5028" xr:uid="{00000000-0005-0000-0000-0000BA080000}"/>
    <cellStyle name="Comma 4 2 4 2 2 3 2" xfId="13470" xr:uid="{98C31F7E-CB07-4E0C-BEFE-AB17BDCB5C92}"/>
    <cellStyle name="Comma 4 2 4 2 2 4" xfId="9252" xr:uid="{41DB3F85-8A4B-41B0-B07D-4337F1FB0378}"/>
    <cellStyle name="Comma 4 2 4 2 3" xfId="1132" xr:uid="{00000000-0005-0000-0000-0000BB080000}"/>
    <cellStyle name="Comma 4 2 4 2 3 2" xfId="3363" xr:uid="{00000000-0005-0000-0000-0000BC080000}"/>
    <cellStyle name="Comma 4 2 4 2 3 2 2" xfId="7586" xr:uid="{00000000-0005-0000-0000-0000BD080000}"/>
    <cellStyle name="Comma 4 2 4 2 3 2 2 2" xfId="16028" xr:uid="{A7999541-65BC-47BC-90F5-6BBC97C5DA03}"/>
    <cellStyle name="Comma 4 2 4 2 3 2 3" xfId="11810" xr:uid="{ED68C2CE-D885-4E50-A0CC-ACC0E4A3C858}"/>
    <cellStyle name="Comma 4 2 4 2 3 3" xfId="5441" xr:uid="{00000000-0005-0000-0000-0000BE080000}"/>
    <cellStyle name="Comma 4 2 4 2 3 3 2" xfId="13883" xr:uid="{68210C65-BB1E-4644-B1DF-EC3CA98DEA46}"/>
    <cellStyle name="Comma 4 2 4 2 3 4" xfId="9665" xr:uid="{E050021B-75FF-49FF-B6CC-7C1681EC0AB5}"/>
    <cellStyle name="Comma 4 2 4 2 4" xfId="1546" xr:uid="{00000000-0005-0000-0000-0000BF080000}"/>
    <cellStyle name="Comma 4 2 4 2 4 2" xfId="3776" xr:uid="{00000000-0005-0000-0000-0000C0080000}"/>
    <cellStyle name="Comma 4 2 4 2 4 2 2" xfId="7999" xr:uid="{00000000-0005-0000-0000-0000C1080000}"/>
    <cellStyle name="Comma 4 2 4 2 4 2 2 2" xfId="16441" xr:uid="{9C925FB6-E703-42C4-90DA-08A01A84E8E1}"/>
    <cellStyle name="Comma 4 2 4 2 4 2 3" xfId="12223" xr:uid="{C2F4AC8F-CFF9-4108-8919-C26C5C4DBB19}"/>
    <cellStyle name="Comma 4 2 4 2 4 3" xfId="5854" xr:uid="{00000000-0005-0000-0000-0000C2080000}"/>
    <cellStyle name="Comma 4 2 4 2 4 3 2" xfId="14296" xr:uid="{2DE410E9-4C62-4B94-8D30-93032C170060}"/>
    <cellStyle name="Comma 4 2 4 2 4 4" xfId="10078" xr:uid="{A585AC61-E008-4E0E-AF62-00A1F58D1FAB}"/>
    <cellStyle name="Comma 4 2 4 2 5" xfId="1960" xr:uid="{00000000-0005-0000-0000-0000C3080000}"/>
    <cellStyle name="Comma 4 2 4 2 5 2" xfId="4189" xr:uid="{00000000-0005-0000-0000-0000C4080000}"/>
    <cellStyle name="Comma 4 2 4 2 5 2 2" xfId="8412" xr:uid="{00000000-0005-0000-0000-0000C5080000}"/>
    <cellStyle name="Comma 4 2 4 2 5 2 2 2" xfId="16854" xr:uid="{509518BE-8886-4042-B7ED-28BC4301564D}"/>
    <cellStyle name="Comma 4 2 4 2 5 2 3" xfId="12636" xr:uid="{8754F2E3-1F42-42B6-A7A4-35DC9D5B9DF8}"/>
    <cellStyle name="Comma 4 2 4 2 5 3" xfId="6267" xr:uid="{00000000-0005-0000-0000-0000C6080000}"/>
    <cellStyle name="Comma 4 2 4 2 5 3 2" xfId="14709" xr:uid="{848E2A8E-0456-4A1B-91C4-AFD112B41457}"/>
    <cellStyle name="Comma 4 2 4 2 5 4" xfId="10491" xr:uid="{79404215-8AF3-4214-A759-574B59B4501D}"/>
    <cellStyle name="Comma 4 2 4 2 6" xfId="2395" xr:uid="{00000000-0005-0000-0000-0000C7080000}"/>
    <cellStyle name="Comma 4 2 4 2 6 2" xfId="6680" xr:uid="{00000000-0005-0000-0000-0000C8080000}"/>
    <cellStyle name="Comma 4 2 4 2 6 2 2" xfId="15122" xr:uid="{EBF70AF4-9216-4386-95B9-EA5844619AFA}"/>
    <cellStyle name="Comma 4 2 4 2 6 3" xfId="10904" xr:uid="{FFD6A065-0D20-40AD-B9AD-C65F9789E2BD}"/>
    <cellStyle name="Comma 4 2 4 2 7" xfId="2368" xr:uid="{00000000-0005-0000-0000-0000C9080000}"/>
    <cellStyle name="Comma 4 2 4 2 8" xfId="2773" xr:uid="{00000000-0005-0000-0000-0000CA080000}"/>
    <cellStyle name="Comma 4 2 4 2 8 2" xfId="6997" xr:uid="{00000000-0005-0000-0000-0000CB080000}"/>
    <cellStyle name="Comma 4 2 4 2 8 2 2" xfId="15439" xr:uid="{F75EA62F-33BC-45AC-994A-A04042F6C097}"/>
    <cellStyle name="Comma 4 2 4 2 8 3" xfId="11221" xr:uid="{95317B34-5554-43E4-865A-207CE17D40EF}"/>
    <cellStyle name="Comma 4 2 4 2 9" xfId="4614" xr:uid="{00000000-0005-0000-0000-0000CC080000}"/>
    <cellStyle name="Comma 4 2 4 2 9 2" xfId="13056" xr:uid="{6268AF79-F9FF-42D6-87B3-E44BF70D0E1E}"/>
    <cellStyle name="Comma 4 2 4 3" xfId="678" xr:uid="{00000000-0005-0000-0000-0000CD080000}"/>
    <cellStyle name="Comma 4 2 4 3 2" xfId="2949" xr:uid="{00000000-0005-0000-0000-0000CE080000}"/>
    <cellStyle name="Comma 4 2 4 3 2 2" xfId="7172" xr:uid="{00000000-0005-0000-0000-0000CF080000}"/>
    <cellStyle name="Comma 4 2 4 3 2 2 2" xfId="15614" xr:uid="{6B96A31B-C545-476A-96CF-7A8B5EFB20D5}"/>
    <cellStyle name="Comma 4 2 4 3 2 3" xfId="11396" xr:uid="{F94D81B6-E07E-4D59-8069-42C88597599D}"/>
    <cellStyle name="Comma 4 2 4 3 3" xfId="5027" xr:uid="{00000000-0005-0000-0000-0000D0080000}"/>
    <cellStyle name="Comma 4 2 4 3 3 2" xfId="13469" xr:uid="{CE07FA85-500E-4734-9AC7-2649641902AB}"/>
    <cellStyle name="Comma 4 2 4 3 4" xfId="9251" xr:uid="{6E868AF8-3576-4ABE-9430-8ACE7A4A7C3F}"/>
    <cellStyle name="Comma 4 2 4 4" xfId="1131" xr:uid="{00000000-0005-0000-0000-0000D1080000}"/>
    <cellStyle name="Comma 4 2 4 4 2" xfId="3362" xr:uid="{00000000-0005-0000-0000-0000D2080000}"/>
    <cellStyle name="Comma 4 2 4 4 2 2" xfId="7585" xr:uid="{00000000-0005-0000-0000-0000D3080000}"/>
    <cellStyle name="Comma 4 2 4 4 2 2 2" xfId="16027" xr:uid="{DA54C780-232A-4C37-80A7-CEAD39E1A99E}"/>
    <cellStyle name="Comma 4 2 4 4 2 3" xfId="11809" xr:uid="{3AFD30F9-FBB3-4498-A48A-0F244BE9EF94}"/>
    <cellStyle name="Comma 4 2 4 4 3" xfId="5440" xr:uid="{00000000-0005-0000-0000-0000D4080000}"/>
    <cellStyle name="Comma 4 2 4 4 3 2" xfId="13882" xr:uid="{9B2742A0-1806-495A-B4E8-7264263C8D7B}"/>
    <cellStyle name="Comma 4 2 4 4 4" xfId="9664" xr:uid="{883930BC-3BBE-4CB1-9AEF-A2792C97284C}"/>
    <cellStyle name="Comma 4 2 4 5" xfId="1545" xr:uid="{00000000-0005-0000-0000-0000D5080000}"/>
    <cellStyle name="Comma 4 2 4 5 2" xfId="3775" xr:uid="{00000000-0005-0000-0000-0000D6080000}"/>
    <cellStyle name="Comma 4 2 4 5 2 2" xfId="7998" xr:uid="{00000000-0005-0000-0000-0000D7080000}"/>
    <cellStyle name="Comma 4 2 4 5 2 2 2" xfId="16440" xr:uid="{3F261F33-998E-45E0-AC21-0A7255BE5A59}"/>
    <cellStyle name="Comma 4 2 4 5 2 3" xfId="12222" xr:uid="{70D51EFD-BE04-4DAA-ADE7-055AAFF70F7B}"/>
    <cellStyle name="Comma 4 2 4 5 3" xfId="5853" xr:uid="{00000000-0005-0000-0000-0000D8080000}"/>
    <cellStyle name="Comma 4 2 4 5 3 2" xfId="14295" xr:uid="{4845A942-9630-476B-ABFE-2AEB63102668}"/>
    <cellStyle name="Comma 4 2 4 5 4" xfId="10077" xr:uid="{CBB4DE65-C077-4F32-AB08-B5305A6E9AAB}"/>
    <cellStyle name="Comma 4 2 4 6" xfId="1959" xr:uid="{00000000-0005-0000-0000-0000D9080000}"/>
    <cellStyle name="Comma 4 2 4 6 2" xfId="4188" xr:uid="{00000000-0005-0000-0000-0000DA080000}"/>
    <cellStyle name="Comma 4 2 4 6 2 2" xfId="8411" xr:uid="{00000000-0005-0000-0000-0000DB080000}"/>
    <cellStyle name="Comma 4 2 4 6 2 2 2" xfId="16853" xr:uid="{D7A48179-4879-4D28-A0C0-FF1B1F30C9FD}"/>
    <cellStyle name="Comma 4 2 4 6 2 3" xfId="12635" xr:uid="{340171DC-4C39-4D76-9478-ECAB91731BD8}"/>
    <cellStyle name="Comma 4 2 4 6 3" xfId="6266" xr:uid="{00000000-0005-0000-0000-0000DC080000}"/>
    <cellStyle name="Comma 4 2 4 6 3 2" xfId="14708" xr:uid="{3103B210-FD05-4403-A665-BCDC55DE3EBA}"/>
    <cellStyle name="Comma 4 2 4 6 4" xfId="10490" xr:uid="{DD6099ED-4F1D-465E-86FF-89FD0A324AF1}"/>
    <cellStyle name="Comma 4 2 4 7" xfId="2394" xr:uid="{00000000-0005-0000-0000-0000DD080000}"/>
    <cellStyle name="Comma 4 2 4 7 2" xfId="6679" xr:uid="{00000000-0005-0000-0000-0000DE080000}"/>
    <cellStyle name="Comma 4 2 4 7 2 2" xfId="15121" xr:uid="{4B1595C8-C0F0-4650-80B6-E8ED9F6D731D}"/>
    <cellStyle name="Comma 4 2 4 7 3" xfId="10903" xr:uid="{45C05DE3-C983-4A7D-8E08-37AB86056F98}"/>
    <cellStyle name="Comma 4 2 4 8" xfId="2369" xr:uid="{00000000-0005-0000-0000-0000DF080000}"/>
    <cellStyle name="Comma 4 2 4 9" xfId="2772" xr:uid="{00000000-0005-0000-0000-0000E0080000}"/>
    <cellStyle name="Comma 4 2 4 9 2" xfId="6996" xr:uid="{00000000-0005-0000-0000-0000E1080000}"/>
    <cellStyle name="Comma 4 2 4 9 2 2" xfId="15438" xr:uid="{2B59DADC-40B4-4D37-96AA-FA5FD0CA7085}"/>
    <cellStyle name="Comma 4 2 4 9 3" xfId="11220" xr:uid="{B107E32B-D89C-40C4-BB8F-D1A69C0EE764}"/>
    <cellStyle name="Comma 4 2 5" xfId="142" xr:uid="{00000000-0005-0000-0000-0000E2080000}"/>
    <cellStyle name="Comma 4 2 5 10" xfId="8839" xr:uid="{AD71BC8B-6B87-472A-92E5-CA0A4978EA7B}"/>
    <cellStyle name="Comma 4 2 5 2" xfId="680" xr:uid="{00000000-0005-0000-0000-0000E3080000}"/>
    <cellStyle name="Comma 4 2 5 2 2" xfId="2951" xr:uid="{00000000-0005-0000-0000-0000E4080000}"/>
    <cellStyle name="Comma 4 2 5 2 2 2" xfId="7174" xr:uid="{00000000-0005-0000-0000-0000E5080000}"/>
    <cellStyle name="Comma 4 2 5 2 2 2 2" xfId="15616" xr:uid="{08C5F1CA-A4FD-4C83-A698-8E5D0E5A4388}"/>
    <cellStyle name="Comma 4 2 5 2 2 3" xfId="11398" xr:uid="{F7082794-751F-4862-82DB-A5E538F14472}"/>
    <cellStyle name="Comma 4 2 5 2 3" xfId="5029" xr:uid="{00000000-0005-0000-0000-0000E6080000}"/>
    <cellStyle name="Comma 4 2 5 2 3 2" xfId="13471" xr:uid="{ED288317-7BD9-4CBF-8198-1CF777ED3466}"/>
    <cellStyle name="Comma 4 2 5 2 4" xfId="9253" xr:uid="{BD633DC5-FE1D-4DF7-9049-E8A51C87FE9D}"/>
    <cellStyle name="Comma 4 2 5 3" xfId="1133" xr:uid="{00000000-0005-0000-0000-0000E7080000}"/>
    <cellStyle name="Comma 4 2 5 3 2" xfId="3364" xr:uid="{00000000-0005-0000-0000-0000E8080000}"/>
    <cellStyle name="Comma 4 2 5 3 2 2" xfId="7587" xr:uid="{00000000-0005-0000-0000-0000E9080000}"/>
    <cellStyle name="Comma 4 2 5 3 2 2 2" xfId="16029" xr:uid="{D02F7AD1-4097-4E85-ACE5-F50F63CD3D57}"/>
    <cellStyle name="Comma 4 2 5 3 2 3" xfId="11811" xr:uid="{479A27BD-F460-4CF6-8A61-CBDA5A259B63}"/>
    <cellStyle name="Comma 4 2 5 3 3" xfId="5442" xr:uid="{00000000-0005-0000-0000-0000EA080000}"/>
    <cellStyle name="Comma 4 2 5 3 3 2" xfId="13884" xr:uid="{AD043C80-5C1C-453C-9043-3C3B5C7C9F6A}"/>
    <cellStyle name="Comma 4 2 5 3 4" xfId="9666" xr:uid="{F4A114AF-975D-43CA-920C-D5CB7A6B20C6}"/>
    <cellStyle name="Comma 4 2 5 4" xfId="1547" xr:uid="{00000000-0005-0000-0000-0000EB080000}"/>
    <cellStyle name="Comma 4 2 5 4 2" xfId="3777" xr:uid="{00000000-0005-0000-0000-0000EC080000}"/>
    <cellStyle name="Comma 4 2 5 4 2 2" xfId="8000" xr:uid="{00000000-0005-0000-0000-0000ED080000}"/>
    <cellStyle name="Comma 4 2 5 4 2 2 2" xfId="16442" xr:uid="{CCFDBAA3-63A2-4491-B0CC-B827482959F4}"/>
    <cellStyle name="Comma 4 2 5 4 2 3" xfId="12224" xr:uid="{084C9768-0F22-487C-9717-2472727AB5A8}"/>
    <cellStyle name="Comma 4 2 5 4 3" xfId="5855" xr:uid="{00000000-0005-0000-0000-0000EE080000}"/>
    <cellStyle name="Comma 4 2 5 4 3 2" xfId="14297" xr:uid="{6B852212-AE0E-4FAD-9ED2-83C469E21135}"/>
    <cellStyle name="Comma 4 2 5 4 4" xfId="10079" xr:uid="{861275A5-9C0C-4C2B-B195-6D15C25696BD}"/>
    <cellStyle name="Comma 4 2 5 5" xfId="1961" xr:uid="{00000000-0005-0000-0000-0000EF080000}"/>
    <cellStyle name="Comma 4 2 5 5 2" xfId="4190" xr:uid="{00000000-0005-0000-0000-0000F0080000}"/>
    <cellStyle name="Comma 4 2 5 5 2 2" xfId="8413" xr:uid="{00000000-0005-0000-0000-0000F1080000}"/>
    <cellStyle name="Comma 4 2 5 5 2 2 2" xfId="16855" xr:uid="{27554D64-C93A-4077-9988-240185ED275A}"/>
    <cellStyle name="Comma 4 2 5 5 2 3" xfId="12637" xr:uid="{4CA2E0C5-905C-43B1-8ABE-71AC34D601F0}"/>
    <cellStyle name="Comma 4 2 5 5 3" xfId="6268" xr:uid="{00000000-0005-0000-0000-0000F2080000}"/>
    <cellStyle name="Comma 4 2 5 5 3 2" xfId="14710" xr:uid="{6FF65C91-2C78-4DF8-9998-B05CE36FE8FF}"/>
    <cellStyle name="Comma 4 2 5 5 4" xfId="10492" xr:uid="{315423BC-915C-407B-88FF-B554D2856DB3}"/>
    <cellStyle name="Comma 4 2 5 6" xfId="2396" xr:uid="{00000000-0005-0000-0000-0000F3080000}"/>
    <cellStyle name="Comma 4 2 5 6 2" xfId="6681" xr:uid="{00000000-0005-0000-0000-0000F4080000}"/>
    <cellStyle name="Comma 4 2 5 6 2 2" xfId="15123" xr:uid="{7DDB9B4A-041D-4096-A079-94FBE8B95BD8}"/>
    <cellStyle name="Comma 4 2 5 6 3" xfId="10905" xr:uid="{49FD15D4-78EA-4673-944E-288E591B0980}"/>
    <cellStyle name="Comma 4 2 5 7" xfId="2367" xr:uid="{00000000-0005-0000-0000-0000F5080000}"/>
    <cellStyle name="Comma 4 2 5 8" xfId="2774" xr:uid="{00000000-0005-0000-0000-0000F6080000}"/>
    <cellStyle name="Comma 4 2 5 8 2" xfId="6998" xr:uid="{00000000-0005-0000-0000-0000F7080000}"/>
    <cellStyle name="Comma 4 2 5 8 2 2" xfId="15440" xr:uid="{28874EBC-10EE-4EF7-97D1-09557A9DF42D}"/>
    <cellStyle name="Comma 4 2 5 8 3" xfId="11222" xr:uid="{0F6A8B13-7A57-490A-9760-B552BE70BAA9}"/>
    <cellStyle name="Comma 4 2 5 9" xfId="4615" xr:uid="{00000000-0005-0000-0000-0000F8080000}"/>
    <cellStyle name="Comma 4 2 5 9 2" xfId="13057" xr:uid="{DE28A45B-3B52-40C6-9781-0EAD88E2429E}"/>
    <cellStyle name="Comma 4 2 6" xfId="143" xr:uid="{00000000-0005-0000-0000-0000F9080000}"/>
    <cellStyle name="Comma 4 2 6 10" xfId="8840" xr:uid="{9786A185-1F71-4C6B-B8BD-061DA6515CA8}"/>
    <cellStyle name="Comma 4 2 6 2" xfId="681" xr:uid="{00000000-0005-0000-0000-0000FA080000}"/>
    <cellStyle name="Comma 4 2 6 2 2" xfId="2952" xr:uid="{00000000-0005-0000-0000-0000FB080000}"/>
    <cellStyle name="Comma 4 2 6 2 2 2" xfId="7175" xr:uid="{00000000-0005-0000-0000-0000FC080000}"/>
    <cellStyle name="Comma 4 2 6 2 2 2 2" xfId="15617" xr:uid="{778A65ED-CCB3-4F91-A34A-024248302EFC}"/>
    <cellStyle name="Comma 4 2 6 2 2 3" xfId="11399" xr:uid="{5D19753C-385B-4981-A9CB-5041202ED27E}"/>
    <cellStyle name="Comma 4 2 6 2 3" xfId="5030" xr:uid="{00000000-0005-0000-0000-0000FD080000}"/>
    <cellStyle name="Comma 4 2 6 2 3 2" xfId="13472" xr:uid="{508CD9A7-3877-4160-87A1-552210AC5053}"/>
    <cellStyle name="Comma 4 2 6 2 4" xfId="9254" xr:uid="{75E739F7-A6AD-41FE-8823-3B1A08023F25}"/>
    <cellStyle name="Comma 4 2 6 3" xfId="1134" xr:uid="{00000000-0005-0000-0000-0000FE080000}"/>
    <cellStyle name="Comma 4 2 6 3 2" xfId="3365" xr:uid="{00000000-0005-0000-0000-0000FF080000}"/>
    <cellStyle name="Comma 4 2 6 3 2 2" xfId="7588" xr:uid="{00000000-0005-0000-0000-000000090000}"/>
    <cellStyle name="Comma 4 2 6 3 2 2 2" xfId="16030" xr:uid="{5D20BE6D-125C-4D29-89D0-151FD0C50563}"/>
    <cellStyle name="Comma 4 2 6 3 2 3" xfId="11812" xr:uid="{973DB77F-1B08-4F96-BBD4-24E1052921E4}"/>
    <cellStyle name="Comma 4 2 6 3 3" xfId="5443" xr:uid="{00000000-0005-0000-0000-000001090000}"/>
    <cellStyle name="Comma 4 2 6 3 3 2" xfId="13885" xr:uid="{CEE4B9B4-6BED-4789-AD5E-2ACA96A49DAA}"/>
    <cellStyle name="Comma 4 2 6 3 4" xfId="9667" xr:uid="{F4D4DEFA-C535-4876-9285-24F0BB32E545}"/>
    <cellStyle name="Comma 4 2 6 4" xfId="1548" xr:uid="{00000000-0005-0000-0000-000002090000}"/>
    <cellStyle name="Comma 4 2 6 4 2" xfId="3778" xr:uid="{00000000-0005-0000-0000-000003090000}"/>
    <cellStyle name="Comma 4 2 6 4 2 2" xfId="8001" xr:uid="{00000000-0005-0000-0000-000004090000}"/>
    <cellStyle name="Comma 4 2 6 4 2 2 2" xfId="16443" xr:uid="{F6D14EF5-5B1E-4BCE-B509-2D9AA5515D10}"/>
    <cellStyle name="Comma 4 2 6 4 2 3" xfId="12225" xr:uid="{E4DAEF36-D1B2-41CA-9A87-87F9681D0FCA}"/>
    <cellStyle name="Comma 4 2 6 4 3" xfId="5856" xr:uid="{00000000-0005-0000-0000-000005090000}"/>
    <cellStyle name="Comma 4 2 6 4 3 2" xfId="14298" xr:uid="{3B958569-D888-449B-BDB1-E287DAC27F2D}"/>
    <cellStyle name="Comma 4 2 6 4 4" xfId="10080" xr:uid="{E6C8C174-C669-40F9-BA7E-53BC06E9551F}"/>
    <cellStyle name="Comma 4 2 6 5" xfId="1962" xr:uid="{00000000-0005-0000-0000-000006090000}"/>
    <cellStyle name="Comma 4 2 6 5 2" xfId="4191" xr:uid="{00000000-0005-0000-0000-000007090000}"/>
    <cellStyle name="Comma 4 2 6 5 2 2" xfId="8414" xr:uid="{00000000-0005-0000-0000-000008090000}"/>
    <cellStyle name="Comma 4 2 6 5 2 2 2" xfId="16856" xr:uid="{D1B8504C-BCD5-4370-8DAB-46C136FC286D}"/>
    <cellStyle name="Comma 4 2 6 5 2 3" xfId="12638" xr:uid="{A2AA9E5C-5B90-4A5E-8B44-E3583FDA8A90}"/>
    <cellStyle name="Comma 4 2 6 5 3" xfId="6269" xr:uid="{00000000-0005-0000-0000-000009090000}"/>
    <cellStyle name="Comma 4 2 6 5 3 2" xfId="14711" xr:uid="{59FBF0E1-0457-4BCF-B24C-5302DFF9753F}"/>
    <cellStyle name="Comma 4 2 6 5 4" xfId="10493" xr:uid="{973A0B2A-C031-46A4-8A1E-7119576942B1}"/>
    <cellStyle name="Comma 4 2 6 6" xfId="2397" xr:uid="{00000000-0005-0000-0000-00000A090000}"/>
    <cellStyle name="Comma 4 2 6 6 2" xfId="6682" xr:uid="{00000000-0005-0000-0000-00000B090000}"/>
    <cellStyle name="Comma 4 2 6 6 2 2" xfId="15124" xr:uid="{22A83DFF-9B91-46BF-A245-83E7ACC6FE28}"/>
    <cellStyle name="Comma 4 2 6 6 3" xfId="10906" xr:uid="{5627017F-2CCC-4040-B11F-1D1B6D61F5BB}"/>
    <cellStyle name="Comma 4 2 6 7" xfId="2366" xr:uid="{00000000-0005-0000-0000-00000C090000}"/>
    <cellStyle name="Comma 4 2 6 8" xfId="2775" xr:uid="{00000000-0005-0000-0000-00000D090000}"/>
    <cellStyle name="Comma 4 2 6 8 2" xfId="6999" xr:uid="{00000000-0005-0000-0000-00000E090000}"/>
    <cellStyle name="Comma 4 2 6 8 2 2" xfId="15441" xr:uid="{F7162270-700E-4605-8B52-7F1C7B38C866}"/>
    <cellStyle name="Comma 4 2 6 8 3" xfId="11223" xr:uid="{2CF3C96C-1012-44E5-A661-8A4A940F4771}"/>
    <cellStyle name="Comma 4 2 6 9" xfId="4616" xr:uid="{00000000-0005-0000-0000-00000F090000}"/>
    <cellStyle name="Comma 4 2 6 9 2" xfId="13058" xr:uid="{B02D577D-64F6-4B98-9C79-2AE0257BA523}"/>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0 2 2" xfId="15442" xr:uid="{358603F2-D4C5-4994-A5E2-1465495D103E}"/>
    <cellStyle name="Comma 4 3 2 10 3" xfId="11224" xr:uid="{426DF91F-20E3-4590-9194-B9DA0289D0CF}"/>
    <cellStyle name="Comma 4 3 2 11" xfId="4617" xr:uid="{00000000-0005-0000-0000-000014090000}"/>
    <cellStyle name="Comma 4 3 2 11 2" xfId="13059" xr:uid="{83CD3808-E746-4E66-9CA8-A16EE80D0E7D}"/>
    <cellStyle name="Comma 4 3 2 12" xfId="8841" xr:uid="{D3DF918E-BA9F-4336-B5AC-903322BB5806}"/>
    <cellStyle name="Comma 4 3 2 2" xfId="146" xr:uid="{00000000-0005-0000-0000-000015090000}"/>
    <cellStyle name="Comma 4 3 2 2 10" xfId="4618" xr:uid="{00000000-0005-0000-0000-000016090000}"/>
    <cellStyle name="Comma 4 3 2 2 10 2" xfId="13060" xr:uid="{A507BCB6-C40B-44E4-98FE-27F5C6BA5126}"/>
    <cellStyle name="Comma 4 3 2 2 11" xfId="8842" xr:uid="{D8FC125A-C742-4B01-92F7-D202805A200A}"/>
    <cellStyle name="Comma 4 3 2 2 2" xfId="147" xr:uid="{00000000-0005-0000-0000-000017090000}"/>
    <cellStyle name="Comma 4 3 2 2 2 10" xfId="8843" xr:uid="{C6739DF0-A9A4-46EC-AA87-C074E0184C1E}"/>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15620" xr:uid="{6D8B8EFB-6687-4B41-A637-D120E1F62FAA}"/>
    <cellStyle name="Comma 4 3 2 2 2 2 2 3" xfId="11402" xr:uid="{85FBA14A-3853-4E13-97A6-D1600B203B3F}"/>
    <cellStyle name="Comma 4 3 2 2 2 2 3" xfId="5033" xr:uid="{00000000-0005-0000-0000-00001B090000}"/>
    <cellStyle name="Comma 4 3 2 2 2 2 3 2" xfId="13475" xr:uid="{C046EC99-1EDA-4977-A019-585C08B88E09}"/>
    <cellStyle name="Comma 4 3 2 2 2 2 4" xfId="9257" xr:uid="{4269CB35-CA2F-4853-BAA9-8B10BF734A94}"/>
    <cellStyle name="Comma 4 3 2 2 2 3" xfId="1137" xr:uid="{00000000-0005-0000-0000-00001C090000}"/>
    <cellStyle name="Comma 4 3 2 2 2 3 2" xfId="3368" xr:uid="{00000000-0005-0000-0000-00001D090000}"/>
    <cellStyle name="Comma 4 3 2 2 2 3 2 2" xfId="7591" xr:uid="{00000000-0005-0000-0000-00001E090000}"/>
    <cellStyle name="Comma 4 3 2 2 2 3 2 2 2" xfId="16033" xr:uid="{6574FB33-66AB-4A66-8B2E-22DC1D3BC2C2}"/>
    <cellStyle name="Comma 4 3 2 2 2 3 2 3" xfId="11815" xr:uid="{DBC0ED50-CAE8-4074-A8BA-0BA68A29E812}"/>
    <cellStyle name="Comma 4 3 2 2 2 3 3" xfId="5446" xr:uid="{00000000-0005-0000-0000-00001F090000}"/>
    <cellStyle name="Comma 4 3 2 2 2 3 3 2" xfId="13888" xr:uid="{165F24B7-AD2B-42F2-A030-5499C14FE3FC}"/>
    <cellStyle name="Comma 4 3 2 2 2 3 4" xfId="9670" xr:uid="{CEFD05BB-0850-49E8-A8A1-5513697ABE70}"/>
    <cellStyle name="Comma 4 3 2 2 2 4" xfId="1551" xr:uid="{00000000-0005-0000-0000-000020090000}"/>
    <cellStyle name="Comma 4 3 2 2 2 4 2" xfId="3781" xr:uid="{00000000-0005-0000-0000-000021090000}"/>
    <cellStyle name="Comma 4 3 2 2 2 4 2 2" xfId="8004" xr:uid="{00000000-0005-0000-0000-000022090000}"/>
    <cellStyle name="Comma 4 3 2 2 2 4 2 2 2" xfId="16446" xr:uid="{EAB8A6AF-A0C2-4B55-B070-00620B269F65}"/>
    <cellStyle name="Comma 4 3 2 2 2 4 2 3" xfId="12228" xr:uid="{19A734EB-FA6D-46FC-8A47-29D80A033A45}"/>
    <cellStyle name="Comma 4 3 2 2 2 4 3" xfId="5859" xr:uid="{00000000-0005-0000-0000-000023090000}"/>
    <cellStyle name="Comma 4 3 2 2 2 4 3 2" xfId="14301" xr:uid="{49AD24ED-3C34-48B8-82F9-E2D45E03FE26}"/>
    <cellStyle name="Comma 4 3 2 2 2 4 4" xfId="10083" xr:uid="{C72CBCF9-57EF-47F2-AEA4-FCD3EBD3A24F}"/>
    <cellStyle name="Comma 4 3 2 2 2 5" xfId="1965" xr:uid="{00000000-0005-0000-0000-000024090000}"/>
    <cellStyle name="Comma 4 3 2 2 2 5 2" xfId="4194" xr:uid="{00000000-0005-0000-0000-000025090000}"/>
    <cellStyle name="Comma 4 3 2 2 2 5 2 2" xfId="8417" xr:uid="{00000000-0005-0000-0000-000026090000}"/>
    <cellStyle name="Comma 4 3 2 2 2 5 2 2 2" xfId="16859" xr:uid="{367084ED-5736-4275-A747-D341364756DC}"/>
    <cellStyle name="Comma 4 3 2 2 2 5 2 3" xfId="12641" xr:uid="{7B84CFB2-169C-4DF9-8CE4-5B1A38A5DFD0}"/>
    <cellStyle name="Comma 4 3 2 2 2 5 3" xfId="6272" xr:uid="{00000000-0005-0000-0000-000027090000}"/>
    <cellStyle name="Comma 4 3 2 2 2 5 3 2" xfId="14714" xr:uid="{19A921EB-DFCA-4FE9-BE79-8A24ADD7E0D1}"/>
    <cellStyle name="Comma 4 3 2 2 2 5 4" xfId="10496" xr:uid="{78FD4C0E-B2C3-4D31-B1C9-18DB423950C9}"/>
    <cellStyle name="Comma 4 3 2 2 2 6" xfId="2400" xr:uid="{00000000-0005-0000-0000-000028090000}"/>
    <cellStyle name="Comma 4 3 2 2 2 6 2" xfId="6685" xr:uid="{00000000-0005-0000-0000-000029090000}"/>
    <cellStyle name="Comma 4 3 2 2 2 6 2 2" xfId="15127" xr:uid="{3C38E883-D529-4D00-AA4A-06D5BE90100D}"/>
    <cellStyle name="Comma 4 3 2 2 2 6 3" xfId="10909" xr:uid="{99158A96-2444-4C55-875E-1C788C96AD7F}"/>
    <cellStyle name="Comma 4 3 2 2 2 7" xfId="2363" xr:uid="{00000000-0005-0000-0000-00002A090000}"/>
    <cellStyle name="Comma 4 3 2 2 2 8" xfId="2778" xr:uid="{00000000-0005-0000-0000-00002B090000}"/>
    <cellStyle name="Comma 4 3 2 2 2 8 2" xfId="7002" xr:uid="{00000000-0005-0000-0000-00002C090000}"/>
    <cellStyle name="Comma 4 3 2 2 2 8 2 2" xfId="15444" xr:uid="{D5D9CA16-BF06-4CF7-98FE-7F5935C499A1}"/>
    <cellStyle name="Comma 4 3 2 2 2 8 3" xfId="11226" xr:uid="{8DAED540-FD72-4ABF-BF99-397266D1C364}"/>
    <cellStyle name="Comma 4 3 2 2 2 9" xfId="4619" xr:uid="{00000000-0005-0000-0000-00002D090000}"/>
    <cellStyle name="Comma 4 3 2 2 2 9 2" xfId="13061" xr:uid="{9B280582-4BD4-42B0-A9E9-AADC9F6DDCA3}"/>
    <cellStyle name="Comma 4 3 2 2 3" xfId="683" xr:uid="{00000000-0005-0000-0000-00002E090000}"/>
    <cellStyle name="Comma 4 3 2 2 3 2" xfId="2954" xr:uid="{00000000-0005-0000-0000-00002F090000}"/>
    <cellStyle name="Comma 4 3 2 2 3 2 2" xfId="7177" xr:uid="{00000000-0005-0000-0000-000030090000}"/>
    <cellStyle name="Comma 4 3 2 2 3 2 2 2" xfId="15619" xr:uid="{76846CBA-9734-4636-BB41-DBCABE396F9D}"/>
    <cellStyle name="Comma 4 3 2 2 3 2 3" xfId="11401" xr:uid="{DBCAE71F-158C-4F42-A58E-1DAA97BED88A}"/>
    <cellStyle name="Comma 4 3 2 2 3 3" xfId="5032" xr:uid="{00000000-0005-0000-0000-000031090000}"/>
    <cellStyle name="Comma 4 3 2 2 3 3 2" xfId="13474" xr:uid="{F3F96678-F0C8-4E0A-B580-70B29515E880}"/>
    <cellStyle name="Comma 4 3 2 2 3 4" xfId="9256" xr:uid="{572C6F4A-1ABC-423D-8452-E0E5C49DCEE0}"/>
    <cellStyle name="Comma 4 3 2 2 4" xfId="1136" xr:uid="{00000000-0005-0000-0000-000032090000}"/>
    <cellStyle name="Comma 4 3 2 2 4 2" xfId="3367" xr:uid="{00000000-0005-0000-0000-000033090000}"/>
    <cellStyle name="Comma 4 3 2 2 4 2 2" xfId="7590" xr:uid="{00000000-0005-0000-0000-000034090000}"/>
    <cellStyle name="Comma 4 3 2 2 4 2 2 2" xfId="16032" xr:uid="{40F567DA-2135-4932-8650-88F2D719FB6B}"/>
    <cellStyle name="Comma 4 3 2 2 4 2 3" xfId="11814" xr:uid="{7D77D187-04F2-4A83-BECE-61D2FA25ABF5}"/>
    <cellStyle name="Comma 4 3 2 2 4 3" xfId="5445" xr:uid="{00000000-0005-0000-0000-000035090000}"/>
    <cellStyle name="Comma 4 3 2 2 4 3 2" xfId="13887" xr:uid="{C90BAE29-1349-4C28-93CA-B4550AED1997}"/>
    <cellStyle name="Comma 4 3 2 2 4 4" xfId="9669" xr:uid="{23098DDD-1C69-402A-8E28-0B406FC4EA77}"/>
    <cellStyle name="Comma 4 3 2 2 5" xfId="1550" xr:uid="{00000000-0005-0000-0000-000036090000}"/>
    <cellStyle name="Comma 4 3 2 2 5 2" xfId="3780" xr:uid="{00000000-0005-0000-0000-000037090000}"/>
    <cellStyle name="Comma 4 3 2 2 5 2 2" xfId="8003" xr:uid="{00000000-0005-0000-0000-000038090000}"/>
    <cellStyle name="Comma 4 3 2 2 5 2 2 2" xfId="16445" xr:uid="{945E6AD0-A023-4493-9102-3D4BB11A2B11}"/>
    <cellStyle name="Comma 4 3 2 2 5 2 3" xfId="12227" xr:uid="{66F62971-8A25-434F-BED6-9CE0A9074F5B}"/>
    <cellStyle name="Comma 4 3 2 2 5 3" xfId="5858" xr:uid="{00000000-0005-0000-0000-000039090000}"/>
    <cellStyle name="Comma 4 3 2 2 5 3 2" xfId="14300" xr:uid="{956D4476-B635-4059-9946-36F223BF145A}"/>
    <cellStyle name="Comma 4 3 2 2 5 4" xfId="10082" xr:uid="{AFF9F740-F41F-43F1-83D2-EAA7FBCC3CE8}"/>
    <cellStyle name="Comma 4 3 2 2 6" xfId="1964" xr:uid="{00000000-0005-0000-0000-00003A090000}"/>
    <cellStyle name="Comma 4 3 2 2 6 2" xfId="4193" xr:uid="{00000000-0005-0000-0000-00003B090000}"/>
    <cellStyle name="Comma 4 3 2 2 6 2 2" xfId="8416" xr:uid="{00000000-0005-0000-0000-00003C090000}"/>
    <cellStyle name="Comma 4 3 2 2 6 2 2 2" xfId="16858" xr:uid="{96F36723-575B-489D-9ADC-FCE6AE3F9535}"/>
    <cellStyle name="Comma 4 3 2 2 6 2 3" xfId="12640" xr:uid="{C7DE89DB-568A-4400-94A5-AEB2F2EF3E26}"/>
    <cellStyle name="Comma 4 3 2 2 6 3" xfId="6271" xr:uid="{00000000-0005-0000-0000-00003D090000}"/>
    <cellStyle name="Comma 4 3 2 2 6 3 2" xfId="14713" xr:uid="{0A2E6EDD-5A16-43F7-8002-A74A6D23F32C}"/>
    <cellStyle name="Comma 4 3 2 2 6 4" xfId="10495" xr:uid="{5B20D0F3-B192-4BCA-946F-5C96789AFED7}"/>
    <cellStyle name="Comma 4 3 2 2 7" xfId="2399" xr:uid="{00000000-0005-0000-0000-00003E090000}"/>
    <cellStyle name="Comma 4 3 2 2 7 2" xfId="6684" xr:uid="{00000000-0005-0000-0000-00003F090000}"/>
    <cellStyle name="Comma 4 3 2 2 7 2 2" xfId="15126" xr:uid="{76AB3128-B7DC-4B24-A175-AE8A071121EC}"/>
    <cellStyle name="Comma 4 3 2 2 7 3" xfId="10908" xr:uid="{96210FEF-7FDA-4BF4-8825-537871EF24E0}"/>
    <cellStyle name="Comma 4 3 2 2 8" xfId="2364" xr:uid="{00000000-0005-0000-0000-000040090000}"/>
    <cellStyle name="Comma 4 3 2 2 9" xfId="2777" xr:uid="{00000000-0005-0000-0000-000041090000}"/>
    <cellStyle name="Comma 4 3 2 2 9 2" xfId="7001" xr:uid="{00000000-0005-0000-0000-000042090000}"/>
    <cellStyle name="Comma 4 3 2 2 9 2 2" xfId="15443" xr:uid="{D15D0BF6-AACE-4BB0-87BB-B93B99B51405}"/>
    <cellStyle name="Comma 4 3 2 2 9 3" xfId="11225" xr:uid="{CB5F900F-EDCC-46D5-A941-68077CE5B36D}"/>
    <cellStyle name="Comma 4 3 2 3" xfId="148" xr:uid="{00000000-0005-0000-0000-000043090000}"/>
    <cellStyle name="Comma 4 3 2 3 10" xfId="8844" xr:uid="{8F0E907D-40D1-4524-AEA9-5BD7440F6CF6}"/>
    <cellStyle name="Comma 4 3 2 3 2" xfId="685" xr:uid="{00000000-0005-0000-0000-000044090000}"/>
    <cellStyle name="Comma 4 3 2 3 2 2" xfId="2956" xr:uid="{00000000-0005-0000-0000-000045090000}"/>
    <cellStyle name="Comma 4 3 2 3 2 2 2" xfId="7179" xr:uid="{00000000-0005-0000-0000-000046090000}"/>
    <cellStyle name="Comma 4 3 2 3 2 2 2 2" xfId="15621" xr:uid="{BB86A0C3-44EF-417D-B90B-362D832BFF1B}"/>
    <cellStyle name="Comma 4 3 2 3 2 2 3" xfId="11403" xr:uid="{E00D011D-86C6-48EC-A55C-C962B636B6CE}"/>
    <cellStyle name="Comma 4 3 2 3 2 3" xfId="5034" xr:uid="{00000000-0005-0000-0000-000047090000}"/>
    <cellStyle name="Comma 4 3 2 3 2 3 2" xfId="13476" xr:uid="{BC312253-8F35-4635-9ADD-A85A8EFC0EE6}"/>
    <cellStyle name="Comma 4 3 2 3 2 4" xfId="9258" xr:uid="{453501BD-A434-4A34-8356-E99B88FDE30E}"/>
    <cellStyle name="Comma 4 3 2 3 3" xfId="1138" xr:uid="{00000000-0005-0000-0000-000048090000}"/>
    <cellStyle name="Comma 4 3 2 3 3 2" xfId="3369" xr:uid="{00000000-0005-0000-0000-000049090000}"/>
    <cellStyle name="Comma 4 3 2 3 3 2 2" xfId="7592" xr:uid="{00000000-0005-0000-0000-00004A090000}"/>
    <cellStyle name="Comma 4 3 2 3 3 2 2 2" xfId="16034" xr:uid="{601022A0-0ED4-48D6-903A-B54A89FA6C4D}"/>
    <cellStyle name="Comma 4 3 2 3 3 2 3" xfId="11816" xr:uid="{036C06BD-1AB2-463C-86FB-6CB4F6B2DA72}"/>
    <cellStyle name="Comma 4 3 2 3 3 3" xfId="5447" xr:uid="{00000000-0005-0000-0000-00004B090000}"/>
    <cellStyle name="Comma 4 3 2 3 3 3 2" xfId="13889" xr:uid="{AFCEF1C4-F981-4B58-B3A7-9C1589325C9B}"/>
    <cellStyle name="Comma 4 3 2 3 3 4" xfId="9671" xr:uid="{4FF3AB65-1CDA-45DD-80CF-79C83486E1D0}"/>
    <cellStyle name="Comma 4 3 2 3 4" xfId="1552" xr:uid="{00000000-0005-0000-0000-00004C090000}"/>
    <cellStyle name="Comma 4 3 2 3 4 2" xfId="3782" xr:uid="{00000000-0005-0000-0000-00004D090000}"/>
    <cellStyle name="Comma 4 3 2 3 4 2 2" xfId="8005" xr:uid="{00000000-0005-0000-0000-00004E090000}"/>
    <cellStyle name="Comma 4 3 2 3 4 2 2 2" xfId="16447" xr:uid="{75EE625F-A92D-4BE4-9C27-15BB8C529D0B}"/>
    <cellStyle name="Comma 4 3 2 3 4 2 3" xfId="12229" xr:uid="{604CDC30-0F21-4D21-BD51-E762B60A5693}"/>
    <cellStyle name="Comma 4 3 2 3 4 3" xfId="5860" xr:uid="{00000000-0005-0000-0000-00004F090000}"/>
    <cellStyle name="Comma 4 3 2 3 4 3 2" xfId="14302" xr:uid="{EE11964D-8206-4FAC-A182-FE5D08F69D60}"/>
    <cellStyle name="Comma 4 3 2 3 4 4" xfId="10084" xr:uid="{6405985B-BC0D-4F3D-AC6E-4DF804FE1008}"/>
    <cellStyle name="Comma 4 3 2 3 5" xfId="1966" xr:uid="{00000000-0005-0000-0000-000050090000}"/>
    <cellStyle name="Comma 4 3 2 3 5 2" xfId="4195" xr:uid="{00000000-0005-0000-0000-000051090000}"/>
    <cellStyle name="Comma 4 3 2 3 5 2 2" xfId="8418" xr:uid="{00000000-0005-0000-0000-000052090000}"/>
    <cellStyle name="Comma 4 3 2 3 5 2 2 2" xfId="16860" xr:uid="{04BD470F-98B5-4B9A-B350-FA01CA54B1CB}"/>
    <cellStyle name="Comma 4 3 2 3 5 2 3" xfId="12642" xr:uid="{0EA566DB-A7E4-4384-9130-33965CACD05E}"/>
    <cellStyle name="Comma 4 3 2 3 5 3" xfId="6273" xr:uid="{00000000-0005-0000-0000-000053090000}"/>
    <cellStyle name="Comma 4 3 2 3 5 3 2" xfId="14715" xr:uid="{6135D963-F373-4F0E-B53D-78A0FFA52656}"/>
    <cellStyle name="Comma 4 3 2 3 5 4" xfId="10497" xr:uid="{0B64AA11-A824-4149-95C3-004D2BB916CD}"/>
    <cellStyle name="Comma 4 3 2 3 6" xfId="2401" xr:uid="{00000000-0005-0000-0000-000054090000}"/>
    <cellStyle name="Comma 4 3 2 3 6 2" xfId="6686" xr:uid="{00000000-0005-0000-0000-000055090000}"/>
    <cellStyle name="Comma 4 3 2 3 6 2 2" xfId="15128" xr:uid="{F047EC1E-6CC9-407F-8796-43FAEFB519AA}"/>
    <cellStyle name="Comma 4 3 2 3 6 3" xfId="10910" xr:uid="{1062FDC8-DF0D-4252-B9E1-9409A07CFA1A}"/>
    <cellStyle name="Comma 4 3 2 3 7" xfId="2362" xr:uid="{00000000-0005-0000-0000-000056090000}"/>
    <cellStyle name="Comma 4 3 2 3 8" xfId="2779" xr:uid="{00000000-0005-0000-0000-000057090000}"/>
    <cellStyle name="Comma 4 3 2 3 8 2" xfId="7003" xr:uid="{00000000-0005-0000-0000-000058090000}"/>
    <cellStyle name="Comma 4 3 2 3 8 2 2" xfId="15445" xr:uid="{48DA9233-33AD-44F0-85D3-43ECDB9075ED}"/>
    <cellStyle name="Comma 4 3 2 3 8 3" xfId="11227" xr:uid="{C89D2746-3E99-47D6-86C8-8E69705420FA}"/>
    <cellStyle name="Comma 4 3 2 3 9" xfId="4620" xr:uid="{00000000-0005-0000-0000-000059090000}"/>
    <cellStyle name="Comma 4 3 2 3 9 2" xfId="13062" xr:uid="{379CFA4F-F5DF-4917-BD8B-BA7090007FF4}"/>
    <cellStyle name="Comma 4 3 2 4" xfId="682" xr:uid="{00000000-0005-0000-0000-00005A090000}"/>
    <cellStyle name="Comma 4 3 2 4 2" xfId="2953" xr:uid="{00000000-0005-0000-0000-00005B090000}"/>
    <cellStyle name="Comma 4 3 2 4 2 2" xfId="7176" xr:uid="{00000000-0005-0000-0000-00005C090000}"/>
    <cellStyle name="Comma 4 3 2 4 2 2 2" xfId="15618" xr:uid="{57A84B9D-D328-4F3D-BEB5-8A23D0B41251}"/>
    <cellStyle name="Comma 4 3 2 4 2 3" xfId="11400" xr:uid="{5FDDEADC-0D1A-482A-9F8B-1A701D643C61}"/>
    <cellStyle name="Comma 4 3 2 4 3" xfId="5031" xr:uid="{00000000-0005-0000-0000-00005D090000}"/>
    <cellStyle name="Comma 4 3 2 4 3 2" xfId="13473" xr:uid="{CC240277-45E0-4022-8A09-43EA4103D7CF}"/>
    <cellStyle name="Comma 4 3 2 4 4" xfId="9255" xr:uid="{276A0DFE-3372-4DB1-B045-F07CD721CCBF}"/>
    <cellStyle name="Comma 4 3 2 5" xfId="1135" xr:uid="{00000000-0005-0000-0000-00005E090000}"/>
    <cellStyle name="Comma 4 3 2 5 2" xfId="3366" xr:uid="{00000000-0005-0000-0000-00005F090000}"/>
    <cellStyle name="Comma 4 3 2 5 2 2" xfId="7589" xr:uid="{00000000-0005-0000-0000-000060090000}"/>
    <cellStyle name="Comma 4 3 2 5 2 2 2" xfId="16031" xr:uid="{2993B1CB-B143-497D-9102-EC7BF66CDF55}"/>
    <cellStyle name="Comma 4 3 2 5 2 3" xfId="11813" xr:uid="{0D78C63D-7764-4D73-8D87-401079194D6B}"/>
    <cellStyle name="Comma 4 3 2 5 3" xfId="5444" xr:uid="{00000000-0005-0000-0000-000061090000}"/>
    <cellStyle name="Comma 4 3 2 5 3 2" xfId="13886" xr:uid="{50CD1FE9-81AC-46A7-B88B-7F323FF94E25}"/>
    <cellStyle name="Comma 4 3 2 5 4" xfId="9668" xr:uid="{3F82D2ED-FE3B-4C84-BD5D-663F58230556}"/>
    <cellStyle name="Comma 4 3 2 6" xfId="1549" xr:uid="{00000000-0005-0000-0000-000062090000}"/>
    <cellStyle name="Comma 4 3 2 6 2" xfId="3779" xr:uid="{00000000-0005-0000-0000-000063090000}"/>
    <cellStyle name="Comma 4 3 2 6 2 2" xfId="8002" xr:uid="{00000000-0005-0000-0000-000064090000}"/>
    <cellStyle name="Comma 4 3 2 6 2 2 2" xfId="16444" xr:uid="{0542FDC1-94D3-435A-8B81-505EEE28586B}"/>
    <cellStyle name="Comma 4 3 2 6 2 3" xfId="12226" xr:uid="{3ED53BBC-317D-425A-867E-D94296CC620B}"/>
    <cellStyle name="Comma 4 3 2 6 3" xfId="5857" xr:uid="{00000000-0005-0000-0000-000065090000}"/>
    <cellStyle name="Comma 4 3 2 6 3 2" xfId="14299" xr:uid="{D5753347-92AA-43BE-B944-32352D667010}"/>
    <cellStyle name="Comma 4 3 2 6 4" xfId="10081" xr:uid="{B293C226-7072-4FD9-85BE-DC57D5082188}"/>
    <cellStyle name="Comma 4 3 2 7" xfId="1963" xr:uid="{00000000-0005-0000-0000-000066090000}"/>
    <cellStyle name="Comma 4 3 2 7 2" xfId="4192" xr:uid="{00000000-0005-0000-0000-000067090000}"/>
    <cellStyle name="Comma 4 3 2 7 2 2" xfId="8415" xr:uid="{00000000-0005-0000-0000-000068090000}"/>
    <cellStyle name="Comma 4 3 2 7 2 2 2" xfId="16857" xr:uid="{0C980CC3-E52D-4C56-96BE-12FA5F5D26C2}"/>
    <cellStyle name="Comma 4 3 2 7 2 3" xfId="12639" xr:uid="{237AE594-BE34-4732-BB96-DD1F7611D539}"/>
    <cellStyle name="Comma 4 3 2 7 3" xfId="6270" xr:uid="{00000000-0005-0000-0000-000069090000}"/>
    <cellStyle name="Comma 4 3 2 7 3 2" xfId="14712" xr:uid="{938D9F8E-4FA0-4F5D-8034-400171DCE1E7}"/>
    <cellStyle name="Comma 4 3 2 7 4" xfId="10494" xr:uid="{349C393A-BCD0-4887-BC72-CC5D5F92BD3B}"/>
    <cellStyle name="Comma 4 3 2 8" xfId="2398" xr:uid="{00000000-0005-0000-0000-00006A090000}"/>
    <cellStyle name="Comma 4 3 2 8 2" xfId="6683" xr:uid="{00000000-0005-0000-0000-00006B090000}"/>
    <cellStyle name="Comma 4 3 2 8 2 2" xfId="15125" xr:uid="{A33A8A73-8B49-468C-933C-3FE5677FB94E}"/>
    <cellStyle name="Comma 4 3 2 8 3" xfId="10907" xr:uid="{F38D0C4E-9392-4983-ABA3-CD033F7710BA}"/>
    <cellStyle name="Comma 4 3 2 9" xfId="2365" xr:uid="{00000000-0005-0000-0000-00006C090000}"/>
    <cellStyle name="Comma 4 3 3" xfId="149" xr:uid="{00000000-0005-0000-0000-00006D090000}"/>
    <cellStyle name="Comma 4 3 3 10" xfId="4621" xr:uid="{00000000-0005-0000-0000-00006E090000}"/>
    <cellStyle name="Comma 4 3 3 10 2" xfId="13063" xr:uid="{17DAC772-F302-4BF6-A395-7B85C7B60E70}"/>
    <cellStyle name="Comma 4 3 3 11" xfId="8845" xr:uid="{171D9101-EAA7-412C-B291-F9E2E244D6D2}"/>
    <cellStyle name="Comma 4 3 3 2" xfId="150" xr:uid="{00000000-0005-0000-0000-00006F090000}"/>
    <cellStyle name="Comma 4 3 3 2 10" xfId="8846" xr:uid="{61B38654-83D2-44A9-9057-FB356DDA6CA4}"/>
    <cellStyle name="Comma 4 3 3 2 2" xfId="687" xr:uid="{00000000-0005-0000-0000-000070090000}"/>
    <cellStyle name="Comma 4 3 3 2 2 2" xfId="2958" xr:uid="{00000000-0005-0000-0000-000071090000}"/>
    <cellStyle name="Comma 4 3 3 2 2 2 2" xfId="7181" xr:uid="{00000000-0005-0000-0000-000072090000}"/>
    <cellStyle name="Comma 4 3 3 2 2 2 2 2" xfId="15623" xr:uid="{5286F435-E207-4CC7-B4DD-C036CBC95A3E}"/>
    <cellStyle name="Comma 4 3 3 2 2 2 3" xfId="11405" xr:uid="{BAF7032C-7B3B-42AD-A6A7-49305853216A}"/>
    <cellStyle name="Comma 4 3 3 2 2 3" xfId="5036" xr:uid="{00000000-0005-0000-0000-000073090000}"/>
    <cellStyle name="Comma 4 3 3 2 2 3 2" xfId="13478" xr:uid="{5B189B59-45B8-4920-AAED-E5FECF157484}"/>
    <cellStyle name="Comma 4 3 3 2 2 4" xfId="9260" xr:uid="{F39F9074-A2D0-4845-8B0D-AF6972BD3955}"/>
    <cellStyle name="Comma 4 3 3 2 3" xfId="1140" xr:uid="{00000000-0005-0000-0000-000074090000}"/>
    <cellStyle name="Comma 4 3 3 2 3 2" xfId="3371" xr:uid="{00000000-0005-0000-0000-000075090000}"/>
    <cellStyle name="Comma 4 3 3 2 3 2 2" xfId="7594" xr:uid="{00000000-0005-0000-0000-000076090000}"/>
    <cellStyle name="Comma 4 3 3 2 3 2 2 2" xfId="16036" xr:uid="{8EAE2E00-019C-4ACD-A887-76358BA0D7E3}"/>
    <cellStyle name="Comma 4 3 3 2 3 2 3" xfId="11818" xr:uid="{82F298C8-54E1-4EE7-8CF4-752854166502}"/>
    <cellStyle name="Comma 4 3 3 2 3 3" xfId="5449" xr:uid="{00000000-0005-0000-0000-000077090000}"/>
    <cellStyle name="Comma 4 3 3 2 3 3 2" xfId="13891" xr:uid="{28DE2F66-BCC3-41FA-A664-B6350B2D290A}"/>
    <cellStyle name="Comma 4 3 3 2 3 4" xfId="9673" xr:uid="{30A50E72-4A49-4F24-BB26-00DA790353DF}"/>
    <cellStyle name="Comma 4 3 3 2 4" xfId="1554" xr:uid="{00000000-0005-0000-0000-000078090000}"/>
    <cellStyle name="Comma 4 3 3 2 4 2" xfId="3784" xr:uid="{00000000-0005-0000-0000-000079090000}"/>
    <cellStyle name="Comma 4 3 3 2 4 2 2" xfId="8007" xr:uid="{00000000-0005-0000-0000-00007A090000}"/>
    <cellStyle name="Comma 4 3 3 2 4 2 2 2" xfId="16449" xr:uid="{D0D473D3-18E9-4F3E-A199-9328252EFF9B}"/>
    <cellStyle name="Comma 4 3 3 2 4 2 3" xfId="12231" xr:uid="{3E1275B9-0033-49DF-ABE2-E719AB1F9E28}"/>
    <cellStyle name="Comma 4 3 3 2 4 3" xfId="5862" xr:uid="{00000000-0005-0000-0000-00007B090000}"/>
    <cellStyle name="Comma 4 3 3 2 4 3 2" xfId="14304" xr:uid="{E73F8E6E-3FA4-4138-962B-4D44D510899B}"/>
    <cellStyle name="Comma 4 3 3 2 4 4" xfId="10086" xr:uid="{15905B1F-F6D1-44E6-AB30-D7BC9B693237}"/>
    <cellStyle name="Comma 4 3 3 2 5" xfId="1968" xr:uid="{00000000-0005-0000-0000-00007C090000}"/>
    <cellStyle name="Comma 4 3 3 2 5 2" xfId="4197" xr:uid="{00000000-0005-0000-0000-00007D090000}"/>
    <cellStyle name="Comma 4 3 3 2 5 2 2" xfId="8420" xr:uid="{00000000-0005-0000-0000-00007E090000}"/>
    <cellStyle name="Comma 4 3 3 2 5 2 2 2" xfId="16862" xr:uid="{1DDE11F8-B12B-470C-ADAB-23C74DB99AFC}"/>
    <cellStyle name="Comma 4 3 3 2 5 2 3" xfId="12644" xr:uid="{C83BBF4E-593F-4472-A506-80B4DF10D217}"/>
    <cellStyle name="Comma 4 3 3 2 5 3" xfId="6275" xr:uid="{00000000-0005-0000-0000-00007F090000}"/>
    <cellStyle name="Comma 4 3 3 2 5 3 2" xfId="14717" xr:uid="{91699D96-2AC9-46DF-BDCE-DBBBA5E8DD27}"/>
    <cellStyle name="Comma 4 3 3 2 5 4" xfId="10499" xr:uid="{56100398-B37F-45A6-BC07-0B57288111E7}"/>
    <cellStyle name="Comma 4 3 3 2 6" xfId="2403" xr:uid="{00000000-0005-0000-0000-000080090000}"/>
    <cellStyle name="Comma 4 3 3 2 6 2" xfId="6688" xr:uid="{00000000-0005-0000-0000-000081090000}"/>
    <cellStyle name="Comma 4 3 3 2 6 2 2" xfId="15130" xr:uid="{1EB4D903-8F24-424E-AC05-D4BAD0E16B88}"/>
    <cellStyle name="Comma 4 3 3 2 6 3" xfId="10912" xr:uid="{4DFD71E4-C6A8-456B-B627-17461B2A533C}"/>
    <cellStyle name="Comma 4 3 3 2 7" xfId="2360" xr:uid="{00000000-0005-0000-0000-000082090000}"/>
    <cellStyle name="Comma 4 3 3 2 8" xfId="2781" xr:uid="{00000000-0005-0000-0000-000083090000}"/>
    <cellStyle name="Comma 4 3 3 2 8 2" xfId="7005" xr:uid="{00000000-0005-0000-0000-000084090000}"/>
    <cellStyle name="Comma 4 3 3 2 8 2 2" xfId="15447" xr:uid="{73CCE584-5CA0-4A33-8987-994475808594}"/>
    <cellStyle name="Comma 4 3 3 2 8 3" xfId="11229" xr:uid="{86ADA505-4B6C-4B40-A6BE-B6BA52A42404}"/>
    <cellStyle name="Comma 4 3 3 2 9" xfId="4622" xr:uid="{00000000-0005-0000-0000-000085090000}"/>
    <cellStyle name="Comma 4 3 3 2 9 2" xfId="13064" xr:uid="{FFF58F2E-F223-4959-B6FC-63AC053D611E}"/>
    <cellStyle name="Comma 4 3 3 3" xfId="686" xr:uid="{00000000-0005-0000-0000-000086090000}"/>
    <cellStyle name="Comma 4 3 3 3 2" xfId="2957" xr:uid="{00000000-0005-0000-0000-000087090000}"/>
    <cellStyle name="Comma 4 3 3 3 2 2" xfId="7180" xr:uid="{00000000-0005-0000-0000-000088090000}"/>
    <cellStyle name="Comma 4 3 3 3 2 2 2" xfId="15622" xr:uid="{A2550132-9833-4136-A00E-25898E6F6241}"/>
    <cellStyle name="Comma 4 3 3 3 2 3" xfId="11404" xr:uid="{BDEFFA3A-A5B0-4472-AFD8-40F7AFD65CE5}"/>
    <cellStyle name="Comma 4 3 3 3 3" xfId="5035" xr:uid="{00000000-0005-0000-0000-000089090000}"/>
    <cellStyle name="Comma 4 3 3 3 3 2" xfId="13477" xr:uid="{F940636C-AE2D-4EB0-A2AE-B1EBA70D3FE4}"/>
    <cellStyle name="Comma 4 3 3 3 4" xfId="9259" xr:uid="{F7C7AD94-4EEF-4575-B3B1-E0B4A2A074AD}"/>
    <cellStyle name="Comma 4 3 3 4" xfId="1139" xr:uid="{00000000-0005-0000-0000-00008A090000}"/>
    <cellStyle name="Comma 4 3 3 4 2" xfId="3370" xr:uid="{00000000-0005-0000-0000-00008B090000}"/>
    <cellStyle name="Comma 4 3 3 4 2 2" xfId="7593" xr:uid="{00000000-0005-0000-0000-00008C090000}"/>
    <cellStyle name="Comma 4 3 3 4 2 2 2" xfId="16035" xr:uid="{05B46CBC-CFEE-46CB-B4D3-2A6E3579B7BA}"/>
    <cellStyle name="Comma 4 3 3 4 2 3" xfId="11817" xr:uid="{DF16DEB2-EC73-4D4F-88F7-6AA07F7A7212}"/>
    <cellStyle name="Comma 4 3 3 4 3" xfId="5448" xr:uid="{00000000-0005-0000-0000-00008D090000}"/>
    <cellStyle name="Comma 4 3 3 4 3 2" xfId="13890" xr:uid="{C10F868E-9FEF-4B35-A0D2-41139EBCFB39}"/>
    <cellStyle name="Comma 4 3 3 4 4" xfId="9672" xr:uid="{96B3902C-0152-44A1-B1BE-1D97232B7431}"/>
    <cellStyle name="Comma 4 3 3 5" xfId="1553" xr:uid="{00000000-0005-0000-0000-00008E090000}"/>
    <cellStyle name="Comma 4 3 3 5 2" xfId="3783" xr:uid="{00000000-0005-0000-0000-00008F090000}"/>
    <cellStyle name="Comma 4 3 3 5 2 2" xfId="8006" xr:uid="{00000000-0005-0000-0000-000090090000}"/>
    <cellStyle name="Comma 4 3 3 5 2 2 2" xfId="16448" xr:uid="{4AD61987-E754-4904-BEA6-D44D39153504}"/>
    <cellStyle name="Comma 4 3 3 5 2 3" xfId="12230" xr:uid="{5549C5E7-5424-4144-92CB-FA26B3B1C611}"/>
    <cellStyle name="Comma 4 3 3 5 3" xfId="5861" xr:uid="{00000000-0005-0000-0000-000091090000}"/>
    <cellStyle name="Comma 4 3 3 5 3 2" xfId="14303" xr:uid="{B49E4371-FC05-4144-9F62-C08D4907757C}"/>
    <cellStyle name="Comma 4 3 3 5 4" xfId="10085" xr:uid="{53FD1CEE-524A-4F68-8B3C-E845E21D8601}"/>
    <cellStyle name="Comma 4 3 3 6" xfId="1967" xr:uid="{00000000-0005-0000-0000-000092090000}"/>
    <cellStyle name="Comma 4 3 3 6 2" xfId="4196" xr:uid="{00000000-0005-0000-0000-000093090000}"/>
    <cellStyle name="Comma 4 3 3 6 2 2" xfId="8419" xr:uid="{00000000-0005-0000-0000-000094090000}"/>
    <cellStyle name="Comma 4 3 3 6 2 2 2" xfId="16861" xr:uid="{309DD207-9A0E-4272-A3F2-7A5C5787F0A1}"/>
    <cellStyle name="Comma 4 3 3 6 2 3" xfId="12643" xr:uid="{E500D39B-729B-4383-8535-0687636C68CF}"/>
    <cellStyle name="Comma 4 3 3 6 3" xfId="6274" xr:uid="{00000000-0005-0000-0000-000095090000}"/>
    <cellStyle name="Comma 4 3 3 6 3 2" xfId="14716" xr:uid="{97175334-FAC4-482F-A18E-60A5DFA6A0E9}"/>
    <cellStyle name="Comma 4 3 3 6 4" xfId="10498" xr:uid="{033D3363-9577-49C6-8987-80A9C9DE2830}"/>
    <cellStyle name="Comma 4 3 3 7" xfId="2402" xr:uid="{00000000-0005-0000-0000-000096090000}"/>
    <cellStyle name="Comma 4 3 3 7 2" xfId="6687" xr:uid="{00000000-0005-0000-0000-000097090000}"/>
    <cellStyle name="Comma 4 3 3 7 2 2" xfId="15129" xr:uid="{1B80A9AC-31A8-41B5-9E3B-E659DD22F91F}"/>
    <cellStyle name="Comma 4 3 3 7 3" xfId="10911" xr:uid="{3FDC87F2-75C7-41C5-A106-A97F77F34010}"/>
    <cellStyle name="Comma 4 3 3 8" xfId="2361" xr:uid="{00000000-0005-0000-0000-000098090000}"/>
    <cellStyle name="Comma 4 3 3 9" xfId="2780" xr:uid="{00000000-0005-0000-0000-000099090000}"/>
    <cellStyle name="Comma 4 3 3 9 2" xfId="7004" xr:uid="{00000000-0005-0000-0000-00009A090000}"/>
    <cellStyle name="Comma 4 3 3 9 2 2" xfId="15446" xr:uid="{C298AECD-73C0-4E6C-BF06-5EA0625706EC}"/>
    <cellStyle name="Comma 4 3 3 9 3" xfId="11228" xr:uid="{E3626EFA-9384-4C34-83E7-BD7266848D18}"/>
    <cellStyle name="Comma 4 3 4" xfId="151" xr:uid="{00000000-0005-0000-0000-00009B090000}"/>
    <cellStyle name="Comma 4 3 4 10" xfId="8847" xr:uid="{C6B34E25-F296-4A58-AD81-60164918956F}"/>
    <cellStyle name="Comma 4 3 4 2" xfId="688" xr:uid="{00000000-0005-0000-0000-00009C090000}"/>
    <cellStyle name="Comma 4 3 4 2 2" xfId="2959" xr:uid="{00000000-0005-0000-0000-00009D090000}"/>
    <cellStyle name="Comma 4 3 4 2 2 2" xfId="7182" xr:uid="{00000000-0005-0000-0000-00009E090000}"/>
    <cellStyle name="Comma 4 3 4 2 2 2 2" xfId="15624" xr:uid="{B786D603-33DB-4C3B-9540-CACE2E815138}"/>
    <cellStyle name="Comma 4 3 4 2 2 3" xfId="11406" xr:uid="{913F0CA7-C482-4468-B61E-7D3C8E84B897}"/>
    <cellStyle name="Comma 4 3 4 2 3" xfId="5037" xr:uid="{00000000-0005-0000-0000-00009F090000}"/>
    <cellStyle name="Comma 4 3 4 2 3 2" xfId="13479" xr:uid="{6B7AEA42-65E9-4E9A-AC43-F669D0C370D3}"/>
    <cellStyle name="Comma 4 3 4 2 4" xfId="9261" xr:uid="{ED65E983-3637-4D1E-9F20-B86B794563A3}"/>
    <cellStyle name="Comma 4 3 4 3" xfId="1141" xr:uid="{00000000-0005-0000-0000-0000A0090000}"/>
    <cellStyle name="Comma 4 3 4 3 2" xfId="3372" xr:uid="{00000000-0005-0000-0000-0000A1090000}"/>
    <cellStyle name="Comma 4 3 4 3 2 2" xfId="7595" xr:uid="{00000000-0005-0000-0000-0000A2090000}"/>
    <cellStyle name="Comma 4 3 4 3 2 2 2" xfId="16037" xr:uid="{8A4327F5-1882-4A6A-916D-9F29350A02F8}"/>
    <cellStyle name="Comma 4 3 4 3 2 3" xfId="11819" xr:uid="{3FC7640A-621D-4E84-A396-49625C8AE0C7}"/>
    <cellStyle name="Comma 4 3 4 3 3" xfId="5450" xr:uid="{00000000-0005-0000-0000-0000A3090000}"/>
    <cellStyle name="Comma 4 3 4 3 3 2" xfId="13892" xr:uid="{9BED4C58-AB2D-4536-BA7A-20E68D8A3B9F}"/>
    <cellStyle name="Comma 4 3 4 3 4" xfId="9674" xr:uid="{90B5B369-2556-40BE-9FBC-1A83AF0264E2}"/>
    <cellStyle name="Comma 4 3 4 4" xfId="1555" xr:uid="{00000000-0005-0000-0000-0000A4090000}"/>
    <cellStyle name="Comma 4 3 4 4 2" xfId="3785" xr:uid="{00000000-0005-0000-0000-0000A5090000}"/>
    <cellStyle name="Comma 4 3 4 4 2 2" xfId="8008" xr:uid="{00000000-0005-0000-0000-0000A6090000}"/>
    <cellStyle name="Comma 4 3 4 4 2 2 2" xfId="16450" xr:uid="{4B1761CA-E093-43F3-9F93-B0C715A37E71}"/>
    <cellStyle name="Comma 4 3 4 4 2 3" xfId="12232" xr:uid="{FEAC03B8-1C43-46B3-84FD-3BD8EADC6248}"/>
    <cellStyle name="Comma 4 3 4 4 3" xfId="5863" xr:uid="{00000000-0005-0000-0000-0000A7090000}"/>
    <cellStyle name="Comma 4 3 4 4 3 2" xfId="14305" xr:uid="{108A2861-49AC-4D6B-A77D-A6255E89CA76}"/>
    <cellStyle name="Comma 4 3 4 4 4" xfId="10087" xr:uid="{44F80E7C-D232-46B8-9895-1654409CCE1C}"/>
    <cellStyle name="Comma 4 3 4 5" xfId="1969" xr:uid="{00000000-0005-0000-0000-0000A8090000}"/>
    <cellStyle name="Comma 4 3 4 5 2" xfId="4198" xr:uid="{00000000-0005-0000-0000-0000A9090000}"/>
    <cellStyle name="Comma 4 3 4 5 2 2" xfId="8421" xr:uid="{00000000-0005-0000-0000-0000AA090000}"/>
    <cellStyle name="Comma 4 3 4 5 2 2 2" xfId="16863" xr:uid="{A771E694-F5A4-409A-A02D-B33674FF4F94}"/>
    <cellStyle name="Comma 4 3 4 5 2 3" xfId="12645" xr:uid="{B7A5322A-4627-46A2-BE36-8CFD475AB330}"/>
    <cellStyle name="Comma 4 3 4 5 3" xfId="6276" xr:uid="{00000000-0005-0000-0000-0000AB090000}"/>
    <cellStyle name="Comma 4 3 4 5 3 2" xfId="14718" xr:uid="{EE1778C8-DEA0-4261-896A-64AFB6F4A8C2}"/>
    <cellStyle name="Comma 4 3 4 5 4" xfId="10500" xr:uid="{C2BFD51A-F8BB-4287-BB8F-E8009C3398A3}"/>
    <cellStyle name="Comma 4 3 4 6" xfId="2404" xr:uid="{00000000-0005-0000-0000-0000AC090000}"/>
    <cellStyle name="Comma 4 3 4 6 2" xfId="6689" xr:uid="{00000000-0005-0000-0000-0000AD090000}"/>
    <cellStyle name="Comma 4 3 4 6 2 2" xfId="15131" xr:uid="{4CF3960F-D33A-4565-BAE0-7A7472B29EDE}"/>
    <cellStyle name="Comma 4 3 4 6 3" xfId="10913" xr:uid="{F3FF8B4F-9461-4447-977E-A173E717AA22}"/>
    <cellStyle name="Comma 4 3 4 7" xfId="2700" xr:uid="{00000000-0005-0000-0000-0000AE090000}"/>
    <cellStyle name="Comma 4 3 4 8" xfId="2782" xr:uid="{00000000-0005-0000-0000-0000AF090000}"/>
    <cellStyle name="Comma 4 3 4 8 2" xfId="7006" xr:uid="{00000000-0005-0000-0000-0000B0090000}"/>
    <cellStyle name="Comma 4 3 4 8 2 2" xfId="15448" xr:uid="{D3C27F9D-2966-4E84-B46D-125051FEA2EB}"/>
    <cellStyle name="Comma 4 3 4 8 3" xfId="11230" xr:uid="{0BE4EC5E-0A1E-471C-B983-3D0F7339134D}"/>
    <cellStyle name="Comma 4 3 4 9" xfId="4623" xr:uid="{00000000-0005-0000-0000-0000B1090000}"/>
    <cellStyle name="Comma 4 3 4 9 2" xfId="13065" xr:uid="{80C799DE-E911-4AA4-A399-718FFB2605DB}"/>
    <cellStyle name="Comma 4 3 5" xfId="152" xr:uid="{00000000-0005-0000-0000-0000B2090000}"/>
    <cellStyle name="Comma 4 3 5 10" xfId="8848" xr:uid="{8F4C26DA-7F6A-44E4-AF43-99E1C822896B}"/>
    <cellStyle name="Comma 4 3 5 2" xfId="689" xr:uid="{00000000-0005-0000-0000-0000B3090000}"/>
    <cellStyle name="Comma 4 3 5 2 2" xfId="2960" xr:uid="{00000000-0005-0000-0000-0000B4090000}"/>
    <cellStyle name="Comma 4 3 5 2 2 2" xfId="7183" xr:uid="{00000000-0005-0000-0000-0000B5090000}"/>
    <cellStyle name="Comma 4 3 5 2 2 2 2" xfId="15625" xr:uid="{2A6F942E-7E69-46D6-98A4-9120E787886D}"/>
    <cellStyle name="Comma 4 3 5 2 2 3" xfId="11407" xr:uid="{D29D9619-C914-4368-80B7-4E62BCD42771}"/>
    <cellStyle name="Comma 4 3 5 2 3" xfId="5038" xr:uid="{00000000-0005-0000-0000-0000B6090000}"/>
    <cellStyle name="Comma 4 3 5 2 3 2" xfId="13480" xr:uid="{E86623A6-06B4-4F4B-A2E3-3601C8939C14}"/>
    <cellStyle name="Comma 4 3 5 2 4" xfId="9262" xr:uid="{B6845A42-FC67-4D8B-8EA2-31114C8727BC}"/>
    <cellStyle name="Comma 4 3 5 3" xfId="1142" xr:uid="{00000000-0005-0000-0000-0000B7090000}"/>
    <cellStyle name="Comma 4 3 5 3 2" xfId="3373" xr:uid="{00000000-0005-0000-0000-0000B8090000}"/>
    <cellStyle name="Comma 4 3 5 3 2 2" xfId="7596" xr:uid="{00000000-0005-0000-0000-0000B9090000}"/>
    <cellStyle name="Comma 4 3 5 3 2 2 2" xfId="16038" xr:uid="{AD41E425-FE1B-4B44-B824-37E29AE0F6E3}"/>
    <cellStyle name="Comma 4 3 5 3 2 3" xfId="11820" xr:uid="{9DFE369A-A26C-49F9-ACAA-5C05CC5756D6}"/>
    <cellStyle name="Comma 4 3 5 3 3" xfId="5451" xr:uid="{00000000-0005-0000-0000-0000BA090000}"/>
    <cellStyle name="Comma 4 3 5 3 3 2" xfId="13893" xr:uid="{7C3DF52A-944C-4A28-B68D-5893DEB91D4B}"/>
    <cellStyle name="Comma 4 3 5 3 4" xfId="9675" xr:uid="{B8B1D488-4653-4F72-ACC5-8C13429830D1}"/>
    <cellStyle name="Comma 4 3 5 4" xfId="1556" xr:uid="{00000000-0005-0000-0000-0000BB090000}"/>
    <cellStyle name="Comma 4 3 5 4 2" xfId="3786" xr:uid="{00000000-0005-0000-0000-0000BC090000}"/>
    <cellStyle name="Comma 4 3 5 4 2 2" xfId="8009" xr:uid="{00000000-0005-0000-0000-0000BD090000}"/>
    <cellStyle name="Comma 4 3 5 4 2 2 2" xfId="16451" xr:uid="{E9FB2B1B-BEDB-4FBF-A5BB-D1A6923014D9}"/>
    <cellStyle name="Comma 4 3 5 4 2 3" xfId="12233" xr:uid="{A98A501D-8300-4BA3-97BB-9C461E78BD86}"/>
    <cellStyle name="Comma 4 3 5 4 3" xfId="5864" xr:uid="{00000000-0005-0000-0000-0000BE090000}"/>
    <cellStyle name="Comma 4 3 5 4 3 2" xfId="14306" xr:uid="{6CE22E42-1776-4634-A78E-D9E52D238D94}"/>
    <cellStyle name="Comma 4 3 5 4 4" xfId="10088" xr:uid="{EEC89643-82BE-43BD-A398-1080605FEFD2}"/>
    <cellStyle name="Comma 4 3 5 5" xfId="1970" xr:uid="{00000000-0005-0000-0000-0000BF090000}"/>
    <cellStyle name="Comma 4 3 5 5 2" xfId="4199" xr:uid="{00000000-0005-0000-0000-0000C0090000}"/>
    <cellStyle name="Comma 4 3 5 5 2 2" xfId="8422" xr:uid="{00000000-0005-0000-0000-0000C1090000}"/>
    <cellStyle name="Comma 4 3 5 5 2 2 2" xfId="16864" xr:uid="{6006EA9C-EDB9-42E1-84A2-20D013F14960}"/>
    <cellStyle name="Comma 4 3 5 5 2 3" xfId="12646" xr:uid="{8E0447F8-2FF7-47F6-8D43-2AE360348AAB}"/>
    <cellStyle name="Comma 4 3 5 5 3" xfId="6277" xr:uid="{00000000-0005-0000-0000-0000C2090000}"/>
    <cellStyle name="Comma 4 3 5 5 3 2" xfId="14719" xr:uid="{D0CD2506-B0FC-4117-AADF-0D01BEAF04F3}"/>
    <cellStyle name="Comma 4 3 5 5 4" xfId="10501" xr:uid="{3D006A12-8B67-42A0-AF7A-EE12CBD17715}"/>
    <cellStyle name="Comma 4 3 5 6" xfId="2405" xr:uid="{00000000-0005-0000-0000-0000C3090000}"/>
    <cellStyle name="Comma 4 3 5 6 2" xfId="6690" xr:uid="{00000000-0005-0000-0000-0000C4090000}"/>
    <cellStyle name="Comma 4 3 5 6 2 2" xfId="15132" xr:uid="{2E6455EC-7AC1-4AB9-B8B1-93B6522CD101}"/>
    <cellStyle name="Comma 4 3 5 6 3" xfId="10914" xr:uid="{08C8947F-A11F-4F5D-9A9C-DAE81FF88514}"/>
    <cellStyle name="Comma 4 3 5 7" xfId="2701" xr:uid="{00000000-0005-0000-0000-0000C5090000}"/>
    <cellStyle name="Comma 4 3 5 8" xfId="2783" xr:uid="{00000000-0005-0000-0000-0000C6090000}"/>
    <cellStyle name="Comma 4 3 5 8 2" xfId="7007" xr:uid="{00000000-0005-0000-0000-0000C7090000}"/>
    <cellStyle name="Comma 4 3 5 8 2 2" xfId="15449" xr:uid="{F5155BC2-7550-4721-B3B4-C359BD4D1854}"/>
    <cellStyle name="Comma 4 3 5 8 3" xfId="11231" xr:uid="{E0BD3B66-E1D0-4420-A296-DD0B0BBF9032}"/>
    <cellStyle name="Comma 4 3 5 9" xfId="4624" xr:uid="{00000000-0005-0000-0000-0000C8090000}"/>
    <cellStyle name="Comma 4 3 5 9 2" xfId="13066" xr:uid="{C9FA034B-34BA-4E70-A55A-097EC889F73F}"/>
    <cellStyle name="Comma 4 4" xfId="153" xr:uid="{00000000-0005-0000-0000-0000C9090000}"/>
    <cellStyle name="Comma 4 4 10" xfId="2784" xr:uid="{00000000-0005-0000-0000-0000CA090000}"/>
    <cellStyle name="Comma 4 4 10 2" xfId="7008" xr:uid="{00000000-0005-0000-0000-0000CB090000}"/>
    <cellStyle name="Comma 4 4 10 2 2" xfId="15450" xr:uid="{CA4F56BA-B9D8-4277-9C2D-E075FC9B8F00}"/>
    <cellStyle name="Comma 4 4 10 3" xfId="11232" xr:uid="{80F43A77-416D-409E-81B9-FA090C4E4761}"/>
    <cellStyle name="Comma 4 4 11" xfId="4625" xr:uid="{00000000-0005-0000-0000-0000CC090000}"/>
    <cellStyle name="Comma 4 4 11 2" xfId="13067" xr:uid="{553F0943-8F8D-4D8B-900F-0C88057D24BF}"/>
    <cellStyle name="Comma 4 4 12" xfId="8849" xr:uid="{F2A4EB52-38B1-4B79-AFCA-028F90354C85}"/>
    <cellStyle name="Comma 4 4 2" xfId="154" xr:uid="{00000000-0005-0000-0000-0000CD090000}"/>
    <cellStyle name="Comma 4 4 2 10" xfId="4626" xr:uid="{00000000-0005-0000-0000-0000CE090000}"/>
    <cellStyle name="Comma 4 4 2 10 2" xfId="13068" xr:uid="{9F17E592-6AAB-4950-ADB7-94DC812C5602}"/>
    <cellStyle name="Comma 4 4 2 11" xfId="8850" xr:uid="{EA7738CA-85E9-4CFA-9162-B2AFB51A86BD}"/>
    <cellStyle name="Comma 4 4 2 2" xfId="155" xr:uid="{00000000-0005-0000-0000-0000CF090000}"/>
    <cellStyle name="Comma 4 4 2 2 10" xfId="8851" xr:uid="{9D726D60-F99E-46E8-9E09-4A3AA7673E62}"/>
    <cellStyle name="Comma 4 4 2 2 2" xfId="692" xr:uid="{00000000-0005-0000-0000-0000D0090000}"/>
    <cellStyle name="Comma 4 4 2 2 2 2" xfId="2963" xr:uid="{00000000-0005-0000-0000-0000D1090000}"/>
    <cellStyle name="Comma 4 4 2 2 2 2 2" xfId="7186" xr:uid="{00000000-0005-0000-0000-0000D2090000}"/>
    <cellStyle name="Comma 4 4 2 2 2 2 2 2" xfId="15628" xr:uid="{F6863093-7303-4E47-969C-8CD927308B59}"/>
    <cellStyle name="Comma 4 4 2 2 2 2 3" xfId="11410" xr:uid="{E1D09D9D-27BB-4528-8C81-475406C685ED}"/>
    <cellStyle name="Comma 4 4 2 2 2 3" xfId="5041" xr:uid="{00000000-0005-0000-0000-0000D3090000}"/>
    <cellStyle name="Comma 4 4 2 2 2 3 2" xfId="13483" xr:uid="{262C0C5D-C99E-4DCA-8D8D-B42EA509755A}"/>
    <cellStyle name="Comma 4 4 2 2 2 4" xfId="9265" xr:uid="{96AB4D16-1E17-40B6-9099-C9B8041BBFAE}"/>
    <cellStyle name="Comma 4 4 2 2 3" xfId="1145" xr:uid="{00000000-0005-0000-0000-0000D4090000}"/>
    <cellStyle name="Comma 4 4 2 2 3 2" xfId="3376" xr:uid="{00000000-0005-0000-0000-0000D5090000}"/>
    <cellStyle name="Comma 4 4 2 2 3 2 2" xfId="7599" xr:uid="{00000000-0005-0000-0000-0000D6090000}"/>
    <cellStyle name="Comma 4 4 2 2 3 2 2 2" xfId="16041" xr:uid="{A9190FE5-71F6-4617-9071-39A7860B7B6F}"/>
    <cellStyle name="Comma 4 4 2 2 3 2 3" xfId="11823" xr:uid="{C4A4168A-1333-4355-9464-8B0AF11C6755}"/>
    <cellStyle name="Comma 4 4 2 2 3 3" xfId="5454" xr:uid="{00000000-0005-0000-0000-0000D7090000}"/>
    <cellStyle name="Comma 4 4 2 2 3 3 2" xfId="13896" xr:uid="{1292AE6B-5F48-4130-9183-BD566141B8AA}"/>
    <cellStyle name="Comma 4 4 2 2 3 4" xfId="9678" xr:uid="{E061F04A-C01C-4BB7-9551-6DA53D226AD9}"/>
    <cellStyle name="Comma 4 4 2 2 4" xfId="1559" xr:uid="{00000000-0005-0000-0000-0000D8090000}"/>
    <cellStyle name="Comma 4 4 2 2 4 2" xfId="3789" xr:uid="{00000000-0005-0000-0000-0000D9090000}"/>
    <cellStyle name="Comma 4 4 2 2 4 2 2" xfId="8012" xr:uid="{00000000-0005-0000-0000-0000DA090000}"/>
    <cellStyle name="Comma 4 4 2 2 4 2 2 2" xfId="16454" xr:uid="{6890880B-7048-45F3-982B-B9083D9AE05C}"/>
    <cellStyle name="Comma 4 4 2 2 4 2 3" xfId="12236" xr:uid="{C5BF978A-ED7B-43EE-AD76-E4C4A211287E}"/>
    <cellStyle name="Comma 4 4 2 2 4 3" xfId="5867" xr:uid="{00000000-0005-0000-0000-0000DB090000}"/>
    <cellStyle name="Comma 4 4 2 2 4 3 2" xfId="14309" xr:uid="{C23D90FC-6447-409D-87A9-3885A483C00A}"/>
    <cellStyle name="Comma 4 4 2 2 4 4" xfId="10091" xr:uid="{F8A8C586-9550-4079-B075-1FEB3D751B98}"/>
    <cellStyle name="Comma 4 4 2 2 5" xfId="1973" xr:uid="{00000000-0005-0000-0000-0000DC090000}"/>
    <cellStyle name="Comma 4 4 2 2 5 2" xfId="4202" xr:uid="{00000000-0005-0000-0000-0000DD090000}"/>
    <cellStyle name="Comma 4 4 2 2 5 2 2" xfId="8425" xr:uid="{00000000-0005-0000-0000-0000DE090000}"/>
    <cellStyle name="Comma 4 4 2 2 5 2 2 2" xfId="16867" xr:uid="{9006CC9F-3F6D-4D1D-84C3-CD1FF2BA9FF9}"/>
    <cellStyle name="Comma 4 4 2 2 5 2 3" xfId="12649" xr:uid="{8F17901D-0D30-4AC2-8318-CF3260DF9A52}"/>
    <cellStyle name="Comma 4 4 2 2 5 3" xfId="6280" xr:uid="{00000000-0005-0000-0000-0000DF090000}"/>
    <cellStyle name="Comma 4 4 2 2 5 3 2" xfId="14722" xr:uid="{9411CD53-2FA6-46DB-9428-99AFD6DEFAFC}"/>
    <cellStyle name="Comma 4 4 2 2 5 4" xfId="10504" xr:uid="{C6946C3E-3797-4131-A27B-C9BDBEEDA127}"/>
    <cellStyle name="Comma 4 4 2 2 6" xfId="2408" xr:uid="{00000000-0005-0000-0000-0000E0090000}"/>
    <cellStyle name="Comma 4 4 2 2 6 2" xfId="6693" xr:uid="{00000000-0005-0000-0000-0000E1090000}"/>
    <cellStyle name="Comma 4 4 2 2 6 2 2" xfId="15135" xr:uid="{87DA8901-18BE-4C85-A590-2B9F5E8B4931}"/>
    <cellStyle name="Comma 4 4 2 2 6 3" xfId="10917" xr:uid="{8C490F5E-FF58-48AE-8010-096205917394}"/>
    <cellStyle name="Comma 4 4 2 2 7" xfId="2704" xr:uid="{00000000-0005-0000-0000-0000E2090000}"/>
    <cellStyle name="Comma 4 4 2 2 8" xfId="2786" xr:uid="{00000000-0005-0000-0000-0000E3090000}"/>
    <cellStyle name="Comma 4 4 2 2 8 2" xfId="7010" xr:uid="{00000000-0005-0000-0000-0000E4090000}"/>
    <cellStyle name="Comma 4 4 2 2 8 2 2" xfId="15452" xr:uid="{F1819CF3-8097-4E19-8715-16363E1ABEF9}"/>
    <cellStyle name="Comma 4 4 2 2 8 3" xfId="11234" xr:uid="{8724B05C-6B07-4211-9ED9-9A944AF44986}"/>
    <cellStyle name="Comma 4 4 2 2 9" xfId="4627" xr:uid="{00000000-0005-0000-0000-0000E5090000}"/>
    <cellStyle name="Comma 4 4 2 2 9 2" xfId="13069" xr:uid="{36BE6F95-52D4-44B9-8801-78392ED4335A}"/>
    <cellStyle name="Comma 4 4 2 3" xfId="691" xr:uid="{00000000-0005-0000-0000-0000E6090000}"/>
    <cellStyle name="Comma 4 4 2 3 2" xfId="2962" xr:uid="{00000000-0005-0000-0000-0000E7090000}"/>
    <cellStyle name="Comma 4 4 2 3 2 2" xfId="7185" xr:uid="{00000000-0005-0000-0000-0000E8090000}"/>
    <cellStyle name="Comma 4 4 2 3 2 2 2" xfId="15627" xr:uid="{2BB39BD7-8067-4749-9BB5-90856F0F868A}"/>
    <cellStyle name="Comma 4 4 2 3 2 3" xfId="11409" xr:uid="{4DFEFBDA-F968-4816-9B0C-57EF5AD091C9}"/>
    <cellStyle name="Comma 4 4 2 3 3" xfId="5040" xr:uid="{00000000-0005-0000-0000-0000E9090000}"/>
    <cellStyle name="Comma 4 4 2 3 3 2" xfId="13482" xr:uid="{A1122237-896C-470C-98CA-ADBADD7E6EC3}"/>
    <cellStyle name="Comma 4 4 2 3 4" xfId="9264" xr:uid="{C1FF5432-8283-43B2-B4F5-72EF01CE1A6B}"/>
    <cellStyle name="Comma 4 4 2 4" xfId="1144" xr:uid="{00000000-0005-0000-0000-0000EA090000}"/>
    <cellStyle name="Comma 4 4 2 4 2" xfId="3375" xr:uid="{00000000-0005-0000-0000-0000EB090000}"/>
    <cellStyle name="Comma 4 4 2 4 2 2" xfId="7598" xr:uid="{00000000-0005-0000-0000-0000EC090000}"/>
    <cellStyle name="Comma 4 4 2 4 2 2 2" xfId="16040" xr:uid="{3FFD6B9E-E53A-48C9-8A02-89412D130435}"/>
    <cellStyle name="Comma 4 4 2 4 2 3" xfId="11822" xr:uid="{64302C52-B171-44DA-8F3D-50B40B9C6DA0}"/>
    <cellStyle name="Comma 4 4 2 4 3" xfId="5453" xr:uid="{00000000-0005-0000-0000-0000ED090000}"/>
    <cellStyle name="Comma 4 4 2 4 3 2" xfId="13895" xr:uid="{2A7B8E7D-3A9D-4350-B1EE-A2F29C0B5471}"/>
    <cellStyle name="Comma 4 4 2 4 4" xfId="9677" xr:uid="{DF95A0E0-3624-4E28-B987-A5315E8673C4}"/>
    <cellStyle name="Comma 4 4 2 5" xfId="1558" xr:uid="{00000000-0005-0000-0000-0000EE090000}"/>
    <cellStyle name="Comma 4 4 2 5 2" xfId="3788" xr:uid="{00000000-0005-0000-0000-0000EF090000}"/>
    <cellStyle name="Comma 4 4 2 5 2 2" xfId="8011" xr:uid="{00000000-0005-0000-0000-0000F0090000}"/>
    <cellStyle name="Comma 4 4 2 5 2 2 2" xfId="16453" xr:uid="{8B5E4C40-C729-4EF4-9A15-8204DCA8A7E6}"/>
    <cellStyle name="Comma 4 4 2 5 2 3" xfId="12235" xr:uid="{981237E3-FE27-4843-9078-1519E2971ECC}"/>
    <cellStyle name="Comma 4 4 2 5 3" xfId="5866" xr:uid="{00000000-0005-0000-0000-0000F1090000}"/>
    <cellStyle name="Comma 4 4 2 5 3 2" xfId="14308" xr:uid="{23F1BB60-05F7-4967-8DEE-66DC2F4B7A74}"/>
    <cellStyle name="Comma 4 4 2 5 4" xfId="10090" xr:uid="{9CC52401-543F-46A9-80BE-876BD74EE9F8}"/>
    <cellStyle name="Comma 4 4 2 6" xfId="1972" xr:uid="{00000000-0005-0000-0000-0000F2090000}"/>
    <cellStyle name="Comma 4 4 2 6 2" xfId="4201" xr:uid="{00000000-0005-0000-0000-0000F3090000}"/>
    <cellStyle name="Comma 4 4 2 6 2 2" xfId="8424" xr:uid="{00000000-0005-0000-0000-0000F4090000}"/>
    <cellStyle name="Comma 4 4 2 6 2 2 2" xfId="16866" xr:uid="{7C13EDB1-EFBB-40EE-A84A-DFA5F747B453}"/>
    <cellStyle name="Comma 4 4 2 6 2 3" xfId="12648" xr:uid="{2918C916-EB6E-42B0-84B4-24C68E0ADA68}"/>
    <cellStyle name="Comma 4 4 2 6 3" xfId="6279" xr:uid="{00000000-0005-0000-0000-0000F5090000}"/>
    <cellStyle name="Comma 4 4 2 6 3 2" xfId="14721" xr:uid="{C2BD25AF-15FF-494E-BD0F-31B8E9D911CD}"/>
    <cellStyle name="Comma 4 4 2 6 4" xfId="10503" xr:uid="{170BEF8C-43E8-49C3-A02C-37FD225FEF3F}"/>
    <cellStyle name="Comma 4 4 2 7" xfId="2407" xr:uid="{00000000-0005-0000-0000-0000F6090000}"/>
    <cellStyle name="Comma 4 4 2 7 2" xfId="6692" xr:uid="{00000000-0005-0000-0000-0000F7090000}"/>
    <cellStyle name="Comma 4 4 2 7 2 2" xfId="15134" xr:uid="{DA08B251-E85E-4FAE-BAA8-1D3F1F108EDF}"/>
    <cellStyle name="Comma 4 4 2 7 3" xfId="10916" xr:uid="{D50484EB-8790-4537-9DEA-4A672A1D01BD}"/>
    <cellStyle name="Comma 4 4 2 8" xfId="2703" xr:uid="{00000000-0005-0000-0000-0000F8090000}"/>
    <cellStyle name="Comma 4 4 2 9" xfId="2785" xr:uid="{00000000-0005-0000-0000-0000F9090000}"/>
    <cellStyle name="Comma 4 4 2 9 2" xfId="7009" xr:uid="{00000000-0005-0000-0000-0000FA090000}"/>
    <cellStyle name="Comma 4 4 2 9 2 2" xfId="15451" xr:uid="{251A80EA-DDA5-4217-8011-B77C96A1A0A5}"/>
    <cellStyle name="Comma 4 4 2 9 3" xfId="11233" xr:uid="{51F09D85-2AEB-49FB-867E-C727BE1ADE2A}"/>
    <cellStyle name="Comma 4 4 3" xfId="156" xr:uid="{00000000-0005-0000-0000-0000FB090000}"/>
    <cellStyle name="Comma 4 4 3 10" xfId="8852" xr:uid="{39670D4F-4C29-4AC0-9BFF-3DEBCB8D85CC}"/>
    <cellStyle name="Comma 4 4 3 2" xfId="693" xr:uid="{00000000-0005-0000-0000-0000FC090000}"/>
    <cellStyle name="Comma 4 4 3 2 2" xfId="2964" xr:uid="{00000000-0005-0000-0000-0000FD090000}"/>
    <cellStyle name="Comma 4 4 3 2 2 2" xfId="7187" xr:uid="{00000000-0005-0000-0000-0000FE090000}"/>
    <cellStyle name="Comma 4 4 3 2 2 2 2" xfId="15629" xr:uid="{E0ACEC66-6BF6-446F-A531-A0937B05459B}"/>
    <cellStyle name="Comma 4 4 3 2 2 3" xfId="11411" xr:uid="{E20B3845-D2A4-48F8-B5D8-A68EC3E7069F}"/>
    <cellStyle name="Comma 4 4 3 2 3" xfId="5042" xr:uid="{00000000-0005-0000-0000-0000FF090000}"/>
    <cellStyle name="Comma 4 4 3 2 3 2" xfId="13484" xr:uid="{96BFBC99-658D-44DA-8826-D23BCC089895}"/>
    <cellStyle name="Comma 4 4 3 2 4" xfId="9266" xr:uid="{282B9390-0CAB-4F35-8DCD-D6D93C479ADF}"/>
    <cellStyle name="Comma 4 4 3 3" xfId="1146" xr:uid="{00000000-0005-0000-0000-0000000A0000}"/>
    <cellStyle name="Comma 4 4 3 3 2" xfId="3377" xr:uid="{00000000-0005-0000-0000-0000010A0000}"/>
    <cellStyle name="Comma 4 4 3 3 2 2" xfId="7600" xr:uid="{00000000-0005-0000-0000-0000020A0000}"/>
    <cellStyle name="Comma 4 4 3 3 2 2 2" xfId="16042" xr:uid="{E63226A6-8FD3-4377-A723-7FF34BFF93E3}"/>
    <cellStyle name="Comma 4 4 3 3 2 3" xfId="11824" xr:uid="{F621FC23-170E-4EBA-9E3D-792699469CAC}"/>
    <cellStyle name="Comma 4 4 3 3 3" xfId="5455" xr:uid="{00000000-0005-0000-0000-0000030A0000}"/>
    <cellStyle name="Comma 4 4 3 3 3 2" xfId="13897" xr:uid="{198D075B-8BEF-458F-9798-7FE8E92BAA76}"/>
    <cellStyle name="Comma 4 4 3 3 4" xfId="9679" xr:uid="{D422B862-30FA-426B-865C-003E0B6CA4B7}"/>
    <cellStyle name="Comma 4 4 3 4" xfId="1560" xr:uid="{00000000-0005-0000-0000-0000040A0000}"/>
    <cellStyle name="Comma 4 4 3 4 2" xfId="3790" xr:uid="{00000000-0005-0000-0000-0000050A0000}"/>
    <cellStyle name="Comma 4 4 3 4 2 2" xfId="8013" xr:uid="{00000000-0005-0000-0000-0000060A0000}"/>
    <cellStyle name="Comma 4 4 3 4 2 2 2" xfId="16455" xr:uid="{CC4E364B-3032-482D-B9C5-9E70FD692C63}"/>
    <cellStyle name="Comma 4 4 3 4 2 3" xfId="12237" xr:uid="{FF225DDC-A177-4BCB-BDFA-5E6BFAF8D3E4}"/>
    <cellStyle name="Comma 4 4 3 4 3" xfId="5868" xr:uid="{00000000-0005-0000-0000-0000070A0000}"/>
    <cellStyle name="Comma 4 4 3 4 3 2" xfId="14310" xr:uid="{40442B4E-CFDF-4FBE-A855-E2803A44DAD4}"/>
    <cellStyle name="Comma 4 4 3 4 4" xfId="10092" xr:uid="{58E203BC-82C4-46BD-853E-521DF585491B}"/>
    <cellStyle name="Comma 4 4 3 5" xfId="1974" xr:uid="{00000000-0005-0000-0000-0000080A0000}"/>
    <cellStyle name="Comma 4 4 3 5 2" xfId="4203" xr:uid="{00000000-0005-0000-0000-0000090A0000}"/>
    <cellStyle name="Comma 4 4 3 5 2 2" xfId="8426" xr:uid="{00000000-0005-0000-0000-00000A0A0000}"/>
    <cellStyle name="Comma 4 4 3 5 2 2 2" xfId="16868" xr:uid="{459BB4EA-602C-4D25-89FA-5A9859FEA15C}"/>
    <cellStyle name="Comma 4 4 3 5 2 3" xfId="12650" xr:uid="{C733C01D-D250-48E0-874F-69966D5CBB03}"/>
    <cellStyle name="Comma 4 4 3 5 3" xfId="6281" xr:uid="{00000000-0005-0000-0000-00000B0A0000}"/>
    <cellStyle name="Comma 4 4 3 5 3 2" xfId="14723" xr:uid="{C8606DC0-5949-4D1F-AEFB-D352B7E4D961}"/>
    <cellStyle name="Comma 4 4 3 5 4" xfId="10505" xr:uid="{45BE69CE-8626-457A-B781-BD377B640D5D}"/>
    <cellStyle name="Comma 4 4 3 6" xfId="2409" xr:uid="{00000000-0005-0000-0000-00000C0A0000}"/>
    <cellStyle name="Comma 4 4 3 6 2" xfId="6694" xr:uid="{00000000-0005-0000-0000-00000D0A0000}"/>
    <cellStyle name="Comma 4 4 3 6 2 2" xfId="15136" xr:uid="{E1384D37-0CC2-4469-8B6D-19F0ED101F00}"/>
    <cellStyle name="Comma 4 4 3 6 3" xfId="10918" xr:uid="{774FA8D8-6B35-4AC1-812C-6E991B172F56}"/>
    <cellStyle name="Comma 4 4 3 7" xfId="2705" xr:uid="{00000000-0005-0000-0000-00000E0A0000}"/>
    <cellStyle name="Comma 4 4 3 8" xfId="2787" xr:uid="{00000000-0005-0000-0000-00000F0A0000}"/>
    <cellStyle name="Comma 4 4 3 8 2" xfId="7011" xr:uid="{00000000-0005-0000-0000-0000100A0000}"/>
    <cellStyle name="Comma 4 4 3 8 2 2" xfId="15453" xr:uid="{CC5C7EC5-B712-48DB-AFEB-AB5697B890CB}"/>
    <cellStyle name="Comma 4 4 3 8 3" xfId="11235" xr:uid="{B6480139-B629-49B0-82D0-D42FE1BD3A35}"/>
    <cellStyle name="Comma 4 4 3 9" xfId="4628" xr:uid="{00000000-0005-0000-0000-0000110A0000}"/>
    <cellStyle name="Comma 4 4 3 9 2" xfId="13070" xr:uid="{987D104B-3087-4ED3-AE44-7699178E3FAA}"/>
    <cellStyle name="Comma 4 4 4" xfId="690" xr:uid="{00000000-0005-0000-0000-0000120A0000}"/>
    <cellStyle name="Comma 4 4 4 2" xfId="2961" xr:uid="{00000000-0005-0000-0000-0000130A0000}"/>
    <cellStyle name="Comma 4 4 4 2 2" xfId="7184" xr:uid="{00000000-0005-0000-0000-0000140A0000}"/>
    <cellStyle name="Comma 4 4 4 2 2 2" xfId="15626" xr:uid="{D67EEAE3-72C5-4DF7-A689-7E479FC5566F}"/>
    <cellStyle name="Comma 4 4 4 2 3" xfId="11408" xr:uid="{7B8D7E29-3027-43FD-8975-A0B907A84B2B}"/>
    <cellStyle name="Comma 4 4 4 3" xfId="5039" xr:uid="{00000000-0005-0000-0000-0000150A0000}"/>
    <cellStyle name="Comma 4 4 4 3 2" xfId="13481" xr:uid="{4A46E2C3-AC34-453A-A488-D1CD25F5BBD4}"/>
    <cellStyle name="Comma 4 4 4 4" xfId="9263" xr:uid="{008ECB50-6C2C-4868-ABB6-88C8422CB937}"/>
    <cellStyle name="Comma 4 4 5" xfId="1143" xr:uid="{00000000-0005-0000-0000-0000160A0000}"/>
    <cellStyle name="Comma 4 4 5 2" xfId="3374" xr:uid="{00000000-0005-0000-0000-0000170A0000}"/>
    <cellStyle name="Comma 4 4 5 2 2" xfId="7597" xr:uid="{00000000-0005-0000-0000-0000180A0000}"/>
    <cellStyle name="Comma 4 4 5 2 2 2" xfId="16039" xr:uid="{D35BA41B-F5C8-4CC1-9CC7-A4B7BC387779}"/>
    <cellStyle name="Comma 4 4 5 2 3" xfId="11821" xr:uid="{1ED9790A-976F-4F57-B3EA-12812492B373}"/>
    <cellStyle name="Comma 4 4 5 3" xfId="5452" xr:uid="{00000000-0005-0000-0000-0000190A0000}"/>
    <cellStyle name="Comma 4 4 5 3 2" xfId="13894" xr:uid="{15C41C02-9CB7-417E-A980-0723793E099E}"/>
    <cellStyle name="Comma 4 4 5 4" xfId="9676" xr:uid="{65A4C0A9-D7EF-4C34-8F59-4F0FCA2B71AA}"/>
    <cellStyle name="Comma 4 4 6" xfId="1557" xr:uid="{00000000-0005-0000-0000-00001A0A0000}"/>
    <cellStyle name="Comma 4 4 6 2" xfId="3787" xr:uid="{00000000-0005-0000-0000-00001B0A0000}"/>
    <cellStyle name="Comma 4 4 6 2 2" xfId="8010" xr:uid="{00000000-0005-0000-0000-00001C0A0000}"/>
    <cellStyle name="Comma 4 4 6 2 2 2" xfId="16452" xr:uid="{6BAF5EC4-6BA6-4A7E-8005-A1C04E07E233}"/>
    <cellStyle name="Comma 4 4 6 2 3" xfId="12234" xr:uid="{3D9B40C3-FF69-447A-AF23-B11C77B64922}"/>
    <cellStyle name="Comma 4 4 6 3" xfId="5865" xr:uid="{00000000-0005-0000-0000-00001D0A0000}"/>
    <cellStyle name="Comma 4 4 6 3 2" xfId="14307" xr:uid="{DAEA5E75-4996-4D8F-BCEC-EC1316ECC778}"/>
    <cellStyle name="Comma 4 4 6 4" xfId="10089" xr:uid="{9F7F45AD-3941-4919-A803-B4CE8726505A}"/>
    <cellStyle name="Comma 4 4 7" xfId="1971" xr:uid="{00000000-0005-0000-0000-00001E0A0000}"/>
    <cellStyle name="Comma 4 4 7 2" xfId="4200" xr:uid="{00000000-0005-0000-0000-00001F0A0000}"/>
    <cellStyle name="Comma 4 4 7 2 2" xfId="8423" xr:uid="{00000000-0005-0000-0000-0000200A0000}"/>
    <cellStyle name="Comma 4 4 7 2 2 2" xfId="16865" xr:uid="{5497EF91-4E54-4EE4-A1AD-79A9AE31D206}"/>
    <cellStyle name="Comma 4 4 7 2 3" xfId="12647" xr:uid="{CCAC2840-C2E1-43CE-951F-A936129B10EB}"/>
    <cellStyle name="Comma 4 4 7 3" xfId="6278" xr:uid="{00000000-0005-0000-0000-0000210A0000}"/>
    <cellStyle name="Comma 4 4 7 3 2" xfId="14720" xr:uid="{98F69163-07F1-4AF3-996B-BD11306EDF50}"/>
    <cellStyle name="Comma 4 4 7 4" xfId="10502" xr:uid="{AEC08277-BA83-4521-AC03-033AD7FF0101}"/>
    <cellStyle name="Comma 4 4 8" xfId="2406" xr:uid="{00000000-0005-0000-0000-0000220A0000}"/>
    <cellStyle name="Comma 4 4 8 2" xfId="6691" xr:uid="{00000000-0005-0000-0000-0000230A0000}"/>
    <cellStyle name="Comma 4 4 8 2 2" xfId="15133" xr:uid="{A7F6C532-2FDB-4534-9853-1A608B7C77E0}"/>
    <cellStyle name="Comma 4 4 8 3" xfId="10915" xr:uid="{B0A54CE7-B229-4B12-ABAF-3C0A2FA9F604}"/>
    <cellStyle name="Comma 4 4 9" xfId="2702" xr:uid="{00000000-0005-0000-0000-0000240A0000}"/>
    <cellStyle name="Comma 4 5" xfId="157" xr:uid="{00000000-0005-0000-0000-0000250A0000}"/>
    <cellStyle name="Comma 4 5 10" xfId="4629" xr:uid="{00000000-0005-0000-0000-0000260A0000}"/>
    <cellStyle name="Comma 4 5 10 2" xfId="13071" xr:uid="{60422335-22FA-4A20-8F6B-FF6D6150E348}"/>
    <cellStyle name="Comma 4 5 11" xfId="8853" xr:uid="{88D8CBC6-D352-4096-8739-17E4D48D82A4}"/>
    <cellStyle name="Comma 4 5 2" xfId="158" xr:uid="{00000000-0005-0000-0000-0000270A0000}"/>
    <cellStyle name="Comma 4 5 2 10" xfId="8854" xr:uid="{522B6BCF-641C-4882-B248-BDC1A55FE1CD}"/>
    <cellStyle name="Comma 4 5 2 2" xfId="695" xr:uid="{00000000-0005-0000-0000-0000280A0000}"/>
    <cellStyle name="Comma 4 5 2 2 2" xfId="2966" xr:uid="{00000000-0005-0000-0000-0000290A0000}"/>
    <cellStyle name="Comma 4 5 2 2 2 2" xfId="7189" xr:uid="{00000000-0005-0000-0000-00002A0A0000}"/>
    <cellStyle name="Comma 4 5 2 2 2 2 2" xfId="15631" xr:uid="{E7BA472F-69FB-4CF5-ABDB-8A8EEFB008EA}"/>
    <cellStyle name="Comma 4 5 2 2 2 3" xfId="11413" xr:uid="{F3A9B3D1-6226-4E3C-A88A-F2C4B1CF328F}"/>
    <cellStyle name="Comma 4 5 2 2 3" xfId="5044" xr:uid="{00000000-0005-0000-0000-00002B0A0000}"/>
    <cellStyle name="Comma 4 5 2 2 3 2" xfId="13486" xr:uid="{8B35C50F-D210-4575-B251-572DC66CD2D9}"/>
    <cellStyle name="Comma 4 5 2 2 4" xfId="9268" xr:uid="{F1629EB7-C249-4852-AEF3-F2941A257D98}"/>
    <cellStyle name="Comma 4 5 2 3" xfId="1148" xr:uid="{00000000-0005-0000-0000-00002C0A0000}"/>
    <cellStyle name="Comma 4 5 2 3 2" xfId="3379" xr:uid="{00000000-0005-0000-0000-00002D0A0000}"/>
    <cellStyle name="Comma 4 5 2 3 2 2" xfId="7602" xr:uid="{00000000-0005-0000-0000-00002E0A0000}"/>
    <cellStyle name="Comma 4 5 2 3 2 2 2" xfId="16044" xr:uid="{9350A1B8-83F9-4922-A474-D6B0CA68D3F4}"/>
    <cellStyle name="Comma 4 5 2 3 2 3" xfId="11826" xr:uid="{62EDC618-EAFC-4FBE-82DA-ADBF723E7388}"/>
    <cellStyle name="Comma 4 5 2 3 3" xfId="5457" xr:uid="{00000000-0005-0000-0000-00002F0A0000}"/>
    <cellStyle name="Comma 4 5 2 3 3 2" xfId="13899" xr:uid="{5E7947BF-EFD0-4279-A957-F2FB55EBA52B}"/>
    <cellStyle name="Comma 4 5 2 3 4" xfId="9681" xr:uid="{D643469E-6C97-44CF-B878-ED0D02007C86}"/>
    <cellStyle name="Comma 4 5 2 4" xfId="1562" xr:uid="{00000000-0005-0000-0000-0000300A0000}"/>
    <cellStyle name="Comma 4 5 2 4 2" xfId="3792" xr:uid="{00000000-0005-0000-0000-0000310A0000}"/>
    <cellStyle name="Comma 4 5 2 4 2 2" xfId="8015" xr:uid="{00000000-0005-0000-0000-0000320A0000}"/>
    <cellStyle name="Comma 4 5 2 4 2 2 2" xfId="16457" xr:uid="{FD34A9B9-16F1-4E54-B0F4-FC8F81BA38FD}"/>
    <cellStyle name="Comma 4 5 2 4 2 3" xfId="12239" xr:uid="{B9F0ACD1-27E7-4E33-801C-831D60648BC7}"/>
    <cellStyle name="Comma 4 5 2 4 3" xfId="5870" xr:uid="{00000000-0005-0000-0000-0000330A0000}"/>
    <cellStyle name="Comma 4 5 2 4 3 2" xfId="14312" xr:uid="{48159899-BE22-422A-A6E8-5AE9126AAF33}"/>
    <cellStyle name="Comma 4 5 2 4 4" xfId="10094" xr:uid="{F4DAF6C1-3042-4B9D-AD4E-286B6F5D1F10}"/>
    <cellStyle name="Comma 4 5 2 5" xfId="1976" xr:uid="{00000000-0005-0000-0000-0000340A0000}"/>
    <cellStyle name="Comma 4 5 2 5 2" xfId="4205" xr:uid="{00000000-0005-0000-0000-0000350A0000}"/>
    <cellStyle name="Comma 4 5 2 5 2 2" xfId="8428" xr:uid="{00000000-0005-0000-0000-0000360A0000}"/>
    <cellStyle name="Comma 4 5 2 5 2 2 2" xfId="16870" xr:uid="{ACAEEE75-4862-49B3-B753-4D6732EAE610}"/>
    <cellStyle name="Comma 4 5 2 5 2 3" xfId="12652" xr:uid="{0AE50303-3B49-4D84-93D0-631AA617383C}"/>
    <cellStyle name="Comma 4 5 2 5 3" xfId="6283" xr:uid="{00000000-0005-0000-0000-0000370A0000}"/>
    <cellStyle name="Comma 4 5 2 5 3 2" xfId="14725" xr:uid="{2ACFC22C-4388-415F-9240-0A78924EFF3F}"/>
    <cellStyle name="Comma 4 5 2 5 4" xfId="10507" xr:uid="{8EA9D40C-96F1-4D06-87F0-E3D8B9EA9785}"/>
    <cellStyle name="Comma 4 5 2 6" xfId="2411" xr:uid="{00000000-0005-0000-0000-0000380A0000}"/>
    <cellStyle name="Comma 4 5 2 6 2" xfId="6696" xr:uid="{00000000-0005-0000-0000-0000390A0000}"/>
    <cellStyle name="Comma 4 5 2 6 2 2" xfId="15138" xr:uid="{4DD8B4A4-488F-48A3-8252-4F1478E653AD}"/>
    <cellStyle name="Comma 4 5 2 6 3" xfId="10920" xr:uid="{73B4F4EB-F99E-4D53-8C63-646BD261DCBD}"/>
    <cellStyle name="Comma 4 5 2 7" xfId="2707" xr:uid="{00000000-0005-0000-0000-00003A0A0000}"/>
    <cellStyle name="Comma 4 5 2 8" xfId="2789" xr:uid="{00000000-0005-0000-0000-00003B0A0000}"/>
    <cellStyle name="Comma 4 5 2 8 2" xfId="7013" xr:uid="{00000000-0005-0000-0000-00003C0A0000}"/>
    <cellStyle name="Comma 4 5 2 8 2 2" xfId="15455" xr:uid="{FBB64E69-B40C-4A43-9231-8E62FAFE7C4D}"/>
    <cellStyle name="Comma 4 5 2 8 3" xfId="11237" xr:uid="{D8CF7F84-95DC-413A-B132-49BCEEBCCF6F}"/>
    <cellStyle name="Comma 4 5 2 9" xfId="4630" xr:uid="{00000000-0005-0000-0000-00003D0A0000}"/>
    <cellStyle name="Comma 4 5 2 9 2" xfId="13072" xr:uid="{4844B80D-C428-49E5-A2BA-435A8228D0AE}"/>
    <cellStyle name="Comma 4 5 3" xfId="694" xr:uid="{00000000-0005-0000-0000-00003E0A0000}"/>
    <cellStyle name="Comma 4 5 3 2" xfId="2965" xr:uid="{00000000-0005-0000-0000-00003F0A0000}"/>
    <cellStyle name="Comma 4 5 3 2 2" xfId="7188" xr:uid="{00000000-0005-0000-0000-0000400A0000}"/>
    <cellStyle name="Comma 4 5 3 2 2 2" xfId="15630" xr:uid="{093CFD54-558D-4F08-8D37-118A4197EA10}"/>
    <cellStyle name="Comma 4 5 3 2 3" xfId="11412" xr:uid="{DDFE6C13-33C0-4CC6-A626-56B5CB58E4B4}"/>
    <cellStyle name="Comma 4 5 3 3" xfId="5043" xr:uid="{00000000-0005-0000-0000-0000410A0000}"/>
    <cellStyle name="Comma 4 5 3 3 2" xfId="13485" xr:uid="{18D2F99A-7806-4043-BA9B-BDE35CBCC6CD}"/>
    <cellStyle name="Comma 4 5 3 4" xfId="9267" xr:uid="{1B181E8E-0E64-475E-879F-0B432DDC8E32}"/>
    <cellStyle name="Comma 4 5 4" xfId="1147" xr:uid="{00000000-0005-0000-0000-0000420A0000}"/>
    <cellStyle name="Comma 4 5 4 2" xfId="3378" xr:uid="{00000000-0005-0000-0000-0000430A0000}"/>
    <cellStyle name="Comma 4 5 4 2 2" xfId="7601" xr:uid="{00000000-0005-0000-0000-0000440A0000}"/>
    <cellStyle name="Comma 4 5 4 2 2 2" xfId="16043" xr:uid="{20708D83-C3BE-41FA-ADE3-7F2C43B4505D}"/>
    <cellStyle name="Comma 4 5 4 2 3" xfId="11825" xr:uid="{44A7809C-2757-4EDD-BB39-73A76DA52E5A}"/>
    <cellStyle name="Comma 4 5 4 3" xfId="5456" xr:uid="{00000000-0005-0000-0000-0000450A0000}"/>
    <cellStyle name="Comma 4 5 4 3 2" xfId="13898" xr:uid="{41D8C423-1008-4589-8891-DAC3A8B88E2C}"/>
    <cellStyle name="Comma 4 5 4 4" xfId="9680" xr:uid="{542E1EEB-82E2-437C-B9F1-60A9EBFE1AC9}"/>
    <cellStyle name="Comma 4 5 5" xfId="1561" xr:uid="{00000000-0005-0000-0000-0000460A0000}"/>
    <cellStyle name="Comma 4 5 5 2" xfId="3791" xr:uid="{00000000-0005-0000-0000-0000470A0000}"/>
    <cellStyle name="Comma 4 5 5 2 2" xfId="8014" xr:uid="{00000000-0005-0000-0000-0000480A0000}"/>
    <cellStyle name="Comma 4 5 5 2 2 2" xfId="16456" xr:uid="{66F9F82B-1B24-4131-A535-E1BFBD740B86}"/>
    <cellStyle name="Comma 4 5 5 2 3" xfId="12238" xr:uid="{BA32CC33-1F7E-46BB-BCB6-29CD27D99914}"/>
    <cellStyle name="Comma 4 5 5 3" xfId="5869" xr:uid="{00000000-0005-0000-0000-0000490A0000}"/>
    <cellStyle name="Comma 4 5 5 3 2" xfId="14311" xr:uid="{9756082A-4DAC-4FAD-85DE-B34F6C798ED2}"/>
    <cellStyle name="Comma 4 5 5 4" xfId="10093" xr:uid="{CC92E437-E8BA-443E-83BE-0A92D2C1D317}"/>
    <cellStyle name="Comma 4 5 6" xfId="1975" xr:uid="{00000000-0005-0000-0000-00004A0A0000}"/>
    <cellStyle name="Comma 4 5 6 2" xfId="4204" xr:uid="{00000000-0005-0000-0000-00004B0A0000}"/>
    <cellStyle name="Comma 4 5 6 2 2" xfId="8427" xr:uid="{00000000-0005-0000-0000-00004C0A0000}"/>
    <cellStyle name="Comma 4 5 6 2 2 2" xfId="16869" xr:uid="{64F3A79A-7F28-4710-B67E-7E5D8C31B792}"/>
    <cellStyle name="Comma 4 5 6 2 3" xfId="12651" xr:uid="{1507D967-99C7-4BF4-A616-4570E031A103}"/>
    <cellStyle name="Comma 4 5 6 3" xfId="6282" xr:uid="{00000000-0005-0000-0000-00004D0A0000}"/>
    <cellStyle name="Comma 4 5 6 3 2" xfId="14724" xr:uid="{C1089992-D395-40CD-9307-CBD4AA0BE493}"/>
    <cellStyle name="Comma 4 5 6 4" xfId="10506" xr:uid="{1CF975FC-6981-4633-B996-10DDAB5D5DC5}"/>
    <cellStyle name="Comma 4 5 7" xfId="2410" xr:uid="{00000000-0005-0000-0000-00004E0A0000}"/>
    <cellStyle name="Comma 4 5 7 2" xfId="6695" xr:uid="{00000000-0005-0000-0000-00004F0A0000}"/>
    <cellStyle name="Comma 4 5 7 2 2" xfId="15137" xr:uid="{1A2B9352-C1E8-4DC8-8D64-D14F245A3CC4}"/>
    <cellStyle name="Comma 4 5 7 3" xfId="10919" xr:uid="{12683071-88CB-4440-A065-3937574C1233}"/>
    <cellStyle name="Comma 4 5 8" xfId="2706" xr:uid="{00000000-0005-0000-0000-0000500A0000}"/>
    <cellStyle name="Comma 4 5 9" xfId="2788" xr:uid="{00000000-0005-0000-0000-0000510A0000}"/>
    <cellStyle name="Comma 4 5 9 2" xfId="7012" xr:uid="{00000000-0005-0000-0000-0000520A0000}"/>
    <cellStyle name="Comma 4 5 9 2 2" xfId="15454" xr:uid="{48248B70-3FA8-4F5E-905D-BE941CC46E59}"/>
    <cellStyle name="Comma 4 5 9 3" xfId="11236" xr:uid="{495C8B38-6734-47C5-97A1-8F3123ECC623}"/>
    <cellStyle name="Comma 4 6" xfId="159" xr:uid="{00000000-0005-0000-0000-0000530A0000}"/>
    <cellStyle name="Comma 4 6 10" xfId="8855" xr:uid="{AF528099-E71B-41EF-A02E-4A3700A40EC1}"/>
    <cellStyle name="Comma 4 6 2" xfId="696" xr:uid="{00000000-0005-0000-0000-0000540A0000}"/>
    <cellStyle name="Comma 4 6 2 2" xfId="2967" xr:uid="{00000000-0005-0000-0000-0000550A0000}"/>
    <cellStyle name="Comma 4 6 2 2 2" xfId="7190" xr:uid="{00000000-0005-0000-0000-0000560A0000}"/>
    <cellStyle name="Comma 4 6 2 2 2 2" xfId="15632" xr:uid="{914FB706-A2FF-40C5-AEB6-9378B6DF0B9F}"/>
    <cellStyle name="Comma 4 6 2 2 3" xfId="11414" xr:uid="{697284A5-DF03-4240-910E-EC4D3F066E0C}"/>
    <cellStyle name="Comma 4 6 2 3" xfId="5045" xr:uid="{00000000-0005-0000-0000-0000570A0000}"/>
    <cellStyle name="Comma 4 6 2 3 2" xfId="13487" xr:uid="{AB7320B6-2E7A-4DE8-8B09-EA9EE769CBAC}"/>
    <cellStyle name="Comma 4 6 2 4" xfId="9269" xr:uid="{56629502-8C30-40B5-A234-8D690E6F4C92}"/>
    <cellStyle name="Comma 4 6 3" xfId="1149" xr:uid="{00000000-0005-0000-0000-0000580A0000}"/>
    <cellStyle name="Comma 4 6 3 2" xfId="3380" xr:uid="{00000000-0005-0000-0000-0000590A0000}"/>
    <cellStyle name="Comma 4 6 3 2 2" xfId="7603" xr:uid="{00000000-0005-0000-0000-00005A0A0000}"/>
    <cellStyle name="Comma 4 6 3 2 2 2" xfId="16045" xr:uid="{28F11717-FB78-4A93-830A-FC4E8567E2D6}"/>
    <cellStyle name="Comma 4 6 3 2 3" xfId="11827" xr:uid="{0E6610B0-F2D2-4EB3-9A65-3626AA78D10A}"/>
    <cellStyle name="Comma 4 6 3 3" xfId="5458" xr:uid="{00000000-0005-0000-0000-00005B0A0000}"/>
    <cellStyle name="Comma 4 6 3 3 2" xfId="13900" xr:uid="{9ECD9756-B07C-4DC0-AC86-8E5C8F0C1A8A}"/>
    <cellStyle name="Comma 4 6 3 4" xfId="9682" xr:uid="{9FE1B063-74E6-40B3-ABB9-EF298906F015}"/>
    <cellStyle name="Comma 4 6 4" xfId="1563" xr:uid="{00000000-0005-0000-0000-00005C0A0000}"/>
    <cellStyle name="Comma 4 6 4 2" xfId="3793" xr:uid="{00000000-0005-0000-0000-00005D0A0000}"/>
    <cellStyle name="Comma 4 6 4 2 2" xfId="8016" xr:uid="{00000000-0005-0000-0000-00005E0A0000}"/>
    <cellStyle name="Comma 4 6 4 2 2 2" xfId="16458" xr:uid="{C111E94A-51A9-4FE9-92C0-BFE1E08DD417}"/>
    <cellStyle name="Comma 4 6 4 2 3" xfId="12240" xr:uid="{273CB7A3-A7AE-4824-9664-12C12D37B9DD}"/>
    <cellStyle name="Comma 4 6 4 3" xfId="5871" xr:uid="{00000000-0005-0000-0000-00005F0A0000}"/>
    <cellStyle name="Comma 4 6 4 3 2" xfId="14313" xr:uid="{626EAA02-1CA5-4360-86C1-C62820A1DB64}"/>
    <cellStyle name="Comma 4 6 4 4" xfId="10095" xr:uid="{E52334EF-93B7-4EE3-9163-7761D85D0279}"/>
    <cellStyle name="Comma 4 6 5" xfId="1977" xr:uid="{00000000-0005-0000-0000-0000600A0000}"/>
    <cellStyle name="Comma 4 6 5 2" xfId="4206" xr:uid="{00000000-0005-0000-0000-0000610A0000}"/>
    <cellStyle name="Comma 4 6 5 2 2" xfId="8429" xr:uid="{00000000-0005-0000-0000-0000620A0000}"/>
    <cellStyle name="Comma 4 6 5 2 2 2" xfId="16871" xr:uid="{C80A65E6-CC0B-4950-9E37-18EEFA994F12}"/>
    <cellStyle name="Comma 4 6 5 2 3" xfId="12653" xr:uid="{77BC5472-A7F5-4B4F-8DBC-66A6C9F4A47B}"/>
    <cellStyle name="Comma 4 6 5 3" xfId="6284" xr:uid="{00000000-0005-0000-0000-0000630A0000}"/>
    <cellStyle name="Comma 4 6 5 3 2" xfId="14726" xr:uid="{41B2E6EA-5D2C-495C-AB50-09C9067CC77F}"/>
    <cellStyle name="Comma 4 6 5 4" xfId="10508" xr:uid="{B697EB2E-E62D-479C-8B97-261D9D334D4F}"/>
    <cellStyle name="Comma 4 6 6" xfId="2412" xr:uid="{00000000-0005-0000-0000-0000640A0000}"/>
    <cellStyle name="Comma 4 6 6 2" xfId="6697" xr:uid="{00000000-0005-0000-0000-0000650A0000}"/>
    <cellStyle name="Comma 4 6 6 2 2" xfId="15139" xr:uid="{576BC317-99F1-4348-9BE6-60CF5394EAF5}"/>
    <cellStyle name="Comma 4 6 6 3" xfId="10921" xr:uid="{BE180957-5033-4681-9E73-72515E667B36}"/>
    <cellStyle name="Comma 4 6 7" xfId="2708" xr:uid="{00000000-0005-0000-0000-0000660A0000}"/>
    <cellStyle name="Comma 4 6 8" xfId="2790" xr:uid="{00000000-0005-0000-0000-0000670A0000}"/>
    <cellStyle name="Comma 4 6 8 2" xfId="7014" xr:uid="{00000000-0005-0000-0000-0000680A0000}"/>
    <cellStyle name="Comma 4 6 8 2 2" xfId="15456" xr:uid="{39002976-B576-4538-A410-FC3F22474AEA}"/>
    <cellStyle name="Comma 4 6 8 3" xfId="11238" xr:uid="{A92220E2-39BB-4A5F-925B-7844EBA4F82C}"/>
    <cellStyle name="Comma 4 6 9" xfId="4631" xr:uid="{00000000-0005-0000-0000-0000690A0000}"/>
    <cellStyle name="Comma 4 6 9 2" xfId="13073" xr:uid="{565E8B27-093D-4A45-9C40-3FC414EBD0C9}"/>
    <cellStyle name="Comma 4 7" xfId="160" xr:uid="{00000000-0005-0000-0000-00006A0A0000}"/>
    <cellStyle name="Comma 4 7 10" xfId="8856" xr:uid="{6F555593-B550-4507-AF41-B819B5F278F1}"/>
    <cellStyle name="Comma 4 7 2" xfId="697" xr:uid="{00000000-0005-0000-0000-00006B0A0000}"/>
    <cellStyle name="Comma 4 7 2 2" xfId="2968" xr:uid="{00000000-0005-0000-0000-00006C0A0000}"/>
    <cellStyle name="Comma 4 7 2 2 2" xfId="7191" xr:uid="{00000000-0005-0000-0000-00006D0A0000}"/>
    <cellStyle name="Comma 4 7 2 2 2 2" xfId="15633" xr:uid="{A8087C20-C4EA-4260-A9BD-96691EAA7A71}"/>
    <cellStyle name="Comma 4 7 2 2 3" xfId="11415" xr:uid="{C5BB1E21-D844-425A-9F70-B82AC913CE93}"/>
    <cellStyle name="Comma 4 7 2 3" xfId="5046" xr:uid="{00000000-0005-0000-0000-00006E0A0000}"/>
    <cellStyle name="Comma 4 7 2 3 2" xfId="13488" xr:uid="{829F9740-B5CC-4C29-9A58-D2BC9EC56355}"/>
    <cellStyle name="Comma 4 7 2 4" xfId="9270" xr:uid="{A35DC989-336B-488A-A94B-EC40092AE1D3}"/>
    <cellStyle name="Comma 4 7 3" xfId="1150" xr:uid="{00000000-0005-0000-0000-00006F0A0000}"/>
    <cellStyle name="Comma 4 7 3 2" xfId="3381" xr:uid="{00000000-0005-0000-0000-0000700A0000}"/>
    <cellStyle name="Comma 4 7 3 2 2" xfId="7604" xr:uid="{00000000-0005-0000-0000-0000710A0000}"/>
    <cellStyle name="Comma 4 7 3 2 2 2" xfId="16046" xr:uid="{4C88998E-778A-4B3A-97C6-FB5197A8BF36}"/>
    <cellStyle name="Comma 4 7 3 2 3" xfId="11828" xr:uid="{44F9C122-6484-48A9-9114-0457FE0B5A82}"/>
    <cellStyle name="Comma 4 7 3 3" xfId="5459" xr:uid="{00000000-0005-0000-0000-0000720A0000}"/>
    <cellStyle name="Comma 4 7 3 3 2" xfId="13901" xr:uid="{2FC55B0F-715D-4300-BC5F-15A97A735709}"/>
    <cellStyle name="Comma 4 7 3 4" xfId="9683" xr:uid="{A5D7848B-C1B2-4B19-BF78-87289E1476AC}"/>
    <cellStyle name="Comma 4 7 4" xfId="1564" xr:uid="{00000000-0005-0000-0000-0000730A0000}"/>
    <cellStyle name="Comma 4 7 4 2" xfId="3794" xr:uid="{00000000-0005-0000-0000-0000740A0000}"/>
    <cellStyle name="Comma 4 7 4 2 2" xfId="8017" xr:uid="{00000000-0005-0000-0000-0000750A0000}"/>
    <cellStyle name="Comma 4 7 4 2 2 2" xfId="16459" xr:uid="{A2DFFA69-7C11-4D4F-82E2-5C08AF065F67}"/>
    <cellStyle name="Comma 4 7 4 2 3" xfId="12241" xr:uid="{E964285B-7328-487E-A590-1CF386D36B70}"/>
    <cellStyle name="Comma 4 7 4 3" xfId="5872" xr:uid="{00000000-0005-0000-0000-0000760A0000}"/>
    <cellStyle name="Comma 4 7 4 3 2" xfId="14314" xr:uid="{E149FA2B-C31B-4A2D-AEE1-A687FDD79049}"/>
    <cellStyle name="Comma 4 7 4 4" xfId="10096" xr:uid="{80C97A76-4C82-45F0-9B67-37BC320B0585}"/>
    <cellStyle name="Comma 4 7 5" xfId="1978" xr:uid="{00000000-0005-0000-0000-0000770A0000}"/>
    <cellStyle name="Comma 4 7 5 2" xfId="4207" xr:uid="{00000000-0005-0000-0000-0000780A0000}"/>
    <cellStyle name="Comma 4 7 5 2 2" xfId="8430" xr:uid="{00000000-0005-0000-0000-0000790A0000}"/>
    <cellStyle name="Comma 4 7 5 2 2 2" xfId="16872" xr:uid="{00A33421-247E-4685-8261-032642BFE1C5}"/>
    <cellStyle name="Comma 4 7 5 2 3" xfId="12654" xr:uid="{3E8633C4-368C-4AAC-90D9-55AA88302D80}"/>
    <cellStyle name="Comma 4 7 5 3" xfId="6285" xr:uid="{00000000-0005-0000-0000-00007A0A0000}"/>
    <cellStyle name="Comma 4 7 5 3 2" xfId="14727" xr:uid="{5AC4A88A-BB23-4254-9FF1-107D52D3325E}"/>
    <cellStyle name="Comma 4 7 5 4" xfId="10509" xr:uid="{07B8E243-5FA2-40A6-9308-0CE478969C0B}"/>
    <cellStyle name="Comma 4 7 6" xfId="2413" xr:uid="{00000000-0005-0000-0000-00007B0A0000}"/>
    <cellStyle name="Comma 4 7 6 2" xfId="6698" xr:uid="{00000000-0005-0000-0000-00007C0A0000}"/>
    <cellStyle name="Comma 4 7 6 2 2" xfId="15140" xr:uid="{E797D875-0A28-4B7A-926B-7EFF67E2D6E9}"/>
    <cellStyle name="Comma 4 7 6 3" xfId="10922" xr:uid="{6B6BDFBE-4500-46CF-AF01-EDAB67DF055C}"/>
    <cellStyle name="Comma 4 7 7" xfId="2709" xr:uid="{00000000-0005-0000-0000-00007D0A0000}"/>
    <cellStyle name="Comma 4 7 8" xfId="2791" xr:uid="{00000000-0005-0000-0000-00007E0A0000}"/>
    <cellStyle name="Comma 4 7 8 2" xfId="7015" xr:uid="{00000000-0005-0000-0000-00007F0A0000}"/>
    <cellStyle name="Comma 4 7 8 2 2" xfId="15457" xr:uid="{89494868-22C4-4DCF-AE6A-4DC14ED4F9AB}"/>
    <cellStyle name="Comma 4 7 8 3" xfId="11239" xr:uid="{94E4B854-D6E9-4F02-AFA7-9A347797116A}"/>
    <cellStyle name="Comma 4 7 9" xfId="4632" xr:uid="{00000000-0005-0000-0000-0000800A0000}"/>
    <cellStyle name="Comma 4 7 9 2" xfId="13074" xr:uid="{BE2A8D53-4183-44BA-B722-F72158986CE4}"/>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2" xr:uid="{C6F81BED-D227-406B-8C41-42CD5DDEB284}"/>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2 2" xfId="17159" xr:uid="{3C43CBED-A9A6-4725-AB3A-E24CBEFE1EF7}"/>
    <cellStyle name="Currency 14 3" xfId="8720" xr:uid="{729B09A7-2394-4D7C-912C-1471FB3455A3}"/>
    <cellStyle name="Currency 14 3 2" xfId="8724" xr:uid="{1945FB0F-31EC-4D98-B64C-BAFBADA341A1}"/>
    <cellStyle name="Currency 14 3 2 2" xfId="8727" xr:uid="{03BA8DEE-11D2-406B-B26D-8EE163916FB0}"/>
    <cellStyle name="Currency 14 3 2 3" xfId="17165" xr:uid="{3983E98F-6F2A-4795-AD31-946A7C6B6AA5}"/>
    <cellStyle name="Currency 14 3 3" xfId="17162" xr:uid="{E8740489-7B46-4F5E-8652-BDE09C65195D}"/>
    <cellStyle name="Currency 14 4" xfId="12945" xr:uid="{BB941698-479C-401C-ADEA-4993D89B536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0 2 2" xfId="15458" xr:uid="{5F62C3D6-1268-4664-8FC8-F9270242F894}"/>
    <cellStyle name="Currency 3 2 2 10 3" xfId="11240" xr:uid="{46CB72C1-6A07-454F-A170-F0DABBD41531}"/>
    <cellStyle name="Currency 3 2 2 11" xfId="4633" xr:uid="{00000000-0005-0000-0000-0000A50A0000}"/>
    <cellStyle name="Currency 3 2 2 11 2" xfId="13075" xr:uid="{4F35128B-AA55-4C5F-9023-3F193FF535EA}"/>
    <cellStyle name="Currency 3 2 2 12" xfId="8857" xr:uid="{2291E2B7-286C-43AE-ABC7-692340E65C3E}"/>
    <cellStyle name="Currency 3 2 2 2" xfId="179" xr:uid="{00000000-0005-0000-0000-0000A60A0000}"/>
    <cellStyle name="Currency 3 2 2 2 10" xfId="4634" xr:uid="{00000000-0005-0000-0000-0000A70A0000}"/>
    <cellStyle name="Currency 3 2 2 2 10 2" xfId="13076" xr:uid="{7B81587D-5152-4BE1-BD7E-3FE727AAC72D}"/>
    <cellStyle name="Currency 3 2 2 2 11" xfId="8858" xr:uid="{83EF7AD5-D828-4FFB-85B8-3E0CA40C14DF}"/>
    <cellStyle name="Currency 3 2 2 2 2" xfId="180" xr:uid="{00000000-0005-0000-0000-0000A80A0000}"/>
    <cellStyle name="Currency 3 2 2 2 2 10" xfId="8859" xr:uid="{7BA969B8-C74B-48FC-880C-B6DD0DF6B1AB}"/>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15636" xr:uid="{0ACD2992-F4DC-47A4-99BD-187D5D466742}"/>
    <cellStyle name="Currency 3 2 2 2 2 2 2 3" xfId="11418" xr:uid="{5DC35489-B9A5-4DD8-A0FC-D35C42104207}"/>
    <cellStyle name="Currency 3 2 2 2 2 2 3" xfId="5049" xr:uid="{00000000-0005-0000-0000-0000AC0A0000}"/>
    <cellStyle name="Currency 3 2 2 2 2 2 3 2" xfId="13491" xr:uid="{69018324-7CCF-4A71-9144-B99F363BC57E}"/>
    <cellStyle name="Currency 3 2 2 2 2 2 4" xfId="9273" xr:uid="{45FF2C21-8C51-4C19-ABC6-256A75A5FE05}"/>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2 2" xfId="16049" xr:uid="{267427C6-B05C-41BA-BDEC-972B19D5570A}"/>
    <cellStyle name="Currency 3 2 2 2 2 3 2 3" xfId="11831" xr:uid="{582B61A6-A313-4757-B868-800D136D31B8}"/>
    <cellStyle name="Currency 3 2 2 2 2 3 3" xfId="5462" xr:uid="{00000000-0005-0000-0000-0000B00A0000}"/>
    <cellStyle name="Currency 3 2 2 2 2 3 3 2" xfId="13904" xr:uid="{C860BE79-A686-43C3-B4DF-2CFAD60F90DD}"/>
    <cellStyle name="Currency 3 2 2 2 2 3 4" xfId="9686" xr:uid="{8910197C-9B18-4F0B-8B9B-0CDF1BBA55FF}"/>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2 2 2" xfId="16462" xr:uid="{8FBF355F-58EE-41FC-B68F-8ABF3890BC89}"/>
    <cellStyle name="Currency 3 2 2 2 2 4 2 3" xfId="12244" xr:uid="{D5788287-20FF-4A12-8AB8-919FC9AFB1EF}"/>
    <cellStyle name="Currency 3 2 2 2 2 4 3" xfId="5875" xr:uid="{00000000-0005-0000-0000-0000B40A0000}"/>
    <cellStyle name="Currency 3 2 2 2 2 4 3 2" xfId="14317" xr:uid="{13E435B7-ECDC-43A4-B806-39E7732F5A54}"/>
    <cellStyle name="Currency 3 2 2 2 2 4 4" xfId="10099" xr:uid="{99AD58B4-3D4B-47D9-8B87-A6D4F03D33ED}"/>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2 2 2" xfId="16875" xr:uid="{DA24247C-971F-44E6-8B15-B96B1E522D4B}"/>
    <cellStyle name="Currency 3 2 2 2 2 5 2 3" xfId="12657" xr:uid="{C1944A84-C886-4CC4-B446-6495639E251D}"/>
    <cellStyle name="Currency 3 2 2 2 2 5 3" xfId="6288" xr:uid="{00000000-0005-0000-0000-0000B80A0000}"/>
    <cellStyle name="Currency 3 2 2 2 2 5 3 2" xfId="14730" xr:uid="{54989E6C-FF7E-460A-9F96-99B464F51307}"/>
    <cellStyle name="Currency 3 2 2 2 2 5 4" xfId="10512" xr:uid="{D28143A5-5229-4137-8503-6A6FD8C3DAE9}"/>
    <cellStyle name="Currency 3 2 2 2 2 6" xfId="2416" xr:uid="{00000000-0005-0000-0000-0000B90A0000}"/>
    <cellStyle name="Currency 3 2 2 2 2 6 2" xfId="6701" xr:uid="{00000000-0005-0000-0000-0000BA0A0000}"/>
    <cellStyle name="Currency 3 2 2 2 2 6 2 2" xfId="15143" xr:uid="{91F5F5B7-78A8-4247-A30E-4C4CC3EE9227}"/>
    <cellStyle name="Currency 3 2 2 2 2 6 3" xfId="10925" xr:uid="{6AF0497D-9BB5-4F08-892F-5D9E2C5BD5A6}"/>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8 2 2" xfId="15460" xr:uid="{D2729D5D-FB9F-4434-8305-429B60549FAB}"/>
    <cellStyle name="Currency 3 2 2 2 2 8 3" xfId="11242" xr:uid="{5747B83B-283F-43F7-AE82-499EA3856D72}"/>
    <cellStyle name="Currency 3 2 2 2 2 9" xfId="4635" xr:uid="{00000000-0005-0000-0000-0000BE0A0000}"/>
    <cellStyle name="Currency 3 2 2 2 2 9 2" xfId="13077" xr:uid="{218D26F3-D235-4DBB-9BAD-E96D97968A3F}"/>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15635" xr:uid="{BCA7476A-038B-4B49-91B5-5A832C932A67}"/>
    <cellStyle name="Currency 3 2 2 2 3 2 3" xfId="11417" xr:uid="{9B8E8291-756C-41CE-A191-787AEF5EF83F}"/>
    <cellStyle name="Currency 3 2 2 2 3 3" xfId="5048" xr:uid="{00000000-0005-0000-0000-0000C20A0000}"/>
    <cellStyle name="Currency 3 2 2 2 3 3 2" xfId="13490" xr:uid="{7EC97A0C-2119-4CE5-8AB9-97E3FEE92260}"/>
    <cellStyle name="Currency 3 2 2 2 3 4" xfId="9272" xr:uid="{C62E7D6A-19E5-429F-A4D1-3E6E790136E3}"/>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2 2" xfId="16048" xr:uid="{05A0B2CE-AB64-468D-B55B-0530C7BD015C}"/>
    <cellStyle name="Currency 3 2 2 2 4 2 3" xfId="11830" xr:uid="{B54AE98A-BC4B-41E5-B6CA-D31DACB4CCFE}"/>
    <cellStyle name="Currency 3 2 2 2 4 3" xfId="5461" xr:uid="{00000000-0005-0000-0000-0000C60A0000}"/>
    <cellStyle name="Currency 3 2 2 2 4 3 2" xfId="13903" xr:uid="{9F4C6C82-3406-4673-B83F-11F01F2921E0}"/>
    <cellStyle name="Currency 3 2 2 2 4 4" xfId="9685" xr:uid="{26C1190F-A8B8-4837-97C0-A13CBAD5FA4D}"/>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2 2 2" xfId="16461" xr:uid="{C41DAD34-47DA-463C-BC93-F1FAB3F392E4}"/>
    <cellStyle name="Currency 3 2 2 2 5 2 3" xfId="12243" xr:uid="{942DB27B-9E6E-4211-989D-995ACB85B938}"/>
    <cellStyle name="Currency 3 2 2 2 5 3" xfId="5874" xr:uid="{00000000-0005-0000-0000-0000CA0A0000}"/>
    <cellStyle name="Currency 3 2 2 2 5 3 2" xfId="14316" xr:uid="{AF9258A4-D64B-4972-8AF6-25C4844E4C0F}"/>
    <cellStyle name="Currency 3 2 2 2 5 4" xfId="10098" xr:uid="{E3BB6ACA-B3FC-4E2A-87ED-D3C87F3C12F4}"/>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2 2 2" xfId="16874" xr:uid="{1389D832-3C5F-4EFC-BC77-04FF645D7CD1}"/>
    <cellStyle name="Currency 3 2 2 2 6 2 3" xfId="12656" xr:uid="{256A33BF-69A2-4989-8E0A-9EA6CD6A00D6}"/>
    <cellStyle name="Currency 3 2 2 2 6 3" xfId="6287" xr:uid="{00000000-0005-0000-0000-0000CE0A0000}"/>
    <cellStyle name="Currency 3 2 2 2 6 3 2" xfId="14729" xr:uid="{BAA62C3D-4452-4778-BE44-BA35B6559E99}"/>
    <cellStyle name="Currency 3 2 2 2 6 4" xfId="10511" xr:uid="{E2A40047-8018-4C58-9459-8D45D4C24644}"/>
    <cellStyle name="Currency 3 2 2 2 7" xfId="2415" xr:uid="{00000000-0005-0000-0000-0000CF0A0000}"/>
    <cellStyle name="Currency 3 2 2 2 7 2" xfId="6700" xr:uid="{00000000-0005-0000-0000-0000D00A0000}"/>
    <cellStyle name="Currency 3 2 2 2 7 2 2" xfId="15142" xr:uid="{CC3658A4-C5D6-47DA-9036-A9EC092F593D}"/>
    <cellStyle name="Currency 3 2 2 2 7 3" xfId="10924" xr:uid="{8E6FF150-6A54-4272-AEFE-6146B07464BF}"/>
    <cellStyle name="Currency 3 2 2 2 8" xfId="2712" xr:uid="{00000000-0005-0000-0000-0000D10A0000}"/>
    <cellStyle name="Currency 3 2 2 2 9" xfId="2793" xr:uid="{00000000-0005-0000-0000-0000D20A0000}"/>
    <cellStyle name="Currency 3 2 2 2 9 2" xfId="7017" xr:uid="{00000000-0005-0000-0000-0000D30A0000}"/>
    <cellStyle name="Currency 3 2 2 2 9 2 2" xfId="15459" xr:uid="{0CEAE05C-C1A2-4954-905A-5A443E8ABFF1}"/>
    <cellStyle name="Currency 3 2 2 2 9 3" xfId="11241" xr:uid="{A739B707-7258-4E4E-945F-093550504DF4}"/>
    <cellStyle name="Currency 3 2 2 3" xfId="181" xr:uid="{00000000-0005-0000-0000-0000D40A0000}"/>
    <cellStyle name="Currency 3 2 2 3 10" xfId="8860" xr:uid="{34927B31-C419-4601-81B4-F38AC586D96B}"/>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15637" xr:uid="{EC51C9B4-AABA-44EA-A431-C8968A136690}"/>
    <cellStyle name="Currency 3 2 2 3 2 2 3" xfId="11419" xr:uid="{8720F1F6-BBE7-42FC-94B4-6D84F6E02883}"/>
    <cellStyle name="Currency 3 2 2 3 2 3" xfId="5050" xr:uid="{00000000-0005-0000-0000-0000D80A0000}"/>
    <cellStyle name="Currency 3 2 2 3 2 3 2" xfId="13492" xr:uid="{454E098A-4795-411D-9AB0-9AA8C09E3816}"/>
    <cellStyle name="Currency 3 2 2 3 2 4" xfId="9274" xr:uid="{BCBC58B1-429C-4E06-959B-B20E73F2A0DE}"/>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2 2" xfId="16050" xr:uid="{7671E44E-795B-4E77-9E8D-9738A2B9603F}"/>
    <cellStyle name="Currency 3 2 2 3 3 2 3" xfId="11832" xr:uid="{2ADEE661-72E9-4B7B-BAF9-C16ECCD00E26}"/>
    <cellStyle name="Currency 3 2 2 3 3 3" xfId="5463" xr:uid="{00000000-0005-0000-0000-0000DC0A0000}"/>
    <cellStyle name="Currency 3 2 2 3 3 3 2" xfId="13905" xr:uid="{2F427D92-606E-4458-9B2E-E9FDC3853D24}"/>
    <cellStyle name="Currency 3 2 2 3 3 4" xfId="9687" xr:uid="{F109E4A7-721A-4580-AC44-6EDE2A7A4C54}"/>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2 2 2" xfId="16463" xr:uid="{1159DF57-15EC-4812-B61E-C92A15741AFF}"/>
    <cellStyle name="Currency 3 2 2 3 4 2 3" xfId="12245" xr:uid="{EEE71EEC-824D-4C2D-AC3A-414ADE9C84F6}"/>
    <cellStyle name="Currency 3 2 2 3 4 3" xfId="5876" xr:uid="{00000000-0005-0000-0000-0000E00A0000}"/>
    <cellStyle name="Currency 3 2 2 3 4 3 2" xfId="14318" xr:uid="{AF2A7B56-567A-4E59-B75B-6051990FAC4F}"/>
    <cellStyle name="Currency 3 2 2 3 4 4" xfId="10100" xr:uid="{B1A90BCF-7B2A-4A36-B341-8D65FE8C0BC8}"/>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2 2 2" xfId="16876" xr:uid="{F01AA37A-FF12-497D-9054-15657FF5348F}"/>
    <cellStyle name="Currency 3 2 2 3 5 2 3" xfId="12658" xr:uid="{AF553470-99BC-4B84-B491-244ECDDC3AB4}"/>
    <cellStyle name="Currency 3 2 2 3 5 3" xfId="6289" xr:uid="{00000000-0005-0000-0000-0000E40A0000}"/>
    <cellStyle name="Currency 3 2 2 3 5 3 2" xfId="14731" xr:uid="{EBD03D23-6630-4392-B6D7-3146198345DD}"/>
    <cellStyle name="Currency 3 2 2 3 5 4" xfId="10513" xr:uid="{408CC787-C225-447B-8C3A-3B9357BDB7FA}"/>
    <cellStyle name="Currency 3 2 2 3 6" xfId="2417" xr:uid="{00000000-0005-0000-0000-0000E50A0000}"/>
    <cellStyle name="Currency 3 2 2 3 6 2" xfId="6702" xr:uid="{00000000-0005-0000-0000-0000E60A0000}"/>
    <cellStyle name="Currency 3 2 2 3 6 2 2" xfId="15144" xr:uid="{0E1BBD3A-93A1-4E24-B580-094292EC7259}"/>
    <cellStyle name="Currency 3 2 2 3 6 3" xfId="10926" xr:uid="{B6F5E47A-0E7D-4B57-ACEB-5F6194288764}"/>
    <cellStyle name="Currency 3 2 2 3 7" xfId="2714" xr:uid="{00000000-0005-0000-0000-0000E70A0000}"/>
    <cellStyle name="Currency 3 2 2 3 8" xfId="2795" xr:uid="{00000000-0005-0000-0000-0000E80A0000}"/>
    <cellStyle name="Currency 3 2 2 3 8 2" xfId="7019" xr:uid="{00000000-0005-0000-0000-0000E90A0000}"/>
    <cellStyle name="Currency 3 2 2 3 8 2 2" xfId="15461" xr:uid="{881CE65A-4145-432D-90B9-CBFA7B205EA5}"/>
    <cellStyle name="Currency 3 2 2 3 8 3" xfId="11243" xr:uid="{DD3570C8-EB3C-4C3B-89E4-5719DD6F0BB3}"/>
    <cellStyle name="Currency 3 2 2 3 9" xfId="4636" xr:uid="{00000000-0005-0000-0000-0000EA0A0000}"/>
    <cellStyle name="Currency 3 2 2 3 9 2" xfId="13078" xr:uid="{8D7A6186-EF37-4C19-8F1C-DD0E621F2CB2}"/>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15634" xr:uid="{EF042586-0249-49E6-8AA5-A9C5B59993C9}"/>
    <cellStyle name="Currency 3 2 2 4 2 3" xfId="11416" xr:uid="{879E1DDC-5F6A-419B-B98E-0CE0A3DDD54B}"/>
    <cellStyle name="Currency 3 2 2 4 3" xfId="5047" xr:uid="{00000000-0005-0000-0000-0000EE0A0000}"/>
    <cellStyle name="Currency 3 2 2 4 3 2" xfId="13489" xr:uid="{86A5CBAE-1BE3-43FB-B52B-B980C7FEEE77}"/>
    <cellStyle name="Currency 3 2 2 4 4" xfId="9271" xr:uid="{50D088F6-EDEA-4782-8B9B-DE54EE52DDBC}"/>
    <cellStyle name="Currency 3 2 2 5" xfId="1151" xr:uid="{00000000-0005-0000-0000-0000EF0A0000}"/>
    <cellStyle name="Currency 3 2 2 5 2" xfId="3382" xr:uid="{00000000-0005-0000-0000-0000F00A0000}"/>
    <cellStyle name="Currency 3 2 2 5 2 2" xfId="7605" xr:uid="{00000000-0005-0000-0000-0000F10A0000}"/>
    <cellStyle name="Currency 3 2 2 5 2 2 2" xfId="16047" xr:uid="{C8B0C0CC-A5C7-4581-A72A-E132305E2F10}"/>
    <cellStyle name="Currency 3 2 2 5 2 3" xfId="11829" xr:uid="{594E8483-595C-4013-BBC4-94C6A4241711}"/>
    <cellStyle name="Currency 3 2 2 5 3" xfId="5460" xr:uid="{00000000-0005-0000-0000-0000F20A0000}"/>
    <cellStyle name="Currency 3 2 2 5 3 2" xfId="13902" xr:uid="{FDC4B21E-F5B8-46C8-9337-ADB02CB62C8A}"/>
    <cellStyle name="Currency 3 2 2 5 4" xfId="9684" xr:uid="{AB8E4949-31E1-4609-8409-4271B6CDB59B}"/>
    <cellStyle name="Currency 3 2 2 6" xfId="1565" xr:uid="{00000000-0005-0000-0000-0000F30A0000}"/>
    <cellStyle name="Currency 3 2 2 6 2" xfId="3795" xr:uid="{00000000-0005-0000-0000-0000F40A0000}"/>
    <cellStyle name="Currency 3 2 2 6 2 2" xfId="8018" xr:uid="{00000000-0005-0000-0000-0000F50A0000}"/>
    <cellStyle name="Currency 3 2 2 6 2 2 2" xfId="16460" xr:uid="{5D42500A-EBB0-4C9C-B5C8-9FE1737FD06C}"/>
    <cellStyle name="Currency 3 2 2 6 2 3" xfId="12242" xr:uid="{6E962DB6-EC95-4A8A-A777-D644B454CAC5}"/>
    <cellStyle name="Currency 3 2 2 6 3" xfId="5873" xr:uid="{00000000-0005-0000-0000-0000F60A0000}"/>
    <cellStyle name="Currency 3 2 2 6 3 2" xfId="14315" xr:uid="{A1A909D0-FDA9-401B-9C61-F574038CCD2F}"/>
    <cellStyle name="Currency 3 2 2 6 4" xfId="10097" xr:uid="{A2E01380-8B44-4041-9BB0-0582E2BE69C2}"/>
    <cellStyle name="Currency 3 2 2 7" xfId="1979" xr:uid="{00000000-0005-0000-0000-0000F70A0000}"/>
    <cellStyle name="Currency 3 2 2 7 2" xfId="4208" xr:uid="{00000000-0005-0000-0000-0000F80A0000}"/>
    <cellStyle name="Currency 3 2 2 7 2 2" xfId="8431" xr:uid="{00000000-0005-0000-0000-0000F90A0000}"/>
    <cellStyle name="Currency 3 2 2 7 2 2 2" xfId="16873" xr:uid="{B54F9721-CBB3-4490-BAF8-4A451C2911B3}"/>
    <cellStyle name="Currency 3 2 2 7 2 3" xfId="12655" xr:uid="{E099605C-C8C0-45EE-A627-12C538695430}"/>
    <cellStyle name="Currency 3 2 2 7 3" xfId="6286" xr:uid="{00000000-0005-0000-0000-0000FA0A0000}"/>
    <cellStyle name="Currency 3 2 2 7 3 2" xfId="14728" xr:uid="{9081D9F0-1905-47D4-9DEF-5635F67D27AD}"/>
    <cellStyle name="Currency 3 2 2 7 4" xfId="10510" xr:uid="{0CF04B93-135F-426D-9590-59D3356EC880}"/>
    <cellStyle name="Currency 3 2 2 8" xfId="2414" xr:uid="{00000000-0005-0000-0000-0000FB0A0000}"/>
    <cellStyle name="Currency 3 2 2 8 2" xfId="6699" xr:uid="{00000000-0005-0000-0000-0000FC0A0000}"/>
    <cellStyle name="Currency 3 2 2 8 2 2" xfId="15141" xr:uid="{48407368-E0DD-4388-B56A-D8A136F3FD62}"/>
    <cellStyle name="Currency 3 2 2 8 3" xfId="10923" xr:uid="{5436ADE6-4503-4EE2-9EA4-9DD7BC1E2C65}"/>
    <cellStyle name="Currency 3 2 2 9" xfId="2711" xr:uid="{00000000-0005-0000-0000-0000FD0A0000}"/>
    <cellStyle name="Currency 3 2 3" xfId="182" xr:uid="{00000000-0005-0000-0000-0000FE0A0000}"/>
    <cellStyle name="Currency 3 2 3 10" xfId="4637" xr:uid="{00000000-0005-0000-0000-0000FF0A0000}"/>
    <cellStyle name="Currency 3 2 3 10 2" xfId="13079" xr:uid="{212325D7-4B2B-449B-9152-3E9EB1403C36}"/>
    <cellStyle name="Currency 3 2 3 11" xfId="8861" xr:uid="{858F2902-E2AA-4B6E-9C8E-7A0A18F56FA9}"/>
    <cellStyle name="Currency 3 2 3 2" xfId="183" xr:uid="{00000000-0005-0000-0000-0000000B0000}"/>
    <cellStyle name="Currency 3 2 3 2 10" xfId="8862" xr:uid="{20325F68-4869-467B-B236-B5E6B9413F48}"/>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15639" xr:uid="{8C1EF6B6-38A1-4BB8-A533-B8AEE479DEA7}"/>
    <cellStyle name="Currency 3 2 3 2 2 2 3" xfId="11421" xr:uid="{7CBD48DD-A741-4F79-8614-759911863D75}"/>
    <cellStyle name="Currency 3 2 3 2 2 3" xfId="5052" xr:uid="{00000000-0005-0000-0000-0000040B0000}"/>
    <cellStyle name="Currency 3 2 3 2 2 3 2" xfId="13494" xr:uid="{3EF8EE5D-BED5-4E13-8E8D-54A986353E16}"/>
    <cellStyle name="Currency 3 2 3 2 2 4" xfId="9276" xr:uid="{C6850F1C-E8FD-4D52-9056-2A4A917060F4}"/>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2 2" xfId="16052" xr:uid="{CC64586B-D2D4-418D-B59D-BE4F20C9B5B6}"/>
    <cellStyle name="Currency 3 2 3 2 3 2 3" xfId="11834" xr:uid="{FE81D94C-B506-4266-AD2B-7C79F3F650B3}"/>
    <cellStyle name="Currency 3 2 3 2 3 3" xfId="5465" xr:uid="{00000000-0005-0000-0000-0000080B0000}"/>
    <cellStyle name="Currency 3 2 3 2 3 3 2" xfId="13907" xr:uid="{D0DF4F0A-CA16-43FC-BB5F-D9D0035F2562}"/>
    <cellStyle name="Currency 3 2 3 2 3 4" xfId="9689" xr:uid="{29498628-58D6-4638-A8B5-24E5063D04CF}"/>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2 2 2" xfId="16465" xr:uid="{2AB80A36-651C-48F4-A6FA-7BB349164D86}"/>
    <cellStyle name="Currency 3 2 3 2 4 2 3" xfId="12247" xr:uid="{CD7E1662-F9D4-4FC3-8F09-F6CB7AFD8F5D}"/>
    <cellStyle name="Currency 3 2 3 2 4 3" xfId="5878" xr:uid="{00000000-0005-0000-0000-00000C0B0000}"/>
    <cellStyle name="Currency 3 2 3 2 4 3 2" xfId="14320" xr:uid="{EB0FCD55-77A1-452E-9DA4-A25FDE70437A}"/>
    <cellStyle name="Currency 3 2 3 2 4 4" xfId="10102" xr:uid="{8B1A9DAA-82C5-452F-893D-DF5ED71390D3}"/>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2 2 2" xfId="16878" xr:uid="{9DB1AAC3-2B74-407E-98DD-B6929BAE8423}"/>
    <cellStyle name="Currency 3 2 3 2 5 2 3" xfId="12660" xr:uid="{DF0CE2CD-FB3C-461F-9DF0-B1981EB775A7}"/>
    <cellStyle name="Currency 3 2 3 2 5 3" xfId="6291" xr:uid="{00000000-0005-0000-0000-0000100B0000}"/>
    <cellStyle name="Currency 3 2 3 2 5 3 2" xfId="14733" xr:uid="{240B7839-F34A-4EEE-828E-CB8C715E62A5}"/>
    <cellStyle name="Currency 3 2 3 2 5 4" xfId="10515" xr:uid="{5A40BCD4-2863-4FA8-8DC9-DF7EC2B23EBE}"/>
    <cellStyle name="Currency 3 2 3 2 6" xfId="2419" xr:uid="{00000000-0005-0000-0000-0000110B0000}"/>
    <cellStyle name="Currency 3 2 3 2 6 2" xfId="6704" xr:uid="{00000000-0005-0000-0000-0000120B0000}"/>
    <cellStyle name="Currency 3 2 3 2 6 2 2" xfId="15146" xr:uid="{3A8EDAFD-CE48-4E36-B950-B6C984915710}"/>
    <cellStyle name="Currency 3 2 3 2 6 3" xfId="10928" xr:uid="{A3779791-78DE-47DF-9AEC-DCC1E11F5AAD}"/>
    <cellStyle name="Currency 3 2 3 2 7" xfId="2716" xr:uid="{00000000-0005-0000-0000-0000130B0000}"/>
    <cellStyle name="Currency 3 2 3 2 8" xfId="2797" xr:uid="{00000000-0005-0000-0000-0000140B0000}"/>
    <cellStyle name="Currency 3 2 3 2 8 2" xfId="7021" xr:uid="{00000000-0005-0000-0000-0000150B0000}"/>
    <cellStyle name="Currency 3 2 3 2 8 2 2" xfId="15463" xr:uid="{CAF096C0-11DC-43BE-B029-BDB97BFEBCDF}"/>
    <cellStyle name="Currency 3 2 3 2 8 3" xfId="11245" xr:uid="{5DF4E40F-47B5-44B7-AC94-4C2A3B17DAEB}"/>
    <cellStyle name="Currency 3 2 3 2 9" xfId="4638" xr:uid="{00000000-0005-0000-0000-0000160B0000}"/>
    <cellStyle name="Currency 3 2 3 2 9 2" xfId="13080" xr:uid="{D3163207-A9EB-4C51-9EEB-2BE64F04D707}"/>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15638" xr:uid="{AEC32AC2-B9AE-4F58-97F6-FBDF8883DABF}"/>
    <cellStyle name="Currency 3 2 3 3 2 3" xfId="11420" xr:uid="{18820A1A-32E8-4DD7-A4C3-9FF0179CB481}"/>
    <cellStyle name="Currency 3 2 3 3 3" xfId="5051" xr:uid="{00000000-0005-0000-0000-00001A0B0000}"/>
    <cellStyle name="Currency 3 2 3 3 3 2" xfId="13493" xr:uid="{D541305E-B34D-4587-B29C-CFF79ED7BD16}"/>
    <cellStyle name="Currency 3 2 3 3 4" xfId="9275" xr:uid="{7123E12B-927C-47DD-BACF-E1B746D77573}"/>
    <cellStyle name="Currency 3 2 3 4" xfId="1155" xr:uid="{00000000-0005-0000-0000-00001B0B0000}"/>
    <cellStyle name="Currency 3 2 3 4 2" xfId="3386" xr:uid="{00000000-0005-0000-0000-00001C0B0000}"/>
    <cellStyle name="Currency 3 2 3 4 2 2" xfId="7609" xr:uid="{00000000-0005-0000-0000-00001D0B0000}"/>
    <cellStyle name="Currency 3 2 3 4 2 2 2" xfId="16051" xr:uid="{CA93EA55-5B5C-4407-84F2-98839B0E5A66}"/>
    <cellStyle name="Currency 3 2 3 4 2 3" xfId="11833" xr:uid="{951E1D2F-C1EF-4F14-8E52-0163800AC09F}"/>
    <cellStyle name="Currency 3 2 3 4 3" xfId="5464" xr:uid="{00000000-0005-0000-0000-00001E0B0000}"/>
    <cellStyle name="Currency 3 2 3 4 3 2" xfId="13906" xr:uid="{C45A687F-0CA8-48FE-BCC7-02B8144F5559}"/>
    <cellStyle name="Currency 3 2 3 4 4" xfId="9688" xr:uid="{0757A0CC-DB7C-491D-8968-6A23FF58F181}"/>
    <cellStyle name="Currency 3 2 3 5" xfId="1569" xr:uid="{00000000-0005-0000-0000-00001F0B0000}"/>
    <cellStyle name="Currency 3 2 3 5 2" xfId="3799" xr:uid="{00000000-0005-0000-0000-0000200B0000}"/>
    <cellStyle name="Currency 3 2 3 5 2 2" xfId="8022" xr:uid="{00000000-0005-0000-0000-0000210B0000}"/>
    <cellStyle name="Currency 3 2 3 5 2 2 2" xfId="16464" xr:uid="{892202BD-F047-4BAA-9904-27153D61614B}"/>
    <cellStyle name="Currency 3 2 3 5 2 3" xfId="12246" xr:uid="{B2D0D499-9004-4DE4-9DBA-0A2AE214ED81}"/>
    <cellStyle name="Currency 3 2 3 5 3" xfId="5877" xr:uid="{00000000-0005-0000-0000-0000220B0000}"/>
    <cellStyle name="Currency 3 2 3 5 3 2" xfId="14319" xr:uid="{AEF89E06-05CF-46C5-97BA-48200E0075EE}"/>
    <cellStyle name="Currency 3 2 3 5 4" xfId="10101" xr:uid="{C6AF5E26-3012-431B-8E7F-A9E7C8442E99}"/>
    <cellStyle name="Currency 3 2 3 6" xfId="1983" xr:uid="{00000000-0005-0000-0000-0000230B0000}"/>
    <cellStyle name="Currency 3 2 3 6 2" xfId="4212" xr:uid="{00000000-0005-0000-0000-0000240B0000}"/>
    <cellStyle name="Currency 3 2 3 6 2 2" xfId="8435" xr:uid="{00000000-0005-0000-0000-0000250B0000}"/>
    <cellStyle name="Currency 3 2 3 6 2 2 2" xfId="16877" xr:uid="{DCACE480-514F-4FFC-A189-A60A9244251F}"/>
    <cellStyle name="Currency 3 2 3 6 2 3" xfId="12659" xr:uid="{9FF6407D-2C0E-4912-B8ED-4CD888769191}"/>
    <cellStyle name="Currency 3 2 3 6 3" xfId="6290" xr:uid="{00000000-0005-0000-0000-0000260B0000}"/>
    <cellStyle name="Currency 3 2 3 6 3 2" xfId="14732" xr:uid="{F511E4FB-36FC-4357-BD44-55386C257876}"/>
    <cellStyle name="Currency 3 2 3 6 4" xfId="10514" xr:uid="{092D7D54-FA82-4D1E-B1A3-9FFF9B7E73BB}"/>
    <cellStyle name="Currency 3 2 3 7" xfId="2418" xr:uid="{00000000-0005-0000-0000-0000270B0000}"/>
    <cellStyle name="Currency 3 2 3 7 2" xfId="6703" xr:uid="{00000000-0005-0000-0000-0000280B0000}"/>
    <cellStyle name="Currency 3 2 3 7 2 2" xfId="15145" xr:uid="{EEC7D042-DB4B-461F-9F5D-99CC0E142AAF}"/>
    <cellStyle name="Currency 3 2 3 7 3" xfId="10927" xr:uid="{81A78348-310C-46CF-9419-9AB3C9D10B95}"/>
    <cellStyle name="Currency 3 2 3 8" xfId="2715" xr:uid="{00000000-0005-0000-0000-0000290B0000}"/>
    <cellStyle name="Currency 3 2 3 9" xfId="2796" xr:uid="{00000000-0005-0000-0000-00002A0B0000}"/>
    <cellStyle name="Currency 3 2 3 9 2" xfId="7020" xr:uid="{00000000-0005-0000-0000-00002B0B0000}"/>
    <cellStyle name="Currency 3 2 3 9 2 2" xfId="15462" xr:uid="{E2F2C398-16A0-4215-B670-38F943099B0B}"/>
    <cellStyle name="Currency 3 2 3 9 3" xfId="11244" xr:uid="{DC0A14D9-C1BB-4306-B962-DD921EF55A7A}"/>
    <cellStyle name="Currency 3 2 4" xfId="184" xr:uid="{00000000-0005-0000-0000-00002C0B0000}"/>
    <cellStyle name="Currency 3 2 4 10" xfId="8863" xr:uid="{67B2E32F-5A00-40A9-B1C3-7F8AF5F892B0}"/>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15640" xr:uid="{9BAB4B79-4AA5-4F54-8A24-694705274E70}"/>
    <cellStyle name="Currency 3 2 4 2 2 3" xfId="11422" xr:uid="{7C191D0C-6E86-4F16-995F-67DF2E3CC879}"/>
    <cellStyle name="Currency 3 2 4 2 3" xfId="5053" xr:uid="{00000000-0005-0000-0000-0000300B0000}"/>
    <cellStyle name="Currency 3 2 4 2 3 2" xfId="13495" xr:uid="{E5458EEE-8B95-4D91-B269-F6FBC9C25F9C}"/>
    <cellStyle name="Currency 3 2 4 2 4" xfId="9277" xr:uid="{736EF7BB-025E-4A31-8F1D-E995D29965F6}"/>
    <cellStyle name="Currency 3 2 4 3" xfId="1157" xr:uid="{00000000-0005-0000-0000-0000310B0000}"/>
    <cellStyle name="Currency 3 2 4 3 2" xfId="3388" xr:uid="{00000000-0005-0000-0000-0000320B0000}"/>
    <cellStyle name="Currency 3 2 4 3 2 2" xfId="7611" xr:uid="{00000000-0005-0000-0000-0000330B0000}"/>
    <cellStyle name="Currency 3 2 4 3 2 2 2" xfId="16053" xr:uid="{E62B487D-C327-4B2A-A455-926B46CE0166}"/>
    <cellStyle name="Currency 3 2 4 3 2 3" xfId="11835" xr:uid="{DED67027-46D7-4E86-AACF-D9CD71ADE7F3}"/>
    <cellStyle name="Currency 3 2 4 3 3" xfId="5466" xr:uid="{00000000-0005-0000-0000-0000340B0000}"/>
    <cellStyle name="Currency 3 2 4 3 3 2" xfId="13908" xr:uid="{EBEC395F-948D-4348-A094-7B5711235623}"/>
    <cellStyle name="Currency 3 2 4 3 4" xfId="9690" xr:uid="{6436B0A6-9D5E-49FF-B807-77A117C2E8C8}"/>
    <cellStyle name="Currency 3 2 4 4" xfId="1571" xr:uid="{00000000-0005-0000-0000-0000350B0000}"/>
    <cellStyle name="Currency 3 2 4 4 2" xfId="3801" xr:uid="{00000000-0005-0000-0000-0000360B0000}"/>
    <cellStyle name="Currency 3 2 4 4 2 2" xfId="8024" xr:uid="{00000000-0005-0000-0000-0000370B0000}"/>
    <cellStyle name="Currency 3 2 4 4 2 2 2" xfId="16466" xr:uid="{352D2B26-7F7E-4E59-944A-B95F572F6BD7}"/>
    <cellStyle name="Currency 3 2 4 4 2 3" xfId="12248" xr:uid="{5F07354A-C105-4D51-B363-DD2FBEAA7103}"/>
    <cellStyle name="Currency 3 2 4 4 3" xfId="5879" xr:uid="{00000000-0005-0000-0000-0000380B0000}"/>
    <cellStyle name="Currency 3 2 4 4 3 2" xfId="14321" xr:uid="{7AD803E5-5F37-4142-BA8B-337A10DE7C28}"/>
    <cellStyle name="Currency 3 2 4 4 4" xfId="10103" xr:uid="{388ADF91-5A2A-417D-84A0-AA3A3CD895BA}"/>
    <cellStyle name="Currency 3 2 4 5" xfId="1985" xr:uid="{00000000-0005-0000-0000-0000390B0000}"/>
    <cellStyle name="Currency 3 2 4 5 2" xfId="4214" xr:uid="{00000000-0005-0000-0000-00003A0B0000}"/>
    <cellStyle name="Currency 3 2 4 5 2 2" xfId="8437" xr:uid="{00000000-0005-0000-0000-00003B0B0000}"/>
    <cellStyle name="Currency 3 2 4 5 2 2 2" xfId="16879" xr:uid="{4607D6A7-D091-4E39-A02F-58B1DF49654B}"/>
    <cellStyle name="Currency 3 2 4 5 2 3" xfId="12661" xr:uid="{0E6A2C08-866E-4ED2-A75C-476F2514B6A3}"/>
    <cellStyle name="Currency 3 2 4 5 3" xfId="6292" xr:uid="{00000000-0005-0000-0000-00003C0B0000}"/>
    <cellStyle name="Currency 3 2 4 5 3 2" xfId="14734" xr:uid="{E22332F8-BB71-40E2-9F77-4E55468C1E18}"/>
    <cellStyle name="Currency 3 2 4 5 4" xfId="10516" xr:uid="{CCA2052E-3386-4FDB-89C8-849E1EE9C46B}"/>
    <cellStyle name="Currency 3 2 4 6" xfId="2420" xr:uid="{00000000-0005-0000-0000-00003D0B0000}"/>
    <cellStyle name="Currency 3 2 4 6 2" xfId="6705" xr:uid="{00000000-0005-0000-0000-00003E0B0000}"/>
    <cellStyle name="Currency 3 2 4 6 2 2" xfId="15147" xr:uid="{A24CD564-A6B6-4C45-A363-CFC49AEF3A57}"/>
    <cellStyle name="Currency 3 2 4 6 3" xfId="10929" xr:uid="{D97680D9-87BB-4FF7-AA7E-1E64A8852335}"/>
    <cellStyle name="Currency 3 2 4 7" xfId="2717" xr:uid="{00000000-0005-0000-0000-00003F0B0000}"/>
    <cellStyle name="Currency 3 2 4 8" xfId="2798" xr:uid="{00000000-0005-0000-0000-0000400B0000}"/>
    <cellStyle name="Currency 3 2 4 8 2" xfId="7022" xr:uid="{00000000-0005-0000-0000-0000410B0000}"/>
    <cellStyle name="Currency 3 2 4 8 2 2" xfId="15464" xr:uid="{949C0238-B395-4B67-9A89-D705DDC7333B}"/>
    <cellStyle name="Currency 3 2 4 8 3" xfId="11246" xr:uid="{5DCDC514-FA2A-4F68-9BFA-3E3A63532CB5}"/>
    <cellStyle name="Currency 3 2 4 9" xfId="4639" xr:uid="{00000000-0005-0000-0000-0000420B0000}"/>
    <cellStyle name="Currency 3 2 4 9 2" xfId="13081" xr:uid="{7520CF91-E2B7-49F5-8316-5E8B3EEBAAD7}"/>
    <cellStyle name="Currency 3 2 5" xfId="185" xr:uid="{00000000-0005-0000-0000-0000430B0000}"/>
    <cellStyle name="Currency 3 2 5 10" xfId="8864" xr:uid="{EF3290EE-A474-45BA-B940-78D753ADD7EC}"/>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15641" xr:uid="{2BEB7936-5C8B-4BFE-BF9D-AB585B110BAB}"/>
    <cellStyle name="Currency 3 2 5 2 2 3" xfId="11423" xr:uid="{45E9B3C5-0E81-4898-829E-3151F2D83C95}"/>
    <cellStyle name="Currency 3 2 5 2 3" xfId="5054" xr:uid="{00000000-0005-0000-0000-0000470B0000}"/>
    <cellStyle name="Currency 3 2 5 2 3 2" xfId="13496" xr:uid="{11172B1B-4D6E-4B7F-96AB-BD795D046B75}"/>
    <cellStyle name="Currency 3 2 5 2 4" xfId="9278" xr:uid="{0E89E37D-56ED-4803-9500-97D81DF8B5BE}"/>
    <cellStyle name="Currency 3 2 5 3" xfId="1158" xr:uid="{00000000-0005-0000-0000-0000480B0000}"/>
    <cellStyle name="Currency 3 2 5 3 2" xfId="3389" xr:uid="{00000000-0005-0000-0000-0000490B0000}"/>
    <cellStyle name="Currency 3 2 5 3 2 2" xfId="7612" xr:uid="{00000000-0005-0000-0000-00004A0B0000}"/>
    <cellStyle name="Currency 3 2 5 3 2 2 2" xfId="16054" xr:uid="{8BB4AF06-21F7-41E5-A9E1-BB1056BA55EB}"/>
    <cellStyle name="Currency 3 2 5 3 2 3" xfId="11836" xr:uid="{CA534645-7CCD-45DB-AAAF-D8C0914D2A40}"/>
    <cellStyle name="Currency 3 2 5 3 3" xfId="5467" xr:uid="{00000000-0005-0000-0000-00004B0B0000}"/>
    <cellStyle name="Currency 3 2 5 3 3 2" xfId="13909" xr:uid="{06C931C6-E07C-4E09-89D8-2BFB906A896A}"/>
    <cellStyle name="Currency 3 2 5 3 4" xfId="9691" xr:uid="{18F584C6-9EA9-4A32-A415-A56D31566D8C}"/>
    <cellStyle name="Currency 3 2 5 4" xfId="1572" xr:uid="{00000000-0005-0000-0000-00004C0B0000}"/>
    <cellStyle name="Currency 3 2 5 4 2" xfId="3802" xr:uid="{00000000-0005-0000-0000-00004D0B0000}"/>
    <cellStyle name="Currency 3 2 5 4 2 2" xfId="8025" xr:uid="{00000000-0005-0000-0000-00004E0B0000}"/>
    <cellStyle name="Currency 3 2 5 4 2 2 2" xfId="16467" xr:uid="{5656C43C-C463-40BF-AA57-D6E8AD3A0AB7}"/>
    <cellStyle name="Currency 3 2 5 4 2 3" xfId="12249" xr:uid="{A0520F36-D85F-4B27-AA51-E235B31E62C3}"/>
    <cellStyle name="Currency 3 2 5 4 3" xfId="5880" xr:uid="{00000000-0005-0000-0000-00004F0B0000}"/>
    <cellStyle name="Currency 3 2 5 4 3 2" xfId="14322" xr:uid="{1E4433AE-F6CF-42A6-96CF-19F3D5DA8572}"/>
    <cellStyle name="Currency 3 2 5 4 4" xfId="10104" xr:uid="{C255DCAD-3AF2-4C3E-89F0-82A8335D1CAD}"/>
    <cellStyle name="Currency 3 2 5 5" xfId="1986" xr:uid="{00000000-0005-0000-0000-0000500B0000}"/>
    <cellStyle name="Currency 3 2 5 5 2" xfId="4215" xr:uid="{00000000-0005-0000-0000-0000510B0000}"/>
    <cellStyle name="Currency 3 2 5 5 2 2" xfId="8438" xr:uid="{00000000-0005-0000-0000-0000520B0000}"/>
    <cellStyle name="Currency 3 2 5 5 2 2 2" xfId="16880" xr:uid="{290D60C1-4A7E-46BC-91E3-FA803D447297}"/>
    <cellStyle name="Currency 3 2 5 5 2 3" xfId="12662" xr:uid="{F65CA346-333D-4C33-9D0F-4FC1D672E52D}"/>
    <cellStyle name="Currency 3 2 5 5 3" xfId="6293" xr:uid="{00000000-0005-0000-0000-0000530B0000}"/>
    <cellStyle name="Currency 3 2 5 5 3 2" xfId="14735" xr:uid="{DC35A9EA-0EF9-432A-856D-C638AC63D6D7}"/>
    <cellStyle name="Currency 3 2 5 5 4" xfId="10517" xr:uid="{F96CCA7C-E0C4-4024-8E51-C62CB3EBF6FE}"/>
    <cellStyle name="Currency 3 2 5 6" xfId="2421" xr:uid="{00000000-0005-0000-0000-0000540B0000}"/>
    <cellStyle name="Currency 3 2 5 6 2" xfId="6706" xr:uid="{00000000-0005-0000-0000-0000550B0000}"/>
    <cellStyle name="Currency 3 2 5 6 2 2" xfId="15148" xr:uid="{4D9BDEE9-4A06-475D-9FBD-09413484D20C}"/>
    <cellStyle name="Currency 3 2 5 6 3" xfId="10930" xr:uid="{6D8C306B-8423-4B12-B04D-C998D7DBA921}"/>
    <cellStyle name="Currency 3 2 5 7" xfId="2718" xr:uid="{00000000-0005-0000-0000-0000560B0000}"/>
    <cellStyle name="Currency 3 2 5 8" xfId="2799" xr:uid="{00000000-0005-0000-0000-0000570B0000}"/>
    <cellStyle name="Currency 3 2 5 8 2" xfId="7023" xr:uid="{00000000-0005-0000-0000-0000580B0000}"/>
    <cellStyle name="Currency 3 2 5 8 2 2" xfId="15465" xr:uid="{9EE9AAE9-1541-429A-8D0F-3A217065BCD1}"/>
    <cellStyle name="Currency 3 2 5 8 3" xfId="11247" xr:uid="{7B99DD6F-D8B4-43AC-A999-823ED8C32F8E}"/>
    <cellStyle name="Currency 3 2 5 9" xfId="4640" xr:uid="{00000000-0005-0000-0000-0000590B0000}"/>
    <cellStyle name="Currency 3 2 5 9 2" xfId="13082" xr:uid="{C5358C6C-9CCB-4E11-80F4-39B55C3148BB}"/>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0 2 2" xfId="15466" xr:uid="{9D243CB5-232E-46D4-B16A-2870A119EB4E}"/>
    <cellStyle name="Currency 5 2 2 2 10 3" xfId="11248" xr:uid="{9FB91CDB-F87E-48B3-A4E2-FB7CA7388333}"/>
    <cellStyle name="Currency 5 2 2 2 11" xfId="4641" xr:uid="{00000000-0005-0000-0000-00006C0B0000}"/>
    <cellStyle name="Currency 5 2 2 2 11 2" xfId="13083" xr:uid="{285BAFB5-30E8-43C7-A4EB-4D9888388BFB}"/>
    <cellStyle name="Currency 5 2 2 2 12" xfId="8865" xr:uid="{5AE0F901-0067-4104-B7BF-A26B5EE64A21}"/>
    <cellStyle name="Currency 5 2 2 2 2" xfId="197" xr:uid="{00000000-0005-0000-0000-00006D0B0000}"/>
    <cellStyle name="Currency 5 2 2 2 2 10" xfId="4642" xr:uid="{00000000-0005-0000-0000-00006E0B0000}"/>
    <cellStyle name="Currency 5 2 2 2 2 10 2" xfId="13084" xr:uid="{28D65976-3DED-49B6-AE9F-DAF953E26AF1}"/>
    <cellStyle name="Currency 5 2 2 2 2 11" xfId="8866" xr:uid="{587D7589-4A3B-4FD1-AE83-668F7F649B0B}"/>
    <cellStyle name="Currency 5 2 2 2 2 2" xfId="198" xr:uid="{00000000-0005-0000-0000-00006F0B0000}"/>
    <cellStyle name="Currency 5 2 2 2 2 2 10" xfId="8867" xr:uid="{FFD8900F-DF1B-434E-BA3F-45EE70891A59}"/>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15644" xr:uid="{0A92AEAB-C5A8-4CCA-97FA-0619BE613A2F}"/>
    <cellStyle name="Currency 5 2 2 2 2 2 2 2 3" xfId="11426" xr:uid="{E5B97F25-3293-4681-9512-A767274E6264}"/>
    <cellStyle name="Currency 5 2 2 2 2 2 2 3" xfId="5057" xr:uid="{00000000-0005-0000-0000-0000730B0000}"/>
    <cellStyle name="Currency 5 2 2 2 2 2 2 3 2" xfId="13499" xr:uid="{3DED28B6-15E1-4A9F-B13D-16539167984C}"/>
    <cellStyle name="Currency 5 2 2 2 2 2 2 4" xfId="9281" xr:uid="{AC9C60F9-95C9-452D-9FCB-3D400A2986E1}"/>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2 2" xfId="16057" xr:uid="{4FFC4FBC-BD3D-4340-BA16-82CC97298FAF}"/>
    <cellStyle name="Currency 5 2 2 2 2 2 3 2 3" xfId="11839" xr:uid="{150BFE46-44A1-4A69-BDEA-D498EBB6A172}"/>
    <cellStyle name="Currency 5 2 2 2 2 2 3 3" xfId="5470" xr:uid="{00000000-0005-0000-0000-0000770B0000}"/>
    <cellStyle name="Currency 5 2 2 2 2 2 3 3 2" xfId="13912" xr:uid="{076A2A89-67C5-45E5-94BF-93BAC240D8EE}"/>
    <cellStyle name="Currency 5 2 2 2 2 2 3 4" xfId="9694" xr:uid="{6E6E9E17-00E3-4460-A179-4D4F8DE897FC}"/>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2 2 2" xfId="16470" xr:uid="{E6A3C6CA-082B-43B8-A5F1-56AC87AC849B}"/>
    <cellStyle name="Currency 5 2 2 2 2 2 4 2 3" xfId="12252" xr:uid="{BC40D24E-A583-4ABB-B0D5-627DAA2411F7}"/>
    <cellStyle name="Currency 5 2 2 2 2 2 4 3" xfId="5883" xr:uid="{00000000-0005-0000-0000-00007B0B0000}"/>
    <cellStyle name="Currency 5 2 2 2 2 2 4 3 2" xfId="14325" xr:uid="{16D56061-D199-4C60-880E-D59118A4AEB8}"/>
    <cellStyle name="Currency 5 2 2 2 2 2 4 4" xfId="10107" xr:uid="{98480E90-3493-434E-BB62-F87AC11D8D92}"/>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2 2 2" xfId="16883" xr:uid="{7EA36146-57EB-412C-BC39-A914A74B0F34}"/>
    <cellStyle name="Currency 5 2 2 2 2 2 5 2 3" xfId="12665" xr:uid="{D55B1E95-509C-4A15-B7F0-10B6FD7B0B5B}"/>
    <cellStyle name="Currency 5 2 2 2 2 2 5 3" xfId="6296" xr:uid="{00000000-0005-0000-0000-00007F0B0000}"/>
    <cellStyle name="Currency 5 2 2 2 2 2 5 3 2" xfId="14738" xr:uid="{5E960EDC-218C-4560-87FF-D012A7F59A5B}"/>
    <cellStyle name="Currency 5 2 2 2 2 2 5 4" xfId="10520" xr:uid="{AD550B0C-76CA-457F-848D-1143A96EDFA6}"/>
    <cellStyle name="Currency 5 2 2 2 2 2 6" xfId="2424" xr:uid="{00000000-0005-0000-0000-0000800B0000}"/>
    <cellStyle name="Currency 5 2 2 2 2 2 6 2" xfId="6709" xr:uid="{00000000-0005-0000-0000-0000810B0000}"/>
    <cellStyle name="Currency 5 2 2 2 2 2 6 2 2" xfId="15151" xr:uid="{A8E107B1-AC8C-4E52-BA3F-2ADA068707AE}"/>
    <cellStyle name="Currency 5 2 2 2 2 2 6 3" xfId="10933" xr:uid="{64E304BF-3AE2-414D-B587-F5D9EA9E84D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8 2 2" xfId="15468" xr:uid="{D6124295-999A-4F51-AB09-D34F4E1DFA29}"/>
    <cellStyle name="Currency 5 2 2 2 2 2 8 3" xfId="11250" xr:uid="{BC424CBB-2BB4-4FFE-AAD3-67F853A9B3C2}"/>
    <cellStyle name="Currency 5 2 2 2 2 2 9" xfId="4643" xr:uid="{00000000-0005-0000-0000-0000850B0000}"/>
    <cellStyle name="Currency 5 2 2 2 2 2 9 2" xfId="13085" xr:uid="{A6324A43-34C5-4FE6-8ED0-E8E160BD322C}"/>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15643" xr:uid="{767E3621-8D03-48D8-A9DF-20267FC6FC18}"/>
    <cellStyle name="Currency 5 2 2 2 2 3 2 3" xfId="11425" xr:uid="{A4A08786-B722-4746-9BA4-2FF89946F532}"/>
    <cellStyle name="Currency 5 2 2 2 2 3 3" xfId="5056" xr:uid="{00000000-0005-0000-0000-0000890B0000}"/>
    <cellStyle name="Currency 5 2 2 2 2 3 3 2" xfId="13498" xr:uid="{C4CD1856-879A-4D8B-B2BF-854FB2EDDAEB}"/>
    <cellStyle name="Currency 5 2 2 2 2 3 4" xfId="9280" xr:uid="{A426FACF-F2FB-4437-8207-7EADA5715C3F}"/>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2 2" xfId="16056" xr:uid="{7417F0C2-250B-439D-AA8E-3EB019EE070F}"/>
    <cellStyle name="Currency 5 2 2 2 2 4 2 3" xfId="11838" xr:uid="{AD91668C-D4F7-4999-95C2-69678DA2F171}"/>
    <cellStyle name="Currency 5 2 2 2 2 4 3" xfId="5469" xr:uid="{00000000-0005-0000-0000-00008D0B0000}"/>
    <cellStyle name="Currency 5 2 2 2 2 4 3 2" xfId="13911" xr:uid="{E10E3E58-303B-4D13-9E98-7C8CDA6EB8EF}"/>
    <cellStyle name="Currency 5 2 2 2 2 4 4" xfId="9693" xr:uid="{FE2C7714-D061-4AA1-BEF5-B08D8D6144BE}"/>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2 2 2" xfId="16469" xr:uid="{91F07A99-8462-499A-AC47-D645168E4B13}"/>
    <cellStyle name="Currency 5 2 2 2 2 5 2 3" xfId="12251" xr:uid="{88E3989D-F3B9-4FDF-A206-64E0959948C8}"/>
    <cellStyle name="Currency 5 2 2 2 2 5 3" xfId="5882" xr:uid="{00000000-0005-0000-0000-0000910B0000}"/>
    <cellStyle name="Currency 5 2 2 2 2 5 3 2" xfId="14324" xr:uid="{BF82535A-CD3B-4A98-902C-ED3FEF250969}"/>
    <cellStyle name="Currency 5 2 2 2 2 5 4" xfId="10106" xr:uid="{92A7BCBB-7EF1-4F1D-9D39-5027E880284F}"/>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2 2 2" xfId="16882" xr:uid="{9013EA4F-F9CA-47FB-B271-140A34DA2C6C}"/>
    <cellStyle name="Currency 5 2 2 2 2 6 2 3" xfId="12664" xr:uid="{A768604E-8588-49D7-A354-B7994E2114E1}"/>
    <cellStyle name="Currency 5 2 2 2 2 6 3" xfId="6295" xr:uid="{00000000-0005-0000-0000-0000950B0000}"/>
    <cellStyle name="Currency 5 2 2 2 2 6 3 2" xfId="14737" xr:uid="{00FE146A-2CB6-4FF0-96AE-13EAAF262920}"/>
    <cellStyle name="Currency 5 2 2 2 2 6 4" xfId="10519" xr:uid="{12F8D549-AB70-479B-84D2-1E8A88FFC1B1}"/>
    <cellStyle name="Currency 5 2 2 2 2 7" xfId="2423" xr:uid="{00000000-0005-0000-0000-0000960B0000}"/>
    <cellStyle name="Currency 5 2 2 2 2 7 2" xfId="6708" xr:uid="{00000000-0005-0000-0000-0000970B0000}"/>
    <cellStyle name="Currency 5 2 2 2 2 7 2 2" xfId="15150" xr:uid="{308DE76F-C38D-4C69-B062-516568BC9BBB}"/>
    <cellStyle name="Currency 5 2 2 2 2 7 3" xfId="10932" xr:uid="{2E5B23EE-620F-4355-B882-D2D64C9563A7}"/>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2 9 2 2" xfId="15467" xr:uid="{FEE354CA-73F4-4E2D-9DBB-C56318817026}"/>
    <cellStyle name="Currency 5 2 2 2 2 9 3" xfId="11249" xr:uid="{A1A73614-EDE0-43CE-B1D7-63BF9B08A2ED}"/>
    <cellStyle name="Currency 5 2 2 2 3" xfId="199" xr:uid="{00000000-0005-0000-0000-00009B0B0000}"/>
    <cellStyle name="Currency 5 2 2 2 3 10" xfId="8868" xr:uid="{C00CBE59-E8A0-45EC-9A13-F2B38F912EF4}"/>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15645" xr:uid="{DBAEFF46-E6B6-4E24-8116-6FE89BFB9FA4}"/>
    <cellStyle name="Currency 5 2 2 2 3 2 2 3" xfId="11427" xr:uid="{B8B2B99F-A7E7-450A-B6CE-300B374CAB49}"/>
    <cellStyle name="Currency 5 2 2 2 3 2 3" xfId="5058" xr:uid="{00000000-0005-0000-0000-00009F0B0000}"/>
    <cellStyle name="Currency 5 2 2 2 3 2 3 2" xfId="13500" xr:uid="{A28926D9-D0C6-4454-A86D-6B1B993FB603}"/>
    <cellStyle name="Currency 5 2 2 2 3 2 4" xfId="9282" xr:uid="{A7AECC3D-4F48-49B6-8649-82F626A806CF}"/>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2 2" xfId="16058" xr:uid="{A50B7E12-15C7-4699-9F73-C10D2FFFC13F}"/>
    <cellStyle name="Currency 5 2 2 2 3 3 2 3" xfId="11840" xr:uid="{7A792338-2224-4B08-A135-6B7CA5ADD86B}"/>
    <cellStyle name="Currency 5 2 2 2 3 3 3" xfId="5471" xr:uid="{00000000-0005-0000-0000-0000A30B0000}"/>
    <cellStyle name="Currency 5 2 2 2 3 3 3 2" xfId="13913" xr:uid="{A3335BF9-7E36-4FE6-AB9F-3D744D3991AD}"/>
    <cellStyle name="Currency 5 2 2 2 3 3 4" xfId="9695" xr:uid="{757B041C-7408-47DE-A846-D09C849E1AAC}"/>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2 2 2" xfId="16471" xr:uid="{33872E72-F57A-4445-9DF6-134D813D970C}"/>
    <cellStyle name="Currency 5 2 2 2 3 4 2 3" xfId="12253" xr:uid="{8D6F271E-ED5A-4DF0-8017-41695A914635}"/>
    <cellStyle name="Currency 5 2 2 2 3 4 3" xfId="5884" xr:uid="{00000000-0005-0000-0000-0000A70B0000}"/>
    <cellStyle name="Currency 5 2 2 2 3 4 3 2" xfId="14326" xr:uid="{92298B03-D494-435B-A24E-2A34CDADE025}"/>
    <cellStyle name="Currency 5 2 2 2 3 4 4" xfId="10108" xr:uid="{25CB5ECC-41E0-4B80-A351-2D7A483916F1}"/>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2 2 2" xfId="16884" xr:uid="{4A2D1435-54C2-43F0-B29B-1CCAA4980E84}"/>
    <cellStyle name="Currency 5 2 2 2 3 5 2 3" xfId="12666" xr:uid="{9879655F-FDA8-4B8F-8551-9C0E851E9A69}"/>
    <cellStyle name="Currency 5 2 2 2 3 5 3" xfId="6297" xr:uid="{00000000-0005-0000-0000-0000AB0B0000}"/>
    <cellStyle name="Currency 5 2 2 2 3 5 3 2" xfId="14739" xr:uid="{E2324C06-7CA3-4622-92C7-291C3D310C1B}"/>
    <cellStyle name="Currency 5 2 2 2 3 5 4" xfId="10521" xr:uid="{A1413EAA-5A45-4ACF-A053-B5CA275122D5}"/>
    <cellStyle name="Currency 5 2 2 2 3 6" xfId="2425" xr:uid="{00000000-0005-0000-0000-0000AC0B0000}"/>
    <cellStyle name="Currency 5 2 2 2 3 6 2" xfId="6710" xr:uid="{00000000-0005-0000-0000-0000AD0B0000}"/>
    <cellStyle name="Currency 5 2 2 2 3 6 2 2" xfId="15152" xr:uid="{D1EDB0C8-11F2-46A7-BE94-664FB83E8851}"/>
    <cellStyle name="Currency 5 2 2 2 3 6 3" xfId="10934" xr:uid="{AEF1AF0D-CE05-48EE-B406-D3EA6878A656}"/>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8 2 2" xfId="15469" xr:uid="{6D69CD2E-A8BB-433F-9E23-462D9EB757ED}"/>
    <cellStyle name="Currency 5 2 2 2 3 8 3" xfId="11251" xr:uid="{D2ABDEE3-620B-434E-A05F-25D4A6918535}"/>
    <cellStyle name="Currency 5 2 2 2 3 9" xfId="4644" xr:uid="{00000000-0005-0000-0000-0000B10B0000}"/>
    <cellStyle name="Currency 5 2 2 2 3 9 2" xfId="13086" xr:uid="{33C6BC1A-D3EC-4F48-B3F0-BDB34A6D5406}"/>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15642" xr:uid="{96ECF107-9857-464E-9D90-9D33A8769C9F}"/>
    <cellStyle name="Currency 5 2 2 2 4 2 3" xfId="11424" xr:uid="{EAFE1572-4923-4849-B19F-D131D89AC2A4}"/>
    <cellStyle name="Currency 5 2 2 2 4 3" xfId="5055" xr:uid="{00000000-0005-0000-0000-0000B50B0000}"/>
    <cellStyle name="Currency 5 2 2 2 4 3 2" xfId="13497" xr:uid="{F61BD12A-E9E3-4406-AA19-B879F17367C2}"/>
    <cellStyle name="Currency 5 2 2 2 4 4" xfId="9279" xr:uid="{1FA41B3D-FF9D-46F5-A57B-F21AAB1FF07A}"/>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2 2" xfId="16055" xr:uid="{55FD8F77-35BE-4F35-A2F8-45EE88AAAEF8}"/>
    <cellStyle name="Currency 5 2 2 2 5 2 3" xfId="11837" xr:uid="{2E776514-3C46-4F7A-A03A-14C6A5681F20}"/>
    <cellStyle name="Currency 5 2 2 2 5 3" xfId="5468" xr:uid="{00000000-0005-0000-0000-0000B90B0000}"/>
    <cellStyle name="Currency 5 2 2 2 5 3 2" xfId="13910" xr:uid="{207A8455-4616-438A-ABFC-8E21E20138A7}"/>
    <cellStyle name="Currency 5 2 2 2 5 4" xfId="9692" xr:uid="{4E26430A-06E5-4C23-8BE9-4C0DC6035CD2}"/>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2 2 2" xfId="16468" xr:uid="{949C9A9E-FF43-4522-971F-86CAED6506DC}"/>
    <cellStyle name="Currency 5 2 2 2 6 2 3" xfId="12250" xr:uid="{0CAF7CBA-7981-4BD0-A3D1-96BC0E207E7E}"/>
    <cellStyle name="Currency 5 2 2 2 6 3" xfId="5881" xr:uid="{00000000-0005-0000-0000-0000BD0B0000}"/>
    <cellStyle name="Currency 5 2 2 2 6 3 2" xfId="14323" xr:uid="{54FAE030-B2AD-43B8-A3A1-C132DE468612}"/>
    <cellStyle name="Currency 5 2 2 2 6 4" xfId="10105" xr:uid="{D33E6185-25A8-4383-B0F1-DF9152761A87}"/>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2 2 2" xfId="16881" xr:uid="{0890BD09-AAF1-4935-9031-61C70D38BCA0}"/>
    <cellStyle name="Currency 5 2 2 2 7 2 3" xfId="12663" xr:uid="{EF765709-3675-4F23-ADAD-310D0E74F82B}"/>
    <cellStyle name="Currency 5 2 2 2 7 3" xfId="6294" xr:uid="{00000000-0005-0000-0000-0000C10B0000}"/>
    <cellStyle name="Currency 5 2 2 2 7 3 2" xfId="14736" xr:uid="{77C5B853-5926-4C09-92C2-43A87B6B3347}"/>
    <cellStyle name="Currency 5 2 2 2 7 4" xfId="10518" xr:uid="{D5DF571C-2C20-45D4-A985-4F684C2BB09A}"/>
    <cellStyle name="Currency 5 2 2 2 8" xfId="2422" xr:uid="{00000000-0005-0000-0000-0000C20B0000}"/>
    <cellStyle name="Currency 5 2 2 2 8 2" xfId="6707" xr:uid="{00000000-0005-0000-0000-0000C30B0000}"/>
    <cellStyle name="Currency 5 2 2 2 8 2 2" xfId="15149" xr:uid="{E32A9938-0949-4AF6-BE28-ACAF6170F218}"/>
    <cellStyle name="Currency 5 2 2 2 8 3" xfId="10931" xr:uid="{5A860C7E-017A-4EC7-9245-7AAA4D33657B}"/>
    <cellStyle name="Currency 5 2 2 2 9" xfId="2719" xr:uid="{00000000-0005-0000-0000-0000C40B0000}"/>
    <cellStyle name="Currency 5 2 2 3" xfId="200" xr:uid="{00000000-0005-0000-0000-0000C50B0000}"/>
    <cellStyle name="Currency 5 2 2 3 10" xfId="4645" xr:uid="{00000000-0005-0000-0000-0000C60B0000}"/>
    <cellStyle name="Currency 5 2 2 3 10 2" xfId="13087" xr:uid="{DADFC31C-310C-4A5F-AE4A-FC4BABB0F6DB}"/>
    <cellStyle name="Currency 5 2 2 3 11" xfId="8869" xr:uid="{F20F570B-ABAD-4441-A30C-D3FB436868CC}"/>
    <cellStyle name="Currency 5 2 2 3 2" xfId="201" xr:uid="{00000000-0005-0000-0000-0000C70B0000}"/>
    <cellStyle name="Currency 5 2 2 3 2 10" xfId="8870" xr:uid="{A45D259B-4DBB-433A-A2C6-971E72821EF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15647" xr:uid="{85CC5766-A3B7-4227-956D-3C094402447A}"/>
    <cellStyle name="Currency 5 2 2 3 2 2 2 3" xfId="11429" xr:uid="{E8635F39-6E60-44D2-A481-87C156677DB6}"/>
    <cellStyle name="Currency 5 2 2 3 2 2 3" xfId="5060" xr:uid="{00000000-0005-0000-0000-0000CB0B0000}"/>
    <cellStyle name="Currency 5 2 2 3 2 2 3 2" xfId="13502" xr:uid="{BF6AD062-DB4E-4BF0-8304-4410E18C98F7}"/>
    <cellStyle name="Currency 5 2 2 3 2 2 4" xfId="9284" xr:uid="{73B9BA29-6CC7-4D1E-98CE-D2349A604BA2}"/>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2 2" xfId="16060" xr:uid="{0C30A6CF-4D1B-478C-AF11-B820EA34C954}"/>
    <cellStyle name="Currency 5 2 2 3 2 3 2 3" xfId="11842" xr:uid="{1DCE6A9C-4BB6-4B5F-948C-9359294BBAB1}"/>
    <cellStyle name="Currency 5 2 2 3 2 3 3" xfId="5473" xr:uid="{00000000-0005-0000-0000-0000CF0B0000}"/>
    <cellStyle name="Currency 5 2 2 3 2 3 3 2" xfId="13915" xr:uid="{0EB6C2EF-A151-4FD6-9D83-CBFAE70F18AB}"/>
    <cellStyle name="Currency 5 2 2 3 2 3 4" xfId="9697" xr:uid="{598B633E-7F67-4BE1-BF25-9379F10378A3}"/>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2 2 2" xfId="16473" xr:uid="{C4FB3163-9C29-45FF-90A4-587D3607B819}"/>
    <cellStyle name="Currency 5 2 2 3 2 4 2 3" xfId="12255" xr:uid="{4EF23DDD-CE6A-4C0A-8EFA-BAA4BBC47F96}"/>
    <cellStyle name="Currency 5 2 2 3 2 4 3" xfId="5886" xr:uid="{00000000-0005-0000-0000-0000D30B0000}"/>
    <cellStyle name="Currency 5 2 2 3 2 4 3 2" xfId="14328" xr:uid="{AD34E96C-2A1A-4B98-8208-B622A1487FF1}"/>
    <cellStyle name="Currency 5 2 2 3 2 4 4" xfId="10110" xr:uid="{CDD4FA58-AD24-46F7-A042-3461E173A814}"/>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2 2 2" xfId="16886" xr:uid="{3283C4C4-F7ED-46C9-B781-3E81393BC166}"/>
    <cellStyle name="Currency 5 2 2 3 2 5 2 3" xfId="12668" xr:uid="{C20C5883-4163-42A7-93D7-B9ED982F2E56}"/>
    <cellStyle name="Currency 5 2 2 3 2 5 3" xfId="6299" xr:uid="{00000000-0005-0000-0000-0000D70B0000}"/>
    <cellStyle name="Currency 5 2 2 3 2 5 3 2" xfId="14741" xr:uid="{C89CBCD2-B785-4262-B118-0A49D361457B}"/>
    <cellStyle name="Currency 5 2 2 3 2 5 4" xfId="10523" xr:uid="{CDF8F093-8DCF-459C-BD5E-5D66F99BBA6C}"/>
    <cellStyle name="Currency 5 2 2 3 2 6" xfId="2427" xr:uid="{00000000-0005-0000-0000-0000D80B0000}"/>
    <cellStyle name="Currency 5 2 2 3 2 6 2" xfId="6712" xr:uid="{00000000-0005-0000-0000-0000D90B0000}"/>
    <cellStyle name="Currency 5 2 2 3 2 6 2 2" xfId="15154" xr:uid="{893E6222-2F85-490C-A2B1-794E734A9C5A}"/>
    <cellStyle name="Currency 5 2 2 3 2 6 3" xfId="10936" xr:uid="{C87EB6B7-6800-4AF5-A0B8-FFB00BE86FD9}"/>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8 2 2" xfId="15471" xr:uid="{AA746FF1-A2C4-43AD-880D-325EB896460B}"/>
    <cellStyle name="Currency 5 2 2 3 2 8 3" xfId="11253" xr:uid="{D2F97000-CF36-42B4-B2BB-244201F650F2}"/>
    <cellStyle name="Currency 5 2 2 3 2 9" xfId="4646" xr:uid="{00000000-0005-0000-0000-0000DD0B0000}"/>
    <cellStyle name="Currency 5 2 2 3 2 9 2" xfId="13088" xr:uid="{7139BAFC-F43A-4769-A364-B1AC33579B3E}"/>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15646" xr:uid="{090055C2-7AEB-4B54-A79B-63E32B71FAC5}"/>
    <cellStyle name="Currency 5 2 2 3 3 2 3" xfId="11428" xr:uid="{B23F76BC-DCEF-4FA0-89B2-4D11AC142D36}"/>
    <cellStyle name="Currency 5 2 2 3 3 3" xfId="5059" xr:uid="{00000000-0005-0000-0000-0000E10B0000}"/>
    <cellStyle name="Currency 5 2 2 3 3 3 2" xfId="13501" xr:uid="{3D1AC0B9-EBFC-4FC9-AC9A-6EF2D765D254}"/>
    <cellStyle name="Currency 5 2 2 3 3 4" xfId="9283" xr:uid="{353C8495-0741-450A-9191-8943A6F1EEDA}"/>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2 2" xfId="16059" xr:uid="{0A3CEE22-20C5-4BC2-A302-360EE4D4840D}"/>
    <cellStyle name="Currency 5 2 2 3 4 2 3" xfId="11841" xr:uid="{F1CB0686-5A4C-4808-9B73-5EEE8D8BECCC}"/>
    <cellStyle name="Currency 5 2 2 3 4 3" xfId="5472" xr:uid="{00000000-0005-0000-0000-0000E50B0000}"/>
    <cellStyle name="Currency 5 2 2 3 4 3 2" xfId="13914" xr:uid="{53EFF677-8C7F-4A56-893F-EA66B95B65D7}"/>
    <cellStyle name="Currency 5 2 2 3 4 4" xfId="9696" xr:uid="{F5E75492-A3E8-44B7-AD90-288E01A4653B}"/>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2 2 2" xfId="16472" xr:uid="{1536B331-6651-4F00-9BC4-BC966F4DA81E}"/>
    <cellStyle name="Currency 5 2 2 3 5 2 3" xfId="12254" xr:uid="{6EA48FC0-338C-40B7-AFAA-B89D05EA6FF4}"/>
    <cellStyle name="Currency 5 2 2 3 5 3" xfId="5885" xr:uid="{00000000-0005-0000-0000-0000E90B0000}"/>
    <cellStyle name="Currency 5 2 2 3 5 3 2" xfId="14327" xr:uid="{C6F3236C-4F90-4D48-940F-A8A8C3184EC3}"/>
    <cellStyle name="Currency 5 2 2 3 5 4" xfId="10109" xr:uid="{ABD307A3-AE62-467C-9019-327D5FC0D48A}"/>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2 2 2" xfId="16885" xr:uid="{1786FDB6-B9C8-4A2A-86C3-260E2EF4346A}"/>
    <cellStyle name="Currency 5 2 2 3 6 2 3" xfId="12667" xr:uid="{F6734C70-6B9A-4BC5-B8B6-24399C07C6F2}"/>
    <cellStyle name="Currency 5 2 2 3 6 3" xfId="6298" xr:uid="{00000000-0005-0000-0000-0000ED0B0000}"/>
    <cellStyle name="Currency 5 2 2 3 6 3 2" xfId="14740" xr:uid="{A70A5284-F141-41C3-8C57-E10E0F7FA1BA}"/>
    <cellStyle name="Currency 5 2 2 3 6 4" xfId="10522" xr:uid="{7FCB1096-D8EF-4448-A0CB-54B662B55CE7}"/>
    <cellStyle name="Currency 5 2 2 3 7" xfId="2426" xr:uid="{00000000-0005-0000-0000-0000EE0B0000}"/>
    <cellStyle name="Currency 5 2 2 3 7 2" xfId="6711" xr:uid="{00000000-0005-0000-0000-0000EF0B0000}"/>
    <cellStyle name="Currency 5 2 2 3 7 2 2" xfId="15153" xr:uid="{48F4F24B-70C9-431B-B3C2-6822861D8DE8}"/>
    <cellStyle name="Currency 5 2 2 3 7 3" xfId="10935" xr:uid="{73BA2F3C-A8D1-4C38-9992-B1D63579756A}"/>
    <cellStyle name="Currency 5 2 2 3 8" xfId="2723" xr:uid="{00000000-0005-0000-0000-0000F00B0000}"/>
    <cellStyle name="Currency 5 2 2 3 9" xfId="2804" xr:uid="{00000000-0005-0000-0000-0000F10B0000}"/>
    <cellStyle name="Currency 5 2 2 3 9 2" xfId="7028" xr:uid="{00000000-0005-0000-0000-0000F20B0000}"/>
    <cellStyle name="Currency 5 2 2 3 9 2 2" xfId="15470" xr:uid="{E03643C5-D53B-4FED-9BC2-98159C0DD40A}"/>
    <cellStyle name="Currency 5 2 2 3 9 3" xfId="11252" xr:uid="{9A91AC9F-5BFE-4C7F-B8F2-8BD108D59127}"/>
    <cellStyle name="Currency 5 2 2 4" xfId="202" xr:uid="{00000000-0005-0000-0000-0000F30B0000}"/>
    <cellStyle name="Currency 5 2 2 4 10" xfId="8871" xr:uid="{A6BC740A-4B42-475E-BC4E-D4711A48F6C2}"/>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15648" xr:uid="{D270C8F1-D725-48EE-B502-2B30F8D3AB8F}"/>
    <cellStyle name="Currency 5 2 2 4 2 2 3" xfId="11430" xr:uid="{D4806EF9-C915-485C-B1A3-A47E83E73569}"/>
    <cellStyle name="Currency 5 2 2 4 2 3" xfId="5061" xr:uid="{00000000-0005-0000-0000-0000F70B0000}"/>
    <cellStyle name="Currency 5 2 2 4 2 3 2" xfId="13503" xr:uid="{349F55EB-8F66-4F2D-9FC8-0BD9409E735D}"/>
    <cellStyle name="Currency 5 2 2 4 2 4" xfId="9285" xr:uid="{DC91831E-34F6-4CF1-ACD7-6C6A0DC43546}"/>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2 2" xfId="16061" xr:uid="{E074E50B-C2F0-4EAD-BC48-DC6FC17CAD73}"/>
    <cellStyle name="Currency 5 2 2 4 3 2 3" xfId="11843" xr:uid="{CBCADC5E-2288-4152-993C-9A3A62270A69}"/>
    <cellStyle name="Currency 5 2 2 4 3 3" xfId="5474" xr:uid="{00000000-0005-0000-0000-0000FB0B0000}"/>
    <cellStyle name="Currency 5 2 2 4 3 3 2" xfId="13916" xr:uid="{442E7E76-CC2B-4550-A92D-9B000090003C}"/>
    <cellStyle name="Currency 5 2 2 4 3 4" xfId="9698" xr:uid="{8E8E8126-4444-4DDE-B04E-51D7553F893F}"/>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2 2 2" xfId="16474" xr:uid="{9294DB27-B790-4088-BE21-D2581C25DD1A}"/>
    <cellStyle name="Currency 5 2 2 4 4 2 3" xfId="12256" xr:uid="{4FECD7AC-E20C-4FDF-97B8-5F148F1573FA}"/>
    <cellStyle name="Currency 5 2 2 4 4 3" xfId="5887" xr:uid="{00000000-0005-0000-0000-0000FF0B0000}"/>
    <cellStyle name="Currency 5 2 2 4 4 3 2" xfId="14329" xr:uid="{47FAA50C-2528-4A7D-BD8C-6674193D736D}"/>
    <cellStyle name="Currency 5 2 2 4 4 4" xfId="10111" xr:uid="{A839CFBE-18EB-4B9E-A724-577F011B0997}"/>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2 2 2" xfId="16887" xr:uid="{84580C7B-975A-4392-936C-1DEC520B18B0}"/>
    <cellStyle name="Currency 5 2 2 4 5 2 3" xfId="12669" xr:uid="{6CDD4655-AFBE-49FA-845A-75C855A3448C}"/>
    <cellStyle name="Currency 5 2 2 4 5 3" xfId="6300" xr:uid="{00000000-0005-0000-0000-0000030C0000}"/>
    <cellStyle name="Currency 5 2 2 4 5 3 2" xfId="14742" xr:uid="{F1FC6159-399A-4585-AC70-837260DB343E}"/>
    <cellStyle name="Currency 5 2 2 4 5 4" xfId="10524" xr:uid="{A8A0BEB9-FFC0-4164-BD50-EFDD3655BF48}"/>
    <cellStyle name="Currency 5 2 2 4 6" xfId="2428" xr:uid="{00000000-0005-0000-0000-0000040C0000}"/>
    <cellStyle name="Currency 5 2 2 4 6 2" xfId="6713" xr:uid="{00000000-0005-0000-0000-0000050C0000}"/>
    <cellStyle name="Currency 5 2 2 4 6 2 2" xfId="15155" xr:uid="{F8A96FFC-B9ED-40C1-8E20-53B321F341BB}"/>
    <cellStyle name="Currency 5 2 2 4 6 3" xfId="10937" xr:uid="{5D05004E-4E21-4782-92ED-E7DF29550727}"/>
    <cellStyle name="Currency 5 2 2 4 7" xfId="2725" xr:uid="{00000000-0005-0000-0000-0000060C0000}"/>
    <cellStyle name="Currency 5 2 2 4 8" xfId="2806" xr:uid="{00000000-0005-0000-0000-0000070C0000}"/>
    <cellStyle name="Currency 5 2 2 4 8 2" xfId="7030" xr:uid="{00000000-0005-0000-0000-0000080C0000}"/>
    <cellStyle name="Currency 5 2 2 4 8 2 2" xfId="15472" xr:uid="{AF0F388F-C19E-40F2-A43B-6575C3C4B1F7}"/>
    <cellStyle name="Currency 5 2 2 4 8 3" xfId="11254" xr:uid="{F1DC9965-4913-419C-AAB6-1E392F15831E}"/>
    <cellStyle name="Currency 5 2 2 4 9" xfId="4647" xr:uid="{00000000-0005-0000-0000-0000090C0000}"/>
    <cellStyle name="Currency 5 2 2 4 9 2" xfId="13089" xr:uid="{678A7559-3D1F-4928-A768-7B22FE98CA2E}"/>
    <cellStyle name="Currency 5 2 2 5" xfId="203" xr:uid="{00000000-0005-0000-0000-00000A0C0000}"/>
    <cellStyle name="Currency 5 2 2 5 10" xfId="8872" xr:uid="{571A30D6-3CC6-47B4-98B0-257437930B1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15649" xr:uid="{CC018EFB-621B-4021-8146-E63E6F3B9CAE}"/>
    <cellStyle name="Currency 5 2 2 5 2 2 3" xfId="11431" xr:uid="{781975EC-FAE2-45C4-8064-F1616749228E}"/>
    <cellStyle name="Currency 5 2 2 5 2 3" xfId="5062" xr:uid="{00000000-0005-0000-0000-00000E0C0000}"/>
    <cellStyle name="Currency 5 2 2 5 2 3 2" xfId="13504" xr:uid="{942AFED4-4EA1-4B60-86F9-18A6599A71FF}"/>
    <cellStyle name="Currency 5 2 2 5 2 4" xfId="9286" xr:uid="{01E818B6-06BE-4B2C-9016-68AA9D443183}"/>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2 2" xfId="16062" xr:uid="{E3C20A91-34A6-4785-8DD4-D633420FC72F}"/>
    <cellStyle name="Currency 5 2 2 5 3 2 3" xfId="11844" xr:uid="{BD355ADD-A41C-45C4-B031-1F0321B6BA54}"/>
    <cellStyle name="Currency 5 2 2 5 3 3" xfId="5475" xr:uid="{00000000-0005-0000-0000-0000120C0000}"/>
    <cellStyle name="Currency 5 2 2 5 3 3 2" xfId="13917" xr:uid="{955682DE-9D87-470A-908A-B01B5E7F7F79}"/>
    <cellStyle name="Currency 5 2 2 5 3 4" xfId="9699" xr:uid="{F85E7A87-9BE6-40BD-970B-768D60FD7DB2}"/>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2 2 2" xfId="16475" xr:uid="{5032C5DF-6629-4E22-8D85-EAA001BB7091}"/>
    <cellStyle name="Currency 5 2 2 5 4 2 3" xfId="12257" xr:uid="{E8CBD2FC-434B-413E-BE8C-8F698774844A}"/>
    <cellStyle name="Currency 5 2 2 5 4 3" xfId="5888" xr:uid="{00000000-0005-0000-0000-0000160C0000}"/>
    <cellStyle name="Currency 5 2 2 5 4 3 2" xfId="14330" xr:uid="{2E97FF96-8109-4921-81DE-583727ED384C}"/>
    <cellStyle name="Currency 5 2 2 5 4 4" xfId="10112" xr:uid="{48560984-7DDB-408C-9585-EA795CF5D2A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2 2 2" xfId="16888" xr:uid="{2E64F897-CA11-4983-9815-52CDDD1E214C}"/>
    <cellStyle name="Currency 5 2 2 5 5 2 3" xfId="12670" xr:uid="{C6961C88-52DE-4CC4-9625-ED29783BADD3}"/>
    <cellStyle name="Currency 5 2 2 5 5 3" xfId="6301" xr:uid="{00000000-0005-0000-0000-00001A0C0000}"/>
    <cellStyle name="Currency 5 2 2 5 5 3 2" xfId="14743" xr:uid="{E7F96238-ADDA-4850-92D6-D6DF2CABE8A2}"/>
    <cellStyle name="Currency 5 2 2 5 5 4" xfId="10525" xr:uid="{C9BE75C0-E9C5-4BAF-B6FE-9EBF8759B5D5}"/>
    <cellStyle name="Currency 5 2 2 5 6" xfId="2429" xr:uid="{00000000-0005-0000-0000-00001B0C0000}"/>
    <cellStyle name="Currency 5 2 2 5 6 2" xfId="6714" xr:uid="{00000000-0005-0000-0000-00001C0C0000}"/>
    <cellStyle name="Currency 5 2 2 5 6 2 2" xfId="15156" xr:uid="{FC4F095A-6932-49C5-8DCE-FB736C92C837}"/>
    <cellStyle name="Currency 5 2 2 5 6 3" xfId="10938" xr:uid="{F9AE7AFB-7519-414C-BC41-26E305E78933}"/>
    <cellStyle name="Currency 5 2 2 5 7" xfId="2726" xr:uid="{00000000-0005-0000-0000-00001D0C0000}"/>
    <cellStyle name="Currency 5 2 2 5 8" xfId="2807" xr:uid="{00000000-0005-0000-0000-00001E0C0000}"/>
    <cellStyle name="Currency 5 2 2 5 8 2" xfId="7031" xr:uid="{00000000-0005-0000-0000-00001F0C0000}"/>
    <cellStyle name="Currency 5 2 2 5 8 2 2" xfId="15473" xr:uid="{57D07989-79F0-40B3-B0BF-A3AC3FC0BC5E}"/>
    <cellStyle name="Currency 5 2 2 5 8 3" xfId="11255" xr:uid="{B2A0B84B-057B-4A31-8705-6973726F65FD}"/>
    <cellStyle name="Currency 5 2 2 5 9" xfId="4648" xr:uid="{00000000-0005-0000-0000-0000200C0000}"/>
    <cellStyle name="Currency 5 2 2 5 9 2" xfId="13090" xr:uid="{8D7C6C4A-A134-4C17-BEC7-53F673F69CE1}"/>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0 2" xfId="13091" xr:uid="{F8E1A321-B29A-4ABB-AD14-50224EC62463}"/>
    <cellStyle name="Currency 5 2 4 11" xfId="8873" xr:uid="{A2C17BBD-7746-4286-A7FE-F2DBEB581776}"/>
    <cellStyle name="Currency 5 2 4 2" xfId="206" xr:uid="{00000000-0005-0000-0000-0000250C0000}"/>
    <cellStyle name="Currency 5 2 4 2 10" xfId="8874" xr:uid="{E8DF7069-D2C8-48D5-AE01-5A198C5D6C7D}"/>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15651" xr:uid="{6FCA77D1-2393-4B27-A114-75E45FE82D15}"/>
    <cellStyle name="Currency 5 2 4 2 2 2 3" xfId="11433" xr:uid="{090DA8BB-335B-4B43-B99A-B8D97ED16451}"/>
    <cellStyle name="Currency 5 2 4 2 2 3" xfId="5064" xr:uid="{00000000-0005-0000-0000-0000290C0000}"/>
    <cellStyle name="Currency 5 2 4 2 2 3 2" xfId="13506" xr:uid="{EB31AB0C-020C-4DC6-811C-C687257CAEE0}"/>
    <cellStyle name="Currency 5 2 4 2 2 4" xfId="9288" xr:uid="{EEBF713B-7E83-4678-B1CD-401352F0D57A}"/>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2 2" xfId="16064" xr:uid="{E6DB3B82-20D6-4B3C-BEE8-002CA2B03A6F}"/>
    <cellStyle name="Currency 5 2 4 2 3 2 3" xfId="11846" xr:uid="{D2F0DF22-11F8-4FAA-B206-332EA16D277C}"/>
    <cellStyle name="Currency 5 2 4 2 3 3" xfId="5477" xr:uid="{00000000-0005-0000-0000-00002D0C0000}"/>
    <cellStyle name="Currency 5 2 4 2 3 3 2" xfId="13919" xr:uid="{433E73A2-5AB1-4E1C-8ED1-86C34DBFBAC7}"/>
    <cellStyle name="Currency 5 2 4 2 3 4" xfId="9701" xr:uid="{D1727638-6DA4-4CAC-8EE0-DA4AFC8291BC}"/>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2 2 2" xfId="16477" xr:uid="{79CB5EF2-720A-472A-BEE6-38BD24D9947D}"/>
    <cellStyle name="Currency 5 2 4 2 4 2 3" xfId="12259" xr:uid="{761EE698-D820-4900-8E85-25A149F6B53D}"/>
    <cellStyle name="Currency 5 2 4 2 4 3" xfId="5890" xr:uid="{00000000-0005-0000-0000-0000310C0000}"/>
    <cellStyle name="Currency 5 2 4 2 4 3 2" xfId="14332" xr:uid="{1610E64D-FB5D-49E0-8000-1E6A33079553}"/>
    <cellStyle name="Currency 5 2 4 2 4 4" xfId="10114" xr:uid="{1B6AAA0E-1638-4E8B-9A11-5E3CC574D192}"/>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2 2 2" xfId="16890" xr:uid="{68AB270E-2F55-4051-BA97-733B0CAEF7B3}"/>
    <cellStyle name="Currency 5 2 4 2 5 2 3" xfId="12672" xr:uid="{198D1604-D21B-46B1-9942-A4CC3398AD23}"/>
    <cellStyle name="Currency 5 2 4 2 5 3" xfId="6303" xr:uid="{00000000-0005-0000-0000-0000350C0000}"/>
    <cellStyle name="Currency 5 2 4 2 5 3 2" xfId="14745" xr:uid="{BC4C8681-81D0-4450-8210-C70FFADD244A}"/>
    <cellStyle name="Currency 5 2 4 2 5 4" xfId="10527" xr:uid="{A2A8512C-5000-473F-AC3B-71EBF57199F8}"/>
    <cellStyle name="Currency 5 2 4 2 6" xfId="2431" xr:uid="{00000000-0005-0000-0000-0000360C0000}"/>
    <cellStyle name="Currency 5 2 4 2 6 2" xfId="6716" xr:uid="{00000000-0005-0000-0000-0000370C0000}"/>
    <cellStyle name="Currency 5 2 4 2 6 2 2" xfId="15158" xr:uid="{2972F7BD-5567-482D-9376-1623192FE7EF}"/>
    <cellStyle name="Currency 5 2 4 2 6 3" xfId="10940" xr:uid="{6C5F12C6-4364-4D60-9BDB-8F445F1D22A3}"/>
    <cellStyle name="Currency 5 2 4 2 7" xfId="2728" xr:uid="{00000000-0005-0000-0000-0000380C0000}"/>
    <cellStyle name="Currency 5 2 4 2 8" xfId="2809" xr:uid="{00000000-0005-0000-0000-0000390C0000}"/>
    <cellStyle name="Currency 5 2 4 2 8 2" xfId="7033" xr:uid="{00000000-0005-0000-0000-00003A0C0000}"/>
    <cellStyle name="Currency 5 2 4 2 8 2 2" xfId="15475" xr:uid="{F36858A6-BE79-4546-B8F4-EE8511DE03C3}"/>
    <cellStyle name="Currency 5 2 4 2 8 3" xfId="11257" xr:uid="{42A1F6CB-88D0-4EEF-B274-A720CEEECE87}"/>
    <cellStyle name="Currency 5 2 4 2 9" xfId="4650" xr:uid="{00000000-0005-0000-0000-00003B0C0000}"/>
    <cellStyle name="Currency 5 2 4 2 9 2" xfId="13092" xr:uid="{8BDFEC79-44B7-498A-A7F4-7AE7B27E3B9A}"/>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15650" xr:uid="{14D96E24-0B21-4E3C-BBE5-D952EF07F8FB}"/>
    <cellStyle name="Currency 5 2 4 3 2 3" xfId="11432" xr:uid="{31C5C4AF-03DC-495E-954E-931DAEAA0EB0}"/>
    <cellStyle name="Currency 5 2 4 3 3" xfId="5063" xr:uid="{00000000-0005-0000-0000-00003F0C0000}"/>
    <cellStyle name="Currency 5 2 4 3 3 2" xfId="13505" xr:uid="{FAC437D2-19DC-4F20-9A47-192E3D112685}"/>
    <cellStyle name="Currency 5 2 4 3 4" xfId="9287" xr:uid="{E0488B2C-F071-411D-80EC-16BB5E493995}"/>
    <cellStyle name="Currency 5 2 4 4" xfId="1167" xr:uid="{00000000-0005-0000-0000-0000400C0000}"/>
    <cellStyle name="Currency 5 2 4 4 2" xfId="3398" xr:uid="{00000000-0005-0000-0000-0000410C0000}"/>
    <cellStyle name="Currency 5 2 4 4 2 2" xfId="7621" xr:uid="{00000000-0005-0000-0000-0000420C0000}"/>
    <cellStyle name="Currency 5 2 4 4 2 2 2" xfId="16063" xr:uid="{FCEE5C1E-79F0-4BCF-B6FB-4B9F50E32EDB}"/>
    <cellStyle name="Currency 5 2 4 4 2 3" xfId="11845" xr:uid="{8935C913-1587-4748-A326-D334B0BF8D9D}"/>
    <cellStyle name="Currency 5 2 4 4 3" xfId="5476" xr:uid="{00000000-0005-0000-0000-0000430C0000}"/>
    <cellStyle name="Currency 5 2 4 4 3 2" xfId="13918" xr:uid="{7DC64117-CE4D-43CA-9654-5A5F7E7BF423}"/>
    <cellStyle name="Currency 5 2 4 4 4" xfId="9700" xr:uid="{4E486986-42CC-436B-860D-5D863B17D153}"/>
    <cellStyle name="Currency 5 2 4 5" xfId="1581" xr:uid="{00000000-0005-0000-0000-0000440C0000}"/>
    <cellStyle name="Currency 5 2 4 5 2" xfId="3811" xr:uid="{00000000-0005-0000-0000-0000450C0000}"/>
    <cellStyle name="Currency 5 2 4 5 2 2" xfId="8034" xr:uid="{00000000-0005-0000-0000-0000460C0000}"/>
    <cellStyle name="Currency 5 2 4 5 2 2 2" xfId="16476" xr:uid="{AEAF35A6-FC1D-4D90-83F8-BB6E0ACF4EAD}"/>
    <cellStyle name="Currency 5 2 4 5 2 3" xfId="12258" xr:uid="{924C963F-9B67-4647-887C-D21284968F46}"/>
    <cellStyle name="Currency 5 2 4 5 3" xfId="5889" xr:uid="{00000000-0005-0000-0000-0000470C0000}"/>
    <cellStyle name="Currency 5 2 4 5 3 2" xfId="14331" xr:uid="{D0ECA7FE-23F6-4599-A8A9-29A5338B30D9}"/>
    <cellStyle name="Currency 5 2 4 5 4" xfId="10113" xr:uid="{0130F8F7-D6CD-4E36-84B7-46E6AA675E5F}"/>
    <cellStyle name="Currency 5 2 4 6" xfId="1995" xr:uid="{00000000-0005-0000-0000-0000480C0000}"/>
    <cellStyle name="Currency 5 2 4 6 2" xfId="4224" xr:uid="{00000000-0005-0000-0000-0000490C0000}"/>
    <cellStyle name="Currency 5 2 4 6 2 2" xfId="8447" xr:uid="{00000000-0005-0000-0000-00004A0C0000}"/>
    <cellStyle name="Currency 5 2 4 6 2 2 2" xfId="16889" xr:uid="{443DCF69-BEF0-434A-943B-EEFEEA44298B}"/>
    <cellStyle name="Currency 5 2 4 6 2 3" xfId="12671" xr:uid="{7D30E868-9B4A-4DDF-9725-786215E415A6}"/>
    <cellStyle name="Currency 5 2 4 6 3" xfId="6302" xr:uid="{00000000-0005-0000-0000-00004B0C0000}"/>
    <cellStyle name="Currency 5 2 4 6 3 2" xfId="14744" xr:uid="{EDCEA27F-C43E-4E8E-8563-C74405285FD7}"/>
    <cellStyle name="Currency 5 2 4 6 4" xfId="10526" xr:uid="{8A3C9662-960E-4738-ADC8-F3C39510DAA0}"/>
    <cellStyle name="Currency 5 2 4 7" xfId="2430" xr:uid="{00000000-0005-0000-0000-00004C0C0000}"/>
    <cellStyle name="Currency 5 2 4 7 2" xfId="6715" xr:uid="{00000000-0005-0000-0000-00004D0C0000}"/>
    <cellStyle name="Currency 5 2 4 7 2 2" xfId="15157" xr:uid="{1CBDE098-AEAF-4935-B22C-7369276C5B7F}"/>
    <cellStyle name="Currency 5 2 4 7 3" xfId="10939" xr:uid="{AA6D9DD5-BD10-4F60-8CD5-2F1039C7B8A9}"/>
    <cellStyle name="Currency 5 2 4 8" xfId="2727" xr:uid="{00000000-0005-0000-0000-00004E0C0000}"/>
    <cellStyle name="Currency 5 2 4 9" xfId="2808" xr:uid="{00000000-0005-0000-0000-00004F0C0000}"/>
    <cellStyle name="Currency 5 2 4 9 2" xfId="7032" xr:uid="{00000000-0005-0000-0000-0000500C0000}"/>
    <cellStyle name="Currency 5 2 4 9 2 2" xfId="15474" xr:uid="{C3FB7469-E3F2-4FF1-8F22-EBF58B88ECFE}"/>
    <cellStyle name="Currency 5 2 4 9 3" xfId="11256" xr:uid="{D0D151A0-A119-4AAA-A96E-94D4017A0AB3}"/>
    <cellStyle name="Currency 5 2 5" xfId="207" xr:uid="{00000000-0005-0000-0000-0000510C0000}"/>
    <cellStyle name="Currency 5 2 5 10" xfId="8875" xr:uid="{E224862C-18B2-4B31-8257-C54A3635542F}"/>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15652" xr:uid="{93A01CB9-80EE-440A-AD81-27FD5FB0515F}"/>
    <cellStyle name="Currency 5 2 5 2 2 3" xfId="11434" xr:uid="{4F59AAC6-8830-4C8D-9AFA-2C55542FAAFF}"/>
    <cellStyle name="Currency 5 2 5 2 3" xfId="5065" xr:uid="{00000000-0005-0000-0000-0000550C0000}"/>
    <cellStyle name="Currency 5 2 5 2 3 2" xfId="13507" xr:uid="{BA1F472E-9EE9-4C47-989E-3BB2B767797F}"/>
    <cellStyle name="Currency 5 2 5 2 4" xfId="9289" xr:uid="{1190ACA6-ED58-4EDD-9C3A-099BC342BE05}"/>
    <cellStyle name="Currency 5 2 5 3" xfId="1169" xr:uid="{00000000-0005-0000-0000-0000560C0000}"/>
    <cellStyle name="Currency 5 2 5 3 2" xfId="3400" xr:uid="{00000000-0005-0000-0000-0000570C0000}"/>
    <cellStyle name="Currency 5 2 5 3 2 2" xfId="7623" xr:uid="{00000000-0005-0000-0000-0000580C0000}"/>
    <cellStyle name="Currency 5 2 5 3 2 2 2" xfId="16065" xr:uid="{8DAEADB8-6A2A-4216-A900-8FF977C9466D}"/>
    <cellStyle name="Currency 5 2 5 3 2 3" xfId="11847" xr:uid="{B433EAA7-9F67-4D83-A2CD-512C73473D0D}"/>
    <cellStyle name="Currency 5 2 5 3 3" xfId="5478" xr:uid="{00000000-0005-0000-0000-0000590C0000}"/>
    <cellStyle name="Currency 5 2 5 3 3 2" xfId="13920" xr:uid="{BD213A57-0AD4-4CEA-A836-94325EF67DD9}"/>
    <cellStyle name="Currency 5 2 5 3 4" xfId="9702" xr:uid="{75F85B26-4352-41E9-A220-6D3674A4097F}"/>
    <cellStyle name="Currency 5 2 5 4" xfId="1583" xr:uid="{00000000-0005-0000-0000-00005A0C0000}"/>
    <cellStyle name="Currency 5 2 5 4 2" xfId="3813" xr:uid="{00000000-0005-0000-0000-00005B0C0000}"/>
    <cellStyle name="Currency 5 2 5 4 2 2" xfId="8036" xr:uid="{00000000-0005-0000-0000-00005C0C0000}"/>
    <cellStyle name="Currency 5 2 5 4 2 2 2" xfId="16478" xr:uid="{80F37A2E-47F6-440B-88A3-6CBC3FF04583}"/>
    <cellStyle name="Currency 5 2 5 4 2 3" xfId="12260" xr:uid="{CE8B1069-A8A6-4DFC-846F-E914E48626BA}"/>
    <cellStyle name="Currency 5 2 5 4 3" xfId="5891" xr:uid="{00000000-0005-0000-0000-00005D0C0000}"/>
    <cellStyle name="Currency 5 2 5 4 3 2" xfId="14333" xr:uid="{8EC0439D-807C-4F5F-926F-1B6BCD011661}"/>
    <cellStyle name="Currency 5 2 5 4 4" xfId="10115" xr:uid="{A4D0B6C1-E15E-4779-B795-3B81D9AEEDD8}"/>
    <cellStyle name="Currency 5 2 5 5" xfId="1997" xr:uid="{00000000-0005-0000-0000-00005E0C0000}"/>
    <cellStyle name="Currency 5 2 5 5 2" xfId="4226" xr:uid="{00000000-0005-0000-0000-00005F0C0000}"/>
    <cellStyle name="Currency 5 2 5 5 2 2" xfId="8449" xr:uid="{00000000-0005-0000-0000-0000600C0000}"/>
    <cellStyle name="Currency 5 2 5 5 2 2 2" xfId="16891" xr:uid="{865C10CC-93FB-469B-BEC2-31A64CBCE5D8}"/>
    <cellStyle name="Currency 5 2 5 5 2 3" xfId="12673" xr:uid="{8D72D0CA-E3B7-4511-92E2-A2D75C17E597}"/>
    <cellStyle name="Currency 5 2 5 5 3" xfId="6304" xr:uid="{00000000-0005-0000-0000-0000610C0000}"/>
    <cellStyle name="Currency 5 2 5 5 3 2" xfId="14746" xr:uid="{2AC23056-8F2B-4E8C-8905-983432095E90}"/>
    <cellStyle name="Currency 5 2 5 5 4" xfId="10528" xr:uid="{E1BD1C70-EE51-4B01-9D6D-6CC0D1D17ED1}"/>
    <cellStyle name="Currency 5 2 5 6" xfId="2432" xr:uid="{00000000-0005-0000-0000-0000620C0000}"/>
    <cellStyle name="Currency 5 2 5 6 2" xfId="6717" xr:uid="{00000000-0005-0000-0000-0000630C0000}"/>
    <cellStyle name="Currency 5 2 5 6 2 2" xfId="15159" xr:uid="{B20A7AAA-71A0-4401-9109-ADBC57E0F2A0}"/>
    <cellStyle name="Currency 5 2 5 6 3" xfId="10941" xr:uid="{B608E441-0FD7-4A68-8570-1492C56355BE}"/>
    <cellStyle name="Currency 5 2 5 7" xfId="2729" xr:uid="{00000000-0005-0000-0000-0000640C0000}"/>
    <cellStyle name="Currency 5 2 5 8" xfId="2810" xr:uid="{00000000-0005-0000-0000-0000650C0000}"/>
    <cellStyle name="Currency 5 2 5 8 2" xfId="7034" xr:uid="{00000000-0005-0000-0000-0000660C0000}"/>
    <cellStyle name="Currency 5 2 5 8 2 2" xfId="15476" xr:uid="{15DD1AAA-FF11-42CD-8D86-A8BEAB2FC0B8}"/>
    <cellStyle name="Currency 5 2 5 8 3" xfId="11258" xr:uid="{FBD3FF2A-C435-4FF2-BB77-9F51D927E115}"/>
    <cellStyle name="Currency 5 2 5 9" xfId="4651" xr:uid="{00000000-0005-0000-0000-0000670C0000}"/>
    <cellStyle name="Currency 5 2 5 9 2" xfId="13093" xr:uid="{9DD249DF-5AFC-4E6A-A27D-C97469239AD2}"/>
    <cellStyle name="Currency 5 2 6" xfId="208" xr:uid="{00000000-0005-0000-0000-0000680C0000}"/>
    <cellStyle name="Currency 5 2 6 10" xfId="8876" xr:uid="{59C874DE-391C-4516-A816-9B8D1CFF0474}"/>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15653" xr:uid="{C4717527-68F2-4A80-906F-0101F594E1D8}"/>
    <cellStyle name="Currency 5 2 6 2 2 3" xfId="11435" xr:uid="{D300A413-4BFA-4AF6-8F47-AE70D849B629}"/>
    <cellStyle name="Currency 5 2 6 2 3" xfId="5066" xr:uid="{00000000-0005-0000-0000-00006C0C0000}"/>
    <cellStyle name="Currency 5 2 6 2 3 2" xfId="13508" xr:uid="{36287B36-F0EB-4199-B640-8E7B544AA127}"/>
    <cellStyle name="Currency 5 2 6 2 4" xfId="9290" xr:uid="{71A75409-AA6F-4293-9212-B2C0F1A8BC45}"/>
    <cellStyle name="Currency 5 2 6 3" xfId="1170" xr:uid="{00000000-0005-0000-0000-00006D0C0000}"/>
    <cellStyle name="Currency 5 2 6 3 2" xfId="3401" xr:uid="{00000000-0005-0000-0000-00006E0C0000}"/>
    <cellStyle name="Currency 5 2 6 3 2 2" xfId="7624" xr:uid="{00000000-0005-0000-0000-00006F0C0000}"/>
    <cellStyle name="Currency 5 2 6 3 2 2 2" xfId="16066" xr:uid="{11DF0F9F-7205-4649-855C-A5419618CA14}"/>
    <cellStyle name="Currency 5 2 6 3 2 3" xfId="11848" xr:uid="{B122F684-8A1E-4E10-92CB-3C38B4AD5E95}"/>
    <cellStyle name="Currency 5 2 6 3 3" xfId="5479" xr:uid="{00000000-0005-0000-0000-0000700C0000}"/>
    <cellStyle name="Currency 5 2 6 3 3 2" xfId="13921" xr:uid="{58BDC568-7501-4B68-85F8-610DB02EDCB6}"/>
    <cellStyle name="Currency 5 2 6 3 4" xfId="9703" xr:uid="{20D72098-46DB-4887-9BBF-E8CD2C8D12FB}"/>
    <cellStyle name="Currency 5 2 6 4" xfId="1584" xr:uid="{00000000-0005-0000-0000-0000710C0000}"/>
    <cellStyle name="Currency 5 2 6 4 2" xfId="3814" xr:uid="{00000000-0005-0000-0000-0000720C0000}"/>
    <cellStyle name="Currency 5 2 6 4 2 2" xfId="8037" xr:uid="{00000000-0005-0000-0000-0000730C0000}"/>
    <cellStyle name="Currency 5 2 6 4 2 2 2" xfId="16479" xr:uid="{3589F43A-5BF3-4DAF-AF77-104F15B509A9}"/>
    <cellStyle name="Currency 5 2 6 4 2 3" xfId="12261" xr:uid="{80F05FDD-5F5A-42EE-B8CB-E493CC0DDB6D}"/>
    <cellStyle name="Currency 5 2 6 4 3" xfId="5892" xr:uid="{00000000-0005-0000-0000-0000740C0000}"/>
    <cellStyle name="Currency 5 2 6 4 3 2" xfId="14334" xr:uid="{4F68F1FD-07B5-47C1-ABB3-08968D7216C0}"/>
    <cellStyle name="Currency 5 2 6 4 4" xfId="10116" xr:uid="{D8728C23-7CF8-4849-ACB5-8EC7B1CDA18D}"/>
    <cellStyle name="Currency 5 2 6 5" xfId="1998" xr:uid="{00000000-0005-0000-0000-0000750C0000}"/>
    <cellStyle name="Currency 5 2 6 5 2" xfId="4227" xr:uid="{00000000-0005-0000-0000-0000760C0000}"/>
    <cellStyle name="Currency 5 2 6 5 2 2" xfId="8450" xr:uid="{00000000-0005-0000-0000-0000770C0000}"/>
    <cellStyle name="Currency 5 2 6 5 2 2 2" xfId="16892" xr:uid="{86DB35B5-9707-4F47-A024-CD17F9003409}"/>
    <cellStyle name="Currency 5 2 6 5 2 3" xfId="12674" xr:uid="{A259FB17-D2C7-421F-A239-59EC1A0A400B}"/>
    <cellStyle name="Currency 5 2 6 5 3" xfId="6305" xr:uid="{00000000-0005-0000-0000-0000780C0000}"/>
    <cellStyle name="Currency 5 2 6 5 3 2" xfId="14747" xr:uid="{8D7E5E2D-8814-46E5-9AEE-463158B206A6}"/>
    <cellStyle name="Currency 5 2 6 5 4" xfId="10529" xr:uid="{C2E8E939-9F04-4B1C-B393-596A6BA6466F}"/>
    <cellStyle name="Currency 5 2 6 6" xfId="2433" xr:uid="{00000000-0005-0000-0000-0000790C0000}"/>
    <cellStyle name="Currency 5 2 6 6 2" xfId="6718" xr:uid="{00000000-0005-0000-0000-00007A0C0000}"/>
    <cellStyle name="Currency 5 2 6 6 2 2" xfId="15160" xr:uid="{BD5934D2-95F1-465D-8F19-05038DC82589}"/>
    <cellStyle name="Currency 5 2 6 6 3" xfId="10942" xr:uid="{E25EB43E-9F51-44C7-9B41-4A60DC83D018}"/>
    <cellStyle name="Currency 5 2 6 7" xfId="2730" xr:uid="{00000000-0005-0000-0000-00007B0C0000}"/>
    <cellStyle name="Currency 5 2 6 8" xfId="2811" xr:uid="{00000000-0005-0000-0000-00007C0C0000}"/>
    <cellStyle name="Currency 5 2 6 8 2" xfId="7035" xr:uid="{00000000-0005-0000-0000-00007D0C0000}"/>
    <cellStyle name="Currency 5 2 6 8 2 2" xfId="15477" xr:uid="{5720BE59-ED99-4403-B9D8-2E452C150A1E}"/>
    <cellStyle name="Currency 5 2 6 8 3" xfId="11259" xr:uid="{04B95298-1C00-49EB-8982-F5DBF902CBED}"/>
    <cellStyle name="Currency 5 2 6 9" xfId="4652" xr:uid="{00000000-0005-0000-0000-00007E0C0000}"/>
    <cellStyle name="Currency 5 2 6 9 2" xfId="13094" xr:uid="{96F80352-265B-4391-9486-53FCE19FFE97}"/>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0 2 2" xfId="15478" xr:uid="{D487B2BB-30F5-4697-BA64-41D3B008B7D7}"/>
    <cellStyle name="Currency 5 3 2 10 3" xfId="11260" xr:uid="{40E8C4B1-E281-4C2F-AF2F-035C6A830B87}"/>
    <cellStyle name="Currency 5 3 2 11" xfId="4653" xr:uid="{00000000-0005-0000-0000-0000840C0000}"/>
    <cellStyle name="Currency 5 3 2 11 2" xfId="13095" xr:uid="{B69FEF45-2F31-4B1E-8414-7578C4AFB8AB}"/>
    <cellStyle name="Currency 5 3 2 12" xfId="8877" xr:uid="{D9D9ED01-F821-40F3-BBB7-00F2808EF8C8}"/>
    <cellStyle name="Currency 5 3 2 2" xfId="211" xr:uid="{00000000-0005-0000-0000-0000850C0000}"/>
    <cellStyle name="Currency 5 3 2 2 10" xfId="4654" xr:uid="{00000000-0005-0000-0000-0000860C0000}"/>
    <cellStyle name="Currency 5 3 2 2 10 2" xfId="13096" xr:uid="{251F17D6-8DFB-456A-89CE-55E7E4D61AD7}"/>
    <cellStyle name="Currency 5 3 2 2 11" xfId="8878" xr:uid="{A5AD19E4-C9FD-462B-A221-1206D0944C18}"/>
    <cellStyle name="Currency 5 3 2 2 2" xfId="212" xr:uid="{00000000-0005-0000-0000-0000870C0000}"/>
    <cellStyle name="Currency 5 3 2 2 2 10" xfId="8879" xr:uid="{7ABF66CE-580D-4CC7-8686-5F786CC2303A}"/>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15656" xr:uid="{EE8712BB-2A5C-4E00-91B1-4AB38FF69991}"/>
    <cellStyle name="Currency 5 3 2 2 2 2 2 3" xfId="11438" xr:uid="{BCC604BE-907B-4192-B422-0A67EB980C0C}"/>
    <cellStyle name="Currency 5 3 2 2 2 2 3" xfId="5069" xr:uid="{00000000-0005-0000-0000-00008B0C0000}"/>
    <cellStyle name="Currency 5 3 2 2 2 2 3 2" xfId="13511" xr:uid="{8F3594F3-D803-47D3-8943-0F7057514D68}"/>
    <cellStyle name="Currency 5 3 2 2 2 2 4" xfId="9293" xr:uid="{E763B63D-7EF1-49FD-BD8E-1970A49E002F}"/>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2 2" xfId="16069" xr:uid="{89F82695-E955-45AA-9427-AEEBFF370B48}"/>
    <cellStyle name="Currency 5 3 2 2 2 3 2 3" xfId="11851" xr:uid="{25379B23-3185-47D5-A667-9E3246D04CAA}"/>
    <cellStyle name="Currency 5 3 2 2 2 3 3" xfId="5482" xr:uid="{00000000-0005-0000-0000-00008F0C0000}"/>
    <cellStyle name="Currency 5 3 2 2 2 3 3 2" xfId="13924" xr:uid="{A54D13F6-D5CD-4D82-B904-AD15E56E457E}"/>
    <cellStyle name="Currency 5 3 2 2 2 3 4" xfId="9706" xr:uid="{7CA881D1-0848-4E43-9A69-FBE288E891AA}"/>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2 2 2" xfId="16482" xr:uid="{850FDB91-3101-4337-8929-8598279DB568}"/>
    <cellStyle name="Currency 5 3 2 2 2 4 2 3" xfId="12264" xr:uid="{688EFCE1-93AA-46EF-8149-1FCE92CA0A82}"/>
    <cellStyle name="Currency 5 3 2 2 2 4 3" xfId="5895" xr:uid="{00000000-0005-0000-0000-0000930C0000}"/>
    <cellStyle name="Currency 5 3 2 2 2 4 3 2" xfId="14337" xr:uid="{5FFEE581-440E-4F2C-82BB-DD25020CE43F}"/>
    <cellStyle name="Currency 5 3 2 2 2 4 4" xfId="10119" xr:uid="{88E9F649-AE22-4EF5-A1CF-8164806F3B95}"/>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2 2 2" xfId="16895" xr:uid="{70C2E958-90D8-4972-B0CE-7EA8ED8E1688}"/>
    <cellStyle name="Currency 5 3 2 2 2 5 2 3" xfId="12677" xr:uid="{491D3E25-2DD7-47F6-86BF-EB374612C56C}"/>
    <cellStyle name="Currency 5 3 2 2 2 5 3" xfId="6308" xr:uid="{00000000-0005-0000-0000-0000970C0000}"/>
    <cellStyle name="Currency 5 3 2 2 2 5 3 2" xfId="14750" xr:uid="{DE99384B-CC9A-43F9-9AF1-309B1F87AACB}"/>
    <cellStyle name="Currency 5 3 2 2 2 5 4" xfId="10532" xr:uid="{A37707D4-C748-4078-A932-5AEB212EEB95}"/>
    <cellStyle name="Currency 5 3 2 2 2 6" xfId="2436" xr:uid="{00000000-0005-0000-0000-0000980C0000}"/>
    <cellStyle name="Currency 5 3 2 2 2 6 2" xfId="6721" xr:uid="{00000000-0005-0000-0000-0000990C0000}"/>
    <cellStyle name="Currency 5 3 2 2 2 6 2 2" xfId="15163" xr:uid="{C80673B4-F538-4BC5-AFC8-BDA817BA170F}"/>
    <cellStyle name="Currency 5 3 2 2 2 6 3" xfId="10945" xr:uid="{A422B721-49E4-4DBC-BFFD-4599A1ACE926}"/>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8 2 2" xfId="15480" xr:uid="{8B502D03-DCF4-4A77-AB6E-A0CC63A3C2A4}"/>
    <cellStyle name="Currency 5 3 2 2 2 8 3" xfId="11262" xr:uid="{62A1DB82-FFD6-4728-9E17-566D82DE71D2}"/>
    <cellStyle name="Currency 5 3 2 2 2 9" xfId="4655" xr:uid="{00000000-0005-0000-0000-00009D0C0000}"/>
    <cellStyle name="Currency 5 3 2 2 2 9 2" xfId="13097" xr:uid="{97AB2D22-8794-47DA-92FB-07B475002B0C}"/>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15655" xr:uid="{FA5A0EC7-CCC9-4218-9447-2028BE538F18}"/>
    <cellStyle name="Currency 5 3 2 2 3 2 3" xfId="11437" xr:uid="{4BA9F449-71FA-4B9B-BF1F-DE131734D51D}"/>
    <cellStyle name="Currency 5 3 2 2 3 3" xfId="5068" xr:uid="{00000000-0005-0000-0000-0000A10C0000}"/>
    <cellStyle name="Currency 5 3 2 2 3 3 2" xfId="13510" xr:uid="{E8C607A6-C887-4C89-B073-E331B65FC186}"/>
    <cellStyle name="Currency 5 3 2 2 3 4" xfId="9292" xr:uid="{29B386DE-FCC3-495E-B761-5EAC4511EFC5}"/>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2 2" xfId="16068" xr:uid="{D082BC09-DE9E-4A8F-B295-C578021DF546}"/>
    <cellStyle name="Currency 5 3 2 2 4 2 3" xfId="11850" xr:uid="{CF9D3043-A2C8-47C5-944F-B15D6BB27EDA}"/>
    <cellStyle name="Currency 5 3 2 2 4 3" xfId="5481" xr:uid="{00000000-0005-0000-0000-0000A50C0000}"/>
    <cellStyle name="Currency 5 3 2 2 4 3 2" xfId="13923" xr:uid="{FAB31B4C-17D3-4925-B68C-F088ADB99971}"/>
    <cellStyle name="Currency 5 3 2 2 4 4" xfId="9705" xr:uid="{D7BC1BD8-14C0-4603-80E4-F1A06C2388EB}"/>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2 2 2" xfId="16481" xr:uid="{9DB5BB4F-43C0-471B-A67D-C410A29F3449}"/>
    <cellStyle name="Currency 5 3 2 2 5 2 3" xfId="12263" xr:uid="{D05E8359-3D57-4B6A-9E45-4C1C5CB98423}"/>
    <cellStyle name="Currency 5 3 2 2 5 3" xfId="5894" xr:uid="{00000000-0005-0000-0000-0000A90C0000}"/>
    <cellStyle name="Currency 5 3 2 2 5 3 2" xfId="14336" xr:uid="{818216D6-571E-4A50-9F39-AEA1B451AB59}"/>
    <cellStyle name="Currency 5 3 2 2 5 4" xfId="10118" xr:uid="{4687C6B9-DB36-4299-A67C-018BF2F54198}"/>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2 2 2" xfId="16894" xr:uid="{697DAA2E-E8AF-42E6-B13B-E2329E416603}"/>
    <cellStyle name="Currency 5 3 2 2 6 2 3" xfId="12676" xr:uid="{07142D1F-7C3C-4117-83B6-8F97A4BC2B6F}"/>
    <cellStyle name="Currency 5 3 2 2 6 3" xfId="6307" xr:uid="{00000000-0005-0000-0000-0000AD0C0000}"/>
    <cellStyle name="Currency 5 3 2 2 6 3 2" xfId="14749" xr:uid="{F924DB26-C2B0-48CB-A9CA-CAFFA4358F2C}"/>
    <cellStyle name="Currency 5 3 2 2 6 4" xfId="10531" xr:uid="{5DDB4DF6-EC8E-4298-8736-3F5B7F89CEA7}"/>
    <cellStyle name="Currency 5 3 2 2 7" xfId="2435" xr:uid="{00000000-0005-0000-0000-0000AE0C0000}"/>
    <cellStyle name="Currency 5 3 2 2 7 2" xfId="6720" xr:uid="{00000000-0005-0000-0000-0000AF0C0000}"/>
    <cellStyle name="Currency 5 3 2 2 7 2 2" xfId="15162" xr:uid="{8AC286E3-FBE5-4EF6-AF54-4010692D3333}"/>
    <cellStyle name="Currency 5 3 2 2 7 3" xfId="10944" xr:uid="{3BE6BFE3-2F55-4A06-B86F-B5F7C7546D6F}"/>
    <cellStyle name="Currency 5 3 2 2 8" xfId="2732" xr:uid="{00000000-0005-0000-0000-0000B00C0000}"/>
    <cellStyle name="Currency 5 3 2 2 9" xfId="2813" xr:uid="{00000000-0005-0000-0000-0000B10C0000}"/>
    <cellStyle name="Currency 5 3 2 2 9 2" xfId="7037" xr:uid="{00000000-0005-0000-0000-0000B20C0000}"/>
    <cellStyle name="Currency 5 3 2 2 9 2 2" xfId="15479" xr:uid="{AB2FB699-6434-47DE-B3E0-DC4195C789EE}"/>
    <cellStyle name="Currency 5 3 2 2 9 3" xfId="11261" xr:uid="{448B5229-9D0C-4285-8F22-E046F53642B0}"/>
    <cellStyle name="Currency 5 3 2 3" xfId="213" xr:uid="{00000000-0005-0000-0000-0000B30C0000}"/>
    <cellStyle name="Currency 5 3 2 3 10" xfId="8880" xr:uid="{97F9B4D7-3E84-4B7B-A50C-C8CD79120E4E}"/>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15657" xr:uid="{A9A5BFC8-994F-4122-BEA1-038C306770BA}"/>
    <cellStyle name="Currency 5 3 2 3 2 2 3" xfId="11439" xr:uid="{E7885F0F-5BC4-4E49-BA27-F74EE76C1CEB}"/>
    <cellStyle name="Currency 5 3 2 3 2 3" xfId="5070" xr:uid="{00000000-0005-0000-0000-0000B70C0000}"/>
    <cellStyle name="Currency 5 3 2 3 2 3 2" xfId="13512" xr:uid="{4E46CFEB-551D-4BAF-88E7-7F95875AD128}"/>
    <cellStyle name="Currency 5 3 2 3 2 4" xfId="9294" xr:uid="{3411CA7F-598C-4C5A-987D-6C6E5805A85D}"/>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2 2" xfId="16070" xr:uid="{18E7987F-C033-4407-BEA7-7DB3551056EE}"/>
    <cellStyle name="Currency 5 3 2 3 3 2 3" xfId="11852" xr:uid="{F434E540-A060-46E2-AA19-CBA7FA37D571}"/>
    <cellStyle name="Currency 5 3 2 3 3 3" xfId="5483" xr:uid="{00000000-0005-0000-0000-0000BB0C0000}"/>
    <cellStyle name="Currency 5 3 2 3 3 3 2" xfId="13925" xr:uid="{D61DEF5B-174E-4F19-9CBB-A44214D13ACB}"/>
    <cellStyle name="Currency 5 3 2 3 3 4" xfId="9707" xr:uid="{A055023B-1586-4E0E-AC9E-ABBC4207E415}"/>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2 2 2" xfId="16483" xr:uid="{ACAD7AB5-F9D4-41D3-B4BD-CCBA55EA00A2}"/>
    <cellStyle name="Currency 5 3 2 3 4 2 3" xfId="12265" xr:uid="{8EC11D4A-6E17-4014-819C-802A4DECEAA0}"/>
    <cellStyle name="Currency 5 3 2 3 4 3" xfId="5896" xr:uid="{00000000-0005-0000-0000-0000BF0C0000}"/>
    <cellStyle name="Currency 5 3 2 3 4 3 2" xfId="14338" xr:uid="{01BAB326-FCFF-4C34-A72B-143574597227}"/>
    <cellStyle name="Currency 5 3 2 3 4 4" xfId="10120" xr:uid="{537138E8-77FE-4E0D-8DC9-8003679B7A23}"/>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2 2 2" xfId="16896" xr:uid="{D1741584-F63E-4760-9CBF-758FE74185FB}"/>
    <cellStyle name="Currency 5 3 2 3 5 2 3" xfId="12678" xr:uid="{A4D9DC1F-6292-4AE3-ADD9-0C1D46298BA7}"/>
    <cellStyle name="Currency 5 3 2 3 5 3" xfId="6309" xr:uid="{00000000-0005-0000-0000-0000C30C0000}"/>
    <cellStyle name="Currency 5 3 2 3 5 3 2" xfId="14751" xr:uid="{FB9ECC1F-DEE2-4F8D-96AA-95AD456940C6}"/>
    <cellStyle name="Currency 5 3 2 3 5 4" xfId="10533" xr:uid="{B0DAC2FD-3473-4F3B-951D-5947E975F224}"/>
    <cellStyle name="Currency 5 3 2 3 6" xfId="2437" xr:uid="{00000000-0005-0000-0000-0000C40C0000}"/>
    <cellStyle name="Currency 5 3 2 3 6 2" xfId="6722" xr:uid="{00000000-0005-0000-0000-0000C50C0000}"/>
    <cellStyle name="Currency 5 3 2 3 6 2 2" xfId="15164" xr:uid="{1B9DA1BE-A4ED-46FF-A8F2-9B1E1F31B8E4}"/>
    <cellStyle name="Currency 5 3 2 3 6 3" xfId="10946" xr:uid="{A2AF8187-D068-4B4E-8E87-73710994D83C}"/>
    <cellStyle name="Currency 5 3 2 3 7" xfId="2734" xr:uid="{00000000-0005-0000-0000-0000C60C0000}"/>
    <cellStyle name="Currency 5 3 2 3 8" xfId="2815" xr:uid="{00000000-0005-0000-0000-0000C70C0000}"/>
    <cellStyle name="Currency 5 3 2 3 8 2" xfId="7039" xr:uid="{00000000-0005-0000-0000-0000C80C0000}"/>
    <cellStyle name="Currency 5 3 2 3 8 2 2" xfId="15481" xr:uid="{6B0D9991-9746-4E0B-BCBD-1A79AB13BDBE}"/>
    <cellStyle name="Currency 5 3 2 3 8 3" xfId="11263" xr:uid="{0A5BE00C-5A35-4512-A553-2A81CB97625C}"/>
    <cellStyle name="Currency 5 3 2 3 9" xfId="4656" xr:uid="{00000000-0005-0000-0000-0000C90C0000}"/>
    <cellStyle name="Currency 5 3 2 3 9 2" xfId="13098" xr:uid="{EB084878-0772-44E6-B81E-410861D86822}"/>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15654" xr:uid="{95BF0DCE-BDB9-475D-95CB-C23A5632B869}"/>
    <cellStyle name="Currency 5 3 2 4 2 3" xfId="11436" xr:uid="{2A1F24A8-9E89-4638-921D-2EAA91EF06CC}"/>
    <cellStyle name="Currency 5 3 2 4 3" xfId="5067" xr:uid="{00000000-0005-0000-0000-0000CD0C0000}"/>
    <cellStyle name="Currency 5 3 2 4 3 2" xfId="13509" xr:uid="{3CCD35AD-3D1A-4FCF-B386-2FB6D9854F58}"/>
    <cellStyle name="Currency 5 3 2 4 4" xfId="9291" xr:uid="{58B355D6-970D-460A-B906-0CDE26E47534}"/>
    <cellStyle name="Currency 5 3 2 5" xfId="1171" xr:uid="{00000000-0005-0000-0000-0000CE0C0000}"/>
    <cellStyle name="Currency 5 3 2 5 2" xfId="3402" xr:uid="{00000000-0005-0000-0000-0000CF0C0000}"/>
    <cellStyle name="Currency 5 3 2 5 2 2" xfId="7625" xr:uid="{00000000-0005-0000-0000-0000D00C0000}"/>
    <cellStyle name="Currency 5 3 2 5 2 2 2" xfId="16067" xr:uid="{79B8FC05-3B85-42AF-A8C6-B800BF727C03}"/>
    <cellStyle name="Currency 5 3 2 5 2 3" xfId="11849" xr:uid="{EF90E703-463C-4A8D-A176-6E62121CFF9E}"/>
    <cellStyle name="Currency 5 3 2 5 3" xfId="5480" xr:uid="{00000000-0005-0000-0000-0000D10C0000}"/>
    <cellStyle name="Currency 5 3 2 5 3 2" xfId="13922" xr:uid="{D3355D4F-443A-47D2-A9BB-6CABCF7316B6}"/>
    <cellStyle name="Currency 5 3 2 5 4" xfId="9704" xr:uid="{FCD45E93-56A0-4AE9-9790-D6D5952E9626}"/>
    <cellStyle name="Currency 5 3 2 6" xfId="1585" xr:uid="{00000000-0005-0000-0000-0000D20C0000}"/>
    <cellStyle name="Currency 5 3 2 6 2" xfId="3815" xr:uid="{00000000-0005-0000-0000-0000D30C0000}"/>
    <cellStyle name="Currency 5 3 2 6 2 2" xfId="8038" xr:uid="{00000000-0005-0000-0000-0000D40C0000}"/>
    <cellStyle name="Currency 5 3 2 6 2 2 2" xfId="16480" xr:uid="{AEB475EA-088B-49FD-81DD-33689DC5D9CC}"/>
    <cellStyle name="Currency 5 3 2 6 2 3" xfId="12262" xr:uid="{A71CFE84-07C3-4F31-A943-B095B08A2FCC}"/>
    <cellStyle name="Currency 5 3 2 6 3" xfId="5893" xr:uid="{00000000-0005-0000-0000-0000D50C0000}"/>
    <cellStyle name="Currency 5 3 2 6 3 2" xfId="14335" xr:uid="{04A50FC2-83F2-43D3-99BF-3CDB90B78B1C}"/>
    <cellStyle name="Currency 5 3 2 6 4" xfId="10117" xr:uid="{5FBAFF77-97E5-4656-9178-5B7719F0C39B}"/>
    <cellStyle name="Currency 5 3 2 7" xfId="1999" xr:uid="{00000000-0005-0000-0000-0000D60C0000}"/>
    <cellStyle name="Currency 5 3 2 7 2" xfId="4228" xr:uid="{00000000-0005-0000-0000-0000D70C0000}"/>
    <cellStyle name="Currency 5 3 2 7 2 2" xfId="8451" xr:uid="{00000000-0005-0000-0000-0000D80C0000}"/>
    <cellStyle name="Currency 5 3 2 7 2 2 2" xfId="16893" xr:uid="{CF00C0B8-ACBF-4315-84E5-AA66A3E31835}"/>
    <cellStyle name="Currency 5 3 2 7 2 3" xfId="12675" xr:uid="{0BE37BB3-1C0F-464D-B603-1746E2BD16E6}"/>
    <cellStyle name="Currency 5 3 2 7 3" xfId="6306" xr:uid="{00000000-0005-0000-0000-0000D90C0000}"/>
    <cellStyle name="Currency 5 3 2 7 3 2" xfId="14748" xr:uid="{D370E298-ECF3-4380-8FCF-079EFC58FA32}"/>
    <cellStyle name="Currency 5 3 2 7 4" xfId="10530" xr:uid="{EBE5EAC0-E43A-4624-A6B8-5AD8D60629B0}"/>
    <cellStyle name="Currency 5 3 2 8" xfId="2434" xr:uid="{00000000-0005-0000-0000-0000DA0C0000}"/>
    <cellStyle name="Currency 5 3 2 8 2" xfId="6719" xr:uid="{00000000-0005-0000-0000-0000DB0C0000}"/>
    <cellStyle name="Currency 5 3 2 8 2 2" xfId="15161" xr:uid="{499471A3-AB1C-429C-9331-16DC0B2E6D6E}"/>
    <cellStyle name="Currency 5 3 2 8 3" xfId="10943" xr:uid="{B6B91DBE-F5AD-4FC8-AA22-F0CF9257AB7B}"/>
    <cellStyle name="Currency 5 3 2 9" xfId="2731" xr:uid="{00000000-0005-0000-0000-0000DC0C0000}"/>
    <cellStyle name="Currency 5 3 3" xfId="214" xr:uid="{00000000-0005-0000-0000-0000DD0C0000}"/>
    <cellStyle name="Currency 5 3 3 10" xfId="4657" xr:uid="{00000000-0005-0000-0000-0000DE0C0000}"/>
    <cellStyle name="Currency 5 3 3 10 2" xfId="13099" xr:uid="{580CB645-7F4D-43C7-8D31-8B4D2B1A5D8A}"/>
    <cellStyle name="Currency 5 3 3 11" xfId="8881" xr:uid="{58F977BB-DF98-4E44-BB0D-6ECCDEA54E22}"/>
    <cellStyle name="Currency 5 3 3 2" xfId="215" xr:uid="{00000000-0005-0000-0000-0000DF0C0000}"/>
    <cellStyle name="Currency 5 3 3 2 10" xfId="8882" xr:uid="{1C5CB7D3-4A48-4107-B493-1290519BAA64}"/>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15659" xr:uid="{2DD0E2BE-B06E-446E-BAB4-52933BA4298A}"/>
    <cellStyle name="Currency 5 3 3 2 2 2 3" xfId="11441" xr:uid="{2070C539-60B0-4894-BD94-0C37FCF37DBD}"/>
    <cellStyle name="Currency 5 3 3 2 2 3" xfId="5072" xr:uid="{00000000-0005-0000-0000-0000E30C0000}"/>
    <cellStyle name="Currency 5 3 3 2 2 3 2" xfId="13514" xr:uid="{E5387004-2C75-4C7B-A4E6-66D39B29A28E}"/>
    <cellStyle name="Currency 5 3 3 2 2 4" xfId="9296" xr:uid="{307DD198-225D-4BE4-A9C3-8AE357BC3EF6}"/>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2 2" xfId="16072" xr:uid="{22699627-F9B2-48CA-957E-B4432EB3E2D3}"/>
    <cellStyle name="Currency 5 3 3 2 3 2 3" xfId="11854" xr:uid="{FE0AE167-6B92-4374-85DE-ADFC61BA4A5C}"/>
    <cellStyle name="Currency 5 3 3 2 3 3" xfId="5485" xr:uid="{00000000-0005-0000-0000-0000E70C0000}"/>
    <cellStyle name="Currency 5 3 3 2 3 3 2" xfId="13927" xr:uid="{086123CF-7678-4A0C-B307-65447EE308D8}"/>
    <cellStyle name="Currency 5 3 3 2 3 4" xfId="9709" xr:uid="{79722E30-0025-4477-9F9A-1C958D0CD8DE}"/>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2 2 2" xfId="16485" xr:uid="{6F2A6011-A1C7-48DC-B112-452A827DBBB7}"/>
    <cellStyle name="Currency 5 3 3 2 4 2 3" xfId="12267" xr:uid="{5031A6D3-9058-4FCE-836C-86818A72DFFA}"/>
    <cellStyle name="Currency 5 3 3 2 4 3" xfId="5898" xr:uid="{00000000-0005-0000-0000-0000EB0C0000}"/>
    <cellStyle name="Currency 5 3 3 2 4 3 2" xfId="14340" xr:uid="{7BF91064-65CE-4852-910C-D52B42263411}"/>
    <cellStyle name="Currency 5 3 3 2 4 4" xfId="10122" xr:uid="{352281D8-E507-4174-B75E-06BE1BF66E2D}"/>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2 2 2" xfId="16898" xr:uid="{70E25AB5-9C70-41DD-81BD-BF61370DFD97}"/>
    <cellStyle name="Currency 5 3 3 2 5 2 3" xfId="12680" xr:uid="{4A41E6D3-24C0-4D0D-87EA-50534AE27A33}"/>
    <cellStyle name="Currency 5 3 3 2 5 3" xfId="6311" xr:uid="{00000000-0005-0000-0000-0000EF0C0000}"/>
    <cellStyle name="Currency 5 3 3 2 5 3 2" xfId="14753" xr:uid="{301F7255-FA8E-4C22-82C7-E97221F56FE9}"/>
    <cellStyle name="Currency 5 3 3 2 5 4" xfId="10535" xr:uid="{A5FA028B-AE76-4BEC-BBFE-095C1F8F420A}"/>
    <cellStyle name="Currency 5 3 3 2 6" xfId="2439" xr:uid="{00000000-0005-0000-0000-0000F00C0000}"/>
    <cellStyle name="Currency 5 3 3 2 6 2" xfId="6724" xr:uid="{00000000-0005-0000-0000-0000F10C0000}"/>
    <cellStyle name="Currency 5 3 3 2 6 2 2" xfId="15166" xr:uid="{E47EE753-C8BA-4E12-9A65-13AD9802BF22}"/>
    <cellStyle name="Currency 5 3 3 2 6 3" xfId="10948" xr:uid="{4F5BB85A-A551-454E-BF9B-86C0D12958BA}"/>
    <cellStyle name="Currency 5 3 3 2 7" xfId="2736" xr:uid="{00000000-0005-0000-0000-0000F20C0000}"/>
    <cellStyle name="Currency 5 3 3 2 8" xfId="2817" xr:uid="{00000000-0005-0000-0000-0000F30C0000}"/>
    <cellStyle name="Currency 5 3 3 2 8 2" xfId="7041" xr:uid="{00000000-0005-0000-0000-0000F40C0000}"/>
    <cellStyle name="Currency 5 3 3 2 8 2 2" xfId="15483" xr:uid="{F8378BEE-DC9B-49E5-84E4-5F66BEB345FD}"/>
    <cellStyle name="Currency 5 3 3 2 8 3" xfId="11265" xr:uid="{D39E6F0B-E98D-4A43-A194-D9EC6BD66E8D}"/>
    <cellStyle name="Currency 5 3 3 2 9" xfId="4658" xr:uid="{00000000-0005-0000-0000-0000F50C0000}"/>
    <cellStyle name="Currency 5 3 3 2 9 2" xfId="13100" xr:uid="{5DD7FE5E-67B8-44B2-8F8F-D678B3B807D3}"/>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15658" xr:uid="{ED3B17A9-058A-445C-90C6-65311060FA81}"/>
    <cellStyle name="Currency 5 3 3 3 2 3" xfId="11440" xr:uid="{E0A938A9-A9CB-4B45-8944-153E9FCA892E}"/>
    <cellStyle name="Currency 5 3 3 3 3" xfId="5071" xr:uid="{00000000-0005-0000-0000-0000F90C0000}"/>
    <cellStyle name="Currency 5 3 3 3 3 2" xfId="13513" xr:uid="{9DA850C8-0125-4F4F-A102-F9F8238F2886}"/>
    <cellStyle name="Currency 5 3 3 3 4" xfId="9295" xr:uid="{9F43212C-05A9-4486-A6F9-BF7B50C57DA3}"/>
    <cellStyle name="Currency 5 3 3 4" xfId="1175" xr:uid="{00000000-0005-0000-0000-0000FA0C0000}"/>
    <cellStyle name="Currency 5 3 3 4 2" xfId="3406" xr:uid="{00000000-0005-0000-0000-0000FB0C0000}"/>
    <cellStyle name="Currency 5 3 3 4 2 2" xfId="7629" xr:uid="{00000000-0005-0000-0000-0000FC0C0000}"/>
    <cellStyle name="Currency 5 3 3 4 2 2 2" xfId="16071" xr:uid="{FB13ABC7-EC58-4F0E-B999-86C9876E0E28}"/>
    <cellStyle name="Currency 5 3 3 4 2 3" xfId="11853" xr:uid="{1F59C834-A49E-40FE-9516-F7A99525E08F}"/>
    <cellStyle name="Currency 5 3 3 4 3" xfId="5484" xr:uid="{00000000-0005-0000-0000-0000FD0C0000}"/>
    <cellStyle name="Currency 5 3 3 4 3 2" xfId="13926" xr:uid="{B5A73C22-E29E-48FC-BE4B-44359CBD5D18}"/>
    <cellStyle name="Currency 5 3 3 4 4" xfId="9708" xr:uid="{4CCA9159-72BF-4009-94D8-2FF1D2B8A940}"/>
    <cellStyle name="Currency 5 3 3 5" xfId="1589" xr:uid="{00000000-0005-0000-0000-0000FE0C0000}"/>
    <cellStyle name="Currency 5 3 3 5 2" xfId="3819" xr:uid="{00000000-0005-0000-0000-0000FF0C0000}"/>
    <cellStyle name="Currency 5 3 3 5 2 2" xfId="8042" xr:uid="{00000000-0005-0000-0000-0000000D0000}"/>
    <cellStyle name="Currency 5 3 3 5 2 2 2" xfId="16484" xr:uid="{916F5225-5C3C-404F-A2AC-2334CBABEFAB}"/>
    <cellStyle name="Currency 5 3 3 5 2 3" xfId="12266" xr:uid="{8EE754F8-43B9-4961-A2F3-CE63A87A3EB4}"/>
    <cellStyle name="Currency 5 3 3 5 3" xfId="5897" xr:uid="{00000000-0005-0000-0000-0000010D0000}"/>
    <cellStyle name="Currency 5 3 3 5 3 2" xfId="14339" xr:uid="{20E264E2-F586-45CB-A0A6-2DC967A466DE}"/>
    <cellStyle name="Currency 5 3 3 5 4" xfId="10121" xr:uid="{262F8682-B633-467D-83DE-7E5CC3ED6420}"/>
    <cellStyle name="Currency 5 3 3 6" xfId="2003" xr:uid="{00000000-0005-0000-0000-0000020D0000}"/>
    <cellStyle name="Currency 5 3 3 6 2" xfId="4232" xr:uid="{00000000-0005-0000-0000-0000030D0000}"/>
    <cellStyle name="Currency 5 3 3 6 2 2" xfId="8455" xr:uid="{00000000-0005-0000-0000-0000040D0000}"/>
    <cellStyle name="Currency 5 3 3 6 2 2 2" xfId="16897" xr:uid="{B7F4A65C-DB02-49CC-B9F5-D858B6C0EED9}"/>
    <cellStyle name="Currency 5 3 3 6 2 3" xfId="12679" xr:uid="{5B61F756-81C0-45C9-A907-37AB77D80564}"/>
    <cellStyle name="Currency 5 3 3 6 3" xfId="6310" xr:uid="{00000000-0005-0000-0000-0000050D0000}"/>
    <cellStyle name="Currency 5 3 3 6 3 2" xfId="14752" xr:uid="{12F62FC8-6227-42AD-B8C9-5B97274E5E4E}"/>
    <cellStyle name="Currency 5 3 3 6 4" xfId="10534" xr:uid="{CD13A921-80D6-4479-8B35-580474D2FC78}"/>
    <cellStyle name="Currency 5 3 3 7" xfId="2438" xr:uid="{00000000-0005-0000-0000-0000060D0000}"/>
    <cellStyle name="Currency 5 3 3 7 2" xfId="6723" xr:uid="{00000000-0005-0000-0000-0000070D0000}"/>
    <cellStyle name="Currency 5 3 3 7 2 2" xfId="15165" xr:uid="{84E602B1-D37F-40DD-A067-69D44E2023FD}"/>
    <cellStyle name="Currency 5 3 3 7 3" xfId="10947" xr:uid="{2A22A1E0-2F4D-48DF-96DC-3ED2787C9FBF}"/>
    <cellStyle name="Currency 5 3 3 8" xfId="2735" xr:uid="{00000000-0005-0000-0000-0000080D0000}"/>
    <cellStyle name="Currency 5 3 3 9" xfId="2816" xr:uid="{00000000-0005-0000-0000-0000090D0000}"/>
    <cellStyle name="Currency 5 3 3 9 2" xfId="7040" xr:uid="{00000000-0005-0000-0000-00000A0D0000}"/>
    <cellStyle name="Currency 5 3 3 9 2 2" xfId="15482" xr:uid="{D7D4AD5A-94A8-41D7-B20A-5C427C1E6F0D}"/>
    <cellStyle name="Currency 5 3 3 9 3" xfId="11264" xr:uid="{2C67F752-4626-4FD9-AB45-F021E530B113}"/>
    <cellStyle name="Currency 5 3 4" xfId="216" xr:uid="{00000000-0005-0000-0000-00000B0D0000}"/>
    <cellStyle name="Currency 5 3 4 10" xfId="8883" xr:uid="{D069D550-0F70-4443-82D6-790311D2150A}"/>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15660" xr:uid="{30C6B0CF-B51E-468A-8EB4-28EB707A21FA}"/>
    <cellStyle name="Currency 5 3 4 2 2 3" xfId="11442" xr:uid="{38B1A898-E339-4168-A9A0-9A74FD4D6333}"/>
    <cellStyle name="Currency 5 3 4 2 3" xfId="5073" xr:uid="{00000000-0005-0000-0000-00000F0D0000}"/>
    <cellStyle name="Currency 5 3 4 2 3 2" xfId="13515" xr:uid="{BA2674A6-F4D9-4F02-89DA-9913A061F5ED}"/>
    <cellStyle name="Currency 5 3 4 2 4" xfId="9297" xr:uid="{A5523D2F-9A50-4746-99D5-8E8FBC7981EC}"/>
    <cellStyle name="Currency 5 3 4 3" xfId="1177" xr:uid="{00000000-0005-0000-0000-0000100D0000}"/>
    <cellStyle name="Currency 5 3 4 3 2" xfId="3408" xr:uid="{00000000-0005-0000-0000-0000110D0000}"/>
    <cellStyle name="Currency 5 3 4 3 2 2" xfId="7631" xr:uid="{00000000-0005-0000-0000-0000120D0000}"/>
    <cellStyle name="Currency 5 3 4 3 2 2 2" xfId="16073" xr:uid="{A21843AF-FF5A-43BB-AA20-512B534C17DA}"/>
    <cellStyle name="Currency 5 3 4 3 2 3" xfId="11855" xr:uid="{43E081AE-B161-4E38-8E14-28ECC0A27371}"/>
    <cellStyle name="Currency 5 3 4 3 3" xfId="5486" xr:uid="{00000000-0005-0000-0000-0000130D0000}"/>
    <cellStyle name="Currency 5 3 4 3 3 2" xfId="13928" xr:uid="{3C308E6B-3DA7-49F3-B91D-E761C3A6C599}"/>
    <cellStyle name="Currency 5 3 4 3 4" xfId="9710" xr:uid="{60C81B31-0FE3-4766-B80A-2A70F36B74C4}"/>
    <cellStyle name="Currency 5 3 4 4" xfId="1591" xr:uid="{00000000-0005-0000-0000-0000140D0000}"/>
    <cellStyle name="Currency 5 3 4 4 2" xfId="3821" xr:uid="{00000000-0005-0000-0000-0000150D0000}"/>
    <cellStyle name="Currency 5 3 4 4 2 2" xfId="8044" xr:uid="{00000000-0005-0000-0000-0000160D0000}"/>
    <cellStyle name="Currency 5 3 4 4 2 2 2" xfId="16486" xr:uid="{DAE2138A-2D09-43CA-8D81-394B8D0BCAB4}"/>
    <cellStyle name="Currency 5 3 4 4 2 3" xfId="12268" xr:uid="{7CBDCAC9-C180-408F-8508-B986BC5CAD48}"/>
    <cellStyle name="Currency 5 3 4 4 3" xfId="5899" xr:uid="{00000000-0005-0000-0000-0000170D0000}"/>
    <cellStyle name="Currency 5 3 4 4 3 2" xfId="14341" xr:uid="{D2CF19C9-55FC-4DB4-A6C0-2AFA436D5E0E}"/>
    <cellStyle name="Currency 5 3 4 4 4" xfId="10123" xr:uid="{AD764C88-E607-4A46-8D3D-D7DB38E27550}"/>
    <cellStyle name="Currency 5 3 4 5" xfId="2005" xr:uid="{00000000-0005-0000-0000-0000180D0000}"/>
    <cellStyle name="Currency 5 3 4 5 2" xfId="4234" xr:uid="{00000000-0005-0000-0000-0000190D0000}"/>
    <cellStyle name="Currency 5 3 4 5 2 2" xfId="8457" xr:uid="{00000000-0005-0000-0000-00001A0D0000}"/>
    <cellStyle name="Currency 5 3 4 5 2 2 2" xfId="16899" xr:uid="{087560B4-F815-4648-89D0-7EF45A2B5758}"/>
    <cellStyle name="Currency 5 3 4 5 2 3" xfId="12681" xr:uid="{A9E03663-BBCF-4ADC-8366-E361070EB926}"/>
    <cellStyle name="Currency 5 3 4 5 3" xfId="6312" xr:uid="{00000000-0005-0000-0000-00001B0D0000}"/>
    <cellStyle name="Currency 5 3 4 5 3 2" xfId="14754" xr:uid="{31F1F23A-2B37-48DC-9165-F0AA94298336}"/>
    <cellStyle name="Currency 5 3 4 5 4" xfId="10536" xr:uid="{092F8567-D56F-484F-9250-75D3AE4EC00A}"/>
    <cellStyle name="Currency 5 3 4 6" xfId="2440" xr:uid="{00000000-0005-0000-0000-00001C0D0000}"/>
    <cellStyle name="Currency 5 3 4 6 2" xfId="6725" xr:uid="{00000000-0005-0000-0000-00001D0D0000}"/>
    <cellStyle name="Currency 5 3 4 6 2 2" xfId="15167" xr:uid="{3A91C128-96C4-4B32-B2F2-30C17FF894DC}"/>
    <cellStyle name="Currency 5 3 4 6 3" xfId="10949" xr:uid="{8B3EF4DC-9D74-4D64-968E-DAA331C8A504}"/>
    <cellStyle name="Currency 5 3 4 7" xfId="2737" xr:uid="{00000000-0005-0000-0000-00001E0D0000}"/>
    <cellStyle name="Currency 5 3 4 8" xfId="2818" xr:uid="{00000000-0005-0000-0000-00001F0D0000}"/>
    <cellStyle name="Currency 5 3 4 8 2" xfId="7042" xr:uid="{00000000-0005-0000-0000-0000200D0000}"/>
    <cellStyle name="Currency 5 3 4 8 2 2" xfId="15484" xr:uid="{6ABD0485-A4AB-4FC4-A63C-2BCFD635162B}"/>
    <cellStyle name="Currency 5 3 4 8 3" xfId="11266" xr:uid="{5840DB81-CA60-48FE-A512-17FC828EF70D}"/>
    <cellStyle name="Currency 5 3 4 9" xfId="4659" xr:uid="{00000000-0005-0000-0000-0000210D0000}"/>
    <cellStyle name="Currency 5 3 4 9 2" xfId="13101" xr:uid="{E700929A-F878-4861-95B2-AD77E7EF5555}"/>
    <cellStyle name="Currency 5 3 5" xfId="217" xr:uid="{00000000-0005-0000-0000-0000220D0000}"/>
    <cellStyle name="Currency 5 3 5 10" xfId="8884" xr:uid="{AAE17B14-A99B-4755-987E-CC3F7B7C4EC9}"/>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15661" xr:uid="{68C17E38-4116-4106-A639-5D1F555DE190}"/>
    <cellStyle name="Currency 5 3 5 2 2 3" xfId="11443" xr:uid="{4ADBCA4F-C4E6-4F80-97FB-413CCDD852A0}"/>
    <cellStyle name="Currency 5 3 5 2 3" xfId="5074" xr:uid="{00000000-0005-0000-0000-0000260D0000}"/>
    <cellStyle name="Currency 5 3 5 2 3 2" xfId="13516" xr:uid="{8E6FE9DC-D1F9-4781-868D-CC9B9B8D518A}"/>
    <cellStyle name="Currency 5 3 5 2 4" xfId="9298" xr:uid="{7352A534-5819-4FF6-8B9E-B68730F2AE37}"/>
    <cellStyle name="Currency 5 3 5 3" xfId="1178" xr:uid="{00000000-0005-0000-0000-0000270D0000}"/>
    <cellStyle name="Currency 5 3 5 3 2" xfId="3409" xr:uid="{00000000-0005-0000-0000-0000280D0000}"/>
    <cellStyle name="Currency 5 3 5 3 2 2" xfId="7632" xr:uid="{00000000-0005-0000-0000-0000290D0000}"/>
    <cellStyle name="Currency 5 3 5 3 2 2 2" xfId="16074" xr:uid="{DAF386DA-1019-4424-9DC1-7DC8572D080A}"/>
    <cellStyle name="Currency 5 3 5 3 2 3" xfId="11856" xr:uid="{FCE8918C-5256-49BF-85C8-4285BCC9A8A3}"/>
    <cellStyle name="Currency 5 3 5 3 3" xfId="5487" xr:uid="{00000000-0005-0000-0000-00002A0D0000}"/>
    <cellStyle name="Currency 5 3 5 3 3 2" xfId="13929" xr:uid="{00E3A35D-2E04-45A9-B993-C37B5CE95FB4}"/>
    <cellStyle name="Currency 5 3 5 3 4" xfId="9711" xr:uid="{22E85242-57D9-4E6A-A4E6-CE9CEC9021F0}"/>
    <cellStyle name="Currency 5 3 5 4" xfId="1592" xr:uid="{00000000-0005-0000-0000-00002B0D0000}"/>
    <cellStyle name="Currency 5 3 5 4 2" xfId="3822" xr:uid="{00000000-0005-0000-0000-00002C0D0000}"/>
    <cellStyle name="Currency 5 3 5 4 2 2" xfId="8045" xr:uid="{00000000-0005-0000-0000-00002D0D0000}"/>
    <cellStyle name="Currency 5 3 5 4 2 2 2" xfId="16487" xr:uid="{2FA9F09A-BA18-4382-9B54-F048D4B5D782}"/>
    <cellStyle name="Currency 5 3 5 4 2 3" xfId="12269" xr:uid="{6717C38B-CC84-4FBB-870E-DF33D9701F46}"/>
    <cellStyle name="Currency 5 3 5 4 3" xfId="5900" xr:uid="{00000000-0005-0000-0000-00002E0D0000}"/>
    <cellStyle name="Currency 5 3 5 4 3 2" xfId="14342" xr:uid="{534ABAEA-857B-4E8E-B0AF-B7A88F856497}"/>
    <cellStyle name="Currency 5 3 5 4 4" xfId="10124" xr:uid="{3333D57E-F4C0-4638-BA8F-911703B63965}"/>
    <cellStyle name="Currency 5 3 5 5" xfId="2006" xr:uid="{00000000-0005-0000-0000-00002F0D0000}"/>
    <cellStyle name="Currency 5 3 5 5 2" xfId="4235" xr:uid="{00000000-0005-0000-0000-0000300D0000}"/>
    <cellStyle name="Currency 5 3 5 5 2 2" xfId="8458" xr:uid="{00000000-0005-0000-0000-0000310D0000}"/>
    <cellStyle name="Currency 5 3 5 5 2 2 2" xfId="16900" xr:uid="{DDB3B3C8-B14D-4437-9C51-3BEE88AD247F}"/>
    <cellStyle name="Currency 5 3 5 5 2 3" xfId="12682" xr:uid="{336A8A05-9EFD-44F3-8CD8-07361300019E}"/>
    <cellStyle name="Currency 5 3 5 5 3" xfId="6313" xr:uid="{00000000-0005-0000-0000-0000320D0000}"/>
    <cellStyle name="Currency 5 3 5 5 3 2" xfId="14755" xr:uid="{EE1161A6-25F5-402B-8208-C5D447A501AA}"/>
    <cellStyle name="Currency 5 3 5 5 4" xfId="10537" xr:uid="{4241246A-E88B-405F-AF42-504958564178}"/>
    <cellStyle name="Currency 5 3 5 6" xfId="2441" xr:uid="{00000000-0005-0000-0000-0000330D0000}"/>
    <cellStyle name="Currency 5 3 5 6 2" xfId="6726" xr:uid="{00000000-0005-0000-0000-0000340D0000}"/>
    <cellStyle name="Currency 5 3 5 6 2 2" xfId="15168" xr:uid="{6EDD0670-E766-4D3E-897B-40A46C286587}"/>
    <cellStyle name="Currency 5 3 5 6 3" xfId="10950" xr:uid="{F40DCB05-FA73-4A23-B162-375866ED237E}"/>
    <cellStyle name="Currency 5 3 5 7" xfId="2738" xr:uid="{00000000-0005-0000-0000-0000350D0000}"/>
    <cellStyle name="Currency 5 3 5 8" xfId="2819" xr:uid="{00000000-0005-0000-0000-0000360D0000}"/>
    <cellStyle name="Currency 5 3 5 8 2" xfId="7043" xr:uid="{00000000-0005-0000-0000-0000370D0000}"/>
    <cellStyle name="Currency 5 3 5 8 2 2" xfId="15485" xr:uid="{C26446E0-D2C5-41AA-B955-61C40DDFED0E}"/>
    <cellStyle name="Currency 5 3 5 8 3" xfId="11267" xr:uid="{AE7DE561-E6F9-4539-A1D0-3EC58FDD80DA}"/>
    <cellStyle name="Currency 5 3 5 9" xfId="4660" xr:uid="{00000000-0005-0000-0000-0000380D0000}"/>
    <cellStyle name="Currency 5 3 5 9 2" xfId="13102" xr:uid="{D04D5238-CD0B-4D03-931B-71D02AAE3506}"/>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0 2" xfId="13103" xr:uid="{26AF32E5-0C5B-4A17-9C5B-62D708A54553}"/>
    <cellStyle name="Currency 5 5 11" xfId="8885" xr:uid="{2075A660-C2D7-45B3-B1F8-3C35D30D9C06}"/>
    <cellStyle name="Currency 5 5 2" xfId="220" xr:uid="{00000000-0005-0000-0000-00003D0D0000}"/>
    <cellStyle name="Currency 5 5 2 10" xfId="8886" xr:uid="{EF8FCD13-1CF4-4A91-B5E2-F668F83D4790}"/>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15663" xr:uid="{43C78D5D-9E49-4E3E-B65C-06CF6680AF80}"/>
    <cellStyle name="Currency 5 5 2 2 2 3" xfId="11445" xr:uid="{F7E960B9-233D-44C3-A4B2-EA781A90C119}"/>
    <cellStyle name="Currency 5 5 2 2 3" xfId="5076" xr:uid="{00000000-0005-0000-0000-0000410D0000}"/>
    <cellStyle name="Currency 5 5 2 2 3 2" xfId="13518" xr:uid="{AAC1A8A6-E809-47F0-9CC9-8FD8F7A340C7}"/>
    <cellStyle name="Currency 5 5 2 2 4" xfId="9300" xr:uid="{F46A9AE1-0A0C-4B29-86DF-DAB431826A0E}"/>
    <cellStyle name="Currency 5 5 2 3" xfId="1180" xr:uid="{00000000-0005-0000-0000-0000420D0000}"/>
    <cellStyle name="Currency 5 5 2 3 2" xfId="3411" xr:uid="{00000000-0005-0000-0000-0000430D0000}"/>
    <cellStyle name="Currency 5 5 2 3 2 2" xfId="7634" xr:uid="{00000000-0005-0000-0000-0000440D0000}"/>
    <cellStyle name="Currency 5 5 2 3 2 2 2" xfId="16076" xr:uid="{9BEB2C1D-916D-4927-A150-A507806C7449}"/>
    <cellStyle name="Currency 5 5 2 3 2 3" xfId="11858" xr:uid="{A2E570B8-D437-49F6-A421-A33C5666577A}"/>
    <cellStyle name="Currency 5 5 2 3 3" xfId="5489" xr:uid="{00000000-0005-0000-0000-0000450D0000}"/>
    <cellStyle name="Currency 5 5 2 3 3 2" xfId="13931" xr:uid="{A49E8537-989A-4AB8-B192-7920D605ED37}"/>
    <cellStyle name="Currency 5 5 2 3 4" xfId="9713" xr:uid="{DF35F5B9-D1ED-466A-BA53-2FB458013863}"/>
    <cellStyle name="Currency 5 5 2 4" xfId="1594" xr:uid="{00000000-0005-0000-0000-0000460D0000}"/>
    <cellStyle name="Currency 5 5 2 4 2" xfId="3824" xr:uid="{00000000-0005-0000-0000-0000470D0000}"/>
    <cellStyle name="Currency 5 5 2 4 2 2" xfId="8047" xr:uid="{00000000-0005-0000-0000-0000480D0000}"/>
    <cellStyle name="Currency 5 5 2 4 2 2 2" xfId="16489" xr:uid="{924D2B3B-2229-4092-8AC7-36B723C3480C}"/>
    <cellStyle name="Currency 5 5 2 4 2 3" xfId="12271" xr:uid="{5472425D-C6C3-4BFA-8F64-450FCF6617AF}"/>
    <cellStyle name="Currency 5 5 2 4 3" xfId="5902" xr:uid="{00000000-0005-0000-0000-0000490D0000}"/>
    <cellStyle name="Currency 5 5 2 4 3 2" xfId="14344" xr:uid="{9AB39F29-182A-4C48-AB42-891353006B13}"/>
    <cellStyle name="Currency 5 5 2 4 4" xfId="10126" xr:uid="{95A81719-86A4-4F69-B5A8-C422F1407166}"/>
    <cellStyle name="Currency 5 5 2 5" xfId="2008" xr:uid="{00000000-0005-0000-0000-00004A0D0000}"/>
    <cellStyle name="Currency 5 5 2 5 2" xfId="4237" xr:uid="{00000000-0005-0000-0000-00004B0D0000}"/>
    <cellStyle name="Currency 5 5 2 5 2 2" xfId="8460" xr:uid="{00000000-0005-0000-0000-00004C0D0000}"/>
    <cellStyle name="Currency 5 5 2 5 2 2 2" xfId="16902" xr:uid="{686F76A2-3D36-4214-BB97-8EC422911F4A}"/>
    <cellStyle name="Currency 5 5 2 5 2 3" xfId="12684" xr:uid="{C2B7B219-B505-4468-AAAE-304B5A20ACC5}"/>
    <cellStyle name="Currency 5 5 2 5 3" xfId="6315" xr:uid="{00000000-0005-0000-0000-00004D0D0000}"/>
    <cellStyle name="Currency 5 5 2 5 3 2" xfId="14757" xr:uid="{316B3EBF-0034-41D4-8B8D-05F1AAF497BE}"/>
    <cellStyle name="Currency 5 5 2 5 4" xfId="10539" xr:uid="{77823D3C-3443-4419-A07B-824A070D5E03}"/>
    <cellStyle name="Currency 5 5 2 6" xfId="2443" xr:uid="{00000000-0005-0000-0000-00004E0D0000}"/>
    <cellStyle name="Currency 5 5 2 6 2" xfId="6728" xr:uid="{00000000-0005-0000-0000-00004F0D0000}"/>
    <cellStyle name="Currency 5 5 2 6 2 2" xfId="15170" xr:uid="{F873A8E9-0B58-4B87-9DBA-A00C0934964A}"/>
    <cellStyle name="Currency 5 5 2 6 3" xfId="10952" xr:uid="{37B8CD94-3E27-4B41-A517-CBDF2D017698}"/>
    <cellStyle name="Currency 5 5 2 7" xfId="2740" xr:uid="{00000000-0005-0000-0000-0000500D0000}"/>
    <cellStyle name="Currency 5 5 2 8" xfId="2821" xr:uid="{00000000-0005-0000-0000-0000510D0000}"/>
    <cellStyle name="Currency 5 5 2 8 2" xfId="7045" xr:uid="{00000000-0005-0000-0000-0000520D0000}"/>
    <cellStyle name="Currency 5 5 2 8 2 2" xfId="15487" xr:uid="{8AE2C06B-779F-443B-9099-EAA93D69ED11}"/>
    <cellStyle name="Currency 5 5 2 8 3" xfId="11269" xr:uid="{68DE6A30-091D-4181-8C51-16803ABF11DB}"/>
    <cellStyle name="Currency 5 5 2 9" xfId="4662" xr:uid="{00000000-0005-0000-0000-0000530D0000}"/>
    <cellStyle name="Currency 5 5 2 9 2" xfId="13104" xr:uid="{C0AB6762-FF84-4B6F-A902-4EB0611949F1}"/>
    <cellStyle name="Currency 5 5 3" xfId="745" xr:uid="{00000000-0005-0000-0000-0000540D0000}"/>
    <cellStyle name="Currency 5 5 3 2" xfId="2997" xr:uid="{00000000-0005-0000-0000-0000550D0000}"/>
    <cellStyle name="Currency 5 5 3 2 2" xfId="7220" xr:uid="{00000000-0005-0000-0000-0000560D0000}"/>
    <cellStyle name="Currency 5 5 3 2 2 2" xfId="15662" xr:uid="{6B19BC4E-D599-465C-9D98-A3BAE009A4A8}"/>
    <cellStyle name="Currency 5 5 3 2 3" xfId="11444" xr:uid="{AADBE50E-3692-4CCC-89B3-F3D8A0F4332F}"/>
    <cellStyle name="Currency 5 5 3 3" xfId="5075" xr:uid="{00000000-0005-0000-0000-0000570D0000}"/>
    <cellStyle name="Currency 5 5 3 3 2" xfId="13517" xr:uid="{63D74E4B-DD6E-4638-B9A0-EC9D8B6189A7}"/>
    <cellStyle name="Currency 5 5 3 4" xfId="9299" xr:uid="{9B421046-8982-4886-9849-F0F2E3650A79}"/>
    <cellStyle name="Currency 5 5 4" xfId="1179" xr:uid="{00000000-0005-0000-0000-0000580D0000}"/>
    <cellStyle name="Currency 5 5 4 2" xfId="3410" xr:uid="{00000000-0005-0000-0000-0000590D0000}"/>
    <cellStyle name="Currency 5 5 4 2 2" xfId="7633" xr:uid="{00000000-0005-0000-0000-00005A0D0000}"/>
    <cellStyle name="Currency 5 5 4 2 2 2" xfId="16075" xr:uid="{7083F323-19A6-441C-860D-F5C5B01AD4DA}"/>
    <cellStyle name="Currency 5 5 4 2 3" xfId="11857" xr:uid="{E78D2A5E-409F-4F11-B5F8-E8F328F2BEEB}"/>
    <cellStyle name="Currency 5 5 4 3" xfId="5488" xr:uid="{00000000-0005-0000-0000-00005B0D0000}"/>
    <cellStyle name="Currency 5 5 4 3 2" xfId="13930" xr:uid="{BDB35996-C641-4F97-980B-AB8B098F2CD1}"/>
    <cellStyle name="Currency 5 5 4 4" xfId="9712" xr:uid="{9DBA3620-C730-4D1D-BE7E-5AFB48598CBF}"/>
    <cellStyle name="Currency 5 5 5" xfId="1593" xr:uid="{00000000-0005-0000-0000-00005C0D0000}"/>
    <cellStyle name="Currency 5 5 5 2" xfId="3823" xr:uid="{00000000-0005-0000-0000-00005D0D0000}"/>
    <cellStyle name="Currency 5 5 5 2 2" xfId="8046" xr:uid="{00000000-0005-0000-0000-00005E0D0000}"/>
    <cellStyle name="Currency 5 5 5 2 2 2" xfId="16488" xr:uid="{CCE83F4A-5AF8-4E59-A293-29F92842654B}"/>
    <cellStyle name="Currency 5 5 5 2 3" xfId="12270" xr:uid="{C2F57665-C793-4E68-B65F-C0AD7925D787}"/>
    <cellStyle name="Currency 5 5 5 3" xfId="5901" xr:uid="{00000000-0005-0000-0000-00005F0D0000}"/>
    <cellStyle name="Currency 5 5 5 3 2" xfId="14343" xr:uid="{D92FC5FA-997C-4406-8477-E7B471ED293A}"/>
    <cellStyle name="Currency 5 5 5 4" xfId="10125" xr:uid="{95543CA1-C654-448C-8E12-311F632BD52B}"/>
    <cellStyle name="Currency 5 5 6" xfId="2007" xr:uid="{00000000-0005-0000-0000-0000600D0000}"/>
    <cellStyle name="Currency 5 5 6 2" xfId="4236" xr:uid="{00000000-0005-0000-0000-0000610D0000}"/>
    <cellStyle name="Currency 5 5 6 2 2" xfId="8459" xr:uid="{00000000-0005-0000-0000-0000620D0000}"/>
    <cellStyle name="Currency 5 5 6 2 2 2" xfId="16901" xr:uid="{1C697991-6FEB-41F8-8C4E-86FCE4C8F739}"/>
    <cellStyle name="Currency 5 5 6 2 3" xfId="12683" xr:uid="{3B7D3C2D-D55B-4680-BBD8-00C8BDA94B56}"/>
    <cellStyle name="Currency 5 5 6 3" xfId="6314" xr:uid="{00000000-0005-0000-0000-0000630D0000}"/>
    <cellStyle name="Currency 5 5 6 3 2" xfId="14756" xr:uid="{23950E95-731D-4E70-A903-3186C22320B1}"/>
    <cellStyle name="Currency 5 5 6 4" xfId="10538" xr:uid="{5B70ED7D-31F8-443B-B797-818838C92686}"/>
    <cellStyle name="Currency 5 5 7" xfId="2442" xr:uid="{00000000-0005-0000-0000-0000640D0000}"/>
    <cellStyle name="Currency 5 5 7 2" xfId="6727" xr:uid="{00000000-0005-0000-0000-0000650D0000}"/>
    <cellStyle name="Currency 5 5 7 2 2" xfId="15169" xr:uid="{8AB6BD6F-7FD5-499C-A0CC-5283549E698F}"/>
    <cellStyle name="Currency 5 5 7 3" xfId="10951" xr:uid="{D039F51D-62B0-469D-9A1C-917B47AF4FDE}"/>
    <cellStyle name="Currency 5 5 8" xfId="2739" xr:uid="{00000000-0005-0000-0000-0000660D0000}"/>
    <cellStyle name="Currency 5 5 9" xfId="2820" xr:uid="{00000000-0005-0000-0000-0000670D0000}"/>
    <cellStyle name="Currency 5 5 9 2" xfId="7044" xr:uid="{00000000-0005-0000-0000-0000680D0000}"/>
    <cellStyle name="Currency 5 5 9 2 2" xfId="15486" xr:uid="{D8B13804-821C-4AF7-9C11-102E815E5205}"/>
    <cellStyle name="Currency 5 5 9 3" xfId="11268" xr:uid="{023AA6B0-EB8A-4CD4-AC2A-8AE4B92476C8}"/>
    <cellStyle name="Currency 5 6" xfId="221" xr:uid="{00000000-0005-0000-0000-0000690D0000}"/>
    <cellStyle name="Currency 5 6 10" xfId="8887" xr:uid="{E62F16C1-9697-4798-BFB9-7465B2235719}"/>
    <cellStyle name="Currency 5 6 2" xfId="747" xr:uid="{00000000-0005-0000-0000-00006A0D0000}"/>
    <cellStyle name="Currency 5 6 2 2" xfId="2999" xr:uid="{00000000-0005-0000-0000-00006B0D0000}"/>
    <cellStyle name="Currency 5 6 2 2 2" xfId="7222" xr:uid="{00000000-0005-0000-0000-00006C0D0000}"/>
    <cellStyle name="Currency 5 6 2 2 2 2" xfId="15664" xr:uid="{76982148-A065-4CDF-A8B2-E92F8A4D4002}"/>
    <cellStyle name="Currency 5 6 2 2 3" xfId="11446" xr:uid="{DC736CB6-5831-41D0-81BE-654A6A5BAA29}"/>
    <cellStyle name="Currency 5 6 2 3" xfId="5077" xr:uid="{00000000-0005-0000-0000-00006D0D0000}"/>
    <cellStyle name="Currency 5 6 2 3 2" xfId="13519" xr:uid="{1CC60C5D-96A2-412C-BCFC-2A8EC180C585}"/>
    <cellStyle name="Currency 5 6 2 4" xfId="9301" xr:uid="{17AB9D20-1C77-4E3F-A4D9-4F3236EB6119}"/>
    <cellStyle name="Currency 5 6 3" xfId="1181" xr:uid="{00000000-0005-0000-0000-00006E0D0000}"/>
    <cellStyle name="Currency 5 6 3 2" xfId="3412" xr:uid="{00000000-0005-0000-0000-00006F0D0000}"/>
    <cellStyle name="Currency 5 6 3 2 2" xfId="7635" xr:uid="{00000000-0005-0000-0000-0000700D0000}"/>
    <cellStyle name="Currency 5 6 3 2 2 2" xfId="16077" xr:uid="{972FE9C0-F9B5-430B-BC2F-D64AAA3CD936}"/>
    <cellStyle name="Currency 5 6 3 2 3" xfId="11859" xr:uid="{B8657437-A876-4401-9898-AC342DDBFFDD}"/>
    <cellStyle name="Currency 5 6 3 3" xfId="5490" xr:uid="{00000000-0005-0000-0000-0000710D0000}"/>
    <cellStyle name="Currency 5 6 3 3 2" xfId="13932" xr:uid="{39E00321-729B-4097-B53F-7AEAE6A25A82}"/>
    <cellStyle name="Currency 5 6 3 4" xfId="9714" xr:uid="{E55A32B9-48F8-45AC-9965-E84BB3C39EB6}"/>
    <cellStyle name="Currency 5 6 4" xfId="1595" xr:uid="{00000000-0005-0000-0000-0000720D0000}"/>
    <cellStyle name="Currency 5 6 4 2" xfId="3825" xr:uid="{00000000-0005-0000-0000-0000730D0000}"/>
    <cellStyle name="Currency 5 6 4 2 2" xfId="8048" xr:uid="{00000000-0005-0000-0000-0000740D0000}"/>
    <cellStyle name="Currency 5 6 4 2 2 2" xfId="16490" xr:uid="{E1192953-1DF6-41C4-A16F-13C3145A6AAB}"/>
    <cellStyle name="Currency 5 6 4 2 3" xfId="12272" xr:uid="{48391700-EDDC-4F12-8DC4-DFA0185D53FB}"/>
    <cellStyle name="Currency 5 6 4 3" xfId="5903" xr:uid="{00000000-0005-0000-0000-0000750D0000}"/>
    <cellStyle name="Currency 5 6 4 3 2" xfId="14345" xr:uid="{4E6BB4DA-2DB3-414F-9DC0-2876908AB774}"/>
    <cellStyle name="Currency 5 6 4 4" xfId="10127" xr:uid="{A88B6A07-65C8-461E-B95D-4030903F8245}"/>
    <cellStyle name="Currency 5 6 5" xfId="2009" xr:uid="{00000000-0005-0000-0000-0000760D0000}"/>
    <cellStyle name="Currency 5 6 5 2" xfId="4238" xr:uid="{00000000-0005-0000-0000-0000770D0000}"/>
    <cellStyle name="Currency 5 6 5 2 2" xfId="8461" xr:uid="{00000000-0005-0000-0000-0000780D0000}"/>
    <cellStyle name="Currency 5 6 5 2 2 2" xfId="16903" xr:uid="{3DEDB4B2-8AA5-4B96-8B49-4B2F5B82179B}"/>
    <cellStyle name="Currency 5 6 5 2 3" xfId="12685" xr:uid="{66818033-0757-430E-80FD-BC9FFBE749B7}"/>
    <cellStyle name="Currency 5 6 5 3" xfId="6316" xr:uid="{00000000-0005-0000-0000-0000790D0000}"/>
    <cellStyle name="Currency 5 6 5 3 2" xfId="14758" xr:uid="{56F41D2C-58C6-4DF3-8615-86FA7B8AF708}"/>
    <cellStyle name="Currency 5 6 5 4" xfId="10540" xr:uid="{49322F69-2EB6-4B6A-BCA5-8621138EB5A6}"/>
    <cellStyle name="Currency 5 6 6" xfId="2444" xr:uid="{00000000-0005-0000-0000-00007A0D0000}"/>
    <cellStyle name="Currency 5 6 6 2" xfId="6729" xr:uid="{00000000-0005-0000-0000-00007B0D0000}"/>
    <cellStyle name="Currency 5 6 6 2 2" xfId="15171" xr:uid="{C0ABADE7-81D0-4CE3-9D20-9CB23E9737CE}"/>
    <cellStyle name="Currency 5 6 6 3" xfId="10953" xr:uid="{EF7545F7-C2B8-41F7-843C-2BE9350AA3A7}"/>
    <cellStyle name="Currency 5 6 7" xfId="2741" xr:uid="{00000000-0005-0000-0000-00007C0D0000}"/>
    <cellStyle name="Currency 5 6 8" xfId="2822" xr:uid="{00000000-0005-0000-0000-00007D0D0000}"/>
    <cellStyle name="Currency 5 6 8 2" xfId="7046" xr:uid="{00000000-0005-0000-0000-00007E0D0000}"/>
    <cellStyle name="Currency 5 6 8 2 2" xfId="15488" xr:uid="{ED3B9C38-5E66-4403-BEDF-D968D7079219}"/>
    <cellStyle name="Currency 5 6 8 3" xfId="11270" xr:uid="{288FFDFC-CA21-41EB-A5CC-702E21755132}"/>
    <cellStyle name="Currency 5 6 9" xfId="4663" xr:uid="{00000000-0005-0000-0000-00007F0D0000}"/>
    <cellStyle name="Currency 5 6 9 2" xfId="13105" xr:uid="{178A3644-7722-4AB8-B67C-B644E3E338CE}"/>
    <cellStyle name="Currency 5 7" xfId="222" xr:uid="{00000000-0005-0000-0000-0000800D0000}"/>
    <cellStyle name="Currency 5 7 10" xfId="8888" xr:uid="{736454EF-BB37-4877-AA83-E9CA81EF6F99}"/>
    <cellStyle name="Currency 5 7 2" xfId="748" xr:uid="{00000000-0005-0000-0000-0000810D0000}"/>
    <cellStyle name="Currency 5 7 2 2" xfId="3000" xr:uid="{00000000-0005-0000-0000-0000820D0000}"/>
    <cellStyle name="Currency 5 7 2 2 2" xfId="7223" xr:uid="{00000000-0005-0000-0000-0000830D0000}"/>
    <cellStyle name="Currency 5 7 2 2 2 2" xfId="15665" xr:uid="{2AB3292D-8917-4FCD-8E01-B8BB8C254E2A}"/>
    <cellStyle name="Currency 5 7 2 2 3" xfId="11447" xr:uid="{4C247B7E-8350-4A04-B78B-16D6BA8603FF}"/>
    <cellStyle name="Currency 5 7 2 3" xfId="5078" xr:uid="{00000000-0005-0000-0000-0000840D0000}"/>
    <cellStyle name="Currency 5 7 2 3 2" xfId="13520" xr:uid="{A641D99F-2B6C-4B2D-B67F-5BB7E9E09982}"/>
    <cellStyle name="Currency 5 7 2 4" xfId="9302" xr:uid="{97F63B96-167A-4375-84B3-9617B7740B9B}"/>
    <cellStyle name="Currency 5 7 3" xfId="1182" xr:uid="{00000000-0005-0000-0000-0000850D0000}"/>
    <cellStyle name="Currency 5 7 3 2" xfId="3413" xr:uid="{00000000-0005-0000-0000-0000860D0000}"/>
    <cellStyle name="Currency 5 7 3 2 2" xfId="7636" xr:uid="{00000000-0005-0000-0000-0000870D0000}"/>
    <cellStyle name="Currency 5 7 3 2 2 2" xfId="16078" xr:uid="{ED0E43FA-EBFB-4898-A06E-407454E23256}"/>
    <cellStyle name="Currency 5 7 3 2 3" xfId="11860" xr:uid="{465B9A9F-FA96-4EA0-8AA5-F884C1CAF7FF}"/>
    <cellStyle name="Currency 5 7 3 3" xfId="5491" xr:uid="{00000000-0005-0000-0000-0000880D0000}"/>
    <cellStyle name="Currency 5 7 3 3 2" xfId="13933" xr:uid="{05A5107A-F4D4-4C93-A523-D098D1B61CE5}"/>
    <cellStyle name="Currency 5 7 3 4" xfId="9715" xr:uid="{6AE81D0C-E010-46AA-A76D-D13551E4CA94}"/>
    <cellStyle name="Currency 5 7 4" xfId="1596" xr:uid="{00000000-0005-0000-0000-0000890D0000}"/>
    <cellStyle name="Currency 5 7 4 2" xfId="3826" xr:uid="{00000000-0005-0000-0000-00008A0D0000}"/>
    <cellStyle name="Currency 5 7 4 2 2" xfId="8049" xr:uid="{00000000-0005-0000-0000-00008B0D0000}"/>
    <cellStyle name="Currency 5 7 4 2 2 2" xfId="16491" xr:uid="{A7349BB9-DEB8-4331-B886-09A907EFD8AA}"/>
    <cellStyle name="Currency 5 7 4 2 3" xfId="12273" xr:uid="{46FEF81A-418F-4B57-A8D4-FEF15F0EC177}"/>
    <cellStyle name="Currency 5 7 4 3" xfId="5904" xr:uid="{00000000-0005-0000-0000-00008C0D0000}"/>
    <cellStyle name="Currency 5 7 4 3 2" xfId="14346" xr:uid="{9C9F9150-85F6-4963-B1DA-FCB845F0FADA}"/>
    <cellStyle name="Currency 5 7 4 4" xfId="10128" xr:uid="{B9EB8DEC-00E0-477C-B315-FE2E81835A43}"/>
    <cellStyle name="Currency 5 7 5" xfId="2010" xr:uid="{00000000-0005-0000-0000-00008D0D0000}"/>
    <cellStyle name="Currency 5 7 5 2" xfId="4239" xr:uid="{00000000-0005-0000-0000-00008E0D0000}"/>
    <cellStyle name="Currency 5 7 5 2 2" xfId="8462" xr:uid="{00000000-0005-0000-0000-00008F0D0000}"/>
    <cellStyle name="Currency 5 7 5 2 2 2" xfId="16904" xr:uid="{889FB3B8-BBBA-4093-942A-7F007D055331}"/>
    <cellStyle name="Currency 5 7 5 2 3" xfId="12686" xr:uid="{246431C6-53A6-4268-8D38-3B2BA89FC701}"/>
    <cellStyle name="Currency 5 7 5 3" xfId="6317" xr:uid="{00000000-0005-0000-0000-0000900D0000}"/>
    <cellStyle name="Currency 5 7 5 3 2" xfId="14759" xr:uid="{91553B65-B375-4209-A4CE-4A1906F674CD}"/>
    <cellStyle name="Currency 5 7 5 4" xfId="10541" xr:uid="{1CD7CE0F-2D8F-4976-96DE-E656ED762B4C}"/>
    <cellStyle name="Currency 5 7 6" xfId="2445" xr:uid="{00000000-0005-0000-0000-0000910D0000}"/>
    <cellStyle name="Currency 5 7 6 2" xfId="6730" xr:uid="{00000000-0005-0000-0000-0000920D0000}"/>
    <cellStyle name="Currency 5 7 6 2 2" xfId="15172" xr:uid="{AC587C69-C400-48B0-9759-349D100A26D3}"/>
    <cellStyle name="Currency 5 7 6 3" xfId="10954" xr:uid="{D449C3AD-FF17-4870-9927-C747B33DB36E}"/>
    <cellStyle name="Currency 5 7 7" xfId="2742" xr:uid="{00000000-0005-0000-0000-0000930D0000}"/>
    <cellStyle name="Currency 5 7 8" xfId="2823" xr:uid="{00000000-0005-0000-0000-0000940D0000}"/>
    <cellStyle name="Currency 5 7 8 2" xfId="7047" xr:uid="{00000000-0005-0000-0000-0000950D0000}"/>
    <cellStyle name="Currency 5 7 8 2 2" xfId="15489" xr:uid="{862FE5F8-20CA-4C91-969E-B2D64E0BF30B}"/>
    <cellStyle name="Currency 5 7 8 3" xfId="11271" xr:uid="{61EC3EB7-6EC2-4E7C-97C5-620DDA2EE585}"/>
    <cellStyle name="Currency 5 7 9" xfId="4664" xr:uid="{00000000-0005-0000-0000-0000960D0000}"/>
    <cellStyle name="Currency 5 7 9 2" xfId="13106" xr:uid="{1F9259D8-6500-43C2-B2C6-A6C70579323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0 2 2" xfId="15173" xr:uid="{D6663465-1E84-40C1-BA51-E087BE1C21BC}"/>
    <cellStyle name="Normal 12 10 3" xfId="10955" xr:uid="{97C34EC6-B443-4413-975E-611B4B639224}"/>
    <cellStyle name="Normal 12 11" xfId="4665" xr:uid="{00000000-0005-0000-0000-0000CC0D0000}"/>
    <cellStyle name="Normal 12 11 2" xfId="13107" xr:uid="{E307B6E6-C0BF-468A-9C9E-3D0AABDB56E2}"/>
    <cellStyle name="Normal 12 12" xfId="8889" xr:uid="{A3D03EBA-6F1A-4716-B527-84BF9AF46C90}"/>
    <cellStyle name="Normal 12 2" xfId="260" xr:uid="{00000000-0005-0000-0000-0000CD0D0000}"/>
    <cellStyle name="Normal 12 2 10" xfId="8890" xr:uid="{A379215F-B6A2-4F53-AA9F-F6A502513285}"/>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15669" xr:uid="{B7719FA6-74CB-4463-9971-118609AA6801}"/>
    <cellStyle name="Normal 12 2 2 2 2 2 3" xfId="11451" xr:uid="{1A411A7C-7FF3-40AF-BB9F-F90AADD2BCFB}"/>
    <cellStyle name="Normal 12 2 2 2 2 3" xfId="5082" xr:uid="{00000000-0005-0000-0000-0000D30D0000}"/>
    <cellStyle name="Normal 12 2 2 2 2 3 2" xfId="13524" xr:uid="{04FF7F48-1C38-4120-8FF0-74196390D7A5}"/>
    <cellStyle name="Normal 12 2 2 2 2 4" xfId="9306" xr:uid="{73E6DDA6-D3F2-4F5F-9176-4C4E841D9288}"/>
    <cellStyle name="Normal 12 2 2 2 3" xfId="1186" xr:uid="{00000000-0005-0000-0000-0000D40D0000}"/>
    <cellStyle name="Normal 12 2 2 2 3 2" xfId="3417" xr:uid="{00000000-0005-0000-0000-0000D50D0000}"/>
    <cellStyle name="Normal 12 2 2 2 3 2 2" xfId="7640" xr:uid="{00000000-0005-0000-0000-0000D60D0000}"/>
    <cellStyle name="Normal 12 2 2 2 3 2 2 2" xfId="16082" xr:uid="{037BF1D3-8AD3-4225-97E9-8FF1A070DE0E}"/>
    <cellStyle name="Normal 12 2 2 2 3 2 3" xfId="11864" xr:uid="{C7EE7719-1869-48CF-954D-F460A72FA624}"/>
    <cellStyle name="Normal 12 2 2 2 3 3" xfId="5495" xr:uid="{00000000-0005-0000-0000-0000D70D0000}"/>
    <cellStyle name="Normal 12 2 2 2 3 3 2" xfId="13937" xr:uid="{F0CF5ACA-414D-4323-BED2-81CEC7196068}"/>
    <cellStyle name="Normal 12 2 2 2 3 4" xfId="9719" xr:uid="{53E79BBA-509B-44D3-81A0-E18E3C545D1A}"/>
    <cellStyle name="Normal 12 2 2 2 4" xfId="1600" xr:uid="{00000000-0005-0000-0000-0000D80D0000}"/>
    <cellStyle name="Normal 12 2 2 2 4 2" xfId="3830" xr:uid="{00000000-0005-0000-0000-0000D90D0000}"/>
    <cellStyle name="Normal 12 2 2 2 4 2 2" xfId="8053" xr:uid="{00000000-0005-0000-0000-0000DA0D0000}"/>
    <cellStyle name="Normal 12 2 2 2 4 2 2 2" xfId="16495" xr:uid="{30A7AB81-5FA2-460A-BF05-6A54286D3FED}"/>
    <cellStyle name="Normal 12 2 2 2 4 2 3" xfId="12277" xr:uid="{593B6918-737C-4EB7-A82C-10F38E2FDC4C}"/>
    <cellStyle name="Normal 12 2 2 2 4 3" xfId="5908" xr:uid="{00000000-0005-0000-0000-0000DB0D0000}"/>
    <cellStyle name="Normal 12 2 2 2 4 3 2" xfId="14350" xr:uid="{76AACD00-0433-4CB1-89E3-9A4DEC073A45}"/>
    <cellStyle name="Normal 12 2 2 2 4 4" xfId="10132" xr:uid="{3539D757-6F6C-41FA-9E7B-C44888FF0B2F}"/>
    <cellStyle name="Normal 12 2 2 2 5" xfId="2014" xr:uid="{00000000-0005-0000-0000-0000DC0D0000}"/>
    <cellStyle name="Normal 12 2 2 2 5 2" xfId="4243" xr:uid="{00000000-0005-0000-0000-0000DD0D0000}"/>
    <cellStyle name="Normal 12 2 2 2 5 2 2" xfId="8466" xr:uid="{00000000-0005-0000-0000-0000DE0D0000}"/>
    <cellStyle name="Normal 12 2 2 2 5 2 2 2" xfId="16908" xr:uid="{28949A53-7727-4B9C-A6EF-74CA32C9D5BC}"/>
    <cellStyle name="Normal 12 2 2 2 5 2 3" xfId="12690" xr:uid="{7D7887F7-4E9A-4D6F-A50C-6D92BDE95833}"/>
    <cellStyle name="Normal 12 2 2 2 5 3" xfId="6321" xr:uid="{00000000-0005-0000-0000-0000DF0D0000}"/>
    <cellStyle name="Normal 12 2 2 2 5 3 2" xfId="14763" xr:uid="{F5BC5B44-3D5A-4340-8392-63FFBB8E0377}"/>
    <cellStyle name="Normal 12 2 2 2 5 4" xfId="10545" xr:uid="{EFBDB2D1-A90D-49E9-B157-81D58FB27EE3}"/>
    <cellStyle name="Normal 12 2 2 2 6" xfId="2450" xr:uid="{00000000-0005-0000-0000-0000E00D0000}"/>
    <cellStyle name="Normal 12 2 2 2 6 2" xfId="6734" xr:uid="{00000000-0005-0000-0000-0000E10D0000}"/>
    <cellStyle name="Normal 12 2 2 2 6 2 2" xfId="15176" xr:uid="{B9901843-1BD8-4D5B-86D1-436AC3E543AC}"/>
    <cellStyle name="Normal 12 2 2 2 6 3" xfId="10958" xr:uid="{BD53DCF3-70CD-464B-9E90-7DE6EEC7C3B8}"/>
    <cellStyle name="Normal 12 2 2 2 7" xfId="4668" xr:uid="{00000000-0005-0000-0000-0000E20D0000}"/>
    <cellStyle name="Normal 12 2 2 2 7 2" xfId="13110" xr:uid="{A6B11EBB-ED64-4D40-AD91-EB981C04780D}"/>
    <cellStyle name="Normal 12 2 2 2 8" xfId="8892" xr:uid="{2CEBEE01-BD32-4CB5-8466-AAEAAB2101DD}"/>
    <cellStyle name="Normal 12 2 2 3" xfId="762" xr:uid="{00000000-0005-0000-0000-0000E30D0000}"/>
    <cellStyle name="Normal 12 2 2 3 2" xfId="3003" xr:uid="{00000000-0005-0000-0000-0000E40D0000}"/>
    <cellStyle name="Normal 12 2 2 3 2 2" xfId="7226" xr:uid="{00000000-0005-0000-0000-0000E50D0000}"/>
    <cellStyle name="Normal 12 2 2 3 2 2 2" xfId="15668" xr:uid="{4345B18D-7213-4761-ADDE-40A19F936322}"/>
    <cellStyle name="Normal 12 2 2 3 2 3" xfId="11450" xr:uid="{AFDE4C13-42C1-466B-8B6E-382A8B265B40}"/>
    <cellStyle name="Normal 12 2 2 3 3" xfId="5081" xr:uid="{00000000-0005-0000-0000-0000E60D0000}"/>
    <cellStyle name="Normal 12 2 2 3 3 2" xfId="13523" xr:uid="{85A6CA9B-0B6E-4781-8B1F-F03C4C84050B}"/>
    <cellStyle name="Normal 12 2 2 3 4" xfId="9305" xr:uid="{58D02FC8-8647-4FE0-9A12-56055457B8E6}"/>
    <cellStyle name="Normal 12 2 2 4" xfId="1185" xr:uid="{00000000-0005-0000-0000-0000E70D0000}"/>
    <cellStyle name="Normal 12 2 2 4 2" xfId="3416" xr:uid="{00000000-0005-0000-0000-0000E80D0000}"/>
    <cellStyle name="Normal 12 2 2 4 2 2" xfId="7639" xr:uid="{00000000-0005-0000-0000-0000E90D0000}"/>
    <cellStyle name="Normal 12 2 2 4 2 2 2" xfId="16081" xr:uid="{2464D06B-45FF-4C62-93A0-EBE7ECB7CE10}"/>
    <cellStyle name="Normal 12 2 2 4 2 3" xfId="11863" xr:uid="{196F00DB-97F1-4650-848C-F8E3736B176E}"/>
    <cellStyle name="Normal 12 2 2 4 3" xfId="5494" xr:uid="{00000000-0005-0000-0000-0000EA0D0000}"/>
    <cellStyle name="Normal 12 2 2 4 3 2" xfId="13936" xr:uid="{18F57CD9-29B9-430A-97B7-B6AA638BBB4A}"/>
    <cellStyle name="Normal 12 2 2 4 4" xfId="9718" xr:uid="{D6A48B22-FDD4-474D-B772-4B82B3F2B754}"/>
    <cellStyle name="Normal 12 2 2 5" xfId="1599" xr:uid="{00000000-0005-0000-0000-0000EB0D0000}"/>
    <cellStyle name="Normal 12 2 2 5 2" xfId="3829" xr:uid="{00000000-0005-0000-0000-0000EC0D0000}"/>
    <cellStyle name="Normal 12 2 2 5 2 2" xfId="8052" xr:uid="{00000000-0005-0000-0000-0000ED0D0000}"/>
    <cellStyle name="Normal 12 2 2 5 2 2 2" xfId="16494" xr:uid="{02CFF8B6-93D8-46AD-8D05-A919DD08E344}"/>
    <cellStyle name="Normal 12 2 2 5 2 3" xfId="12276" xr:uid="{242221DA-B8CF-419E-BFF9-A4211092C734}"/>
    <cellStyle name="Normal 12 2 2 5 3" xfId="5907" xr:uid="{00000000-0005-0000-0000-0000EE0D0000}"/>
    <cellStyle name="Normal 12 2 2 5 3 2" xfId="14349" xr:uid="{F4394EA4-15C1-404B-9E3A-73B766AD46C7}"/>
    <cellStyle name="Normal 12 2 2 5 4" xfId="10131" xr:uid="{FA165FB4-6C42-49DD-90A3-70637343137B}"/>
    <cellStyle name="Normal 12 2 2 6" xfId="2013" xr:uid="{00000000-0005-0000-0000-0000EF0D0000}"/>
    <cellStyle name="Normal 12 2 2 6 2" xfId="4242" xr:uid="{00000000-0005-0000-0000-0000F00D0000}"/>
    <cellStyle name="Normal 12 2 2 6 2 2" xfId="8465" xr:uid="{00000000-0005-0000-0000-0000F10D0000}"/>
    <cellStyle name="Normal 12 2 2 6 2 2 2" xfId="16907" xr:uid="{C51AEBB9-CE9D-4638-91FE-F88828BDC76F}"/>
    <cellStyle name="Normal 12 2 2 6 2 3" xfId="12689" xr:uid="{EAB87AD7-1FC6-4761-909F-48EBDC9ADEB9}"/>
    <cellStyle name="Normal 12 2 2 6 3" xfId="6320" xr:uid="{00000000-0005-0000-0000-0000F20D0000}"/>
    <cellStyle name="Normal 12 2 2 6 3 2" xfId="14762" xr:uid="{F70BFD9C-9F31-48F5-8281-5A5B7DC5C0D3}"/>
    <cellStyle name="Normal 12 2 2 6 4" xfId="10544" xr:uid="{F3A472B2-CD93-48FA-9306-A2A7FD20A274}"/>
    <cellStyle name="Normal 12 2 2 7" xfId="2449" xr:uid="{00000000-0005-0000-0000-0000F30D0000}"/>
    <cellStyle name="Normal 12 2 2 7 2" xfId="6733" xr:uid="{00000000-0005-0000-0000-0000F40D0000}"/>
    <cellStyle name="Normal 12 2 2 7 2 2" xfId="15175" xr:uid="{07F47B9F-F6CF-4DB2-B3B8-83BEB6FB85BE}"/>
    <cellStyle name="Normal 12 2 2 7 3" xfId="10957" xr:uid="{FD6FD8BA-21F1-4E0E-AE9B-2AA289A32DBB}"/>
    <cellStyle name="Normal 12 2 2 8" xfId="4667" xr:uid="{00000000-0005-0000-0000-0000F50D0000}"/>
    <cellStyle name="Normal 12 2 2 8 2" xfId="13109" xr:uid="{62AF18E1-63DA-4359-B574-E22E6D4F3C6E}"/>
    <cellStyle name="Normal 12 2 2 9" xfId="8891" xr:uid="{DB779233-B40C-4BCC-AE93-35B8E4951889}"/>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2 2 2" xfId="15670" xr:uid="{957EE82A-491D-4875-8A09-07225A9766A8}"/>
    <cellStyle name="Normal 12 2 3 2 2 3" xfId="11452" xr:uid="{2275A8F2-E5AB-404E-85EA-CC1A82D0CE67}"/>
    <cellStyle name="Normal 12 2 3 2 3" xfId="5083" xr:uid="{00000000-0005-0000-0000-0000FA0D0000}"/>
    <cellStyle name="Normal 12 2 3 2 3 2" xfId="13525" xr:uid="{D3A6FEA8-158E-4862-B6C7-AE401B74B7ED}"/>
    <cellStyle name="Normal 12 2 3 2 4" xfId="9307" xr:uid="{45A328A0-973A-4C8E-9712-8E855ED171E5}"/>
    <cellStyle name="Normal 12 2 3 3" xfId="1187" xr:uid="{00000000-0005-0000-0000-0000FB0D0000}"/>
    <cellStyle name="Normal 12 2 3 3 2" xfId="3418" xr:uid="{00000000-0005-0000-0000-0000FC0D0000}"/>
    <cellStyle name="Normal 12 2 3 3 2 2" xfId="7641" xr:uid="{00000000-0005-0000-0000-0000FD0D0000}"/>
    <cellStyle name="Normal 12 2 3 3 2 2 2" xfId="16083" xr:uid="{B86AB33C-3272-4D36-AD1F-B432C8F1B240}"/>
    <cellStyle name="Normal 12 2 3 3 2 3" xfId="11865" xr:uid="{DE785E1D-AED1-4F5C-AF46-29752881543B}"/>
    <cellStyle name="Normal 12 2 3 3 3" xfId="5496" xr:uid="{00000000-0005-0000-0000-0000FE0D0000}"/>
    <cellStyle name="Normal 12 2 3 3 3 2" xfId="13938" xr:uid="{3673DD3A-D2F1-4E5C-AC72-16CDF5427451}"/>
    <cellStyle name="Normal 12 2 3 3 4" xfId="9720" xr:uid="{577643C4-62CA-4476-97F8-A15896437E37}"/>
    <cellStyle name="Normal 12 2 3 4" xfId="1601" xr:uid="{00000000-0005-0000-0000-0000FF0D0000}"/>
    <cellStyle name="Normal 12 2 3 4 2" xfId="3831" xr:uid="{00000000-0005-0000-0000-0000000E0000}"/>
    <cellStyle name="Normal 12 2 3 4 2 2" xfId="8054" xr:uid="{00000000-0005-0000-0000-0000010E0000}"/>
    <cellStyle name="Normal 12 2 3 4 2 2 2" xfId="16496" xr:uid="{CA218D2F-C03F-4368-A1AF-D23A9818D7E4}"/>
    <cellStyle name="Normal 12 2 3 4 2 3" xfId="12278" xr:uid="{3A4313C3-6D1C-4669-990B-36E69163A588}"/>
    <cellStyle name="Normal 12 2 3 4 3" xfId="5909" xr:uid="{00000000-0005-0000-0000-0000020E0000}"/>
    <cellStyle name="Normal 12 2 3 4 3 2" xfId="14351" xr:uid="{75192D53-9213-46E8-B70B-D540D0B0EB6F}"/>
    <cellStyle name="Normal 12 2 3 4 4" xfId="10133" xr:uid="{46DFD878-9520-4222-8856-7AA4D9343CD8}"/>
    <cellStyle name="Normal 12 2 3 5" xfId="2015" xr:uid="{00000000-0005-0000-0000-0000030E0000}"/>
    <cellStyle name="Normal 12 2 3 5 2" xfId="4244" xr:uid="{00000000-0005-0000-0000-0000040E0000}"/>
    <cellStyle name="Normal 12 2 3 5 2 2" xfId="8467" xr:uid="{00000000-0005-0000-0000-0000050E0000}"/>
    <cellStyle name="Normal 12 2 3 5 2 2 2" xfId="16909" xr:uid="{434CC5E7-F32B-4088-9579-A9A13B498290}"/>
    <cellStyle name="Normal 12 2 3 5 2 3" xfId="12691" xr:uid="{460B9F2D-1EFC-49AA-B063-BA00F677F98E}"/>
    <cellStyle name="Normal 12 2 3 5 3" xfId="6322" xr:uid="{00000000-0005-0000-0000-0000060E0000}"/>
    <cellStyle name="Normal 12 2 3 5 3 2" xfId="14764" xr:uid="{12278806-7D8B-44F0-ADB6-49CAD9AFB6E5}"/>
    <cellStyle name="Normal 12 2 3 5 4" xfId="10546" xr:uid="{1352AF2C-E979-4289-8D15-C7BB345C43D4}"/>
    <cellStyle name="Normal 12 2 3 6" xfId="2451" xr:uid="{00000000-0005-0000-0000-0000070E0000}"/>
    <cellStyle name="Normal 12 2 3 6 2" xfId="6735" xr:uid="{00000000-0005-0000-0000-0000080E0000}"/>
    <cellStyle name="Normal 12 2 3 6 2 2" xfId="15177" xr:uid="{3D28D8B8-FCF1-445B-9A72-952CFA72357D}"/>
    <cellStyle name="Normal 12 2 3 6 3" xfId="10959" xr:uid="{1C867D96-E2FC-4E00-A484-5884A596DA3E}"/>
    <cellStyle name="Normal 12 2 3 7" xfId="4669" xr:uid="{00000000-0005-0000-0000-0000090E0000}"/>
    <cellStyle name="Normal 12 2 3 7 2" xfId="13111" xr:uid="{2F356FFD-16AA-4B8B-A034-2C137C056FDA}"/>
    <cellStyle name="Normal 12 2 3 8" xfId="8893" xr:uid="{7625380B-8252-4AF5-8FA8-5BA819C82C55}"/>
    <cellStyle name="Normal 12 2 4" xfId="761" xr:uid="{00000000-0005-0000-0000-00000A0E0000}"/>
    <cellStyle name="Normal 12 2 4 2" xfId="3002" xr:uid="{00000000-0005-0000-0000-00000B0E0000}"/>
    <cellStyle name="Normal 12 2 4 2 2" xfId="7225" xr:uid="{00000000-0005-0000-0000-00000C0E0000}"/>
    <cellStyle name="Normal 12 2 4 2 2 2" xfId="15667" xr:uid="{1C0CCB01-4D37-4809-909B-C193B3AF3CD1}"/>
    <cellStyle name="Normal 12 2 4 2 3" xfId="11449" xr:uid="{EDC79E9E-97C6-49B3-81C9-B82F469352C6}"/>
    <cellStyle name="Normal 12 2 4 3" xfId="5080" xr:uid="{00000000-0005-0000-0000-00000D0E0000}"/>
    <cellStyle name="Normal 12 2 4 3 2" xfId="13522" xr:uid="{D118C438-07C4-4EFB-B827-A62641F49498}"/>
    <cellStyle name="Normal 12 2 4 4" xfId="9304" xr:uid="{8F5E4ACF-F714-46E6-96A8-3652E6DD1369}"/>
    <cellStyle name="Normal 12 2 5" xfId="1184" xr:uid="{00000000-0005-0000-0000-00000E0E0000}"/>
    <cellStyle name="Normal 12 2 5 2" xfId="3415" xr:uid="{00000000-0005-0000-0000-00000F0E0000}"/>
    <cellStyle name="Normal 12 2 5 2 2" xfId="7638" xr:uid="{00000000-0005-0000-0000-0000100E0000}"/>
    <cellStyle name="Normal 12 2 5 2 2 2" xfId="16080" xr:uid="{EACAAD59-AB1D-4E67-95A8-BF0338D81E55}"/>
    <cellStyle name="Normal 12 2 5 2 3" xfId="11862" xr:uid="{771CFB0B-3DF5-46B9-8DC7-3A376329BABA}"/>
    <cellStyle name="Normal 12 2 5 3" xfId="5493" xr:uid="{00000000-0005-0000-0000-0000110E0000}"/>
    <cellStyle name="Normal 12 2 5 3 2" xfId="13935" xr:uid="{74E209E0-3F68-4A18-98AA-FF8F3930C30D}"/>
    <cellStyle name="Normal 12 2 5 4" xfId="9717" xr:uid="{E3275E8E-2690-4F2B-A2E7-64BC652921BA}"/>
    <cellStyle name="Normal 12 2 6" xfId="1598" xr:uid="{00000000-0005-0000-0000-0000120E0000}"/>
    <cellStyle name="Normal 12 2 6 2" xfId="3828" xr:uid="{00000000-0005-0000-0000-0000130E0000}"/>
    <cellStyle name="Normal 12 2 6 2 2" xfId="8051" xr:uid="{00000000-0005-0000-0000-0000140E0000}"/>
    <cellStyle name="Normal 12 2 6 2 2 2" xfId="16493" xr:uid="{6ABE9A5E-4560-4C73-98F2-A3C7B2BB5337}"/>
    <cellStyle name="Normal 12 2 6 2 3" xfId="12275" xr:uid="{35B161D1-64F4-494C-9615-E6C7BA96C7E3}"/>
    <cellStyle name="Normal 12 2 6 3" xfId="5906" xr:uid="{00000000-0005-0000-0000-0000150E0000}"/>
    <cellStyle name="Normal 12 2 6 3 2" xfId="14348" xr:uid="{196F57C1-5ABA-49BE-9D2C-CEC4832AE8B5}"/>
    <cellStyle name="Normal 12 2 6 4" xfId="10130" xr:uid="{90BD275A-EEE6-45A3-948D-4C3570FE0F83}"/>
    <cellStyle name="Normal 12 2 7" xfId="2012" xr:uid="{00000000-0005-0000-0000-0000160E0000}"/>
    <cellStyle name="Normal 12 2 7 2" xfId="4241" xr:uid="{00000000-0005-0000-0000-0000170E0000}"/>
    <cellStyle name="Normal 12 2 7 2 2" xfId="8464" xr:uid="{00000000-0005-0000-0000-0000180E0000}"/>
    <cellStyle name="Normal 12 2 7 2 2 2" xfId="16906" xr:uid="{7CC92F36-45D8-421D-B437-46F50DDBD471}"/>
    <cellStyle name="Normal 12 2 7 2 3" xfId="12688" xr:uid="{88207734-95B4-4C6E-82C5-FE3308C5B71E}"/>
    <cellStyle name="Normal 12 2 7 3" xfId="6319" xr:uid="{00000000-0005-0000-0000-0000190E0000}"/>
    <cellStyle name="Normal 12 2 7 3 2" xfId="14761" xr:uid="{39D8B424-B8A3-41FB-8B96-9FD8C6E9EC6D}"/>
    <cellStyle name="Normal 12 2 7 4" xfId="10543" xr:uid="{03DAAAF4-FEE9-4FDC-B494-92924F13E3EE}"/>
    <cellStyle name="Normal 12 2 8" xfId="2448" xr:uid="{00000000-0005-0000-0000-00001A0E0000}"/>
    <cellStyle name="Normal 12 2 8 2" xfId="6732" xr:uid="{00000000-0005-0000-0000-00001B0E0000}"/>
    <cellStyle name="Normal 12 2 8 2 2" xfId="15174" xr:uid="{E09642B8-90E9-45ED-8377-983A811F5231}"/>
    <cellStyle name="Normal 12 2 8 3" xfId="10956" xr:uid="{5116CCC8-072E-4ABB-A570-548A3F81FC42}"/>
    <cellStyle name="Normal 12 2 9" xfId="4666" xr:uid="{00000000-0005-0000-0000-00001C0E0000}"/>
    <cellStyle name="Normal 12 2 9 2" xfId="13108" xr:uid="{F6787BEF-7F18-450D-9944-FB58E5EB5EAB}"/>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2 2 2" xfId="15672" xr:uid="{4E84914B-20AA-4B5D-BF5B-BABC3F23BF0E}"/>
    <cellStyle name="Normal 12 3 2 2 2 3" xfId="11454" xr:uid="{3C07CCF3-A9F3-4C59-97B0-90D0C9FAFF7E}"/>
    <cellStyle name="Normal 12 3 2 2 3" xfId="5085" xr:uid="{00000000-0005-0000-0000-0000220E0000}"/>
    <cellStyle name="Normal 12 3 2 2 3 2" xfId="13527" xr:uid="{9B1CDF57-965B-4687-AE33-1B8203C2C698}"/>
    <cellStyle name="Normal 12 3 2 2 4" xfId="9309" xr:uid="{919F5574-F417-4D83-8060-B8AD3D86E01B}"/>
    <cellStyle name="Normal 12 3 2 3" xfId="1189" xr:uid="{00000000-0005-0000-0000-0000230E0000}"/>
    <cellStyle name="Normal 12 3 2 3 2" xfId="3420" xr:uid="{00000000-0005-0000-0000-0000240E0000}"/>
    <cellStyle name="Normal 12 3 2 3 2 2" xfId="7643" xr:uid="{00000000-0005-0000-0000-0000250E0000}"/>
    <cellStyle name="Normal 12 3 2 3 2 2 2" xfId="16085" xr:uid="{FCDE3938-FF18-4209-91C9-7C14281410C2}"/>
    <cellStyle name="Normal 12 3 2 3 2 3" xfId="11867" xr:uid="{85571DFE-CBF8-468F-BAEE-4618B3C5AD78}"/>
    <cellStyle name="Normal 12 3 2 3 3" xfId="5498" xr:uid="{00000000-0005-0000-0000-0000260E0000}"/>
    <cellStyle name="Normal 12 3 2 3 3 2" xfId="13940" xr:uid="{538C39B9-6457-4AE7-891D-A2FB36276FE5}"/>
    <cellStyle name="Normal 12 3 2 3 4" xfId="9722" xr:uid="{0A548EAB-7200-4067-B0A0-6F8228CAE086}"/>
    <cellStyle name="Normal 12 3 2 4" xfId="1603" xr:uid="{00000000-0005-0000-0000-0000270E0000}"/>
    <cellStyle name="Normal 12 3 2 4 2" xfId="3833" xr:uid="{00000000-0005-0000-0000-0000280E0000}"/>
    <cellStyle name="Normal 12 3 2 4 2 2" xfId="8056" xr:uid="{00000000-0005-0000-0000-0000290E0000}"/>
    <cellStyle name="Normal 12 3 2 4 2 2 2" xfId="16498" xr:uid="{9C2CAB6D-19B9-4283-8752-654701F21AC8}"/>
    <cellStyle name="Normal 12 3 2 4 2 3" xfId="12280" xr:uid="{1393B7DC-D0CF-4413-93E5-E93B644DAB1E}"/>
    <cellStyle name="Normal 12 3 2 4 3" xfId="5911" xr:uid="{00000000-0005-0000-0000-00002A0E0000}"/>
    <cellStyle name="Normal 12 3 2 4 3 2" xfId="14353" xr:uid="{C986B6F4-5EC5-47EB-BB98-B7DA48400BAE}"/>
    <cellStyle name="Normal 12 3 2 4 4" xfId="10135" xr:uid="{5EC6DAB0-84B4-440D-BCB9-C91283B092A5}"/>
    <cellStyle name="Normal 12 3 2 5" xfId="2017" xr:uid="{00000000-0005-0000-0000-00002B0E0000}"/>
    <cellStyle name="Normal 12 3 2 5 2" xfId="4246" xr:uid="{00000000-0005-0000-0000-00002C0E0000}"/>
    <cellStyle name="Normal 12 3 2 5 2 2" xfId="8469" xr:uid="{00000000-0005-0000-0000-00002D0E0000}"/>
    <cellStyle name="Normal 12 3 2 5 2 2 2" xfId="16911" xr:uid="{5A9E266A-523A-4406-9B27-86391DF0B2C8}"/>
    <cellStyle name="Normal 12 3 2 5 2 3" xfId="12693" xr:uid="{1B2B27C0-7183-4F7C-93BA-22B239FCB762}"/>
    <cellStyle name="Normal 12 3 2 5 3" xfId="6324" xr:uid="{00000000-0005-0000-0000-00002E0E0000}"/>
    <cellStyle name="Normal 12 3 2 5 3 2" xfId="14766" xr:uid="{CFD327D0-8A64-4E2D-9EC5-50D47657BCAF}"/>
    <cellStyle name="Normal 12 3 2 5 4" xfId="10548" xr:uid="{4B44067D-546D-498C-9F8E-0D9C96C7B660}"/>
    <cellStyle name="Normal 12 3 2 6" xfId="2453" xr:uid="{00000000-0005-0000-0000-00002F0E0000}"/>
    <cellStyle name="Normal 12 3 2 6 2" xfId="6737" xr:uid="{00000000-0005-0000-0000-0000300E0000}"/>
    <cellStyle name="Normal 12 3 2 6 2 2" xfId="15179" xr:uid="{E816B04D-F67E-401F-A585-2070C6D23172}"/>
    <cellStyle name="Normal 12 3 2 6 3" xfId="10961" xr:uid="{4BB5D748-E419-4252-B999-3A299B0F65BB}"/>
    <cellStyle name="Normal 12 3 2 7" xfId="4671" xr:uid="{00000000-0005-0000-0000-0000310E0000}"/>
    <cellStyle name="Normal 12 3 2 7 2" xfId="13113" xr:uid="{31FCC43C-3EF5-458D-A6DA-47301C097FC6}"/>
    <cellStyle name="Normal 12 3 2 8" xfId="8895" xr:uid="{502A4129-D8E8-4BCC-966E-64BDD107E671}"/>
    <cellStyle name="Normal 12 3 3" xfId="765" xr:uid="{00000000-0005-0000-0000-0000320E0000}"/>
    <cellStyle name="Normal 12 3 3 2" xfId="3006" xr:uid="{00000000-0005-0000-0000-0000330E0000}"/>
    <cellStyle name="Normal 12 3 3 2 2" xfId="7229" xr:uid="{00000000-0005-0000-0000-0000340E0000}"/>
    <cellStyle name="Normal 12 3 3 2 2 2" xfId="15671" xr:uid="{A25F9593-4F17-4055-969A-3C161C4E75EA}"/>
    <cellStyle name="Normal 12 3 3 2 3" xfId="11453" xr:uid="{B1E2BA25-A3ED-436C-9F23-EA0189B05243}"/>
    <cellStyle name="Normal 12 3 3 3" xfId="5084" xr:uid="{00000000-0005-0000-0000-0000350E0000}"/>
    <cellStyle name="Normal 12 3 3 3 2" xfId="13526" xr:uid="{859593C8-56E5-4E67-9421-C76304466248}"/>
    <cellStyle name="Normal 12 3 3 4" xfId="9308" xr:uid="{5D5349D9-A621-4E07-8CFC-6ED7473A1CC0}"/>
    <cellStyle name="Normal 12 3 4" xfId="1188" xr:uid="{00000000-0005-0000-0000-0000360E0000}"/>
    <cellStyle name="Normal 12 3 4 2" xfId="3419" xr:uid="{00000000-0005-0000-0000-0000370E0000}"/>
    <cellStyle name="Normal 12 3 4 2 2" xfId="7642" xr:uid="{00000000-0005-0000-0000-0000380E0000}"/>
    <cellStyle name="Normal 12 3 4 2 2 2" xfId="16084" xr:uid="{A51A3548-B6FC-4F5D-823B-0A88FCB79F0E}"/>
    <cellStyle name="Normal 12 3 4 2 3" xfId="11866" xr:uid="{72FDA62B-FA36-4890-8B46-C5DC51155976}"/>
    <cellStyle name="Normal 12 3 4 3" xfId="5497" xr:uid="{00000000-0005-0000-0000-0000390E0000}"/>
    <cellStyle name="Normal 12 3 4 3 2" xfId="13939" xr:uid="{C81D3F75-C3F3-4EE0-B71C-AB03CA0EE878}"/>
    <cellStyle name="Normal 12 3 4 4" xfId="9721" xr:uid="{D11331E8-5040-4236-93F4-31F2DB9133DA}"/>
    <cellStyle name="Normal 12 3 5" xfId="1602" xr:uid="{00000000-0005-0000-0000-00003A0E0000}"/>
    <cellStyle name="Normal 12 3 5 2" xfId="3832" xr:uid="{00000000-0005-0000-0000-00003B0E0000}"/>
    <cellStyle name="Normal 12 3 5 2 2" xfId="8055" xr:uid="{00000000-0005-0000-0000-00003C0E0000}"/>
    <cellStyle name="Normal 12 3 5 2 2 2" xfId="16497" xr:uid="{1855A75A-C4B7-45FC-B93C-3F2D2ABE1157}"/>
    <cellStyle name="Normal 12 3 5 2 3" xfId="12279" xr:uid="{8EA358BA-5913-4E4C-8E62-412F26011ACE}"/>
    <cellStyle name="Normal 12 3 5 3" xfId="5910" xr:uid="{00000000-0005-0000-0000-00003D0E0000}"/>
    <cellStyle name="Normal 12 3 5 3 2" xfId="14352" xr:uid="{2D7CB135-26DC-4C9A-8561-7B41FBEC40EC}"/>
    <cellStyle name="Normal 12 3 5 4" xfId="10134" xr:uid="{37E2E097-615A-4C45-9FA5-63E5658CF0B5}"/>
    <cellStyle name="Normal 12 3 6" xfId="2016" xr:uid="{00000000-0005-0000-0000-00003E0E0000}"/>
    <cellStyle name="Normal 12 3 6 2" xfId="4245" xr:uid="{00000000-0005-0000-0000-00003F0E0000}"/>
    <cellStyle name="Normal 12 3 6 2 2" xfId="8468" xr:uid="{00000000-0005-0000-0000-0000400E0000}"/>
    <cellStyle name="Normal 12 3 6 2 2 2" xfId="16910" xr:uid="{DAD8465E-3739-4234-B1C4-70985DA3A41D}"/>
    <cellStyle name="Normal 12 3 6 2 3" xfId="12692" xr:uid="{09ABB003-1220-4A54-A2FE-A9D973A8B8BF}"/>
    <cellStyle name="Normal 12 3 6 3" xfId="6323" xr:uid="{00000000-0005-0000-0000-0000410E0000}"/>
    <cellStyle name="Normal 12 3 6 3 2" xfId="14765" xr:uid="{DBB0EBD3-55A4-4D70-9519-AB4876B2AF01}"/>
    <cellStyle name="Normal 12 3 6 4" xfId="10547" xr:uid="{074A096A-0C0B-48F4-9D40-0F04F23E14A1}"/>
    <cellStyle name="Normal 12 3 7" xfId="2452" xr:uid="{00000000-0005-0000-0000-0000420E0000}"/>
    <cellStyle name="Normal 12 3 7 2" xfId="6736" xr:uid="{00000000-0005-0000-0000-0000430E0000}"/>
    <cellStyle name="Normal 12 3 7 2 2" xfId="15178" xr:uid="{3DA2EB08-8331-4664-B33F-3652381721DA}"/>
    <cellStyle name="Normal 12 3 7 3" xfId="10960" xr:uid="{CA50E998-4356-4597-A926-DD2E2AF5AD7A}"/>
    <cellStyle name="Normal 12 3 8" xfId="4670" xr:uid="{00000000-0005-0000-0000-0000440E0000}"/>
    <cellStyle name="Normal 12 3 8 2" xfId="13112" xr:uid="{BB96DD60-480A-4F8A-9007-35D6EEFE57BB}"/>
    <cellStyle name="Normal 12 3 9" xfId="8894" xr:uid="{A1EB8AB3-79BB-4652-9C8A-08E528155F06}"/>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2 2 2" xfId="15673" xr:uid="{CB0EB129-92A5-472B-970B-4F7BE67F1990}"/>
    <cellStyle name="Normal 12 4 2 2 3" xfId="11455" xr:uid="{14130AE1-F0BB-447F-A85A-45CD7AA67295}"/>
    <cellStyle name="Normal 12 4 2 3" xfId="5086" xr:uid="{00000000-0005-0000-0000-0000490E0000}"/>
    <cellStyle name="Normal 12 4 2 3 2" xfId="13528" xr:uid="{DF6FFB33-C122-4A41-A71B-83666B943D02}"/>
    <cellStyle name="Normal 12 4 2 4" xfId="9310" xr:uid="{836E3D08-A22C-4CD1-A271-D021D56FE32B}"/>
    <cellStyle name="Normal 12 4 3" xfId="1190" xr:uid="{00000000-0005-0000-0000-00004A0E0000}"/>
    <cellStyle name="Normal 12 4 3 2" xfId="3421" xr:uid="{00000000-0005-0000-0000-00004B0E0000}"/>
    <cellStyle name="Normal 12 4 3 2 2" xfId="7644" xr:uid="{00000000-0005-0000-0000-00004C0E0000}"/>
    <cellStyle name="Normal 12 4 3 2 2 2" xfId="16086" xr:uid="{272EE71E-11C1-4E57-A773-297BE2A01BCD}"/>
    <cellStyle name="Normal 12 4 3 2 3" xfId="11868" xr:uid="{6BB0E715-DB6E-4CD1-A551-C8755B0D8287}"/>
    <cellStyle name="Normal 12 4 3 3" xfId="5499" xr:uid="{00000000-0005-0000-0000-00004D0E0000}"/>
    <cellStyle name="Normal 12 4 3 3 2" xfId="13941" xr:uid="{C401AD24-53C4-4139-A3A5-D3525CF4C428}"/>
    <cellStyle name="Normal 12 4 3 4" xfId="9723" xr:uid="{9C86781F-30BD-4F57-A9DB-CF3808BC2D00}"/>
    <cellStyle name="Normal 12 4 4" xfId="1604" xr:uid="{00000000-0005-0000-0000-00004E0E0000}"/>
    <cellStyle name="Normal 12 4 4 2" xfId="3834" xr:uid="{00000000-0005-0000-0000-00004F0E0000}"/>
    <cellStyle name="Normal 12 4 4 2 2" xfId="8057" xr:uid="{00000000-0005-0000-0000-0000500E0000}"/>
    <cellStyle name="Normal 12 4 4 2 2 2" xfId="16499" xr:uid="{D2FDB5B5-9A94-4D21-A46B-551A5C4D387B}"/>
    <cellStyle name="Normal 12 4 4 2 3" xfId="12281" xr:uid="{8B255E7A-A687-45D7-8BF0-F8285C2760BE}"/>
    <cellStyle name="Normal 12 4 4 3" xfId="5912" xr:uid="{00000000-0005-0000-0000-0000510E0000}"/>
    <cellStyle name="Normal 12 4 4 3 2" xfId="14354" xr:uid="{61ADD2DF-9AB0-4A76-AB60-015792A1640B}"/>
    <cellStyle name="Normal 12 4 4 4" xfId="10136" xr:uid="{BE27ED82-0A8B-4157-B4D4-C72DD2F4082E}"/>
    <cellStyle name="Normal 12 4 5" xfId="2018" xr:uid="{00000000-0005-0000-0000-0000520E0000}"/>
    <cellStyle name="Normal 12 4 5 2" xfId="4247" xr:uid="{00000000-0005-0000-0000-0000530E0000}"/>
    <cellStyle name="Normal 12 4 5 2 2" xfId="8470" xr:uid="{00000000-0005-0000-0000-0000540E0000}"/>
    <cellStyle name="Normal 12 4 5 2 2 2" xfId="16912" xr:uid="{DE90BFA1-B142-4136-BF8E-6F953C076BCA}"/>
    <cellStyle name="Normal 12 4 5 2 3" xfId="12694" xr:uid="{E457C7ED-1D85-47B3-B2CB-698B32FF4C6B}"/>
    <cellStyle name="Normal 12 4 5 3" xfId="6325" xr:uid="{00000000-0005-0000-0000-0000550E0000}"/>
    <cellStyle name="Normal 12 4 5 3 2" xfId="14767" xr:uid="{6C39F7B2-7247-4EEF-90FA-1E6ED4539D36}"/>
    <cellStyle name="Normal 12 4 5 4" xfId="10549" xr:uid="{5983B7DD-033C-45BF-83D0-1FAA82E0A4BE}"/>
    <cellStyle name="Normal 12 4 6" xfId="2454" xr:uid="{00000000-0005-0000-0000-0000560E0000}"/>
    <cellStyle name="Normal 12 4 6 2" xfId="6738" xr:uid="{00000000-0005-0000-0000-0000570E0000}"/>
    <cellStyle name="Normal 12 4 6 2 2" xfId="15180" xr:uid="{B17445F7-599D-4B3E-ABBE-11C028BBADE4}"/>
    <cellStyle name="Normal 12 4 6 3" xfId="10962" xr:uid="{8B38BBAD-96A4-4A4B-9F55-B458C3D8C7A9}"/>
    <cellStyle name="Normal 12 4 7" xfId="4672" xr:uid="{00000000-0005-0000-0000-0000580E0000}"/>
    <cellStyle name="Normal 12 4 7 2" xfId="13114" xr:uid="{A0FD050B-5995-4583-A12C-7AA72FB7AACD}"/>
    <cellStyle name="Normal 12 4 8" xfId="8896" xr:uid="{8A3659DF-3524-4C8A-8526-533419ED12D7}"/>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15666" xr:uid="{AAB17059-34D4-4725-A604-1061D81D3408}"/>
    <cellStyle name="Normal 12 6 2 3" xfId="11448" xr:uid="{5FFD4F92-19BF-4C65-A279-9363095958A6}"/>
    <cellStyle name="Normal 12 6 3" xfId="5079" xr:uid="{00000000-0005-0000-0000-00005D0E0000}"/>
    <cellStyle name="Normal 12 6 3 2" xfId="13521" xr:uid="{8F5190CC-336D-49CA-8BAF-04BE07987664}"/>
    <cellStyle name="Normal 12 6 4" xfId="9303" xr:uid="{EFDACE60-7826-4EC7-BAB7-98A11425FDC8}"/>
    <cellStyle name="Normal 12 7" xfId="1183" xr:uid="{00000000-0005-0000-0000-00005E0E0000}"/>
    <cellStyle name="Normal 12 7 2" xfId="3414" xr:uid="{00000000-0005-0000-0000-00005F0E0000}"/>
    <cellStyle name="Normal 12 7 2 2" xfId="7637" xr:uid="{00000000-0005-0000-0000-0000600E0000}"/>
    <cellStyle name="Normal 12 7 2 2 2" xfId="16079" xr:uid="{852A9534-8D17-4812-9924-306065854D99}"/>
    <cellStyle name="Normal 12 7 2 3" xfId="11861" xr:uid="{2B637DBB-77B7-4EA9-B5F7-E09F7FF39514}"/>
    <cellStyle name="Normal 12 7 3" xfId="5492" xr:uid="{00000000-0005-0000-0000-0000610E0000}"/>
    <cellStyle name="Normal 12 7 3 2" xfId="13934" xr:uid="{08114D33-9638-44EB-8183-8655E1C3B819}"/>
    <cellStyle name="Normal 12 7 4" xfId="9716" xr:uid="{97935327-0EBC-490B-9AE3-ABB9859FE98D}"/>
    <cellStyle name="Normal 12 8" xfId="1597" xr:uid="{00000000-0005-0000-0000-0000620E0000}"/>
    <cellStyle name="Normal 12 8 2" xfId="3827" xr:uid="{00000000-0005-0000-0000-0000630E0000}"/>
    <cellStyle name="Normal 12 8 2 2" xfId="8050" xr:uid="{00000000-0005-0000-0000-0000640E0000}"/>
    <cellStyle name="Normal 12 8 2 2 2" xfId="16492" xr:uid="{92BC9939-84DE-4893-9FE2-F0E1FB23028A}"/>
    <cellStyle name="Normal 12 8 2 3" xfId="12274" xr:uid="{55D4C33A-4601-4743-A0DC-60D2FA0CCC82}"/>
    <cellStyle name="Normal 12 8 3" xfId="5905" xr:uid="{00000000-0005-0000-0000-0000650E0000}"/>
    <cellStyle name="Normal 12 8 3 2" xfId="14347" xr:uid="{A36073AC-981D-44C5-80EB-DCDA8CE97A30}"/>
    <cellStyle name="Normal 12 8 4" xfId="10129" xr:uid="{93871FB1-E126-4B88-818D-9CB065520FD7}"/>
    <cellStyle name="Normal 12 9" xfId="2011" xr:uid="{00000000-0005-0000-0000-0000660E0000}"/>
    <cellStyle name="Normal 12 9 2" xfId="4240" xr:uid="{00000000-0005-0000-0000-0000670E0000}"/>
    <cellStyle name="Normal 12 9 2 2" xfId="8463" xr:uid="{00000000-0005-0000-0000-0000680E0000}"/>
    <cellStyle name="Normal 12 9 2 2 2" xfId="16905" xr:uid="{4346263E-B28D-4F56-B001-2E5EE33358FD}"/>
    <cellStyle name="Normal 12 9 2 3" xfId="12687" xr:uid="{2DA3C5BA-34A6-485D-B033-1B0B6B0814A5}"/>
    <cellStyle name="Normal 12 9 3" xfId="6318" xr:uid="{00000000-0005-0000-0000-0000690E0000}"/>
    <cellStyle name="Normal 12 9 3 2" xfId="14760" xr:uid="{30A2561B-802F-4B18-A7A1-A51C7B32C9B0}"/>
    <cellStyle name="Normal 12 9 4" xfId="10542" xr:uid="{745AAB7C-7DA2-4BA1-AA99-42AD6B742166}"/>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2 2 2" xfId="15674" xr:uid="{2E89B57D-C4F9-4EEB-A604-0846DE79EEB1}"/>
    <cellStyle name="Normal 14 2 2 3" xfId="11456" xr:uid="{0E2E67FA-CA14-40D8-9C83-144D6DDC4CD7}"/>
    <cellStyle name="Normal 14 2 3" xfId="5087" xr:uid="{00000000-0005-0000-0000-0000700E0000}"/>
    <cellStyle name="Normal 14 2 3 2" xfId="13529" xr:uid="{987D300F-AD16-4E75-A801-0D127A3E0478}"/>
    <cellStyle name="Normal 14 2 4" xfId="9311" xr:uid="{B12F8D43-B54A-4788-8130-9C3633919367}"/>
    <cellStyle name="Normal 14 3" xfId="1191" xr:uid="{00000000-0005-0000-0000-0000710E0000}"/>
    <cellStyle name="Normal 14 3 2" xfId="3422" xr:uid="{00000000-0005-0000-0000-0000720E0000}"/>
    <cellStyle name="Normal 14 3 2 2" xfId="7645" xr:uid="{00000000-0005-0000-0000-0000730E0000}"/>
    <cellStyle name="Normal 14 3 2 2 2" xfId="16087" xr:uid="{D43B327B-775F-47D8-8FB4-E6E5C4015A15}"/>
    <cellStyle name="Normal 14 3 2 3" xfId="11869" xr:uid="{C3773171-2A23-4491-BDFF-5B0F778137A3}"/>
    <cellStyle name="Normal 14 3 3" xfId="5500" xr:uid="{00000000-0005-0000-0000-0000740E0000}"/>
    <cellStyle name="Normal 14 3 3 2" xfId="13942" xr:uid="{7E25379B-28F5-4ECC-89D0-29BEDE879294}"/>
    <cellStyle name="Normal 14 3 4" xfId="9724" xr:uid="{841B69E3-8886-4D73-894F-E1090DF4276B}"/>
    <cellStyle name="Normal 14 4" xfId="1605" xr:uid="{00000000-0005-0000-0000-0000750E0000}"/>
    <cellStyle name="Normal 14 4 2" xfId="3835" xr:uid="{00000000-0005-0000-0000-0000760E0000}"/>
    <cellStyle name="Normal 14 4 2 2" xfId="8058" xr:uid="{00000000-0005-0000-0000-0000770E0000}"/>
    <cellStyle name="Normal 14 4 2 2 2" xfId="16500" xr:uid="{AAAC3828-09B1-4876-9594-7FA6EEFE2E82}"/>
    <cellStyle name="Normal 14 4 2 3" xfId="12282" xr:uid="{F0C62BAB-19BC-47F6-87C3-19042B8F36E1}"/>
    <cellStyle name="Normal 14 4 3" xfId="5913" xr:uid="{00000000-0005-0000-0000-0000780E0000}"/>
    <cellStyle name="Normal 14 4 3 2" xfId="14355" xr:uid="{CC98E587-AEF4-4FD8-B443-3DB713B13A74}"/>
    <cellStyle name="Normal 14 4 4" xfId="10137" xr:uid="{8048238F-3CA6-484E-A5EA-7AB04488AF08}"/>
    <cellStyle name="Normal 14 5" xfId="2019" xr:uid="{00000000-0005-0000-0000-0000790E0000}"/>
    <cellStyle name="Normal 14 5 2" xfId="4248" xr:uid="{00000000-0005-0000-0000-00007A0E0000}"/>
    <cellStyle name="Normal 14 5 2 2" xfId="8471" xr:uid="{00000000-0005-0000-0000-00007B0E0000}"/>
    <cellStyle name="Normal 14 5 2 2 2" xfId="16913" xr:uid="{E8A55162-1F99-4830-95DA-0FF43B901148}"/>
    <cellStyle name="Normal 14 5 2 3" xfId="12695" xr:uid="{89685382-AFE7-45CF-8E10-5D87885526BF}"/>
    <cellStyle name="Normal 14 5 3" xfId="6326" xr:uid="{00000000-0005-0000-0000-00007C0E0000}"/>
    <cellStyle name="Normal 14 5 3 2" xfId="14768" xr:uid="{E3247B32-B3A3-4234-9DC1-24A5F51E7F6C}"/>
    <cellStyle name="Normal 14 5 4" xfId="10550" xr:uid="{2E439B7E-F89E-4578-AAEE-1B0CB8FA381D}"/>
    <cellStyle name="Normal 14 6" xfId="2455" xr:uid="{00000000-0005-0000-0000-00007D0E0000}"/>
    <cellStyle name="Normal 14 6 2" xfId="6739" xr:uid="{00000000-0005-0000-0000-00007E0E0000}"/>
    <cellStyle name="Normal 14 6 2 2" xfId="15181" xr:uid="{E7D79627-34BD-44C3-A942-AC2C16147978}"/>
    <cellStyle name="Normal 14 6 3" xfId="10963" xr:uid="{C52D80CD-7434-462F-80BD-FAE1F58177C5}"/>
    <cellStyle name="Normal 14 7" xfId="4673" xr:uid="{00000000-0005-0000-0000-00007F0E0000}"/>
    <cellStyle name="Normal 14 7 2" xfId="13115" xr:uid="{777FE089-3833-48A0-A878-34FF58BA9EAD}"/>
    <cellStyle name="Normal 14 8" xfId="8897" xr:uid="{667FFD2A-DFFA-4292-909B-EC36F5D2EE3F}"/>
    <cellStyle name="Normal 15" xfId="4496" xr:uid="{00000000-0005-0000-0000-0000800E0000}"/>
    <cellStyle name="Normal 15 2" xfId="12941" xr:uid="{F4FCA252-8A14-405D-BD5A-F9345BBA3729}"/>
    <cellStyle name="Normal 16" xfId="4500" xr:uid="{00000000-0005-0000-0000-0000810E0000}"/>
    <cellStyle name="Normal 16 2" xfId="8716" xr:uid="{00000000-0005-0000-0000-0000820E0000}"/>
    <cellStyle name="Normal 16 2 2" xfId="17158" xr:uid="{A95243A1-8AE1-4FAB-B18F-905BF205D962}"/>
    <cellStyle name="Normal 16 3" xfId="8719" xr:uid="{3DE1BEEB-61FA-4094-B10F-9E0444F68763}"/>
    <cellStyle name="Normal 16 3 2" xfId="8723" xr:uid="{FE0BC069-4698-40B2-814D-8E09719245E9}"/>
    <cellStyle name="Normal 16 3 2 2" xfId="8726" xr:uid="{D3E9609F-293A-4CFC-B194-1FF2F92D621D}"/>
    <cellStyle name="Normal 16 3 2 3" xfId="17164" xr:uid="{0A97F4D5-481D-4BFD-A1B8-4E48A769EFD3}"/>
    <cellStyle name="Normal 16 3 3" xfId="17161" xr:uid="{ADF6D9E4-2BCE-414C-A1C7-BB436C04134D}"/>
    <cellStyle name="Normal 16 4" xfId="12944" xr:uid="{85568859-4F9F-4E62-9E47-4D24D998CD0C}"/>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2 2 2" xfId="16914" xr:uid="{DB1BBB4E-3737-4B5F-8FB3-A542941377EE}"/>
    <cellStyle name="Normal 2 4 2 10 2 3" xfId="12696" xr:uid="{4EC0323C-6283-4CC0-93A4-82A46019D74D}"/>
    <cellStyle name="Normal 2 4 2 10 3" xfId="6327" xr:uid="{00000000-0005-0000-0000-0000910E0000}"/>
    <cellStyle name="Normal 2 4 2 10 3 2" xfId="14769" xr:uid="{9650B1C2-A714-4A78-BA8A-D0B1451B4C32}"/>
    <cellStyle name="Normal 2 4 2 10 4" xfId="10551" xr:uid="{0458A461-0E1B-4829-BF57-40ABD6A88609}"/>
    <cellStyle name="Normal 2 4 2 11" xfId="2456" xr:uid="{00000000-0005-0000-0000-0000920E0000}"/>
    <cellStyle name="Normal 2 4 2 11 2" xfId="6740" xr:uid="{00000000-0005-0000-0000-0000930E0000}"/>
    <cellStyle name="Normal 2 4 2 11 2 2" xfId="15182" xr:uid="{74A0C8F1-5B02-498D-AED2-BA95332C3B38}"/>
    <cellStyle name="Normal 2 4 2 11 3" xfId="10964" xr:uid="{6B1CE9FB-0F9D-429A-B713-B05EDF769463}"/>
    <cellStyle name="Normal 2 4 2 12" xfId="4674" xr:uid="{00000000-0005-0000-0000-0000940E0000}"/>
    <cellStyle name="Normal 2 4 2 12 2" xfId="13116" xr:uid="{3C54C978-8B1A-4150-8072-3961C72B6F78}"/>
    <cellStyle name="Normal 2 4 2 13" xfId="8898" xr:uid="{DE8715EF-66CF-4BE7-93B9-E0D462AB5D16}"/>
    <cellStyle name="Normal 2 4 2 2" xfId="280" xr:uid="{00000000-0005-0000-0000-0000950E0000}"/>
    <cellStyle name="Normal 2 4 2 3" xfId="281" xr:uid="{00000000-0005-0000-0000-0000960E0000}"/>
    <cellStyle name="Normal 2 4 2 3 10" xfId="4675" xr:uid="{00000000-0005-0000-0000-0000970E0000}"/>
    <cellStyle name="Normal 2 4 2 3 10 2" xfId="13117" xr:uid="{B9E35B70-C798-4BFE-828E-95107677BD5B}"/>
    <cellStyle name="Normal 2 4 2 3 11" xfId="8899" xr:uid="{8680CC68-19DD-4EC7-8EC2-45E729ADAF4F}"/>
    <cellStyle name="Normal 2 4 2 3 2" xfId="282" xr:uid="{00000000-0005-0000-0000-0000980E0000}"/>
    <cellStyle name="Normal 2 4 2 3 2 10" xfId="8900" xr:uid="{81EE3444-A152-4277-A094-6A56C3C6FA78}"/>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15679" xr:uid="{28CC0488-59A0-46C5-8CC7-336A93652465}"/>
    <cellStyle name="Normal 2 4 2 3 2 2 2 2 2 3" xfId="11461" xr:uid="{16EA2ABA-6B19-49D5-A1E6-2DAE5DB65736}"/>
    <cellStyle name="Normal 2 4 2 3 2 2 2 2 3" xfId="5092" xr:uid="{00000000-0005-0000-0000-00009E0E0000}"/>
    <cellStyle name="Normal 2 4 2 3 2 2 2 2 3 2" xfId="13534" xr:uid="{5837334A-C8DC-4E6F-9CDF-09CF63C3DA2C}"/>
    <cellStyle name="Normal 2 4 2 3 2 2 2 2 4" xfId="9316" xr:uid="{AE722B2C-9A9E-4ED3-95AA-948B14ABF206}"/>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2 2" xfId="16092" xr:uid="{3A1D8F4F-FDE7-4B43-BB59-99D6C5DE7C82}"/>
    <cellStyle name="Normal 2 4 2 3 2 2 2 3 2 3" xfId="11874" xr:uid="{6C05DDD2-F338-4582-BF1B-E5FD5321F9E1}"/>
    <cellStyle name="Normal 2 4 2 3 2 2 2 3 3" xfId="5505" xr:uid="{00000000-0005-0000-0000-0000A20E0000}"/>
    <cellStyle name="Normal 2 4 2 3 2 2 2 3 3 2" xfId="13947" xr:uid="{E1633207-E790-45EF-947E-5098089FF9C9}"/>
    <cellStyle name="Normal 2 4 2 3 2 2 2 3 4" xfId="9729" xr:uid="{08957451-859F-45A1-801B-75EFF333187A}"/>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2 2 2" xfId="16505" xr:uid="{C1E3AEA0-C4E1-4850-9D19-9130F2402A9D}"/>
    <cellStyle name="Normal 2 4 2 3 2 2 2 4 2 3" xfId="12287" xr:uid="{9E6FBB7D-5A78-402D-A9A9-534B9364C640}"/>
    <cellStyle name="Normal 2 4 2 3 2 2 2 4 3" xfId="5918" xr:uid="{00000000-0005-0000-0000-0000A60E0000}"/>
    <cellStyle name="Normal 2 4 2 3 2 2 2 4 3 2" xfId="14360" xr:uid="{E82FE229-BE70-446F-983E-CFFEC8059E12}"/>
    <cellStyle name="Normal 2 4 2 3 2 2 2 4 4" xfId="10142" xr:uid="{673126E5-3304-45B3-B1D1-78F43046DADA}"/>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2 2 2" xfId="16918" xr:uid="{4C61DE80-E905-4BC5-9E57-9E551A99A250}"/>
    <cellStyle name="Normal 2 4 2 3 2 2 2 5 2 3" xfId="12700" xr:uid="{12CCC45A-C54E-46A8-A398-B7DAFF6F6A96}"/>
    <cellStyle name="Normal 2 4 2 3 2 2 2 5 3" xfId="6331" xr:uid="{00000000-0005-0000-0000-0000AA0E0000}"/>
    <cellStyle name="Normal 2 4 2 3 2 2 2 5 3 2" xfId="14773" xr:uid="{407723CD-3492-4A5B-8BCE-9E11FF067713}"/>
    <cellStyle name="Normal 2 4 2 3 2 2 2 5 4" xfId="10555" xr:uid="{CE7BC0D2-B514-429B-9F4D-6A11C95175F1}"/>
    <cellStyle name="Normal 2 4 2 3 2 2 2 6" xfId="2460" xr:uid="{00000000-0005-0000-0000-0000AB0E0000}"/>
    <cellStyle name="Normal 2 4 2 3 2 2 2 6 2" xfId="6744" xr:uid="{00000000-0005-0000-0000-0000AC0E0000}"/>
    <cellStyle name="Normal 2 4 2 3 2 2 2 6 2 2" xfId="15186" xr:uid="{568C5FEE-048D-4D13-9F29-910F2226A4DE}"/>
    <cellStyle name="Normal 2 4 2 3 2 2 2 6 3" xfId="10968" xr:uid="{6FDB4C35-C710-4AEC-AB95-E11A8951CD78}"/>
    <cellStyle name="Normal 2 4 2 3 2 2 2 7" xfId="4678" xr:uid="{00000000-0005-0000-0000-0000AD0E0000}"/>
    <cellStyle name="Normal 2 4 2 3 2 2 2 7 2" xfId="13120" xr:uid="{6F7B7470-17B6-47AF-8053-91F5D42B9DBC}"/>
    <cellStyle name="Normal 2 4 2 3 2 2 2 8" xfId="8902" xr:uid="{0FABD996-88A3-45CE-911E-7D61BCF4C897}"/>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15678" xr:uid="{DABFBA79-4A84-453D-AC87-EEF691168D0D}"/>
    <cellStyle name="Normal 2 4 2 3 2 2 3 2 3" xfId="11460" xr:uid="{EA3AF147-A35A-46B1-AEA4-E26A49006F7C}"/>
    <cellStyle name="Normal 2 4 2 3 2 2 3 3" xfId="5091" xr:uid="{00000000-0005-0000-0000-0000B10E0000}"/>
    <cellStyle name="Normal 2 4 2 3 2 2 3 3 2" xfId="13533" xr:uid="{20F3AFE2-A89D-4AAE-AE09-266130931984}"/>
    <cellStyle name="Normal 2 4 2 3 2 2 3 4" xfId="9315" xr:uid="{42DC0C57-C58E-4FE5-87DC-FDD1ACB3E05E}"/>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2 2" xfId="16091" xr:uid="{72B268C3-72AA-4A71-AC7A-DD7D42603951}"/>
    <cellStyle name="Normal 2 4 2 3 2 2 4 2 3" xfId="11873" xr:uid="{CD00EA28-C313-4BF3-A474-F84B4098D7F3}"/>
    <cellStyle name="Normal 2 4 2 3 2 2 4 3" xfId="5504" xr:uid="{00000000-0005-0000-0000-0000B50E0000}"/>
    <cellStyle name="Normal 2 4 2 3 2 2 4 3 2" xfId="13946" xr:uid="{00A08624-C660-46D5-A790-E22801E8CB6B}"/>
    <cellStyle name="Normal 2 4 2 3 2 2 4 4" xfId="9728" xr:uid="{411A403B-5D88-4B85-BB9C-CB609D83375F}"/>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2 2 2" xfId="16504" xr:uid="{5E460155-86C6-494A-BDF9-F7B74BBBABE5}"/>
    <cellStyle name="Normal 2 4 2 3 2 2 5 2 3" xfId="12286" xr:uid="{E3A665DB-63B7-41A0-B72B-D5BF79C92C40}"/>
    <cellStyle name="Normal 2 4 2 3 2 2 5 3" xfId="5917" xr:uid="{00000000-0005-0000-0000-0000B90E0000}"/>
    <cellStyle name="Normal 2 4 2 3 2 2 5 3 2" xfId="14359" xr:uid="{C9810DB6-F8CD-4E6F-B73A-54A4F4DD4BE4}"/>
    <cellStyle name="Normal 2 4 2 3 2 2 5 4" xfId="10141" xr:uid="{12A6D6FA-8576-4B71-82D5-7B36EF9B0182}"/>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2 2 2" xfId="16917" xr:uid="{2E89A2C6-AF2F-4354-97D8-2B36B1A770A4}"/>
    <cellStyle name="Normal 2 4 2 3 2 2 6 2 3" xfId="12699" xr:uid="{78B4FC3D-A98A-436D-9621-88E4461F2561}"/>
    <cellStyle name="Normal 2 4 2 3 2 2 6 3" xfId="6330" xr:uid="{00000000-0005-0000-0000-0000BD0E0000}"/>
    <cellStyle name="Normal 2 4 2 3 2 2 6 3 2" xfId="14772" xr:uid="{0BD06095-576A-47B1-A1F5-EC473F53D655}"/>
    <cellStyle name="Normal 2 4 2 3 2 2 6 4" xfId="10554" xr:uid="{241E0577-85B1-45E0-9E5A-853E0800AAA5}"/>
    <cellStyle name="Normal 2 4 2 3 2 2 7" xfId="2459" xr:uid="{00000000-0005-0000-0000-0000BE0E0000}"/>
    <cellStyle name="Normal 2 4 2 3 2 2 7 2" xfId="6743" xr:uid="{00000000-0005-0000-0000-0000BF0E0000}"/>
    <cellStyle name="Normal 2 4 2 3 2 2 7 2 2" xfId="15185" xr:uid="{0A9C3203-D666-4723-8FC3-FC98A59958BA}"/>
    <cellStyle name="Normal 2 4 2 3 2 2 7 3" xfId="10967" xr:uid="{1FA357DC-6DE6-4D38-80ED-4A210E48EE72}"/>
    <cellStyle name="Normal 2 4 2 3 2 2 8" xfId="4677" xr:uid="{00000000-0005-0000-0000-0000C00E0000}"/>
    <cellStyle name="Normal 2 4 2 3 2 2 8 2" xfId="13119" xr:uid="{FE50AB88-7026-4DE7-AB90-01E2D8086807}"/>
    <cellStyle name="Normal 2 4 2 3 2 2 9" xfId="8901" xr:uid="{9FBB5334-B921-4188-B0E9-9E9EBC72214B}"/>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15680" xr:uid="{5261CFDA-CDFA-486A-97B9-5A73CD4B23D0}"/>
    <cellStyle name="Normal 2 4 2 3 2 3 2 2 3" xfId="11462" xr:uid="{E0B8AAF3-5065-40FB-93F2-18C974F2D73B}"/>
    <cellStyle name="Normal 2 4 2 3 2 3 2 3" xfId="5093" xr:uid="{00000000-0005-0000-0000-0000C50E0000}"/>
    <cellStyle name="Normal 2 4 2 3 2 3 2 3 2" xfId="13535" xr:uid="{BC4F6958-297E-4F27-B8DF-C1963CE84B4C}"/>
    <cellStyle name="Normal 2 4 2 3 2 3 2 4" xfId="9317" xr:uid="{C105C5D3-A418-4C53-9F78-1A222F132223}"/>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2 2" xfId="16093" xr:uid="{0A1B0DAB-4F7D-44AC-9B63-766D238FCFA5}"/>
    <cellStyle name="Normal 2 4 2 3 2 3 3 2 3" xfId="11875" xr:uid="{EDDE907F-192F-4DEA-9D02-08E284215C35}"/>
    <cellStyle name="Normal 2 4 2 3 2 3 3 3" xfId="5506" xr:uid="{00000000-0005-0000-0000-0000C90E0000}"/>
    <cellStyle name="Normal 2 4 2 3 2 3 3 3 2" xfId="13948" xr:uid="{77C16AA8-674F-4818-BAC9-B8E8AF6FC9F9}"/>
    <cellStyle name="Normal 2 4 2 3 2 3 3 4" xfId="9730" xr:uid="{D48053B6-C545-45D9-A92A-59CC89D5D774}"/>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2 2 2" xfId="16506" xr:uid="{DAB489E9-79DA-49E1-8772-CD0A115F103F}"/>
    <cellStyle name="Normal 2 4 2 3 2 3 4 2 3" xfId="12288" xr:uid="{2B76FA19-7C5B-4863-BBEF-F59F59D0A54F}"/>
    <cellStyle name="Normal 2 4 2 3 2 3 4 3" xfId="5919" xr:uid="{00000000-0005-0000-0000-0000CD0E0000}"/>
    <cellStyle name="Normal 2 4 2 3 2 3 4 3 2" xfId="14361" xr:uid="{41DA41CD-AC45-4C5A-A5CA-6C4F517909C9}"/>
    <cellStyle name="Normal 2 4 2 3 2 3 4 4" xfId="10143" xr:uid="{50A1888E-6954-4029-BE71-0A90B945B1BF}"/>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2 2 2" xfId="16919" xr:uid="{2F58DE3E-2446-470B-BA0F-DE16E68E10B8}"/>
    <cellStyle name="Normal 2 4 2 3 2 3 5 2 3" xfId="12701" xr:uid="{777C09D1-9DC4-472F-AFC9-9CF795FB9427}"/>
    <cellStyle name="Normal 2 4 2 3 2 3 5 3" xfId="6332" xr:uid="{00000000-0005-0000-0000-0000D10E0000}"/>
    <cellStyle name="Normal 2 4 2 3 2 3 5 3 2" xfId="14774" xr:uid="{E2FC3974-11D8-48F8-BB53-39F836CEB47E}"/>
    <cellStyle name="Normal 2 4 2 3 2 3 5 4" xfId="10556" xr:uid="{1AB5FF36-6DD3-40B5-883A-A07898E95B87}"/>
    <cellStyle name="Normal 2 4 2 3 2 3 6" xfId="2461" xr:uid="{00000000-0005-0000-0000-0000D20E0000}"/>
    <cellStyle name="Normal 2 4 2 3 2 3 6 2" xfId="6745" xr:uid="{00000000-0005-0000-0000-0000D30E0000}"/>
    <cellStyle name="Normal 2 4 2 3 2 3 6 2 2" xfId="15187" xr:uid="{F261C544-89D8-4907-9632-3E798548AF7C}"/>
    <cellStyle name="Normal 2 4 2 3 2 3 6 3" xfId="10969" xr:uid="{599D5DE7-88DF-417A-A4B6-50A3B6BFA22A}"/>
    <cellStyle name="Normal 2 4 2 3 2 3 7" xfId="4679" xr:uid="{00000000-0005-0000-0000-0000D40E0000}"/>
    <cellStyle name="Normal 2 4 2 3 2 3 7 2" xfId="13121" xr:uid="{E1C4CFA8-7C81-4711-B8FC-EC1670172CCA}"/>
    <cellStyle name="Normal 2 4 2 3 2 3 8" xfId="8903" xr:uid="{BE23E882-8CDB-47D5-B81E-6AC0B90F565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15677" xr:uid="{5B310B1D-1284-40E0-B86A-A3C6B8C180D1}"/>
    <cellStyle name="Normal 2 4 2 3 2 4 2 3" xfId="11459" xr:uid="{D4D7688C-A3AD-4F10-AC88-F740CE7DC05A}"/>
    <cellStyle name="Normal 2 4 2 3 2 4 3" xfId="5090" xr:uid="{00000000-0005-0000-0000-0000D80E0000}"/>
    <cellStyle name="Normal 2 4 2 3 2 4 3 2" xfId="13532" xr:uid="{FF82FCFC-A212-42D2-A61D-3A722443203A}"/>
    <cellStyle name="Normal 2 4 2 3 2 4 4" xfId="9314" xr:uid="{C142BB42-AEEA-4E32-B4DB-9B1A807EBC26}"/>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2 2" xfId="16090" xr:uid="{C4BEACC4-1786-426C-85AA-9DCB0A919844}"/>
    <cellStyle name="Normal 2 4 2 3 2 5 2 3" xfId="11872" xr:uid="{06B72A1E-00D6-40C3-BAFF-5AE989D32CDB}"/>
    <cellStyle name="Normal 2 4 2 3 2 5 3" xfId="5503" xr:uid="{00000000-0005-0000-0000-0000DC0E0000}"/>
    <cellStyle name="Normal 2 4 2 3 2 5 3 2" xfId="13945" xr:uid="{46981490-2879-4F52-B8F1-673762B6D661}"/>
    <cellStyle name="Normal 2 4 2 3 2 5 4" xfId="9727" xr:uid="{40C861D0-F490-43E2-A043-23A4AA5DBFCE}"/>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2 2 2" xfId="16503" xr:uid="{3DCA9C1E-471F-422A-B5B5-B53905FDD19A}"/>
    <cellStyle name="Normal 2 4 2 3 2 6 2 3" xfId="12285" xr:uid="{9C708809-0C02-43F1-B39C-31728F74E480}"/>
    <cellStyle name="Normal 2 4 2 3 2 6 3" xfId="5916" xr:uid="{00000000-0005-0000-0000-0000E00E0000}"/>
    <cellStyle name="Normal 2 4 2 3 2 6 3 2" xfId="14358" xr:uid="{5AE9B83E-3E45-4514-89ED-822F20DF163A}"/>
    <cellStyle name="Normal 2 4 2 3 2 6 4" xfId="10140" xr:uid="{82205C16-0D5B-492A-9036-C8FCD6400278}"/>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2 2 2" xfId="16916" xr:uid="{FD574A03-4763-46A2-8598-0BD4A30B37D0}"/>
    <cellStyle name="Normal 2 4 2 3 2 7 2 3" xfId="12698" xr:uid="{0ADED892-D26A-4203-A8C8-1E25E8A17257}"/>
    <cellStyle name="Normal 2 4 2 3 2 7 3" xfId="6329" xr:uid="{00000000-0005-0000-0000-0000E40E0000}"/>
    <cellStyle name="Normal 2 4 2 3 2 7 3 2" xfId="14771" xr:uid="{4B00C7B0-89D9-4E55-88E7-A60CB1A73006}"/>
    <cellStyle name="Normal 2 4 2 3 2 7 4" xfId="10553" xr:uid="{AE7E2428-1C09-4C0D-A497-966F5403065F}"/>
    <cellStyle name="Normal 2 4 2 3 2 8" xfId="2458" xr:uid="{00000000-0005-0000-0000-0000E50E0000}"/>
    <cellStyle name="Normal 2 4 2 3 2 8 2" xfId="6742" xr:uid="{00000000-0005-0000-0000-0000E60E0000}"/>
    <cellStyle name="Normal 2 4 2 3 2 8 2 2" xfId="15184" xr:uid="{6A373AEA-FE4B-4AF5-B7E6-5CAE0B29147A}"/>
    <cellStyle name="Normal 2 4 2 3 2 8 3" xfId="10966" xr:uid="{4A989776-D2F5-4278-9860-8F7C00B387AD}"/>
    <cellStyle name="Normal 2 4 2 3 2 9" xfId="4676" xr:uid="{00000000-0005-0000-0000-0000E70E0000}"/>
    <cellStyle name="Normal 2 4 2 3 2 9 2" xfId="13118" xr:uid="{F046A55B-1D4C-4BDB-B58C-F4C8F5F1BE41}"/>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15682" xr:uid="{42D0B089-9EF2-4BFD-94B3-B8DA94E859D1}"/>
    <cellStyle name="Normal 2 4 2 3 3 2 2 2 3" xfId="11464" xr:uid="{F7091DBC-88CC-49DF-BC19-3BCA2A876E4E}"/>
    <cellStyle name="Normal 2 4 2 3 3 2 2 3" xfId="5095" xr:uid="{00000000-0005-0000-0000-0000ED0E0000}"/>
    <cellStyle name="Normal 2 4 2 3 3 2 2 3 2" xfId="13537" xr:uid="{48C10DD7-683C-4195-AECD-E8C8ED412B7C}"/>
    <cellStyle name="Normal 2 4 2 3 3 2 2 4" xfId="9319" xr:uid="{1BE40A8B-1063-4A0F-AB1E-F66AE4B2F0F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2 2" xfId="16095" xr:uid="{2255946E-019F-4901-A4BC-E908011F2D0C}"/>
    <cellStyle name="Normal 2 4 2 3 3 2 3 2 3" xfId="11877" xr:uid="{A43E06CA-65C9-4E39-A9D3-EF7739809999}"/>
    <cellStyle name="Normal 2 4 2 3 3 2 3 3" xfId="5508" xr:uid="{00000000-0005-0000-0000-0000F10E0000}"/>
    <cellStyle name="Normal 2 4 2 3 3 2 3 3 2" xfId="13950" xr:uid="{A7D218EE-E684-4B83-9789-0D7862CEAB4F}"/>
    <cellStyle name="Normal 2 4 2 3 3 2 3 4" xfId="9732" xr:uid="{6A99778F-228B-4811-A381-4C980CE022FD}"/>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2 2 2" xfId="16508" xr:uid="{340D03EA-B126-4250-8D37-BDDDED4451D9}"/>
    <cellStyle name="Normal 2 4 2 3 3 2 4 2 3" xfId="12290" xr:uid="{0BF492E2-7426-4F5C-A08A-05F79400336A}"/>
    <cellStyle name="Normal 2 4 2 3 3 2 4 3" xfId="5921" xr:uid="{00000000-0005-0000-0000-0000F50E0000}"/>
    <cellStyle name="Normal 2 4 2 3 3 2 4 3 2" xfId="14363" xr:uid="{7C658F34-12BE-4FC8-842D-12E243BC8CB1}"/>
    <cellStyle name="Normal 2 4 2 3 3 2 4 4" xfId="10145" xr:uid="{3D9C50FB-70CA-4BE2-9BBB-E2135142A8A9}"/>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2 2 2" xfId="16921" xr:uid="{E7B7C146-8AAF-465C-9B3F-7FB015B44C22}"/>
    <cellStyle name="Normal 2 4 2 3 3 2 5 2 3" xfId="12703" xr:uid="{4CD886C0-ACDF-4E30-9C2C-B2B616B73F64}"/>
    <cellStyle name="Normal 2 4 2 3 3 2 5 3" xfId="6334" xr:uid="{00000000-0005-0000-0000-0000F90E0000}"/>
    <cellStyle name="Normal 2 4 2 3 3 2 5 3 2" xfId="14776" xr:uid="{D72C843A-383D-46B8-BC4D-949C7979B1E1}"/>
    <cellStyle name="Normal 2 4 2 3 3 2 5 4" xfId="10558" xr:uid="{46468CAB-5568-46C1-A9D7-1BA29A4011C8}"/>
    <cellStyle name="Normal 2 4 2 3 3 2 6" xfId="2463" xr:uid="{00000000-0005-0000-0000-0000FA0E0000}"/>
    <cellStyle name="Normal 2 4 2 3 3 2 6 2" xfId="6747" xr:uid="{00000000-0005-0000-0000-0000FB0E0000}"/>
    <cellStyle name="Normal 2 4 2 3 3 2 6 2 2" xfId="15189" xr:uid="{05E45DC4-BB80-46DD-97BC-793AD7325036}"/>
    <cellStyle name="Normal 2 4 2 3 3 2 6 3" xfId="10971" xr:uid="{6ABD0CB2-B56E-4CA1-8C8B-08E0CEF95644}"/>
    <cellStyle name="Normal 2 4 2 3 3 2 7" xfId="4681" xr:uid="{00000000-0005-0000-0000-0000FC0E0000}"/>
    <cellStyle name="Normal 2 4 2 3 3 2 7 2" xfId="13123" xr:uid="{FE834487-2304-4307-A018-87F59C9AFE62}"/>
    <cellStyle name="Normal 2 4 2 3 3 2 8" xfId="8905" xr:uid="{5A7E16CD-D6D6-4808-B192-FFFCF3A45EC4}"/>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15681" xr:uid="{1F2B772D-547C-46E0-93D2-6ED794109473}"/>
    <cellStyle name="Normal 2 4 2 3 3 3 2 3" xfId="11463" xr:uid="{EAF38ADF-42B4-4E5F-92CB-80C6EA7736E1}"/>
    <cellStyle name="Normal 2 4 2 3 3 3 3" xfId="5094" xr:uid="{00000000-0005-0000-0000-0000000F0000}"/>
    <cellStyle name="Normal 2 4 2 3 3 3 3 2" xfId="13536" xr:uid="{3A633C75-6A42-47B9-BF0D-2B45AA422E48}"/>
    <cellStyle name="Normal 2 4 2 3 3 3 4" xfId="9318" xr:uid="{0F0143C6-76D1-49F8-B0B3-FDD821803DB2}"/>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2 2" xfId="16094" xr:uid="{6CBD7D10-0CE3-4304-B7F9-98F78614714C}"/>
    <cellStyle name="Normal 2 4 2 3 3 4 2 3" xfId="11876" xr:uid="{5BA990D6-D7F6-45A8-8109-5BCF8EBB5755}"/>
    <cellStyle name="Normal 2 4 2 3 3 4 3" xfId="5507" xr:uid="{00000000-0005-0000-0000-0000040F0000}"/>
    <cellStyle name="Normal 2 4 2 3 3 4 3 2" xfId="13949" xr:uid="{0C41C8BA-35A4-46E5-9051-9F75E2A04687}"/>
    <cellStyle name="Normal 2 4 2 3 3 4 4" xfId="9731" xr:uid="{C2E9C611-2AEF-4149-811C-B492BF316617}"/>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2 2 2" xfId="16507" xr:uid="{376DF6CD-F165-47C7-880E-DDED6871239B}"/>
    <cellStyle name="Normal 2 4 2 3 3 5 2 3" xfId="12289" xr:uid="{8216E3D7-A694-482C-A6F6-32A198FE7E4B}"/>
    <cellStyle name="Normal 2 4 2 3 3 5 3" xfId="5920" xr:uid="{00000000-0005-0000-0000-0000080F0000}"/>
    <cellStyle name="Normal 2 4 2 3 3 5 3 2" xfId="14362" xr:uid="{BE062A0F-3D29-4031-B0EB-2D9F75F3277E}"/>
    <cellStyle name="Normal 2 4 2 3 3 5 4" xfId="10144" xr:uid="{019AEB86-DD2D-4EDA-B631-7B5CCAA1DE78}"/>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2 2 2" xfId="16920" xr:uid="{EE0D0189-4A25-4DE7-9682-AC852C74441E}"/>
    <cellStyle name="Normal 2 4 2 3 3 6 2 3" xfId="12702" xr:uid="{210AA048-CE12-4DAF-A2AA-A148FA2CF56B}"/>
    <cellStyle name="Normal 2 4 2 3 3 6 3" xfId="6333" xr:uid="{00000000-0005-0000-0000-00000C0F0000}"/>
    <cellStyle name="Normal 2 4 2 3 3 6 3 2" xfId="14775" xr:uid="{F0DA73FC-008D-4988-AE11-0B5FBFE40437}"/>
    <cellStyle name="Normal 2 4 2 3 3 6 4" xfId="10557" xr:uid="{48190A33-4CDB-4A19-9501-687B862A2DC8}"/>
    <cellStyle name="Normal 2 4 2 3 3 7" xfId="2462" xr:uid="{00000000-0005-0000-0000-00000D0F0000}"/>
    <cellStyle name="Normal 2 4 2 3 3 7 2" xfId="6746" xr:uid="{00000000-0005-0000-0000-00000E0F0000}"/>
    <cellStyle name="Normal 2 4 2 3 3 7 2 2" xfId="15188" xr:uid="{6C79DF2F-AA66-402B-9B04-222669DE9972}"/>
    <cellStyle name="Normal 2 4 2 3 3 7 3" xfId="10970" xr:uid="{4A966581-367B-4E83-853F-33F2DA7DE6D6}"/>
    <cellStyle name="Normal 2 4 2 3 3 8" xfId="4680" xr:uid="{00000000-0005-0000-0000-00000F0F0000}"/>
    <cellStyle name="Normal 2 4 2 3 3 8 2" xfId="13122" xr:uid="{3E8F5E98-E717-4D3A-89B0-0A863205C85E}"/>
    <cellStyle name="Normal 2 4 2 3 3 9" xfId="8904" xr:uid="{C11E3BD9-3DAA-4168-879F-21C4461C1FD8}"/>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15683" xr:uid="{8EFDFF14-1EA3-4CE0-AAE7-C633D5F910C2}"/>
    <cellStyle name="Normal 2 4 2 3 4 2 2 3" xfId="11465" xr:uid="{1920A53E-C6B0-412F-8143-15FC3F8CA54A}"/>
    <cellStyle name="Normal 2 4 2 3 4 2 3" xfId="5096" xr:uid="{00000000-0005-0000-0000-0000140F0000}"/>
    <cellStyle name="Normal 2 4 2 3 4 2 3 2" xfId="13538" xr:uid="{0B66F2B4-49BC-44D9-988F-44F0FC4B6533}"/>
    <cellStyle name="Normal 2 4 2 3 4 2 4" xfId="9320" xr:uid="{AD9F52A4-0BBE-438B-B9F3-02052CFA0229}"/>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2 2" xfId="16096" xr:uid="{53B872D7-7085-4F1A-A5FE-97630D4D9EC5}"/>
    <cellStyle name="Normal 2 4 2 3 4 3 2 3" xfId="11878" xr:uid="{1D840C98-6D44-43D0-8BEF-72DB6B96119A}"/>
    <cellStyle name="Normal 2 4 2 3 4 3 3" xfId="5509" xr:uid="{00000000-0005-0000-0000-0000180F0000}"/>
    <cellStyle name="Normal 2 4 2 3 4 3 3 2" xfId="13951" xr:uid="{D52DCB70-1B67-4D58-8CA1-6C92C49EC7B9}"/>
    <cellStyle name="Normal 2 4 2 3 4 3 4" xfId="9733" xr:uid="{84A2B831-B0F1-43F0-9ACF-B6DC0751D3A4}"/>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2 2 2" xfId="16509" xr:uid="{607B5B4D-870D-44D6-A13E-3BAB8E208B2A}"/>
    <cellStyle name="Normal 2 4 2 3 4 4 2 3" xfId="12291" xr:uid="{42B3DA1B-9317-41DB-B08D-5D706D75FC28}"/>
    <cellStyle name="Normal 2 4 2 3 4 4 3" xfId="5922" xr:uid="{00000000-0005-0000-0000-00001C0F0000}"/>
    <cellStyle name="Normal 2 4 2 3 4 4 3 2" xfId="14364" xr:uid="{3D50261E-7D1F-4E70-A6A9-D4B974EC50AC}"/>
    <cellStyle name="Normal 2 4 2 3 4 4 4" xfId="10146" xr:uid="{4E62BC43-2031-438A-9D0F-2E0B2FB10523}"/>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2 2 2" xfId="16922" xr:uid="{E34B44F5-41BC-4B0F-BC9B-5C636CF95790}"/>
    <cellStyle name="Normal 2 4 2 3 4 5 2 3" xfId="12704" xr:uid="{81DB2650-B7ED-4C33-9111-B7B60F337580}"/>
    <cellStyle name="Normal 2 4 2 3 4 5 3" xfId="6335" xr:uid="{00000000-0005-0000-0000-0000200F0000}"/>
    <cellStyle name="Normal 2 4 2 3 4 5 3 2" xfId="14777" xr:uid="{D8297D72-BE9D-401C-9646-1598A01454F3}"/>
    <cellStyle name="Normal 2 4 2 3 4 5 4" xfId="10559" xr:uid="{44F3F16D-169B-4CCC-B200-C94C0CC1C5D5}"/>
    <cellStyle name="Normal 2 4 2 3 4 6" xfId="2464" xr:uid="{00000000-0005-0000-0000-0000210F0000}"/>
    <cellStyle name="Normal 2 4 2 3 4 6 2" xfId="6748" xr:uid="{00000000-0005-0000-0000-0000220F0000}"/>
    <cellStyle name="Normal 2 4 2 3 4 6 2 2" xfId="15190" xr:uid="{03B3EDBA-C915-406A-9AB9-D3E75F2C4135}"/>
    <cellStyle name="Normal 2 4 2 3 4 6 3" xfId="10972" xr:uid="{4847BD59-2558-4B0F-BAF1-D6F7A546C7DF}"/>
    <cellStyle name="Normal 2 4 2 3 4 7" xfId="4682" xr:uid="{00000000-0005-0000-0000-0000230F0000}"/>
    <cellStyle name="Normal 2 4 2 3 4 7 2" xfId="13124" xr:uid="{1FF01AAE-79E0-43E4-8D02-B6DE19EA437A}"/>
    <cellStyle name="Normal 2 4 2 3 4 8" xfId="8906" xr:uid="{D65A9DB0-B9F0-4B40-B2F0-DE21F1231A92}"/>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15676" xr:uid="{B87A1BAC-362A-4F9E-B642-AF0EA7C77E4C}"/>
    <cellStyle name="Normal 2 4 2 3 5 2 3" xfId="11458" xr:uid="{144C8E1C-D887-47F1-8221-7F2A1864FDF9}"/>
    <cellStyle name="Normal 2 4 2 3 5 3" xfId="5089" xr:uid="{00000000-0005-0000-0000-0000270F0000}"/>
    <cellStyle name="Normal 2 4 2 3 5 3 2" xfId="13531" xr:uid="{A3493322-B09F-49DC-A369-FFC560EC3A44}"/>
    <cellStyle name="Normal 2 4 2 3 5 4" xfId="9313" xr:uid="{97781BFD-C1F3-45E1-B8F3-9B44D2A52052}"/>
    <cellStyle name="Normal 2 4 2 3 6" xfId="1194" xr:uid="{00000000-0005-0000-0000-0000280F0000}"/>
    <cellStyle name="Normal 2 4 2 3 6 2" xfId="3424" xr:uid="{00000000-0005-0000-0000-0000290F0000}"/>
    <cellStyle name="Normal 2 4 2 3 6 2 2" xfId="7647" xr:uid="{00000000-0005-0000-0000-00002A0F0000}"/>
    <cellStyle name="Normal 2 4 2 3 6 2 2 2" xfId="16089" xr:uid="{AEBA9A90-7E87-4D66-BE5F-CC7C399E6D5C}"/>
    <cellStyle name="Normal 2 4 2 3 6 2 3" xfId="11871" xr:uid="{4ADC4275-369D-4602-BB9F-5AB217F70AA8}"/>
    <cellStyle name="Normal 2 4 2 3 6 3" xfId="5502" xr:uid="{00000000-0005-0000-0000-00002B0F0000}"/>
    <cellStyle name="Normal 2 4 2 3 6 3 2" xfId="13944" xr:uid="{F018274E-101D-4B33-AB5F-EA8A040075B0}"/>
    <cellStyle name="Normal 2 4 2 3 6 4" xfId="9726" xr:uid="{477B995E-7F46-4661-B614-5D0E90C34286}"/>
    <cellStyle name="Normal 2 4 2 3 7" xfId="1607" xr:uid="{00000000-0005-0000-0000-00002C0F0000}"/>
    <cellStyle name="Normal 2 4 2 3 7 2" xfId="3837" xr:uid="{00000000-0005-0000-0000-00002D0F0000}"/>
    <cellStyle name="Normal 2 4 2 3 7 2 2" xfId="8060" xr:uid="{00000000-0005-0000-0000-00002E0F0000}"/>
    <cellStyle name="Normal 2 4 2 3 7 2 2 2" xfId="16502" xr:uid="{219D40B2-1C7C-4C7C-B92F-A1163873DF32}"/>
    <cellStyle name="Normal 2 4 2 3 7 2 3" xfId="12284" xr:uid="{CB2C990E-2482-4306-8109-B475FE6F91DE}"/>
    <cellStyle name="Normal 2 4 2 3 7 3" xfId="5915" xr:uid="{00000000-0005-0000-0000-00002F0F0000}"/>
    <cellStyle name="Normal 2 4 2 3 7 3 2" xfId="14357" xr:uid="{C6B59A52-882A-4DCF-BBF2-F04AE0999A17}"/>
    <cellStyle name="Normal 2 4 2 3 7 4" xfId="10139" xr:uid="{88586A64-0D45-40CD-88EF-A768F9493DC1}"/>
    <cellStyle name="Normal 2 4 2 3 8" xfId="2021" xr:uid="{00000000-0005-0000-0000-0000300F0000}"/>
    <cellStyle name="Normal 2 4 2 3 8 2" xfId="4250" xr:uid="{00000000-0005-0000-0000-0000310F0000}"/>
    <cellStyle name="Normal 2 4 2 3 8 2 2" xfId="8473" xr:uid="{00000000-0005-0000-0000-0000320F0000}"/>
    <cellStyle name="Normal 2 4 2 3 8 2 2 2" xfId="16915" xr:uid="{85D4C030-B4B5-49DF-B0E7-C6B681735B61}"/>
    <cellStyle name="Normal 2 4 2 3 8 2 3" xfId="12697" xr:uid="{FDB20C0D-F863-4EBF-BC00-80352943DC18}"/>
    <cellStyle name="Normal 2 4 2 3 8 3" xfId="6328" xr:uid="{00000000-0005-0000-0000-0000330F0000}"/>
    <cellStyle name="Normal 2 4 2 3 8 3 2" xfId="14770" xr:uid="{EA86F55F-D849-4925-B480-D52E28FCA90A}"/>
    <cellStyle name="Normal 2 4 2 3 8 4" xfId="10552" xr:uid="{80AC3F89-2C04-453E-A3FB-E131F5C33EE1}"/>
    <cellStyle name="Normal 2 4 2 3 9" xfId="2457" xr:uid="{00000000-0005-0000-0000-0000340F0000}"/>
    <cellStyle name="Normal 2 4 2 3 9 2" xfId="6741" xr:uid="{00000000-0005-0000-0000-0000350F0000}"/>
    <cellStyle name="Normal 2 4 2 3 9 2 2" xfId="15183" xr:uid="{18551288-1198-4E32-9463-250B7D214902}"/>
    <cellStyle name="Normal 2 4 2 3 9 3" xfId="10965" xr:uid="{ACA6295A-9A00-47C7-B986-D2B855FD4BE4}"/>
    <cellStyle name="Normal 2 4 2 4" xfId="289" xr:uid="{00000000-0005-0000-0000-0000360F0000}"/>
    <cellStyle name="Normal 2 4 2 4 10" xfId="8907" xr:uid="{B1799A17-CBAF-436A-ABB5-B6848ACEC0A1}"/>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15686" xr:uid="{EBFE415B-1E5E-4118-AB0C-9CEDB59E50CA}"/>
    <cellStyle name="Normal 2 4 2 4 2 2 2 2 3" xfId="11468" xr:uid="{B88964EB-3626-446A-B483-DE5714F058A8}"/>
    <cellStyle name="Normal 2 4 2 4 2 2 2 3" xfId="5099" xr:uid="{00000000-0005-0000-0000-00003C0F0000}"/>
    <cellStyle name="Normal 2 4 2 4 2 2 2 3 2" xfId="13541" xr:uid="{E7F0454E-87D8-420F-962C-3C603D560A32}"/>
    <cellStyle name="Normal 2 4 2 4 2 2 2 4" xfId="9323" xr:uid="{158A7D35-6121-412D-B674-79D95CF85E3D}"/>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2 2" xfId="16099" xr:uid="{F0B28147-7E0C-4BAC-B92C-9FA4F63168E9}"/>
    <cellStyle name="Normal 2 4 2 4 2 2 3 2 3" xfId="11881" xr:uid="{D4EDF9BC-2A8E-4648-A9FE-65737305B5DD}"/>
    <cellStyle name="Normal 2 4 2 4 2 2 3 3" xfId="5512" xr:uid="{00000000-0005-0000-0000-0000400F0000}"/>
    <cellStyle name="Normal 2 4 2 4 2 2 3 3 2" xfId="13954" xr:uid="{F8FFDE69-07F5-408D-8B4B-5934401BB883}"/>
    <cellStyle name="Normal 2 4 2 4 2 2 3 4" xfId="9736" xr:uid="{9ABEC9B7-FD38-4A03-9842-322690B148AC}"/>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2 2 2" xfId="16512" xr:uid="{6B7D8E17-56DF-49D8-BC39-6C2D8A509DE4}"/>
    <cellStyle name="Normal 2 4 2 4 2 2 4 2 3" xfId="12294" xr:uid="{F6F29F87-FE20-4995-8812-EF29ADA0CA41}"/>
    <cellStyle name="Normal 2 4 2 4 2 2 4 3" xfId="5925" xr:uid="{00000000-0005-0000-0000-0000440F0000}"/>
    <cellStyle name="Normal 2 4 2 4 2 2 4 3 2" xfId="14367" xr:uid="{6B605CC2-4C6E-43F5-B869-898D8C889062}"/>
    <cellStyle name="Normal 2 4 2 4 2 2 4 4" xfId="10149" xr:uid="{A6958465-EBB3-4580-8740-5D82908238AF}"/>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2 2 2" xfId="16925" xr:uid="{E9EC0E7F-F044-4347-9C83-EAFE8066E808}"/>
    <cellStyle name="Normal 2 4 2 4 2 2 5 2 3" xfId="12707" xr:uid="{38B63488-EB1D-450E-BA41-3D37A6115EB3}"/>
    <cellStyle name="Normal 2 4 2 4 2 2 5 3" xfId="6338" xr:uid="{00000000-0005-0000-0000-0000480F0000}"/>
    <cellStyle name="Normal 2 4 2 4 2 2 5 3 2" xfId="14780" xr:uid="{22573FCA-54EF-4AC2-BAE8-DF784BE840AD}"/>
    <cellStyle name="Normal 2 4 2 4 2 2 5 4" xfId="10562" xr:uid="{8943FB28-7667-42F3-803A-D8645314030F}"/>
    <cellStyle name="Normal 2 4 2 4 2 2 6" xfId="2467" xr:uid="{00000000-0005-0000-0000-0000490F0000}"/>
    <cellStyle name="Normal 2 4 2 4 2 2 6 2" xfId="6751" xr:uid="{00000000-0005-0000-0000-00004A0F0000}"/>
    <cellStyle name="Normal 2 4 2 4 2 2 6 2 2" xfId="15193" xr:uid="{9C00A4EF-761F-485D-898A-C4FA22CD6FBD}"/>
    <cellStyle name="Normal 2 4 2 4 2 2 6 3" xfId="10975" xr:uid="{3720DFB0-71F1-40E9-A11D-231C293C9512}"/>
    <cellStyle name="Normal 2 4 2 4 2 2 7" xfId="4685" xr:uid="{00000000-0005-0000-0000-00004B0F0000}"/>
    <cellStyle name="Normal 2 4 2 4 2 2 7 2" xfId="13127" xr:uid="{05F6ACA3-D2C0-4492-84AC-1891345C1CDF}"/>
    <cellStyle name="Normal 2 4 2 4 2 2 8" xfId="8909" xr:uid="{C4FA38EC-D8A1-47D2-A6DB-DCE5C888DAC5}"/>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15685" xr:uid="{1DAB32DF-2F73-4837-A20E-5F07CFEBB369}"/>
    <cellStyle name="Normal 2 4 2 4 2 3 2 3" xfId="11467" xr:uid="{79E22A5E-57C1-4113-A6E8-0AD8469305CC}"/>
    <cellStyle name="Normal 2 4 2 4 2 3 3" xfId="5098" xr:uid="{00000000-0005-0000-0000-00004F0F0000}"/>
    <cellStyle name="Normal 2 4 2 4 2 3 3 2" xfId="13540" xr:uid="{0F6870E6-B785-4A05-9397-9DBD945216D8}"/>
    <cellStyle name="Normal 2 4 2 4 2 3 4" xfId="9322" xr:uid="{903FAE4F-4B26-4B9D-886C-DDC2D4FCAF16}"/>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2 2" xfId="16098" xr:uid="{8C84B44C-1FE2-4CF6-9E86-223B34CBC230}"/>
    <cellStyle name="Normal 2 4 2 4 2 4 2 3" xfId="11880" xr:uid="{5D7826B0-0C93-4CFB-8887-7DACB4597439}"/>
    <cellStyle name="Normal 2 4 2 4 2 4 3" xfId="5511" xr:uid="{00000000-0005-0000-0000-0000530F0000}"/>
    <cellStyle name="Normal 2 4 2 4 2 4 3 2" xfId="13953" xr:uid="{AC014501-D5E3-48B1-A163-841A54911432}"/>
    <cellStyle name="Normal 2 4 2 4 2 4 4" xfId="9735" xr:uid="{35DF5557-9F27-4BB8-BDDB-990D5B68C9BA}"/>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2 2 2" xfId="16511" xr:uid="{9A65D1F3-78B5-4F0E-8F6D-9564567D667A}"/>
    <cellStyle name="Normal 2 4 2 4 2 5 2 3" xfId="12293" xr:uid="{8186B65B-2D55-4FCD-8922-789C1DA85217}"/>
    <cellStyle name="Normal 2 4 2 4 2 5 3" xfId="5924" xr:uid="{00000000-0005-0000-0000-0000570F0000}"/>
    <cellStyle name="Normal 2 4 2 4 2 5 3 2" xfId="14366" xr:uid="{7CED056D-A24C-487A-9D29-115A0D29F147}"/>
    <cellStyle name="Normal 2 4 2 4 2 5 4" xfId="10148" xr:uid="{CBBE14C8-5669-42AB-A36A-3F459A13FE64}"/>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2 2 2" xfId="16924" xr:uid="{F657EA93-9F43-4D74-9429-D4788144B575}"/>
    <cellStyle name="Normal 2 4 2 4 2 6 2 3" xfId="12706" xr:uid="{27A1C18A-F83C-439A-A158-66B96FF53C0B}"/>
    <cellStyle name="Normal 2 4 2 4 2 6 3" xfId="6337" xr:uid="{00000000-0005-0000-0000-00005B0F0000}"/>
    <cellStyle name="Normal 2 4 2 4 2 6 3 2" xfId="14779" xr:uid="{03EA6EF0-ED5E-434C-8493-9B8B0B96EBDB}"/>
    <cellStyle name="Normal 2 4 2 4 2 6 4" xfId="10561" xr:uid="{3E4C725E-2BF8-4161-8D10-E9FCCBCF1506}"/>
    <cellStyle name="Normal 2 4 2 4 2 7" xfId="2466" xr:uid="{00000000-0005-0000-0000-00005C0F0000}"/>
    <cellStyle name="Normal 2 4 2 4 2 7 2" xfId="6750" xr:uid="{00000000-0005-0000-0000-00005D0F0000}"/>
    <cellStyle name="Normal 2 4 2 4 2 7 2 2" xfId="15192" xr:uid="{7FD5ACBC-049B-4489-A1E6-0AD20DF07D5A}"/>
    <cellStyle name="Normal 2 4 2 4 2 7 3" xfId="10974" xr:uid="{D660BE56-073E-498E-AABF-B48DD579B7A9}"/>
    <cellStyle name="Normal 2 4 2 4 2 8" xfId="4684" xr:uid="{00000000-0005-0000-0000-00005E0F0000}"/>
    <cellStyle name="Normal 2 4 2 4 2 8 2" xfId="13126" xr:uid="{D63A6082-B241-4568-8B03-7F7BECD2C1C1}"/>
    <cellStyle name="Normal 2 4 2 4 2 9" xfId="8908" xr:uid="{2048870D-0C78-4A0A-ADD4-CD8D3A2B6771}"/>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15687" xr:uid="{D5A91B32-46D2-4370-9FC7-563FCBC9AFB3}"/>
    <cellStyle name="Normal 2 4 2 4 3 2 2 3" xfId="11469" xr:uid="{CEAA50E3-598A-4BC9-B8B9-577EF1650C2D}"/>
    <cellStyle name="Normal 2 4 2 4 3 2 3" xfId="5100" xr:uid="{00000000-0005-0000-0000-0000630F0000}"/>
    <cellStyle name="Normal 2 4 2 4 3 2 3 2" xfId="13542" xr:uid="{235B811B-2012-412B-BE2C-ACFD48DDBCBD}"/>
    <cellStyle name="Normal 2 4 2 4 3 2 4" xfId="9324" xr:uid="{AABB242A-A212-43B1-A588-9B87F163DBA7}"/>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2 2" xfId="16100" xr:uid="{96A79A20-172B-46D1-B21C-CBE0B8932CB7}"/>
    <cellStyle name="Normal 2 4 2 4 3 3 2 3" xfId="11882" xr:uid="{FAF1B0A5-2DCB-4AE7-8299-35779B87B21E}"/>
    <cellStyle name="Normal 2 4 2 4 3 3 3" xfId="5513" xr:uid="{00000000-0005-0000-0000-0000670F0000}"/>
    <cellStyle name="Normal 2 4 2 4 3 3 3 2" xfId="13955" xr:uid="{9DDD3A69-B112-47F4-83BB-E88794ACDE18}"/>
    <cellStyle name="Normal 2 4 2 4 3 3 4" xfId="9737" xr:uid="{81CF9ACA-B1FA-4E46-9008-A2041C60D117}"/>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2 2 2" xfId="16513" xr:uid="{172CFA1C-D3AF-40DF-BDF4-5F03368469E7}"/>
    <cellStyle name="Normal 2 4 2 4 3 4 2 3" xfId="12295" xr:uid="{ACA8C215-690F-46FA-88D0-5C4F2DE9830E}"/>
    <cellStyle name="Normal 2 4 2 4 3 4 3" xfId="5926" xr:uid="{00000000-0005-0000-0000-00006B0F0000}"/>
    <cellStyle name="Normal 2 4 2 4 3 4 3 2" xfId="14368" xr:uid="{C40B6265-D8D3-47C5-A67C-2DCC2E367773}"/>
    <cellStyle name="Normal 2 4 2 4 3 4 4" xfId="10150" xr:uid="{7E04FB14-4942-43AC-A733-65449674FDED}"/>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2 2 2" xfId="16926" xr:uid="{2E982804-0029-4D54-89A1-D1BC1C2598FD}"/>
    <cellStyle name="Normal 2 4 2 4 3 5 2 3" xfId="12708" xr:uid="{D753E19C-67B6-480A-88EE-B1A69E50662E}"/>
    <cellStyle name="Normal 2 4 2 4 3 5 3" xfId="6339" xr:uid="{00000000-0005-0000-0000-00006F0F0000}"/>
    <cellStyle name="Normal 2 4 2 4 3 5 3 2" xfId="14781" xr:uid="{62F64785-853E-4A20-8EE3-B47A976B176D}"/>
    <cellStyle name="Normal 2 4 2 4 3 5 4" xfId="10563" xr:uid="{05333BC9-34BA-42F9-853E-FCA3934A0062}"/>
    <cellStyle name="Normal 2 4 2 4 3 6" xfId="2468" xr:uid="{00000000-0005-0000-0000-0000700F0000}"/>
    <cellStyle name="Normal 2 4 2 4 3 6 2" xfId="6752" xr:uid="{00000000-0005-0000-0000-0000710F0000}"/>
    <cellStyle name="Normal 2 4 2 4 3 6 2 2" xfId="15194" xr:uid="{885A52CC-191F-44BA-96DB-B71E4EDB9CE5}"/>
    <cellStyle name="Normal 2 4 2 4 3 6 3" xfId="10976" xr:uid="{6FFE7362-B0E6-4188-BEBE-BD9809401574}"/>
    <cellStyle name="Normal 2 4 2 4 3 7" xfId="4686" xr:uid="{00000000-0005-0000-0000-0000720F0000}"/>
    <cellStyle name="Normal 2 4 2 4 3 7 2" xfId="13128" xr:uid="{B661DED2-2C20-4788-9E6C-ECE83F09D099}"/>
    <cellStyle name="Normal 2 4 2 4 3 8" xfId="8910" xr:uid="{1579AFC3-D296-4971-BF4D-1859C7C871A9}"/>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15684" xr:uid="{9E0D35F9-6D9C-4BD4-BEE8-1847627CF278}"/>
    <cellStyle name="Normal 2 4 2 4 4 2 3" xfId="11466" xr:uid="{33A1ADBB-47DF-4290-8DD8-A919D3F45439}"/>
    <cellStyle name="Normal 2 4 2 4 4 3" xfId="5097" xr:uid="{00000000-0005-0000-0000-0000760F0000}"/>
    <cellStyle name="Normal 2 4 2 4 4 3 2" xfId="13539" xr:uid="{29F0F11C-45B1-4308-88DF-242345F8B807}"/>
    <cellStyle name="Normal 2 4 2 4 4 4" xfId="9321" xr:uid="{66744FDE-0B19-4274-93CC-B3432CCB11E3}"/>
    <cellStyle name="Normal 2 4 2 4 5" xfId="1202" xr:uid="{00000000-0005-0000-0000-0000770F0000}"/>
    <cellStyle name="Normal 2 4 2 4 5 2" xfId="3432" xr:uid="{00000000-0005-0000-0000-0000780F0000}"/>
    <cellStyle name="Normal 2 4 2 4 5 2 2" xfId="7655" xr:uid="{00000000-0005-0000-0000-0000790F0000}"/>
    <cellStyle name="Normal 2 4 2 4 5 2 2 2" xfId="16097" xr:uid="{266BEBF8-B0FA-4598-BD34-554CA40B5B91}"/>
    <cellStyle name="Normal 2 4 2 4 5 2 3" xfId="11879" xr:uid="{3A0D0B56-A516-4B56-A175-FB5B60FCF4D4}"/>
    <cellStyle name="Normal 2 4 2 4 5 3" xfId="5510" xr:uid="{00000000-0005-0000-0000-00007A0F0000}"/>
    <cellStyle name="Normal 2 4 2 4 5 3 2" xfId="13952" xr:uid="{DD85A0AF-9F66-4C08-AFA8-54737408C723}"/>
    <cellStyle name="Normal 2 4 2 4 5 4" xfId="9734" xr:uid="{05EF2138-D698-414C-B272-860D9F334932}"/>
    <cellStyle name="Normal 2 4 2 4 6" xfId="1615" xr:uid="{00000000-0005-0000-0000-00007B0F0000}"/>
    <cellStyle name="Normal 2 4 2 4 6 2" xfId="3845" xr:uid="{00000000-0005-0000-0000-00007C0F0000}"/>
    <cellStyle name="Normal 2 4 2 4 6 2 2" xfId="8068" xr:uid="{00000000-0005-0000-0000-00007D0F0000}"/>
    <cellStyle name="Normal 2 4 2 4 6 2 2 2" xfId="16510" xr:uid="{9B1B5C9E-3E7F-4799-B332-5373CCD9697B}"/>
    <cellStyle name="Normal 2 4 2 4 6 2 3" xfId="12292" xr:uid="{485CA7A7-2D81-44CA-B995-1913F6B5DA1A}"/>
    <cellStyle name="Normal 2 4 2 4 6 3" xfId="5923" xr:uid="{00000000-0005-0000-0000-00007E0F0000}"/>
    <cellStyle name="Normal 2 4 2 4 6 3 2" xfId="14365" xr:uid="{8B4916BE-8E0E-4850-928E-F84A53351DFB}"/>
    <cellStyle name="Normal 2 4 2 4 6 4" xfId="10147" xr:uid="{113A0878-AB86-42E4-A2A5-E5EB71994B83}"/>
    <cellStyle name="Normal 2 4 2 4 7" xfId="2029" xr:uid="{00000000-0005-0000-0000-00007F0F0000}"/>
    <cellStyle name="Normal 2 4 2 4 7 2" xfId="4258" xr:uid="{00000000-0005-0000-0000-0000800F0000}"/>
    <cellStyle name="Normal 2 4 2 4 7 2 2" xfId="8481" xr:uid="{00000000-0005-0000-0000-0000810F0000}"/>
    <cellStyle name="Normal 2 4 2 4 7 2 2 2" xfId="16923" xr:uid="{53C7337B-3B67-45BD-8104-16456CCA9851}"/>
    <cellStyle name="Normal 2 4 2 4 7 2 3" xfId="12705" xr:uid="{B41432C8-F8F3-4DA0-9A66-36D1681018D9}"/>
    <cellStyle name="Normal 2 4 2 4 7 3" xfId="6336" xr:uid="{00000000-0005-0000-0000-0000820F0000}"/>
    <cellStyle name="Normal 2 4 2 4 7 3 2" xfId="14778" xr:uid="{92FC8786-2C35-41F1-9314-BB60F6CA3638}"/>
    <cellStyle name="Normal 2 4 2 4 7 4" xfId="10560" xr:uid="{B8C06485-3EED-4082-91EE-CB9E7127AFDB}"/>
    <cellStyle name="Normal 2 4 2 4 8" xfId="2465" xr:uid="{00000000-0005-0000-0000-0000830F0000}"/>
    <cellStyle name="Normal 2 4 2 4 8 2" xfId="6749" xr:uid="{00000000-0005-0000-0000-0000840F0000}"/>
    <cellStyle name="Normal 2 4 2 4 8 2 2" xfId="15191" xr:uid="{8D7D4C8C-E1D3-4178-B332-5E0A1A61D2AA}"/>
    <cellStyle name="Normal 2 4 2 4 8 3" xfId="10973" xr:uid="{BFD427E5-85AB-4316-9EB0-D20F8412E2D4}"/>
    <cellStyle name="Normal 2 4 2 4 9" xfId="4683" xr:uid="{00000000-0005-0000-0000-0000850F0000}"/>
    <cellStyle name="Normal 2 4 2 4 9 2" xfId="13125" xr:uid="{BA09A433-9A40-4852-B81B-84F920C928D6}"/>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15689" xr:uid="{5BC2F844-5E75-4BFE-B973-F61B943AB816}"/>
    <cellStyle name="Normal 2 4 2 5 2 2 2 3" xfId="11471" xr:uid="{034106A3-65D5-4366-BEE2-AEF1C19E64C8}"/>
    <cellStyle name="Normal 2 4 2 5 2 2 3" xfId="5102" xr:uid="{00000000-0005-0000-0000-00008B0F0000}"/>
    <cellStyle name="Normal 2 4 2 5 2 2 3 2" xfId="13544" xr:uid="{5EBDB6D5-B492-499C-AC04-28FD0184EF54}"/>
    <cellStyle name="Normal 2 4 2 5 2 2 4" xfId="9326" xr:uid="{D97AE3A1-8E1E-4304-81C6-79583BD42CC6}"/>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2 2" xfId="16102" xr:uid="{05F771F4-175B-48CF-A61B-8709E08A5516}"/>
    <cellStyle name="Normal 2 4 2 5 2 3 2 3" xfId="11884" xr:uid="{44DD5DD1-60CE-4081-8C27-144D8E83F815}"/>
    <cellStyle name="Normal 2 4 2 5 2 3 3" xfId="5515" xr:uid="{00000000-0005-0000-0000-00008F0F0000}"/>
    <cellStyle name="Normal 2 4 2 5 2 3 3 2" xfId="13957" xr:uid="{170D33DF-F3C0-47CD-919C-4C7844900BC7}"/>
    <cellStyle name="Normal 2 4 2 5 2 3 4" xfId="9739" xr:uid="{F8AED3DB-FD74-4EAF-A58E-AF6DE8BF3696}"/>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2 2 2" xfId="16515" xr:uid="{98763D33-E576-48E0-926D-4A13E104CBC6}"/>
    <cellStyle name="Normal 2 4 2 5 2 4 2 3" xfId="12297" xr:uid="{C188BC7F-58AD-4E17-9A54-BB4D3189BFAE}"/>
    <cellStyle name="Normal 2 4 2 5 2 4 3" xfId="5928" xr:uid="{00000000-0005-0000-0000-0000930F0000}"/>
    <cellStyle name="Normal 2 4 2 5 2 4 3 2" xfId="14370" xr:uid="{6DD0073E-BDBE-47A7-A048-0004C30A42E3}"/>
    <cellStyle name="Normal 2 4 2 5 2 4 4" xfId="10152" xr:uid="{44392ECD-B027-42B5-B072-769A860657CE}"/>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2 2 2" xfId="16928" xr:uid="{E46C09C4-E0F3-4A09-AE4A-9A7BBAB5A996}"/>
    <cellStyle name="Normal 2 4 2 5 2 5 2 3" xfId="12710" xr:uid="{7E5B66BD-3262-4F89-B29D-E61175CDEE6D}"/>
    <cellStyle name="Normal 2 4 2 5 2 5 3" xfId="6341" xr:uid="{00000000-0005-0000-0000-0000970F0000}"/>
    <cellStyle name="Normal 2 4 2 5 2 5 3 2" xfId="14783" xr:uid="{BEBCD8E4-B678-4FCC-8BDE-AD88791F426D}"/>
    <cellStyle name="Normal 2 4 2 5 2 5 4" xfId="10565" xr:uid="{819EB414-B58E-4864-B8FA-61855196D236}"/>
    <cellStyle name="Normal 2 4 2 5 2 6" xfId="2470" xr:uid="{00000000-0005-0000-0000-0000980F0000}"/>
    <cellStyle name="Normal 2 4 2 5 2 6 2" xfId="6754" xr:uid="{00000000-0005-0000-0000-0000990F0000}"/>
    <cellStyle name="Normal 2 4 2 5 2 6 2 2" xfId="15196" xr:uid="{807A8925-5927-47B0-B30B-5B9D19CA332F}"/>
    <cellStyle name="Normal 2 4 2 5 2 6 3" xfId="10978" xr:uid="{1EC81886-E15E-42C8-9836-175BD0CAAB07}"/>
    <cellStyle name="Normal 2 4 2 5 2 7" xfId="4688" xr:uid="{00000000-0005-0000-0000-00009A0F0000}"/>
    <cellStyle name="Normal 2 4 2 5 2 7 2" xfId="13130" xr:uid="{F26E1F76-559F-4F79-A27E-1878B57E3337}"/>
    <cellStyle name="Normal 2 4 2 5 2 8" xfId="8912" xr:uid="{8E523E4E-32B8-4D3C-8162-650BD467D14D}"/>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15688" xr:uid="{EB79BEA9-3BD0-4434-95A5-DA6ED5E4B6E3}"/>
    <cellStyle name="Normal 2 4 2 5 3 2 3" xfId="11470" xr:uid="{C036F4FF-A602-4C26-93A2-B9D984323073}"/>
    <cellStyle name="Normal 2 4 2 5 3 3" xfId="5101" xr:uid="{00000000-0005-0000-0000-00009E0F0000}"/>
    <cellStyle name="Normal 2 4 2 5 3 3 2" xfId="13543" xr:uid="{8A272AFF-868E-45BA-8C64-1FA992DFE6CE}"/>
    <cellStyle name="Normal 2 4 2 5 3 4" xfId="9325" xr:uid="{DEB00E9D-A667-4663-A1EF-16FC7DD972CF}"/>
    <cellStyle name="Normal 2 4 2 5 4" xfId="1206" xr:uid="{00000000-0005-0000-0000-00009F0F0000}"/>
    <cellStyle name="Normal 2 4 2 5 4 2" xfId="3436" xr:uid="{00000000-0005-0000-0000-0000A00F0000}"/>
    <cellStyle name="Normal 2 4 2 5 4 2 2" xfId="7659" xr:uid="{00000000-0005-0000-0000-0000A10F0000}"/>
    <cellStyle name="Normal 2 4 2 5 4 2 2 2" xfId="16101" xr:uid="{B4B87882-590B-4590-96B9-5C9BFB3EE599}"/>
    <cellStyle name="Normal 2 4 2 5 4 2 3" xfId="11883" xr:uid="{DE6239CB-6973-4486-B0C5-83B27AF71E03}"/>
    <cellStyle name="Normal 2 4 2 5 4 3" xfId="5514" xr:uid="{00000000-0005-0000-0000-0000A20F0000}"/>
    <cellStyle name="Normal 2 4 2 5 4 3 2" xfId="13956" xr:uid="{595F0191-8284-4404-B5B4-A24BB904011B}"/>
    <cellStyle name="Normal 2 4 2 5 4 4" xfId="9738" xr:uid="{4BAEFE27-1A7A-4EF1-A984-52377246A6BF}"/>
    <cellStyle name="Normal 2 4 2 5 5" xfId="1619" xr:uid="{00000000-0005-0000-0000-0000A30F0000}"/>
    <cellStyle name="Normal 2 4 2 5 5 2" xfId="3849" xr:uid="{00000000-0005-0000-0000-0000A40F0000}"/>
    <cellStyle name="Normal 2 4 2 5 5 2 2" xfId="8072" xr:uid="{00000000-0005-0000-0000-0000A50F0000}"/>
    <cellStyle name="Normal 2 4 2 5 5 2 2 2" xfId="16514" xr:uid="{0E5FF444-71FD-4274-80AD-C573CE1D8DD1}"/>
    <cellStyle name="Normal 2 4 2 5 5 2 3" xfId="12296" xr:uid="{F60BA321-CF6C-486B-8762-41ED6D131BBD}"/>
    <cellStyle name="Normal 2 4 2 5 5 3" xfId="5927" xr:uid="{00000000-0005-0000-0000-0000A60F0000}"/>
    <cellStyle name="Normal 2 4 2 5 5 3 2" xfId="14369" xr:uid="{613EE9D3-F81B-408A-A966-AADEF625557C}"/>
    <cellStyle name="Normal 2 4 2 5 5 4" xfId="10151" xr:uid="{3EBACEC9-A05E-484F-A24E-3DF627241EAD}"/>
    <cellStyle name="Normal 2 4 2 5 6" xfId="2033" xr:uid="{00000000-0005-0000-0000-0000A70F0000}"/>
    <cellStyle name="Normal 2 4 2 5 6 2" xfId="4262" xr:uid="{00000000-0005-0000-0000-0000A80F0000}"/>
    <cellStyle name="Normal 2 4 2 5 6 2 2" xfId="8485" xr:uid="{00000000-0005-0000-0000-0000A90F0000}"/>
    <cellStyle name="Normal 2 4 2 5 6 2 2 2" xfId="16927" xr:uid="{9E19359B-11ED-4803-A17F-763B752DAD45}"/>
    <cellStyle name="Normal 2 4 2 5 6 2 3" xfId="12709" xr:uid="{33AE1E1A-D377-42EA-8FCC-AA057EBB4A5F}"/>
    <cellStyle name="Normal 2 4 2 5 6 3" xfId="6340" xr:uid="{00000000-0005-0000-0000-0000AA0F0000}"/>
    <cellStyle name="Normal 2 4 2 5 6 3 2" xfId="14782" xr:uid="{A00C7024-2D04-4DAD-95EE-1900AD28D331}"/>
    <cellStyle name="Normal 2 4 2 5 6 4" xfId="10564" xr:uid="{67621A08-84E6-48E3-8D51-8DE15DBF5AE1}"/>
    <cellStyle name="Normal 2 4 2 5 7" xfId="2469" xr:uid="{00000000-0005-0000-0000-0000AB0F0000}"/>
    <cellStyle name="Normal 2 4 2 5 7 2" xfId="6753" xr:uid="{00000000-0005-0000-0000-0000AC0F0000}"/>
    <cellStyle name="Normal 2 4 2 5 7 2 2" xfId="15195" xr:uid="{BF5C3452-5C8D-4820-8B21-C5B5EF0926D7}"/>
    <cellStyle name="Normal 2 4 2 5 7 3" xfId="10977" xr:uid="{14941159-1A56-4141-A6DB-A0A845670C52}"/>
    <cellStyle name="Normal 2 4 2 5 8" xfId="4687" xr:uid="{00000000-0005-0000-0000-0000AD0F0000}"/>
    <cellStyle name="Normal 2 4 2 5 8 2" xfId="13129" xr:uid="{B4ACAD0D-E391-44CC-90AB-A4EE8C2FA272}"/>
    <cellStyle name="Normal 2 4 2 5 9" xfId="8911" xr:uid="{F9E27B03-661A-4FAC-8D66-11CA3F33481E}"/>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15690" xr:uid="{7568F6F2-D00B-4104-8916-633D53BD8F55}"/>
    <cellStyle name="Normal 2 4 2 6 2 2 3" xfId="11472" xr:uid="{07E5CF0E-E1E8-4F8A-9DC3-99E5B21225FE}"/>
    <cellStyle name="Normal 2 4 2 6 2 3" xfId="5103" xr:uid="{00000000-0005-0000-0000-0000B20F0000}"/>
    <cellStyle name="Normal 2 4 2 6 2 3 2" xfId="13545" xr:uid="{A7B9729B-995A-4790-B0B7-0E7B0BC695BF}"/>
    <cellStyle name="Normal 2 4 2 6 2 4" xfId="9327" xr:uid="{E132EE20-DB7E-4417-8E59-63064D0AC396}"/>
    <cellStyle name="Normal 2 4 2 6 3" xfId="1208" xr:uid="{00000000-0005-0000-0000-0000B30F0000}"/>
    <cellStyle name="Normal 2 4 2 6 3 2" xfId="3438" xr:uid="{00000000-0005-0000-0000-0000B40F0000}"/>
    <cellStyle name="Normal 2 4 2 6 3 2 2" xfId="7661" xr:uid="{00000000-0005-0000-0000-0000B50F0000}"/>
    <cellStyle name="Normal 2 4 2 6 3 2 2 2" xfId="16103" xr:uid="{DC940D52-71D1-4C01-9C23-750BA8B50676}"/>
    <cellStyle name="Normal 2 4 2 6 3 2 3" xfId="11885" xr:uid="{1E09D3AE-6F15-4244-A375-F92A03B2B7DA}"/>
    <cellStyle name="Normal 2 4 2 6 3 3" xfId="5516" xr:uid="{00000000-0005-0000-0000-0000B60F0000}"/>
    <cellStyle name="Normal 2 4 2 6 3 3 2" xfId="13958" xr:uid="{F9419EAF-EC24-4CA6-A241-1991C2170B57}"/>
    <cellStyle name="Normal 2 4 2 6 3 4" xfId="9740" xr:uid="{AB2B502F-84A3-4DA7-8298-D5830C010623}"/>
    <cellStyle name="Normal 2 4 2 6 4" xfId="1621" xr:uid="{00000000-0005-0000-0000-0000B70F0000}"/>
    <cellStyle name="Normal 2 4 2 6 4 2" xfId="3851" xr:uid="{00000000-0005-0000-0000-0000B80F0000}"/>
    <cellStyle name="Normal 2 4 2 6 4 2 2" xfId="8074" xr:uid="{00000000-0005-0000-0000-0000B90F0000}"/>
    <cellStyle name="Normal 2 4 2 6 4 2 2 2" xfId="16516" xr:uid="{3AB405FE-E017-4F88-9CCA-3F7F21F1DF6E}"/>
    <cellStyle name="Normal 2 4 2 6 4 2 3" xfId="12298" xr:uid="{4781B8C0-85DA-43BC-96C7-77094FF4980B}"/>
    <cellStyle name="Normal 2 4 2 6 4 3" xfId="5929" xr:uid="{00000000-0005-0000-0000-0000BA0F0000}"/>
    <cellStyle name="Normal 2 4 2 6 4 3 2" xfId="14371" xr:uid="{D977A9DA-A20B-4F2F-A780-D60E7F0D73F3}"/>
    <cellStyle name="Normal 2 4 2 6 4 4" xfId="10153" xr:uid="{FFE70004-525A-4FC0-9A50-8D44E6F05CEB}"/>
    <cellStyle name="Normal 2 4 2 6 5" xfId="2035" xr:uid="{00000000-0005-0000-0000-0000BB0F0000}"/>
    <cellStyle name="Normal 2 4 2 6 5 2" xfId="4264" xr:uid="{00000000-0005-0000-0000-0000BC0F0000}"/>
    <cellStyle name="Normal 2 4 2 6 5 2 2" xfId="8487" xr:uid="{00000000-0005-0000-0000-0000BD0F0000}"/>
    <cellStyle name="Normal 2 4 2 6 5 2 2 2" xfId="16929" xr:uid="{CAF5CFA2-BFEF-4DBC-BEDE-53CD42679A3A}"/>
    <cellStyle name="Normal 2 4 2 6 5 2 3" xfId="12711" xr:uid="{09E7C28E-7D2C-45A1-AEBF-9B8FF1EE5124}"/>
    <cellStyle name="Normal 2 4 2 6 5 3" xfId="6342" xr:uid="{00000000-0005-0000-0000-0000BE0F0000}"/>
    <cellStyle name="Normal 2 4 2 6 5 3 2" xfId="14784" xr:uid="{894DA398-0C8A-4E51-AEDD-EE072FD3CB07}"/>
    <cellStyle name="Normal 2 4 2 6 5 4" xfId="10566" xr:uid="{21259737-AADB-441B-9F82-6BD40517320C}"/>
    <cellStyle name="Normal 2 4 2 6 6" xfId="2471" xr:uid="{00000000-0005-0000-0000-0000BF0F0000}"/>
    <cellStyle name="Normal 2 4 2 6 6 2" xfId="6755" xr:uid="{00000000-0005-0000-0000-0000C00F0000}"/>
    <cellStyle name="Normal 2 4 2 6 6 2 2" xfId="15197" xr:uid="{DFC7469F-F7D9-405E-A06C-52265BC354E7}"/>
    <cellStyle name="Normal 2 4 2 6 6 3" xfId="10979" xr:uid="{F31AE02B-7DB7-4BFA-9F3B-8E7A28D95607}"/>
    <cellStyle name="Normal 2 4 2 6 7" xfId="4689" xr:uid="{00000000-0005-0000-0000-0000C10F0000}"/>
    <cellStyle name="Normal 2 4 2 6 7 2" xfId="13131" xr:uid="{B9629532-2C01-41C7-8119-4B8CFB4A255E}"/>
    <cellStyle name="Normal 2 4 2 6 8" xfId="8913" xr:uid="{875AABAC-33DC-4EA6-A112-8BE242098751}"/>
    <cellStyle name="Normal 2 4 2 7" xfId="771" xr:uid="{00000000-0005-0000-0000-0000C20F0000}"/>
    <cellStyle name="Normal 2 4 2 7 2" xfId="3010" xr:uid="{00000000-0005-0000-0000-0000C30F0000}"/>
    <cellStyle name="Normal 2 4 2 7 2 2" xfId="7233" xr:uid="{00000000-0005-0000-0000-0000C40F0000}"/>
    <cellStyle name="Normal 2 4 2 7 2 2 2" xfId="15675" xr:uid="{0393F192-AF12-4787-A7AF-B2121E7E4734}"/>
    <cellStyle name="Normal 2 4 2 7 2 3" xfId="11457" xr:uid="{C644CF56-2A89-4FBE-9962-1C4B6EE44502}"/>
    <cellStyle name="Normal 2 4 2 7 3" xfId="5088" xr:uid="{00000000-0005-0000-0000-0000C50F0000}"/>
    <cellStyle name="Normal 2 4 2 7 3 2" xfId="13530" xr:uid="{98D2BDB2-6E6E-40AF-BE84-83C0A00777DB}"/>
    <cellStyle name="Normal 2 4 2 7 4" xfId="9312" xr:uid="{34CC79A3-D2D0-4521-AB12-44F1D6DB8776}"/>
    <cellStyle name="Normal 2 4 2 8" xfId="1193" xr:uid="{00000000-0005-0000-0000-0000C60F0000}"/>
    <cellStyle name="Normal 2 4 2 8 2" xfId="3423" xr:uid="{00000000-0005-0000-0000-0000C70F0000}"/>
    <cellStyle name="Normal 2 4 2 8 2 2" xfId="7646" xr:uid="{00000000-0005-0000-0000-0000C80F0000}"/>
    <cellStyle name="Normal 2 4 2 8 2 2 2" xfId="16088" xr:uid="{ADED28B0-11BA-48B3-A718-4C442B2F63F6}"/>
    <cellStyle name="Normal 2 4 2 8 2 3" xfId="11870" xr:uid="{76BA2D9A-1528-46F1-9A57-52B20DF8BD46}"/>
    <cellStyle name="Normal 2 4 2 8 3" xfId="5501" xr:uid="{00000000-0005-0000-0000-0000C90F0000}"/>
    <cellStyle name="Normal 2 4 2 8 3 2" xfId="13943" xr:uid="{64840DC1-A6E9-471D-9E13-C56365A91A7E}"/>
    <cellStyle name="Normal 2 4 2 8 4" xfId="9725" xr:uid="{50D37E65-F767-42E8-8CC3-7385A7FD1BC8}"/>
    <cellStyle name="Normal 2 4 2 9" xfId="1606" xr:uid="{00000000-0005-0000-0000-0000CA0F0000}"/>
    <cellStyle name="Normal 2 4 2 9 2" xfId="3836" xr:uid="{00000000-0005-0000-0000-0000CB0F0000}"/>
    <cellStyle name="Normal 2 4 2 9 2 2" xfId="8059" xr:uid="{00000000-0005-0000-0000-0000CC0F0000}"/>
    <cellStyle name="Normal 2 4 2 9 2 2 2" xfId="16501" xr:uid="{62CC73B8-ED67-41FD-A3A6-E37C941F7BD8}"/>
    <cellStyle name="Normal 2 4 2 9 2 3" xfId="12283" xr:uid="{032CAE81-B29B-4630-8ADB-081791DC2947}"/>
    <cellStyle name="Normal 2 4 2 9 3" xfId="5914" xr:uid="{00000000-0005-0000-0000-0000CD0F0000}"/>
    <cellStyle name="Normal 2 4 2 9 3 2" xfId="14356" xr:uid="{507EAF62-675C-4792-84B3-4F4E6E02EA12}"/>
    <cellStyle name="Normal 2 4 2 9 4" xfId="10138" xr:uid="{097FD1E0-1510-4696-9219-AB332C1E1E8A}"/>
    <cellStyle name="Normal 2 4 3" xfId="296" xr:uid="{00000000-0005-0000-0000-0000CE0F0000}"/>
    <cellStyle name="Normal 2 4 3 10" xfId="8914" xr:uid="{CFE67D9A-EF7A-439F-98C6-2F29BD2A4571}"/>
    <cellStyle name="Normal 2 4 3 2" xfId="297" xr:uid="{00000000-0005-0000-0000-0000CF0F0000}"/>
    <cellStyle name="Normal 2 4 3 3" xfId="298" xr:uid="{00000000-0005-0000-0000-0000D00F0000}"/>
    <cellStyle name="Normal 2 4 3 3 10" xfId="8915" xr:uid="{E25FFAEC-DDF6-4CAF-A73E-6E12D5A0E2A4}"/>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15694" xr:uid="{04A6A48B-7E18-4D2E-B671-13B6DF9B0649}"/>
    <cellStyle name="Normal 2 4 3 3 2 2 2 2 3" xfId="11476" xr:uid="{5FC5DD0B-7888-46FD-82EE-BA3794375D13}"/>
    <cellStyle name="Normal 2 4 3 3 2 2 2 3" xfId="5107" xr:uid="{00000000-0005-0000-0000-0000D60F0000}"/>
    <cellStyle name="Normal 2 4 3 3 2 2 2 3 2" xfId="13549" xr:uid="{9846F75E-C97E-4C88-B1CB-0B3CE0F93C5C}"/>
    <cellStyle name="Normal 2 4 3 3 2 2 2 4" xfId="9331" xr:uid="{F749A525-6735-42F5-B803-4E8729FE589D}"/>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2 2" xfId="16107" xr:uid="{0E1BA089-FF97-4ACE-AA88-0039494EBD3C}"/>
    <cellStyle name="Normal 2 4 3 3 2 2 3 2 3" xfId="11889" xr:uid="{ADAF0C1B-B70D-4FBA-B049-0001B1994407}"/>
    <cellStyle name="Normal 2 4 3 3 2 2 3 3" xfId="5520" xr:uid="{00000000-0005-0000-0000-0000DA0F0000}"/>
    <cellStyle name="Normal 2 4 3 3 2 2 3 3 2" xfId="13962" xr:uid="{1EBBC9C4-CBE2-4558-BFD3-CF6883341AD0}"/>
    <cellStyle name="Normal 2 4 3 3 2 2 3 4" xfId="9744" xr:uid="{7438B405-B599-4F2F-9056-89DD4A8886D4}"/>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2 2 2" xfId="16520" xr:uid="{CCC98AEF-B693-42B2-BCA6-4EF6CFD68516}"/>
    <cellStyle name="Normal 2 4 3 3 2 2 4 2 3" xfId="12302" xr:uid="{8ED718AB-82C4-4B04-AA73-F4ABC14C9849}"/>
    <cellStyle name="Normal 2 4 3 3 2 2 4 3" xfId="5933" xr:uid="{00000000-0005-0000-0000-0000DE0F0000}"/>
    <cellStyle name="Normal 2 4 3 3 2 2 4 3 2" xfId="14375" xr:uid="{E804BAEB-8A38-4905-B50C-87600A07076C}"/>
    <cellStyle name="Normal 2 4 3 3 2 2 4 4" xfId="10157" xr:uid="{5D3D0C99-194B-4A4D-A6E0-BD3BA34DAA49}"/>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2 2 2" xfId="16933" xr:uid="{C71C6859-C5B6-457D-9B1F-599D615DEC6B}"/>
    <cellStyle name="Normal 2 4 3 3 2 2 5 2 3" xfId="12715" xr:uid="{7FA05C22-5E8D-40CC-988F-A08C121B5E58}"/>
    <cellStyle name="Normal 2 4 3 3 2 2 5 3" xfId="6346" xr:uid="{00000000-0005-0000-0000-0000E20F0000}"/>
    <cellStyle name="Normal 2 4 3 3 2 2 5 3 2" xfId="14788" xr:uid="{BE5DA60E-60E4-4F9D-A892-04CA900E84B3}"/>
    <cellStyle name="Normal 2 4 3 3 2 2 5 4" xfId="10570" xr:uid="{BD1FD5F2-6A19-471E-BEA4-1A03A2CEF49C}"/>
    <cellStyle name="Normal 2 4 3 3 2 2 6" xfId="2475" xr:uid="{00000000-0005-0000-0000-0000E30F0000}"/>
    <cellStyle name="Normal 2 4 3 3 2 2 6 2" xfId="6759" xr:uid="{00000000-0005-0000-0000-0000E40F0000}"/>
    <cellStyle name="Normal 2 4 3 3 2 2 6 2 2" xfId="15201" xr:uid="{343A9A5A-0921-4644-A3AD-D445CB4410B7}"/>
    <cellStyle name="Normal 2 4 3 3 2 2 6 3" xfId="10983" xr:uid="{57593D8B-A775-4D16-A256-B36325124969}"/>
    <cellStyle name="Normal 2 4 3 3 2 2 7" xfId="4693" xr:uid="{00000000-0005-0000-0000-0000E50F0000}"/>
    <cellStyle name="Normal 2 4 3 3 2 2 7 2" xfId="13135" xr:uid="{17152B9F-5162-4A1B-A182-50F05DB3174F}"/>
    <cellStyle name="Normal 2 4 3 3 2 2 8" xfId="8917" xr:uid="{87176991-4278-4B98-80EA-9DB326CA5468}"/>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15693" xr:uid="{9522A424-160C-4B5B-B11D-D91EEB328530}"/>
    <cellStyle name="Normal 2 4 3 3 2 3 2 3" xfId="11475" xr:uid="{36B5322E-9D7D-4433-864C-F76E2054749E}"/>
    <cellStyle name="Normal 2 4 3 3 2 3 3" xfId="5106" xr:uid="{00000000-0005-0000-0000-0000E90F0000}"/>
    <cellStyle name="Normal 2 4 3 3 2 3 3 2" xfId="13548" xr:uid="{EBA30E32-F5FD-4A6F-AF2C-EBC031CF8862}"/>
    <cellStyle name="Normal 2 4 3 3 2 3 4" xfId="9330" xr:uid="{049EA66C-3650-44C0-8187-22A21A615B18}"/>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2 2" xfId="16106" xr:uid="{521C8004-CB12-409C-823A-C143F994D1EE}"/>
    <cellStyle name="Normal 2 4 3 3 2 4 2 3" xfId="11888" xr:uid="{DEB7CB7A-F36B-44AE-BB7F-4451E5B5FEB5}"/>
    <cellStyle name="Normal 2 4 3 3 2 4 3" xfId="5519" xr:uid="{00000000-0005-0000-0000-0000ED0F0000}"/>
    <cellStyle name="Normal 2 4 3 3 2 4 3 2" xfId="13961" xr:uid="{EE0D4B2B-0A5B-4739-BB84-15AD22C6E618}"/>
    <cellStyle name="Normal 2 4 3 3 2 4 4" xfId="9743" xr:uid="{7577A424-003C-454B-ACF4-AB3C530A5629}"/>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2 2 2" xfId="16519" xr:uid="{2409CBE6-04A7-47A6-915F-E4702E3C2811}"/>
    <cellStyle name="Normal 2 4 3 3 2 5 2 3" xfId="12301" xr:uid="{B3A9FD81-9979-4AD2-9BD9-64F3EEA642BE}"/>
    <cellStyle name="Normal 2 4 3 3 2 5 3" xfId="5932" xr:uid="{00000000-0005-0000-0000-0000F10F0000}"/>
    <cellStyle name="Normal 2 4 3 3 2 5 3 2" xfId="14374" xr:uid="{7268573C-C495-4916-8651-AF5663098F05}"/>
    <cellStyle name="Normal 2 4 3 3 2 5 4" xfId="10156" xr:uid="{942F797B-48F1-4BD1-993A-26CDFA2E4332}"/>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2 2 2" xfId="16932" xr:uid="{D9394B06-5A66-4A97-A6FB-DCEC52CE17FE}"/>
    <cellStyle name="Normal 2 4 3 3 2 6 2 3" xfId="12714" xr:uid="{14EFA11B-CE3C-4A7F-815C-0306FB90D852}"/>
    <cellStyle name="Normal 2 4 3 3 2 6 3" xfId="6345" xr:uid="{00000000-0005-0000-0000-0000F50F0000}"/>
    <cellStyle name="Normal 2 4 3 3 2 6 3 2" xfId="14787" xr:uid="{4FDD56F1-70E2-4F0B-BA1B-4BF0DB6FF096}"/>
    <cellStyle name="Normal 2 4 3 3 2 6 4" xfId="10569" xr:uid="{11C107FC-F7F4-4B7F-A2AC-0391F5176E48}"/>
    <cellStyle name="Normal 2 4 3 3 2 7" xfId="2474" xr:uid="{00000000-0005-0000-0000-0000F60F0000}"/>
    <cellStyle name="Normal 2 4 3 3 2 7 2" xfId="6758" xr:uid="{00000000-0005-0000-0000-0000F70F0000}"/>
    <cellStyle name="Normal 2 4 3 3 2 7 2 2" xfId="15200" xr:uid="{EBA5904A-5BE4-45CE-AB31-9A0D1D21B7B1}"/>
    <cellStyle name="Normal 2 4 3 3 2 7 3" xfId="10982" xr:uid="{D9C9934A-ED20-407D-82EE-079ABAB4CBB0}"/>
    <cellStyle name="Normal 2 4 3 3 2 8" xfId="4692" xr:uid="{00000000-0005-0000-0000-0000F80F0000}"/>
    <cellStyle name="Normal 2 4 3 3 2 8 2" xfId="13134" xr:uid="{2ACEF0B4-E8CD-4314-9610-7B5810B9F40F}"/>
    <cellStyle name="Normal 2 4 3 3 2 9" xfId="8916" xr:uid="{D8D74645-BF64-4B6B-89D8-DEAE66B96974}"/>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15695" xr:uid="{D6C9C937-36AB-4D68-B29C-DF2267C1F240}"/>
    <cellStyle name="Normal 2 4 3 3 3 2 2 3" xfId="11477" xr:uid="{46CEABAA-D886-4306-B200-8894A55F2B0B}"/>
    <cellStyle name="Normal 2 4 3 3 3 2 3" xfId="5108" xr:uid="{00000000-0005-0000-0000-0000FD0F0000}"/>
    <cellStyle name="Normal 2 4 3 3 3 2 3 2" xfId="13550" xr:uid="{6BC94E86-1808-4B41-B2B4-4E6F4E0F3287}"/>
    <cellStyle name="Normal 2 4 3 3 3 2 4" xfId="9332" xr:uid="{76DB3C70-90F9-4E62-B28C-13E7EB27DDE7}"/>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2 2" xfId="16108" xr:uid="{9A87F5D7-757F-4988-80DF-BD07E46900BE}"/>
    <cellStyle name="Normal 2 4 3 3 3 3 2 3" xfId="11890" xr:uid="{46D2BE57-B863-4A33-98EE-599D28215FF6}"/>
    <cellStyle name="Normal 2 4 3 3 3 3 3" xfId="5521" xr:uid="{00000000-0005-0000-0000-000001100000}"/>
    <cellStyle name="Normal 2 4 3 3 3 3 3 2" xfId="13963" xr:uid="{C39A4DCB-B4C3-48D2-90D7-97D093DDE10F}"/>
    <cellStyle name="Normal 2 4 3 3 3 3 4" xfId="9745" xr:uid="{6C14EE2C-AD42-4191-81D9-6A179E67E61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2 2 2" xfId="16521" xr:uid="{A5DAE178-A319-4238-BEBC-DCB76EC9808D}"/>
    <cellStyle name="Normal 2 4 3 3 3 4 2 3" xfId="12303" xr:uid="{23A4A455-75D1-4870-9F73-348A4A30C5AA}"/>
    <cellStyle name="Normal 2 4 3 3 3 4 3" xfId="5934" xr:uid="{00000000-0005-0000-0000-000005100000}"/>
    <cellStyle name="Normal 2 4 3 3 3 4 3 2" xfId="14376" xr:uid="{8A5D7A35-5EB4-4198-8C8E-43664299E172}"/>
    <cellStyle name="Normal 2 4 3 3 3 4 4" xfId="10158" xr:uid="{7D3EA04E-D8B6-4088-A785-DBAC11B9BFAD}"/>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2 2 2" xfId="16934" xr:uid="{E6F91186-409A-4755-AFDA-830C4FAAEDEF}"/>
    <cellStyle name="Normal 2 4 3 3 3 5 2 3" xfId="12716" xr:uid="{985EC925-9E5D-4A16-A361-2660B32FABA3}"/>
    <cellStyle name="Normal 2 4 3 3 3 5 3" xfId="6347" xr:uid="{00000000-0005-0000-0000-000009100000}"/>
    <cellStyle name="Normal 2 4 3 3 3 5 3 2" xfId="14789" xr:uid="{0F01E19B-2F02-4E30-897B-E27CFD10BDD7}"/>
    <cellStyle name="Normal 2 4 3 3 3 5 4" xfId="10571" xr:uid="{3B46762C-C812-4489-92B1-12264353194F}"/>
    <cellStyle name="Normal 2 4 3 3 3 6" xfId="2476" xr:uid="{00000000-0005-0000-0000-00000A100000}"/>
    <cellStyle name="Normal 2 4 3 3 3 6 2" xfId="6760" xr:uid="{00000000-0005-0000-0000-00000B100000}"/>
    <cellStyle name="Normal 2 4 3 3 3 6 2 2" xfId="15202" xr:uid="{CEC3C036-0576-4476-8934-087D4F845A56}"/>
    <cellStyle name="Normal 2 4 3 3 3 6 3" xfId="10984" xr:uid="{80E9FCAC-4DCB-4F94-943A-BE3E76320777}"/>
    <cellStyle name="Normal 2 4 3 3 3 7" xfId="4694" xr:uid="{00000000-0005-0000-0000-00000C100000}"/>
    <cellStyle name="Normal 2 4 3 3 3 7 2" xfId="13136" xr:uid="{4E08F6AD-3B92-4B0F-92A4-3C66FC9784F7}"/>
    <cellStyle name="Normal 2 4 3 3 3 8" xfId="8918" xr:uid="{A145A64E-73C7-4F95-B102-DACC10A46566}"/>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15692" xr:uid="{64F4CB72-39C8-4CB9-92C0-45CFD0530958}"/>
    <cellStyle name="Normal 2 4 3 3 4 2 3" xfId="11474" xr:uid="{A3505471-9522-446E-879B-02DEB4CFD388}"/>
    <cellStyle name="Normal 2 4 3 3 4 3" xfId="5105" xr:uid="{00000000-0005-0000-0000-000010100000}"/>
    <cellStyle name="Normal 2 4 3 3 4 3 2" xfId="13547" xr:uid="{33F5FD2D-F707-4D99-8CAE-81C1E5369EAB}"/>
    <cellStyle name="Normal 2 4 3 3 4 4" xfId="9329" xr:uid="{A774AFB8-CEC9-4B2F-A836-C652510DD2A8}"/>
    <cellStyle name="Normal 2 4 3 3 5" xfId="1210" xr:uid="{00000000-0005-0000-0000-000011100000}"/>
    <cellStyle name="Normal 2 4 3 3 5 2" xfId="3440" xr:uid="{00000000-0005-0000-0000-000012100000}"/>
    <cellStyle name="Normal 2 4 3 3 5 2 2" xfId="7663" xr:uid="{00000000-0005-0000-0000-000013100000}"/>
    <cellStyle name="Normal 2 4 3 3 5 2 2 2" xfId="16105" xr:uid="{F2152EA5-CE1D-4F44-AD0A-3DB154CC4BDC}"/>
    <cellStyle name="Normal 2 4 3 3 5 2 3" xfId="11887" xr:uid="{45B9345E-6152-4BCD-A715-E07FA7033C45}"/>
    <cellStyle name="Normal 2 4 3 3 5 3" xfId="5518" xr:uid="{00000000-0005-0000-0000-000014100000}"/>
    <cellStyle name="Normal 2 4 3 3 5 3 2" xfId="13960" xr:uid="{08C60A8B-5778-483E-A854-A8434AD503EE}"/>
    <cellStyle name="Normal 2 4 3 3 5 4" xfId="9742" xr:uid="{7B24217B-69B8-4148-9F2E-B6C0AC47CE54}"/>
    <cellStyle name="Normal 2 4 3 3 6" xfId="1623" xr:uid="{00000000-0005-0000-0000-000015100000}"/>
    <cellStyle name="Normal 2 4 3 3 6 2" xfId="3853" xr:uid="{00000000-0005-0000-0000-000016100000}"/>
    <cellStyle name="Normal 2 4 3 3 6 2 2" xfId="8076" xr:uid="{00000000-0005-0000-0000-000017100000}"/>
    <cellStyle name="Normal 2 4 3 3 6 2 2 2" xfId="16518" xr:uid="{0735085C-E547-4D57-8BFE-9E213B9A0705}"/>
    <cellStyle name="Normal 2 4 3 3 6 2 3" xfId="12300" xr:uid="{583EF27D-FA94-46A4-B27F-1F5F4CCD27DB}"/>
    <cellStyle name="Normal 2 4 3 3 6 3" xfId="5931" xr:uid="{00000000-0005-0000-0000-000018100000}"/>
    <cellStyle name="Normal 2 4 3 3 6 3 2" xfId="14373" xr:uid="{4CEBDDC1-BA4A-478D-ABCC-E75A2E293470}"/>
    <cellStyle name="Normal 2 4 3 3 6 4" xfId="10155" xr:uid="{887AD163-6159-4D94-A208-47A2A990AEC4}"/>
    <cellStyle name="Normal 2 4 3 3 7" xfId="2037" xr:uid="{00000000-0005-0000-0000-000019100000}"/>
    <cellStyle name="Normal 2 4 3 3 7 2" xfId="4266" xr:uid="{00000000-0005-0000-0000-00001A100000}"/>
    <cellStyle name="Normal 2 4 3 3 7 2 2" xfId="8489" xr:uid="{00000000-0005-0000-0000-00001B100000}"/>
    <cellStyle name="Normal 2 4 3 3 7 2 2 2" xfId="16931" xr:uid="{01A61DA5-E424-4326-8511-49AC5C0FF004}"/>
    <cellStyle name="Normal 2 4 3 3 7 2 3" xfId="12713" xr:uid="{A45AB001-999B-4EA0-862A-91147124F21F}"/>
    <cellStyle name="Normal 2 4 3 3 7 3" xfId="6344" xr:uid="{00000000-0005-0000-0000-00001C100000}"/>
    <cellStyle name="Normal 2 4 3 3 7 3 2" xfId="14786" xr:uid="{CC80274B-5B1B-442D-B7A8-B6F086371BB8}"/>
    <cellStyle name="Normal 2 4 3 3 7 4" xfId="10568" xr:uid="{6CBECB74-D03C-4F29-98F1-D6113405396D}"/>
    <cellStyle name="Normal 2 4 3 3 8" xfId="2473" xr:uid="{00000000-0005-0000-0000-00001D100000}"/>
    <cellStyle name="Normal 2 4 3 3 8 2" xfId="6757" xr:uid="{00000000-0005-0000-0000-00001E100000}"/>
    <cellStyle name="Normal 2 4 3 3 8 2 2" xfId="15199" xr:uid="{8609AE77-B4A2-4BA9-AE93-CE4C94CFF4BE}"/>
    <cellStyle name="Normal 2 4 3 3 8 3" xfId="10981" xr:uid="{0B40B092-C24D-47D3-A1FE-68B9144A3977}"/>
    <cellStyle name="Normal 2 4 3 3 9" xfId="4691" xr:uid="{00000000-0005-0000-0000-00001F100000}"/>
    <cellStyle name="Normal 2 4 3 3 9 2" xfId="13133" xr:uid="{0C2C3DD2-5874-4E1C-9FD4-4C4177256C3E}"/>
    <cellStyle name="Normal 2 4 3 4" xfId="787" xr:uid="{00000000-0005-0000-0000-000020100000}"/>
    <cellStyle name="Normal 2 4 3 4 2" xfId="3026" xr:uid="{00000000-0005-0000-0000-000021100000}"/>
    <cellStyle name="Normal 2 4 3 4 2 2" xfId="7249" xr:uid="{00000000-0005-0000-0000-000022100000}"/>
    <cellStyle name="Normal 2 4 3 4 2 2 2" xfId="15691" xr:uid="{E9C5DCFB-EFE9-4A4B-9994-7B0C6D50116E}"/>
    <cellStyle name="Normal 2 4 3 4 2 3" xfId="11473" xr:uid="{7716F56C-AD69-4C1C-A97F-D4D36B941D69}"/>
    <cellStyle name="Normal 2 4 3 4 3" xfId="5104" xr:uid="{00000000-0005-0000-0000-000023100000}"/>
    <cellStyle name="Normal 2 4 3 4 3 2" xfId="13546" xr:uid="{FE77A7C2-217E-4339-A0C8-5167BEE70885}"/>
    <cellStyle name="Normal 2 4 3 4 4" xfId="9328" xr:uid="{50A377DB-7CB5-4996-859D-E5AB0854AA64}"/>
    <cellStyle name="Normal 2 4 3 5" xfId="1209" xr:uid="{00000000-0005-0000-0000-000024100000}"/>
    <cellStyle name="Normal 2 4 3 5 2" xfId="3439" xr:uid="{00000000-0005-0000-0000-000025100000}"/>
    <cellStyle name="Normal 2 4 3 5 2 2" xfId="7662" xr:uid="{00000000-0005-0000-0000-000026100000}"/>
    <cellStyle name="Normal 2 4 3 5 2 2 2" xfId="16104" xr:uid="{E6E41877-9D50-4195-87F8-7CF5BCD44471}"/>
    <cellStyle name="Normal 2 4 3 5 2 3" xfId="11886" xr:uid="{B88BA0D6-24FD-4152-BBD0-3D9408E9F9D4}"/>
    <cellStyle name="Normal 2 4 3 5 3" xfId="5517" xr:uid="{00000000-0005-0000-0000-000027100000}"/>
    <cellStyle name="Normal 2 4 3 5 3 2" xfId="13959" xr:uid="{433F912E-9594-4B4B-9164-6C39382BD501}"/>
    <cellStyle name="Normal 2 4 3 5 4" xfId="9741" xr:uid="{533B266E-5192-40B2-82D6-9A22570E8C15}"/>
    <cellStyle name="Normal 2 4 3 6" xfId="1622" xr:uid="{00000000-0005-0000-0000-000028100000}"/>
    <cellStyle name="Normal 2 4 3 6 2" xfId="3852" xr:uid="{00000000-0005-0000-0000-000029100000}"/>
    <cellStyle name="Normal 2 4 3 6 2 2" xfId="8075" xr:uid="{00000000-0005-0000-0000-00002A100000}"/>
    <cellStyle name="Normal 2 4 3 6 2 2 2" xfId="16517" xr:uid="{1E51B321-9C5F-4148-95F3-556CF407B31B}"/>
    <cellStyle name="Normal 2 4 3 6 2 3" xfId="12299" xr:uid="{8A58FE17-5072-41AC-9C36-DA1AB67C8026}"/>
    <cellStyle name="Normal 2 4 3 6 3" xfId="5930" xr:uid="{00000000-0005-0000-0000-00002B100000}"/>
    <cellStyle name="Normal 2 4 3 6 3 2" xfId="14372" xr:uid="{43EAB034-142B-4011-928F-B00F7CDCAEA1}"/>
    <cellStyle name="Normal 2 4 3 6 4" xfId="10154" xr:uid="{7E688008-7719-4891-BB0C-63F97C322443}"/>
    <cellStyle name="Normal 2 4 3 7" xfId="2036" xr:uid="{00000000-0005-0000-0000-00002C100000}"/>
    <cellStyle name="Normal 2 4 3 7 2" xfId="4265" xr:uid="{00000000-0005-0000-0000-00002D100000}"/>
    <cellStyle name="Normal 2 4 3 7 2 2" xfId="8488" xr:uid="{00000000-0005-0000-0000-00002E100000}"/>
    <cellStyle name="Normal 2 4 3 7 2 2 2" xfId="16930" xr:uid="{CFCEF954-3F19-40DD-88AB-C2F4C3BF0A42}"/>
    <cellStyle name="Normal 2 4 3 7 2 3" xfId="12712" xr:uid="{F792D1D4-E1CB-4656-804B-ABABDCF9565E}"/>
    <cellStyle name="Normal 2 4 3 7 3" xfId="6343" xr:uid="{00000000-0005-0000-0000-00002F100000}"/>
    <cellStyle name="Normal 2 4 3 7 3 2" xfId="14785" xr:uid="{AD19E75B-E292-452D-90D6-0C1952909D53}"/>
    <cellStyle name="Normal 2 4 3 7 4" xfId="10567" xr:uid="{6D06D5EA-3B3C-46D7-816E-8AD0B786C838}"/>
    <cellStyle name="Normal 2 4 3 8" xfId="2472" xr:uid="{00000000-0005-0000-0000-000030100000}"/>
    <cellStyle name="Normal 2 4 3 8 2" xfId="6756" xr:uid="{00000000-0005-0000-0000-000031100000}"/>
    <cellStyle name="Normal 2 4 3 8 2 2" xfId="15198" xr:uid="{070BFDC5-535E-484E-8C37-47F4E0EDD9EE}"/>
    <cellStyle name="Normal 2 4 3 8 3" xfId="10980" xr:uid="{397696AE-06C6-4780-9C49-BF7C8509DDCC}"/>
    <cellStyle name="Normal 2 4 3 9" xfId="4690" xr:uid="{00000000-0005-0000-0000-000032100000}"/>
    <cellStyle name="Normal 2 4 3 9 2" xfId="13132" xr:uid="{53F865F6-164E-4C84-8290-AFFB30EBBA76}"/>
    <cellStyle name="Normal 2 4 4" xfId="302" xr:uid="{00000000-0005-0000-0000-000033100000}"/>
    <cellStyle name="Normal 2 4 5" xfId="303" xr:uid="{00000000-0005-0000-0000-000034100000}"/>
    <cellStyle name="Normal 2 4 5 10" xfId="4695" xr:uid="{00000000-0005-0000-0000-000035100000}"/>
    <cellStyle name="Normal 2 4 5 10 2" xfId="13137" xr:uid="{E9B48139-EEE8-466E-A3B6-76958B01952D}"/>
    <cellStyle name="Normal 2 4 5 11" xfId="8919" xr:uid="{131A87F9-FDEE-4765-804E-A08A165C37D8}"/>
    <cellStyle name="Normal 2 4 5 2" xfId="304" xr:uid="{00000000-0005-0000-0000-000036100000}"/>
    <cellStyle name="Normal 2 4 5 2 10" xfId="8920" xr:uid="{E47AADD8-69D7-4867-A1C8-35845E55EC7E}"/>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15699" xr:uid="{B65314DE-5E78-43EB-ACE4-A91EBE823EF5}"/>
    <cellStyle name="Normal 2 4 5 2 2 2 2 2 3" xfId="11481" xr:uid="{D9583EF2-0659-4049-B217-5C6BFD1EF088}"/>
    <cellStyle name="Normal 2 4 5 2 2 2 2 3" xfId="5112" xr:uid="{00000000-0005-0000-0000-00003C100000}"/>
    <cellStyle name="Normal 2 4 5 2 2 2 2 3 2" xfId="13554" xr:uid="{E898A86E-9FE3-4968-8480-64E518BB8E4B}"/>
    <cellStyle name="Normal 2 4 5 2 2 2 2 4" xfId="9336" xr:uid="{585400D3-131D-4EE3-A132-AAEFDD5015C2}"/>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2 2" xfId="16112" xr:uid="{DEDC41AA-16DF-4C17-AC1E-2E6FB1C83281}"/>
    <cellStyle name="Normal 2 4 5 2 2 2 3 2 3" xfId="11894" xr:uid="{2534F737-FFDF-4A91-9CE3-03673CA6D734}"/>
    <cellStyle name="Normal 2 4 5 2 2 2 3 3" xfId="5525" xr:uid="{00000000-0005-0000-0000-000040100000}"/>
    <cellStyle name="Normal 2 4 5 2 2 2 3 3 2" xfId="13967" xr:uid="{1BB410CD-3A32-4ED7-9FF1-384633A26B7C}"/>
    <cellStyle name="Normal 2 4 5 2 2 2 3 4" xfId="9749" xr:uid="{257003F7-07B3-4B17-BF92-979966AF29FF}"/>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2 2 2" xfId="16525" xr:uid="{70DD1A8D-1E0A-4095-9136-A74353CB93AF}"/>
    <cellStyle name="Normal 2 4 5 2 2 2 4 2 3" xfId="12307" xr:uid="{11A72BE2-DC17-4C37-8306-01D33D2E8784}"/>
    <cellStyle name="Normal 2 4 5 2 2 2 4 3" xfId="5938" xr:uid="{00000000-0005-0000-0000-000044100000}"/>
    <cellStyle name="Normal 2 4 5 2 2 2 4 3 2" xfId="14380" xr:uid="{A5269A5F-7980-4B6F-8A11-F08DC517965A}"/>
    <cellStyle name="Normal 2 4 5 2 2 2 4 4" xfId="10162" xr:uid="{9BFC5D11-C3FC-4C6F-BC95-40237FCFE79E}"/>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2 2 2" xfId="16938" xr:uid="{CA779F71-2857-48A4-8417-D493DBAAB6C7}"/>
    <cellStyle name="Normal 2 4 5 2 2 2 5 2 3" xfId="12720" xr:uid="{67AC325E-EE2B-493F-BF42-DD96C19F8483}"/>
    <cellStyle name="Normal 2 4 5 2 2 2 5 3" xfId="6351" xr:uid="{00000000-0005-0000-0000-000048100000}"/>
    <cellStyle name="Normal 2 4 5 2 2 2 5 3 2" xfId="14793" xr:uid="{57589FDD-0385-43B2-A40B-33A44D6B81E1}"/>
    <cellStyle name="Normal 2 4 5 2 2 2 5 4" xfId="10575" xr:uid="{080D39CC-6D2B-4BE4-AF2D-58C39B70ED9B}"/>
    <cellStyle name="Normal 2 4 5 2 2 2 6" xfId="2480" xr:uid="{00000000-0005-0000-0000-000049100000}"/>
    <cellStyle name="Normal 2 4 5 2 2 2 6 2" xfId="6764" xr:uid="{00000000-0005-0000-0000-00004A100000}"/>
    <cellStyle name="Normal 2 4 5 2 2 2 6 2 2" xfId="15206" xr:uid="{6BCE51A2-6120-4696-B00C-FADD90E46E92}"/>
    <cellStyle name="Normal 2 4 5 2 2 2 6 3" xfId="10988" xr:uid="{9974E717-6D2B-4856-86D2-116C622207E0}"/>
    <cellStyle name="Normal 2 4 5 2 2 2 7" xfId="4698" xr:uid="{00000000-0005-0000-0000-00004B100000}"/>
    <cellStyle name="Normal 2 4 5 2 2 2 7 2" xfId="13140" xr:uid="{CD1F9AF1-7771-41D9-8E75-B1ED1537451C}"/>
    <cellStyle name="Normal 2 4 5 2 2 2 8" xfId="8922" xr:uid="{90AA5FD1-879F-4BBB-9596-A4B49F05458A}"/>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15698" xr:uid="{8526B952-230C-4611-AB40-4F4D39563646}"/>
    <cellStyle name="Normal 2 4 5 2 2 3 2 3" xfId="11480" xr:uid="{DE72AB0E-CF5B-4765-9169-8BB9BD00C062}"/>
    <cellStyle name="Normal 2 4 5 2 2 3 3" xfId="5111" xr:uid="{00000000-0005-0000-0000-00004F100000}"/>
    <cellStyle name="Normal 2 4 5 2 2 3 3 2" xfId="13553" xr:uid="{48CE1B41-2AB7-49C4-8861-B882418BBE41}"/>
    <cellStyle name="Normal 2 4 5 2 2 3 4" xfId="9335" xr:uid="{48B9DD5E-DAB2-488F-9275-2E9862F3A7EF}"/>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2 2" xfId="16111" xr:uid="{1B075797-F72D-4392-AF09-5313B0CE4E2A}"/>
    <cellStyle name="Normal 2 4 5 2 2 4 2 3" xfId="11893" xr:uid="{41651ABA-45A3-4C1A-9F41-FBF33AC1C329}"/>
    <cellStyle name="Normal 2 4 5 2 2 4 3" xfId="5524" xr:uid="{00000000-0005-0000-0000-000053100000}"/>
    <cellStyle name="Normal 2 4 5 2 2 4 3 2" xfId="13966" xr:uid="{D1E46099-1D05-4588-A285-52A7B026127A}"/>
    <cellStyle name="Normal 2 4 5 2 2 4 4" xfId="9748" xr:uid="{FCAF24D8-039C-42E8-8A5F-4049109F832D}"/>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2 2 2" xfId="16524" xr:uid="{F4D199C7-BD10-430B-8B11-256C03BD93BF}"/>
    <cellStyle name="Normal 2 4 5 2 2 5 2 3" xfId="12306" xr:uid="{8309849E-EF9E-46D9-8495-BF18E6005819}"/>
    <cellStyle name="Normal 2 4 5 2 2 5 3" xfId="5937" xr:uid="{00000000-0005-0000-0000-000057100000}"/>
    <cellStyle name="Normal 2 4 5 2 2 5 3 2" xfId="14379" xr:uid="{E2E2762B-E959-4E60-BA55-2BC12D2E2A0A}"/>
    <cellStyle name="Normal 2 4 5 2 2 5 4" xfId="10161" xr:uid="{908ECC8A-412D-42BC-8A70-6DABCF4D8EA1}"/>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2 2 2" xfId="16937" xr:uid="{ACEB91EE-AF8A-4D4B-870E-30EA67A67B08}"/>
    <cellStyle name="Normal 2 4 5 2 2 6 2 3" xfId="12719" xr:uid="{8B848846-06A4-44B5-9FBD-2EF47744ED6C}"/>
    <cellStyle name="Normal 2 4 5 2 2 6 3" xfId="6350" xr:uid="{00000000-0005-0000-0000-00005B100000}"/>
    <cellStyle name="Normal 2 4 5 2 2 6 3 2" xfId="14792" xr:uid="{E25729D4-E799-456D-B31B-999424336417}"/>
    <cellStyle name="Normal 2 4 5 2 2 6 4" xfId="10574" xr:uid="{B3CEBF04-6AF6-494F-9933-8041E488647E}"/>
    <cellStyle name="Normal 2 4 5 2 2 7" xfId="2479" xr:uid="{00000000-0005-0000-0000-00005C100000}"/>
    <cellStyle name="Normal 2 4 5 2 2 7 2" xfId="6763" xr:uid="{00000000-0005-0000-0000-00005D100000}"/>
    <cellStyle name="Normal 2 4 5 2 2 7 2 2" xfId="15205" xr:uid="{5B2D6280-DE46-4F71-AAFE-9130AE853DFC}"/>
    <cellStyle name="Normal 2 4 5 2 2 7 3" xfId="10987" xr:uid="{0895C995-22E8-42B5-BB10-8537D00F6C9F}"/>
    <cellStyle name="Normal 2 4 5 2 2 8" xfId="4697" xr:uid="{00000000-0005-0000-0000-00005E100000}"/>
    <cellStyle name="Normal 2 4 5 2 2 8 2" xfId="13139" xr:uid="{689377E7-B6AC-4373-BC8F-1A06DE4FAFB5}"/>
    <cellStyle name="Normal 2 4 5 2 2 9" xfId="8921" xr:uid="{C35A5B5C-8290-467E-8457-DACC6F9445C8}"/>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15700" xr:uid="{C409311C-FAE1-49A2-983A-03DCFFF748B1}"/>
    <cellStyle name="Normal 2 4 5 2 3 2 2 3" xfId="11482" xr:uid="{8C04F237-3680-43F9-8053-48594FFDBBC6}"/>
    <cellStyle name="Normal 2 4 5 2 3 2 3" xfId="5113" xr:uid="{00000000-0005-0000-0000-000063100000}"/>
    <cellStyle name="Normal 2 4 5 2 3 2 3 2" xfId="13555" xr:uid="{C0E8EB96-E0C4-4F0C-983C-4112E99B670E}"/>
    <cellStyle name="Normal 2 4 5 2 3 2 4" xfId="9337" xr:uid="{5D33C862-B875-4AD1-A46C-9D918E8DC775}"/>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2 2" xfId="16113" xr:uid="{ABE4ECE1-B927-4C02-BB2F-3A1F299B3B42}"/>
    <cellStyle name="Normal 2 4 5 2 3 3 2 3" xfId="11895" xr:uid="{0DF2555C-03E3-4850-8EBF-B68D1A3DE8C1}"/>
    <cellStyle name="Normal 2 4 5 2 3 3 3" xfId="5526" xr:uid="{00000000-0005-0000-0000-000067100000}"/>
    <cellStyle name="Normal 2 4 5 2 3 3 3 2" xfId="13968" xr:uid="{C87B99EC-0EA7-4732-8D64-61F30A64276F}"/>
    <cellStyle name="Normal 2 4 5 2 3 3 4" xfId="9750" xr:uid="{64D4C01F-679E-40A1-8B5A-62AA39B22074}"/>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2 2 2" xfId="16526" xr:uid="{9F4E1BD1-E828-421A-997E-E762A13B6BFC}"/>
    <cellStyle name="Normal 2 4 5 2 3 4 2 3" xfId="12308" xr:uid="{3EFA7C9D-ECE9-452E-AC73-AE7F8FDC8FA2}"/>
    <cellStyle name="Normal 2 4 5 2 3 4 3" xfId="5939" xr:uid="{00000000-0005-0000-0000-00006B100000}"/>
    <cellStyle name="Normal 2 4 5 2 3 4 3 2" xfId="14381" xr:uid="{74FBE033-7D13-437E-A18B-B71F6404DAEE}"/>
    <cellStyle name="Normal 2 4 5 2 3 4 4" xfId="10163" xr:uid="{441C024D-4320-494D-9DCD-42B9A9F70B0A}"/>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2 2 2" xfId="16939" xr:uid="{34C4BB00-2366-4A32-A232-7141B8CD9C7F}"/>
    <cellStyle name="Normal 2 4 5 2 3 5 2 3" xfId="12721" xr:uid="{0F0CEACD-CE24-4B0E-B303-42D0F66D8F39}"/>
    <cellStyle name="Normal 2 4 5 2 3 5 3" xfId="6352" xr:uid="{00000000-0005-0000-0000-00006F100000}"/>
    <cellStyle name="Normal 2 4 5 2 3 5 3 2" xfId="14794" xr:uid="{C2C69F13-6C90-466C-8D43-FFFDAE80A005}"/>
    <cellStyle name="Normal 2 4 5 2 3 5 4" xfId="10576" xr:uid="{EFB25D70-01D6-49DE-B5F8-3EB27A370592}"/>
    <cellStyle name="Normal 2 4 5 2 3 6" xfId="2481" xr:uid="{00000000-0005-0000-0000-000070100000}"/>
    <cellStyle name="Normal 2 4 5 2 3 6 2" xfId="6765" xr:uid="{00000000-0005-0000-0000-000071100000}"/>
    <cellStyle name="Normal 2 4 5 2 3 6 2 2" xfId="15207" xr:uid="{9AAA8B21-9C18-4478-A367-4904C176599F}"/>
    <cellStyle name="Normal 2 4 5 2 3 6 3" xfId="10989" xr:uid="{7D5B7BE0-43D1-495D-8040-6DACDF24CADB}"/>
    <cellStyle name="Normal 2 4 5 2 3 7" xfId="4699" xr:uid="{00000000-0005-0000-0000-000072100000}"/>
    <cellStyle name="Normal 2 4 5 2 3 7 2" xfId="13141" xr:uid="{EDE4FB09-AAFE-4CFC-8D17-5DDAF7B83534}"/>
    <cellStyle name="Normal 2 4 5 2 3 8" xfId="8923" xr:uid="{16E34A76-0A10-4B78-AC99-7327DE940CCC}"/>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15697" xr:uid="{CA30F2CA-35A9-4925-A524-F8F239EE7058}"/>
    <cellStyle name="Normal 2 4 5 2 4 2 3" xfId="11479" xr:uid="{1A35C80E-43F6-47DC-B2CC-DBB36FD58304}"/>
    <cellStyle name="Normal 2 4 5 2 4 3" xfId="5110" xr:uid="{00000000-0005-0000-0000-000076100000}"/>
    <cellStyle name="Normal 2 4 5 2 4 3 2" xfId="13552" xr:uid="{FCA5D546-5FF5-4246-9DA7-776F8C689C56}"/>
    <cellStyle name="Normal 2 4 5 2 4 4" xfId="9334" xr:uid="{D2B4A918-86E9-46B1-BBA0-D018132AFD1B}"/>
    <cellStyle name="Normal 2 4 5 2 5" xfId="1215" xr:uid="{00000000-0005-0000-0000-000077100000}"/>
    <cellStyle name="Normal 2 4 5 2 5 2" xfId="3445" xr:uid="{00000000-0005-0000-0000-000078100000}"/>
    <cellStyle name="Normal 2 4 5 2 5 2 2" xfId="7668" xr:uid="{00000000-0005-0000-0000-000079100000}"/>
    <cellStyle name="Normal 2 4 5 2 5 2 2 2" xfId="16110" xr:uid="{A0DBE6C1-D31F-4E90-9DE1-FEEA7F7F861E}"/>
    <cellStyle name="Normal 2 4 5 2 5 2 3" xfId="11892" xr:uid="{5D39C61E-4E17-4660-B189-802F9BC2B318}"/>
    <cellStyle name="Normal 2 4 5 2 5 3" xfId="5523" xr:uid="{00000000-0005-0000-0000-00007A100000}"/>
    <cellStyle name="Normal 2 4 5 2 5 3 2" xfId="13965" xr:uid="{9E7A6A40-0F60-47E2-B763-CE43951AA5D5}"/>
    <cellStyle name="Normal 2 4 5 2 5 4" xfId="9747" xr:uid="{90AC1AF2-9FAD-4076-B796-08887D85BD2C}"/>
    <cellStyle name="Normal 2 4 5 2 6" xfId="1628" xr:uid="{00000000-0005-0000-0000-00007B100000}"/>
    <cellStyle name="Normal 2 4 5 2 6 2" xfId="3858" xr:uid="{00000000-0005-0000-0000-00007C100000}"/>
    <cellStyle name="Normal 2 4 5 2 6 2 2" xfId="8081" xr:uid="{00000000-0005-0000-0000-00007D100000}"/>
    <cellStyle name="Normal 2 4 5 2 6 2 2 2" xfId="16523" xr:uid="{CE6EEFAA-FD05-4539-9565-1BE7C3073B42}"/>
    <cellStyle name="Normal 2 4 5 2 6 2 3" xfId="12305" xr:uid="{ABED2ED3-D683-4FCC-AF0B-461247C23588}"/>
    <cellStyle name="Normal 2 4 5 2 6 3" xfId="5936" xr:uid="{00000000-0005-0000-0000-00007E100000}"/>
    <cellStyle name="Normal 2 4 5 2 6 3 2" xfId="14378" xr:uid="{669942BF-AC8B-4847-BF1D-8806DCEF1174}"/>
    <cellStyle name="Normal 2 4 5 2 6 4" xfId="10160" xr:uid="{7735199D-8E36-4C0A-93A9-925A064BB19A}"/>
    <cellStyle name="Normal 2 4 5 2 7" xfId="2042" xr:uid="{00000000-0005-0000-0000-00007F100000}"/>
    <cellStyle name="Normal 2 4 5 2 7 2" xfId="4271" xr:uid="{00000000-0005-0000-0000-000080100000}"/>
    <cellStyle name="Normal 2 4 5 2 7 2 2" xfId="8494" xr:uid="{00000000-0005-0000-0000-000081100000}"/>
    <cellStyle name="Normal 2 4 5 2 7 2 2 2" xfId="16936" xr:uid="{E3346ACC-6483-4229-874F-618AC2EAA850}"/>
    <cellStyle name="Normal 2 4 5 2 7 2 3" xfId="12718" xr:uid="{EF0507AD-8DF2-4EF9-9179-EB7C22B70095}"/>
    <cellStyle name="Normal 2 4 5 2 7 3" xfId="6349" xr:uid="{00000000-0005-0000-0000-000082100000}"/>
    <cellStyle name="Normal 2 4 5 2 7 3 2" xfId="14791" xr:uid="{751C115E-AEC3-43E6-8C00-C86299D40EDB}"/>
    <cellStyle name="Normal 2 4 5 2 7 4" xfId="10573" xr:uid="{934B4CF2-B4EE-4BE4-A69C-443C98687516}"/>
    <cellStyle name="Normal 2 4 5 2 8" xfId="2478" xr:uid="{00000000-0005-0000-0000-000083100000}"/>
    <cellStyle name="Normal 2 4 5 2 8 2" xfId="6762" xr:uid="{00000000-0005-0000-0000-000084100000}"/>
    <cellStyle name="Normal 2 4 5 2 8 2 2" xfId="15204" xr:uid="{F58A5CC3-A9C6-4E98-A6DE-1B8F95AE5641}"/>
    <cellStyle name="Normal 2 4 5 2 8 3" xfId="10986" xr:uid="{83EE18BD-9A92-4E79-9B84-AAF61A97B287}"/>
    <cellStyle name="Normal 2 4 5 2 9" xfId="4696" xr:uid="{00000000-0005-0000-0000-000085100000}"/>
    <cellStyle name="Normal 2 4 5 2 9 2" xfId="13138" xr:uid="{933E08CD-E1F8-473F-A6F7-B313AF1EDE31}"/>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15702" xr:uid="{79EDA2AE-C416-4582-AA9D-6521993EF6C1}"/>
    <cellStyle name="Normal 2 4 5 3 2 2 2 3" xfId="11484" xr:uid="{A24A6EF7-1320-48E5-BBFB-F0BD3ADEA4F4}"/>
    <cellStyle name="Normal 2 4 5 3 2 2 3" xfId="5115" xr:uid="{00000000-0005-0000-0000-00008B100000}"/>
    <cellStyle name="Normal 2 4 5 3 2 2 3 2" xfId="13557" xr:uid="{B7226387-F721-405D-AFD4-88DAA12697AB}"/>
    <cellStyle name="Normal 2 4 5 3 2 2 4" xfId="9339" xr:uid="{10B9461C-DB34-4EAE-86F7-92A9C6B7EFAD}"/>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2 2" xfId="16115" xr:uid="{983A3E0E-5FCF-44D1-9332-02FDB709DE7A}"/>
    <cellStyle name="Normal 2 4 5 3 2 3 2 3" xfId="11897" xr:uid="{20BD5255-7088-481B-A7B9-D647B0FB120C}"/>
    <cellStyle name="Normal 2 4 5 3 2 3 3" xfId="5528" xr:uid="{00000000-0005-0000-0000-00008F100000}"/>
    <cellStyle name="Normal 2 4 5 3 2 3 3 2" xfId="13970" xr:uid="{7239B5CB-E869-4627-B67E-19C33FE59FBC}"/>
    <cellStyle name="Normal 2 4 5 3 2 3 4" xfId="9752" xr:uid="{7CE291BD-389A-4D2F-B513-BE2C8E1DD382}"/>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2 2 2" xfId="16528" xr:uid="{2236F61E-44DA-4FE5-95B3-43A32272B26B}"/>
    <cellStyle name="Normal 2 4 5 3 2 4 2 3" xfId="12310" xr:uid="{BD4CF9A0-0DCE-49EF-9B9C-6A87B83A30A4}"/>
    <cellStyle name="Normal 2 4 5 3 2 4 3" xfId="5941" xr:uid="{00000000-0005-0000-0000-000093100000}"/>
    <cellStyle name="Normal 2 4 5 3 2 4 3 2" xfId="14383" xr:uid="{32E3F261-D273-4FDA-9626-22621B063BA9}"/>
    <cellStyle name="Normal 2 4 5 3 2 4 4" xfId="10165" xr:uid="{3C29C5EF-8F5D-4FAF-94A9-85CDB0030281}"/>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2 2 2" xfId="16941" xr:uid="{4CD21C4D-6406-44C1-8B52-3EB26D10C255}"/>
    <cellStyle name="Normal 2 4 5 3 2 5 2 3" xfId="12723" xr:uid="{52DC0A7B-BBD8-4B75-AAB7-BEEEA757FA28}"/>
    <cellStyle name="Normal 2 4 5 3 2 5 3" xfId="6354" xr:uid="{00000000-0005-0000-0000-000097100000}"/>
    <cellStyle name="Normal 2 4 5 3 2 5 3 2" xfId="14796" xr:uid="{49E94122-E2E7-42AE-8494-4D0C20C016B0}"/>
    <cellStyle name="Normal 2 4 5 3 2 5 4" xfId="10578" xr:uid="{16E3F8BB-2B1A-4116-9920-1051C0CBFB8C}"/>
    <cellStyle name="Normal 2 4 5 3 2 6" xfId="2483" xr:uid="{00000000-0005-0000-0000-000098100000}"/>
    <cellStyle name="Normal 2 4 5 3 2 6 2" xfId="6767" xr:uid="{00000000-0005-0000-0000-000099100000}"/>
    <cellStyle name="Normal 2 4 5 3 2 6 2 2" xfId="15209" xr:uid="{9084B791-CF26-480E-9514-FAFFEC54B1B9}"/>
    <cellStyle name="Normal 2 4 5 3 2 6 3" xfId="10991" xr:uid="{E381A644-29DD-4CF2-BC3A-C47B0CD51A2D}"/>
    <cellStyle name="Normal 2 4 5 3 2 7" xfId="4701" xr:uid="{00000000-0005-0000-0000-00009A100000}"/>
    <cellStyle name="Normal 2 4 5 3 2 7 2" xfId="13143" xr:uid="{6CF2B640-2DF2-4DFF-ACF5-D14D97351C80}"/>
    <cellStyle name="Normal 2 4 5 3 2 8" xfId="8925" xr:uid="{3BBAF220-97E6-49CD-81D9-4F57DAA09C03}"/>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15701" xr:uid="{C8F22AF1-B43B-4D37-8094-FCF84BF11EDD}"/>
    <cellStyle name="Normal 2 4 5 3 3 2 3" xfId="11483" xr:uid="{CE2F89E2-2639-4042-92AE-446C93A494F8}"/>
    <cellStyle name="Normal 2 4 5 3 3 3" xfId="5114" xr:uid="{00000000-0005-0000-0000-00009E100000}"/>
    <cellStyle name="Normal 2 4 5 3 3 3 2" xfId="13556" xr:uid="{C059001C-4084-401E-8C6E-464B6B609830}"/>
    <cellStyle name="Normal 2 4 5 3 3 4" xfId="9338" xr:uid="{72901C2E-49CA-42EE-80D4-7232DAE7053B}"/>
    <cellStyle name="Normal 2 4 5 3 4" xfId="1219" xr:uid="{00000000-0005-0000-0000-00009F100000}"/>
    <cellStyle name="Normal 2 4 5 3 4 2" xfId="3449" xr:uid="{00000000-0005-0000-0000-0000A0100000}"/>
    <cellStyle name="Normal 2 4 5 3 4 2 2" xfId="7672" xr:uid="{00000000-0005-0000-0000-0000A1100000}"/>
    <cellStyle name="Normal 2 4 5 3 4 2 2 2" xfId="16114" xr:uid="{CF14B045-B442-4CE1-88AD-42CF6EACCC4C}"/>
    <cellStyle name="Normal 2 4 5 3 4 2 3" xfId="11896" xr:uid="{66EEF84B-8133-40E1-8556-50BF0887417E}"/>
    <cellStyle name="Normal 2 4 5 3 4 3" xfId="5527" xr:uid="{00000000-0005-0000-0000-0000A2100000}"/>
    <cellStyle name="Normal 2 4 5 3 4 3 2" xfId="13969" xr:uid="{E324A078-40CC-45D5-B87E-E4BFB3510477}"/>
    <cellStyle name="Normal 2 4 5 3 4 4" xfId="9751" xr:uid="{716267DA-CA34-453A-9AF7-41FC1C782332}"/>
    <cellStyle name="Normal 2 4 5 3 5" xfId="1632" xr:uid="{00000000-0005-0000-0000-0000A3100000}"/>
    <cellStyle name="Normal 2 4 5 3 5 2" xfId="3862" xr:uid="{00000000-0005-0000-0000-0000A4100000}"/>
    <cellStyle name="Normal 2 4 5 3 5 2 2" xfId="8085" xr:uid="{00000000-0005-0000-0000-0000A5100000}"/>
    <cellStyle name="Normal 2 4 5 3 5 2 2 2" xfId="16527" xr:uid="{354E1407-C1CD-4A6A-986A-062BF6251444}"/>
    <cellStyle name="Normal 2 4 5 3 5 2 3" xfId="12309" xr:uid="{6D3AA116-3B24-4989-8CE7-FF54B02DF549}"/>
    <cellStyle name="Normal 2 4 5 3 5 3" xfId="5940" xr:uid="{00000000-0005-0000-0000-0000A6100000}"/>
    <cellStyle name="Normal 2 4 5 3 5 3 2" xfId="14382" xr:uid="{C27B0669-F5E2-485C-8386-D1FEA300C5B7}"/>
    <cellStyle name="Normal 2 4 5 3 5 4" xfId="10164" xr:uid="{22177BDB-7998-492B-8988-044935FEBCB8}"/>
    <cellStyle name="Normal 2 4 5 3 6" xfId="2046" xr:uid="{00000000-0005-0000-0000-0000A7100000}"/>
    <cellStyle name="Normal 2 4 5 3 6 2" xfId="4275" xr:uid="{00000000-0005-0000-0000-0000A8100000}"/>
    <cellStyle name="Normal 2 4 5 3 6 2 2" xfId="8498" xr:uid="{00000000-0005-0000-0000-0000A9100000}"/>
    <cellStyle name="Normal 2 4 5 3 6 2 2 2" xfId="16940" xr:uid="{CA733AA7-2EF9-46ED-9216-3477D48B473A}"/>
    <cellStyle name="Normal 2 4 5 3 6 2 3" xfId="12722" xr:uid="{FB96552A-DC9E-4B7F-BD81-29B4795FCF09}"/>
    <cellStyle name="Normal 2 4 5 3 6 3" xfId="6353" xr:uid="{00000000-0005-0000-0000-0000AA100000}"/>
    <cellStyle name="Normal 2 4 5 3 6 3 2" xfId="14795" xr:uid="{76C4C445-C911-4F8F-AA67-F6849134BB41}"/>
    <cellStyle name="Normal 2 4 5 3 6 4" xfId="10577" xr:uid="{61C6BFEC-C932-4844-ACDD-DC6E7382E973}"/>
    <cellStyle name="Normal 2 4 5 3 7" xfId="2482" xr:uid="{00000000-0005-0000-0000-0000AB100000}"/>
    <cellStyle name="Normal 2 4 5 3 7 2" xfId="6766" xr:uid="{00000000-0005-0000-0000-0000AC100000}"/>
    <cellStyle name="Normal 2 4 5 3 7 2 2" xfId="15208" xr:uid="{48C57928-D43F-4420-B1E7-9D31631D6ADB}"/>
    <cellStyle name="Normal 2 4 5 3 7 3" xfId="10990" xr:uid="{30E12589-C093-45B4-8CA8-3A548B25F1A9}"/>
    <cellStyle name="Normal 2 4 5 3 8" xfId="4700" xr:uid="{00000000-0005-0000-0000-0000AD100000}"/>
    <cellStyle name="Normal 2 4 5 3 8 2" xfId="13142" xr:uid="{50865A34-EB7F-4094-B271-63275CC52D87}"/>
    <cellStyle name="Normal 2 4 5 3 9" xfId="8924" xr:uid="{5CFC54D4-8C1F-485E-B082-B009464FD05C}"/>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15703" xr:uid="{E3EC89A2-BDF3-4AF5-8C48-9CB859D7F7D4}"/>
    <cellStyle name="Normal 2 4 5 4 2 2 3" xfId="11485" xr:uid="{D50C9211-E335-4EB9-AAF9-10CB8D03F6F2}"/>
    <cellStyle name="Normal 2 4 5 4 2 3" xfId="5116" xr:uid="{00000000-0005-0000-0000-0000B2100000}"/>
    <cellStyle name="Normal 2 4 5 4 2 3 2" xfId="13558" xr:uid="{84E65896-04D9-44F8-9DF4-7620F10A9A52}"/>
    <cellStyle name="Normal 2 4 5 4 2 4" xfId="9340" xr:uid="{A27F5249-A74F-4CD8-A9BD-C54F914FA6B5}"/>
    <cellStyle name="Normal 2 4 5 4 3" xfId="1221" xr:uid="{00000000-0005-0000-0000-0000B3100000}"/>
    <cellStyle name="Normal 2 4 5 4 3 2" xfId="3451" xr:uid="{00000000-0005-0000-0000-0000B4100000}"/>
    <cellStyle name="Normal 2 4 5 4 3 2 2" xfId="7674" xr:uid="{00000000-0005-0000-0000-0000B5100000}"/>
    <cellStyle name="Normal 2 4 5 4 3 2 2 2" xfId="16116" xr:uid="{EBD306FC-CDAC-4EA4-850E-F1B4E0F5557B}"/>
    <cellStyle name="Normal 2 4 5 4 3 2 3" xfId="11898" xr:uid="{A5B0FBAB-F3C9-4E13-8F20-7963B352E987}"/>
    <cellStyle name="Normal 2 4 5 4 3 3" xfId="5529" xr:uid="{00000000-0005-0000-0000-0000B6100000}"/>
    <cellStyle name="Normal 2 4 5 4 3 3 2" xfId="13971" xr:uid="{E24C9A5C-0226-41BB-B5FE-60559BABE8A7}"/>
    <cellStyle name="Normal 2 4 5 4 3 4" xfId="9753" xr:uid="{69BABA17-078D-4F85-AC3A-893104369EE5}"/>
    <cellStyle name="Normal 2 4 5 4 4" xfId="1634" xr:uid="{00000000-0005-0000-0000-0000B7100000}"/>
    <cellStyle name="Normal 2 4 5 4 4 2" xfId="3864" xr:uid="{00000000-0005-0000-0000-0000B8100000}"/>
    <cellStyle name="Normal 2 4 5 4 4 2 2" xfId="8087" xr:uid="{00000000-0005-0000-0000-0000B9100000}"/>
    <cellStyle name="Normal 2 4 5 4 4 2 2 2" xfId="16529" xr:uid="{AAF3E0BB-F0FD-40A6-A204-4CCBF9ACA5FE}"/>
    <cellStyle name="Normal 2 4 5 4 4 2 3" xfId="12311" xr:uid="{D838FFF4-F068-4A81-B0BD-6C34ADEF0881}"/>
    <cellStyle name="Normal 2 4 5 4 4 3" xfId="5942" xr:uid="{00000000-0005-0000-0000-0000BA100000}"/>
    <cellStyle name="Normal 2 4 5 4 4 3 2" xfId="14384" xr:uid="{0801927E-9994-4F73-8636-3113AC99EB08}"/>
    <cellStyle name="Normal 2 4 5 4 4 4" xfId="10166" xr:uid="{3A3582D1-C7A1-44E0-B6D7-C8D508AB61E9}"/>
    <cellStyle name="Normal 2 4 5 4 5" xfId="2048" xr:uid="{00000000-0005-0000-0000-0000BB100000}"/>
    <cellStyle name="Normal 2 4 5 4 5 2" xfId="4277" xr:uid="{00000000-0005-0000-0000-0000BC100000}"/>
    <cellStyle name="Normal 2 4 5 4 5 2 2" xfId="8500" xr:uid="{00000000-0005-0000-0000-0000BD100000}"/>
    <cellStyle name="Normal 2 4 5 4 5 2 2 2" xfId="16942" xr:uid="{41C09D17-741B-4AC8-A365-F55B5D1CBD8A}"/>
    <cellStyle name="Normal 2 4 5 4 5 2 3" xfId="12724" xr:uid="{BC1BE95C-D919-4DAF-B67E-8AAB6201DEE1}"/>
    <cellStyle name="Normal 2 4 5 4 5 3" xfId="6355" xr:uid="{00000000-0005-0000-0000-0000BE100000}"/>
    <cellStyle name="Normal 2 4 5 4 5 3 2" xfId="14797" xr:uid="{AF811F28-7334-4EB6-9D2D-E64A833886DC}"/>
    <cellStyle name="Normal 2 4 5 4 5 4" xfId="10579" xr:uid="{D305F802-7F51-4F1F-B273-4FD89CA4C659}"/>
    <cellStyle name="Normal 2 4 5 4 6" xfId="2484" xr:uid="{00000000-0005-0000-0000-0000BF100000}"/>
    <cellStyle name="Normal 2 4 5 4 6 2" xfId="6768" xr:uid="{00000000-0005-0000-0000-0000C0100000}"/>
    <cellStyle name="Normal 2 4 5 4 6 2 2" xfId="15210" xr:uid="{7B39D4D8-9E83-4895-8CA0-89850E2F02F3}"/>
    <cellStyle name="Normal 2 4 5 4 6 3" xfId="10992" xr:uid="{4AF52D86-D301-47C3-9E0F-A4ACE520B3DB}"/>
    <cellStyle name="Normal 2 4 5 4 7" xfId="4702" xr:uid="{00000000-0005-0000-0000-0000C1100000}"/>
    <cellStyle name="Normal 2 4 5 4 7 2" xfId="13144" xr:uid="{C6D5B7CA-D363-43B9-818C-5408D971F6C5}"/>
    <cellStyle name="Normal 2 4 5 4 8" xfId="8926" xr:uid="{65C4D3A6-9DAF-45C5-A841-B411CD9B0CD4}"/>
    <cellStyle name="Normal 2 4 5 5" xfId="792" xr:uid="{00000000-0005-0000-0000-0000C2100000}"/>
    <cellStyle name="Normal 2 4 5 5 2" xfId="3031" xr:uid="{00000000-0005-0000-0000-0000C3100000}"/>
    <cellStyle name="Normal 2 4 5 5 2 2" xfId="7254" xr:uid="{00000000-0005-0000-0000-0000C4100000}"/>
    <cellStyle name="Normal 2 4 5 5 2 2 2" xfId="15696" xr:uid="{359E2119-66C8-45EC-9E74-FD7AB2DF966D}"/>
    <cellStyle name="Normal 2 4 5 5 2 3" xfId="11478" xr:uid="{1378C954-CD0A-4D61-8762-2B1D66FD54E5}"/>
    <cellStyle name="Normal 2 4 5 5 3" xfId="5109" xr:uid="{00000000-0005-0000-0000-0000C5100000}"/>
    <cellStyle name="Normal 2 4 5 5 3 2" xfId="13551" xr:uid="{FBDE8C13-7DCF-49CA-A3B4-E72DFC124BA5}"/>
    <cellStyle name="Normal 2 4 5 5 4" xfId="9333" xr:uid="{B07EA0F2-8EA0-461C-999E-B3EFF361CFA7}"/>
    <cellStyle name="Normal 2 4 5 6" xfId="1214" xr:uid="{00000000-0005-0000-0000-0000C6100000}"/>
    <cellStyle name="Normal 2 4 5 6 2" xfId="3444" xr:uid="{00000000-0005-0000-0000-0000C7100000}"/>
    <cellStyle name="Normal 2 4 5 6 2 2" xfId="7667" xr:uid="{00000000-0005-0000-0000-0000C8100000}"/>
    <cellStyle name="Normal 2 4 5 6 2 2 2" xfId="16109" xr:uid="{B39A6113-4D63-4C0C-87D9-3B9FEF32054D}"/>
    <cellStyle name="Normal 2 4 5 6 2 3" xfId="11891" xr:uid="{931D7EA1-EC2C-4027-95F3-5B1656FE33B3}"/>
    <cellStyle name="Normal 2 4 5 6 3" xfId="5522" xr:uid="{00000000-0005-0000-0000-0000C9100000}"/>
    <cellStyle name="Normal 2 4 5 6 3 2" xfId="13964" xr:uid="{438C5E83-4E87-4E55-86AA-B811731B3BAB}"/>
    <cellStyle name="Normal 2 4 5 6 4" xfId="9746" xr:uid="{C2916A7E-8D3C-4351-90E3-1E1EFB972DA9}"/>
    <cellStyle name="Normal 2 4 5 7" xfId="1627" xr:uid="{00000000-0005-0000-0000-0000CA100000}"/>
    <cellStyle name="Normal 2 4 5 7 2" xfId="3857" xr:uid="{00000000-0005-0000-0000-0000CB100000}"/>
    <cellStyle name="Normal 2 4 5 7 2 2" xfId="8080" xr:uid="{00000000-0005-0000-0000-0000CC100000}"/>
    <cellStyle name="Normal 2 4 5 7 2 2 2" xfId="16522" xr:uid="{81D73258-41B4-4DE6-AF9D-97FA78F4B917}"/>
    <cellStyle name="Normal 2 4 5 7 2 3" xfId="12304" xr:uid="{D50DB230-16C3-4203-85FC-EBB864583F02}"/>
    <cellStyle name="Normal 2 4 5 7 3" xfId="5935" xr:uid="{00000000-0005-0000-0000-0000CD100000}"/>
    <cellStyle name="Normal 2 4 5 7 3 2" xfId="14377" xr:uid="{AC0DD7E8-BF09-428F-A1EC-D930F8B7F624}"/>
    <cellStyle name="Normal 2 4 5 7 4" xfId="10159" xr:uid="{709F7B4A-74E5-4E48-8B46-788EE98DB58E}"/>
    <cellStyle name="Normal 2 4 5 8" xfId="2041" xr:uid="{00000000-0005-0000-0000-0000CE100000}"/>
    <cellStyle name="Normal 2 4 5 8 2" xfId="4270" xr:uid="{00000000-0005-0000-0000-0000CF100000}"/>
    <cellStyle name="Normal 2 4 5 8 2 2" xfId="8493" xr:uid="{00000000-0005-0000-0000-0000D0100000}"/>
    <cellStyle name="Normal 2 4 5 8 2 2 2" xfId="16935" xr:uid="{0931C631-71F5-4149-BB25-013AEAB09005}"/>
    <cellStyle name="Normal 2 4 5 8 2 3" xfId="12717" xr:uid="{0F92CA0E-0950-4D59-AC28-E250B5A4D4D4}"/>
    <cellStyle name="Normal 2 4 5 8 3" xfId="6348" xr:uid="{00000000-0005-0000-0000-0000D1100000}"/>
    <cellStyle name="Normal 2 4 5 8 3 2" xfId="14790" xr:uid="{48C87F46-CF2B-48CE-BB22-3B61866D7683}"/>
    <cellStyle name="Normal 2 4 5 8 4" xfId="10572" xr:uid="{65E010C3-44DA-4FF5-81B0-C81C491EB1FB}"/>
    <cellStyle name="Normal 2 4 5 9" xfId="2477" xr:uid="{00000000-0005-0000-0000-0000D2100000}"/>
    <cellStyle name="Normal 2 4 5 9 2" xfId="6761" xr:uid="{00000000-0005-0000-0000-0000D3100000}"/>
    <cellStyle name="Normal 2 4 5 9 2 2" xfId="15203" xr:uid="{82B110B3-31D8-4144-8D5F-161C3B8C9153}"/>
    <cellStyle name="Normal 2 4 5 9 3" xfId="10985" xr:uid="{C341A758-7FEF-4579-87AD-A10CC3B68895}"/>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15705" xr:uid="{D395397D-47EC-4F1F-96FB-0AA1A2D0626D}"/>
    <cellStyle name="Normal 2 4 7 2 2 2 3" xfId="11487" xr:uid="{61E59771-CB3F-4703-8B7D-54D692FABB31}"/>
    <cellStyle name="Normal 2 4 7 2 2 3" xfId="5118" xr:uid="{00000000-0005-0000-0000-0000DA100000}"/>
    <cellStyle name="Normal 2 4 7 2 2 3 2" xfId="13560" xr:uid="{DF232F12-5885-423B-830E-F9A499AA238E}"/>
    <cellStyle name="Normal 2 4 7 2 2 4" xfId="9342" xr:uid="{3B8CCAE4-E974-43F4-9603-BB628F14DE56}"/>
    <cellStyle name="Normal 2 4 7 2 3" xfId="1223" xr:uid="{00000000-0005-0000-0000-0000DB100000}"/>
    <cellStyle name="Normal 2 4 7 2 3 2" xfId="3453" xr:uid="{00000000-0005-0000-0000-0000DC100000}"/>
    <cellStyle name="Normal 2 4 7 2 3 2 2" xfId="7676" xr:uid="{00000000-0005-0000-0000-0000DD100000}"/>
    <cellStyle name="Normal 2 4 7 2 3 2 2 2" xfId="16118" xr:uid="{297E21A5-6B02-4820-B46D-5CC8AC4BDBC9}"/>
    <cellStyle name="Normal 2 4 7 2 3 2 3" xfId="11900" xr:uid="{A3F4E477-735E-47C0-BBED-84AE75E98A5D}"/>
    <cellStyle name="Normal 2 4 7 2 3 3" xfId="5531" xr:uid="{00000000-0005-0000-0000-0000DE100000}"/>
    <cellStyle name="Normal 2 4 7 2 3 3 2" xfId="13973" xr:uid="{980FE672-01CE-4115-976E-D48C09D0A391}"/>
    <cellStyle name="Normal 2 4 7 2 3 4" xfId="9755" xr:uid="{11935920-ED57-4B85-ABEF-0A8C97431D43}"/>
    <cellStyle name="Normal 2 4 7 2 4" xfId="1636" xr:uid="{00000000-0005-0000-0000-0000DF100000}"/>
    <cellStyle name="Normal 2 4 7 2 4 2" xfId="3866" xr:uid="{00000000-0005-0000-0000-0000E0100000}"/>
    <cellStyle name="Normal 2 4 7 2 4 2 2" xfId="8089" xr:uid="{00000000-0005-0000-0000-0000E1100000}"/>
    <cellStyle name="Normal 2 4 7 2 4 2 2 2" xfId="16531" xr:uid="{DD49CF68-BE5B-4683-A70F-408BF63513EE}"/>
    <cellStyle name="Normal 2 4 7 2 4 2 3" xfId="12313" xr:uid="{B43D7ED8-32B6-4790-814D-5DAE119A373F}"/>
    <cellStyle name="Normal 2 4 7 2 4 3" xfId="5944" xr:uid="{00000000-0005-0000-0000-0000E2100000}"/>
    <cellStyle name="Normal 2 4 7 2 4 3 2" xfId="14386" xr:uid="{EBFCA7AF-1D14-49AC-88EB-8308450990DD}"/>
    <cellStyle name="Normal 2 4 7 2 4 4" xfId="10168" xr:uid="{149F77AD-4E22-43C0-A21E-8AA7C57A08C0}"/>
    <cellStyle name="Normal 2 4 7 2 5" xfId="2050" xr:uid="{00000000-0005-0000-0000-0000E3100000}"/>
    <cellStyle name="Normal 2 4 7 2 5 2" xfId="4279" xr:uid="{00000000-0005-0000-0000-0000E4100000}"/>
    <cellStyle name="Normal 2 4 7 2 5 2 2" xfId="8502" xr:uid="{00000000-0005-0000-0000-0000E5100000}"/>
    <cellStyle name="Normal 2 4 7 2 5 2 2 2" xfId="16944" xr:uid="{8B8CCB75-C224-46D5-AEA6-6DE415A33940}"/>
    <cellStyle name="Normal 2 4 7 2 5 2 3" xfId="12726" xr:uid="{C90CAB63-86D6-4C14-BE53-B4EDB8562DB7}"/>
    <cellStyle name="Normal 2 4 7 2 5 3" xfId="6357" xr:uid="{00000000-0005-0000-0000-0000E6100000}"/>
    <cellStyle name="Normal 2 4 7 2 5 3 2" xfId="14799" xr:uid="{8AD67F80-3833-48E4-B1D8-D7585E849A80}"/>
    <cellStyle name="Normal 2 4 7 2 5 4" xfId="10581" xr:uid="{8C7F9F32-77D4-4F60-8FD3-91FA42A77BDD}"/>
    <cellStyle name="Normal 2 4 7 2 6" xfId="2486" xr:uid="{00000000-0005-0000-0000-0000E7100000}"/>
    <cellStyle name="Normal 2 4 7 2 6 2" xfId="6770" xr:uid="{00000000-0005-0000-0000-0000E8100000}"/>
    <cellStyle name="Normal 2 4 7 2 6 2 2" xfId="15212" xr:uid="{7DFAFD02-2FE0-42E9-9012-F8E43984444A}"/>
    <cellStyle name="Normal 2 4 7 2 6 3" xfId="10994" xr:uid="{78D34705-F99A-4AA9-A6C4-D41CD8B3DF89}"/>
    <cellStyle name="Normal 2 4 7 2 7" xfId="4704" xr:uid="{00000000-0005-0000-0000-0000E9100000}"/>
    <cellStyle name="Normal 2 4 7 2 7 2" xfId="13146" xr:uid="{E7B76E35-9EDE-4383-847D-C9068D3C5A74}"/>
    <cellStyle name="Normal 2 4 7 2 8" xfId="8928" xr:uid="{07AFED9F-2A1D-4013-8E7E-4A287FDC11D2}"/>
    <cellStyle name="Normal 2 4 7 3" xfId="800" xr:uid="{00000000-0005-0000-0000-0000EA100000}"/>
    <cellStyle name="Normal 2 4 7 3 2" xfId="3039" xr:uid="{00000000-0005-0000-0000-0000EB100000}"/>
    <cellStyle name="Normal 2 4 7 3 2 2" xfId="7262" xr:uid="{00000000-0005-0000-0000-0000EC100000}"/>
    <cellStyle name="Normal 2 4 7 3 2 2 2" xfId="15704" xr:uid="{8070A5A7-6B67-4342-80D4-B45210F20A18}"/>
    <cellStyle name="Normal 2 4 7 3 2 3" xfId="11486" xr:uid="{A0D300B9-808B-4047-B827-B3466283FF29}"/>
    <cellStyle name="Normal 2 4 7 3 3" xfId="5117" xr:uid="{00000000-0005-0000-0000-0000ED100000}"/>
    <cellStyle name="Normal 2 4 7 3 3 2" xfId="13559" xr:uid="{BDD29675-A437-496F-AF3C-F295712FEC80}"/>
    <cellStyle name="Normal 2 4 7 3 4" xfId="9341" xr:uid="{4697764E-51A1-4D39-B446-BB8533A6831A}"/>
    <cellStyle name="Normal 2 4 7 4" xfId="1222" xr:uid="{00000000-0005-0000-0000-0000EE100000}"/>
    <cellStyle name="Normal 2 4 7 4 2" xfId="3452" xr:uid="{00000000-0005-0000-0000-0000EF100000}"/>
    <cellStyle name="Normal 2 4 7 4 2 2" xfId="7675" xr:uid="{00000000-0005-0000-0000-0000F0100000}"/>
    <cellStyle name="Normal 2 4 7 4 2 2 2" xfId="16117" xr:uid="{6E5DFBFD-90D3-4AF7-AD41-485DE863840F}"/>
    <cellStyle name="Normal 2 4 7 4 2 3" xfId="11899" xr:uid="{1E488EAD-22C5-4321-B230-204635DDF75F}"/>
    <cellStyle name="Normal 2 4 7 4 3" xfId="5530" xr:uid="{00000000-0005-0000-0000-0000F1100000}"/>
    <cellStyle name="Normal 2 4 7 4 3 2" xfId="13972" xr:uid="{F40386E7-8F8E-4DB6-A91B-1C3F3BA8BD41}"/>
    <cellStyle name="Normal 2 4 7 4 4" xfId="9754" xr:uid="{36DC8A31-C532-44CF-B4EA-D1803AFE2713}"/>
    <cellStyle name="Normal 2 4 7 5" xfId="1635" xr:uid="{00000000-0005-0000-0000-0000F2100000}"/>
    <cellStyle name="Normal 2 4 7 5 2" xfId="3865" xr:uid="{00000000-0005-0000-0000-0000F3100000}"/>
    <cellStyle name="Normal 2 4 7 5 2 2" xfId="8088" xr:uid="{00000000-0005-0000-0000-0000F4100000}"/>
    <cellStyle name="Normal 2 4 7 5 2 2 2" xfId="16530" xr:uid="{8D11EE02-2103-4A61-BDF5-8A4CE090F940}"/>
    <cellStyle name="Normal 2 4 7 5 2 3" xfId="12312" xr:uid="{C1272C40-916D-46BA-B339-828B423934C5}"/>
    <cellStyle name="Normal 2 4 7 5 3" xfId="5943" xr:uid="{00000000-0005-0000-0000-0000F5100000}"/>
    <cellStyle name="Normal 2 4 7 5 3 2" xfId="14385" xr:uid="{B73E09E2-26AC-4DBB-96B1-C9A4C795C325}"/>
    <cellStyle name="Normal 2 4 7 5 4" xfId="10167" xr:uid="{8BC67616-02F6-4E54-B835-89D980F53A14}"/>
    <cellStyle name="Normal 2 4 7 6" xfId="2049" xr:uid="{00000000-0005-0000-0000-0000F6100000}"/>
    <cellStyle name="Normal 2 4 7 6 2" xfId="4278" xr:uid="{00000000-0005-0000-0000-0000F7100000}"/>
    <cellStyle name="Normal 2 4 7 6 2 2" xfId="8501" xr:uid="{00000000-0005-0000-0000-0000F8100000}"/>
    <cellStyle name="Normal 2 4 7 6 2 2 2" xfId="16943" xr:uid="{DD3F6A8D-C1BF-4FAC-B902-ED9DB05D849B}"/>
    <cellStyle name="Normal 2 4 7 6 2 3" xfId="12725" xr:uid="{B47A8C51-BB2A-4D14-B52D-1D2E0286015F}"/>
    <cellStyle name="Normal 2 4 7 6 3" xfId="6356" xr:uid="{00000000-0005-0000-0000-0000F9100000}"/>
    <cellStyle name="Normal 2 4 7 6 3 2" xfId="14798" xr:uid="{6B7630C6-FD0E-4177-BEA6-EB3C684E9006}"/>
    <cellStyle name="Normal 2 4 7 6 4" xfId="10580" xr:uid="{DA5EBDE4-8A04-4E97-86DD-B1BD22AA5320}"/>
    <cellStyle name="Normal 2 4 7 7" xfId="2485" xr:uid="{00000000-0005-0000-0000-0000FA100000}"/>
    <cellStyle name="Normal 2 4 7 7 2" xfId="6769" xr:uid="{00000000-0005-0000-0000-0000FB100000}"/>
    <cellStyle name="Normal 2 4 7 7 2 2" xfId="15211" xr:uid="{29CD9930-E3FA-44C9-849F-A768DE8E7759}"/>
    <cellStyle name="Normal 2 4 7 7 3" xfId="10993" xr:uid="{D12A23B0-3C36-492E-AC2E-DF37DFDEFD40}"/>
    <cellStyle name="Normal 2 4 7 8" xfId="4703" xr:uid="{00000000-0005-0000-0000-0000FC100000}"/>
    <cellStyle name="Normal 2 4 7 8 2" xfId="13145" xr:uid="{FC9FC87A-54EA-4946-988D-D73374DB534A}"/>
    <cellStyle name="Normal 2 4 7 9" xfId="8927" xr:uid="{3159A61D-9D4A-49E3-B9E1-A6CAFBA146DA}"/>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2 2 2" xfId="15706" xr:uid="{BA17BD6B-1F1B-4259-BB55-6F84773155F1}"/>
    <cellStyle name="Normal 2 4 8 2 2 3" xfId="11488" xr:uid="{C0032E24-95CE-47B3-A410-DCE95EE4E862}"/>
    <cellStyle name="Normal 2 4 8 2 3" xfId="5119" xr:uid="{00000000-0005-0000-0000-000001110000}"/>
    <cellStyle name="Normal 2 4 8 2 3 2" xfId="13561" xr:uid="{6931633D-BAC4-49B8-94D4-88A622113643}"/>
    <cellStyle name="Normal 2 4 8 2 4" xfId="9343" xr:uid="{612BB787-26C8-4471-A802-E04F693019D0}"/>
    <cellStyle name="Normal 2 4 8 3" xfId="1224" xr:uid="{00000000-0005-0000-0000-000002110000}"/>
    <cellStyle name="Normal 2 4 8 3 2" xfId="3454" xr:uid="{00000000-0005-0000-0000-000003110000}"/>
    <cellStyle name="Normal 2 4 8 3 2 2" xfId="7677" xr:uid="{00000000-0005-0000-0000-000004110000}"/>
    <cellStyle name="Normal 2 4 8 3 2 2 2" xfId="16119" xr:uid="{370F787D-A616-4CBA-8620-2EC10725A2BF}"/>
    <cellStyle name="Normal 2 4 8 3 2 3" xfId="11901" xr:uid="{6784884B-8EC3-451E-9E4E-FFC4FF3E91E7}"/>
    <cellStyle name="Normal 2 4 8 3 3" xfId="5532" xr:uid="{00000000-0005-0000-0000-000005110000}"/>
    <cellStyle name="Normal 2 4 8 3 3 2" xfId="13974" xr:uid="{CC44DAE7-A01C-4D80-9BE5-E5C49A2817B3}"/>
    <cellStyle name="Normal 2 4 8 3 4" xfId="9756" xr:uid="{1505C662-1F0E-4351-993F-7D7DC4E1F608}"/>
    <cellStyle name="Normal 2 4 8 4" xfId="1637" xr:uid="{00000000-0005-0000-0000-000006110000}"/>
    <cellStyle name="Normal 2 4 8 4 2" xfId="3867" xr:uid="{00000000-0005-0000-0000-000007110000}"/>
    <cellStyle name="Normal 2 4 8 4 2 2" xfId="8090" xr:uid="{00000000-0005-0000-0000-000008110000}"/>
    <cellStyle name="Normal 2 4 8 4 2 2 2" xfId="16532" xr:uid="{CCDD7AB2-B65E-4856-BAEC-D2AE820038A8}"/>
    <cellStyle name="Normal 2 4 8 4 2 3" xfId="12314" xr:uid="{BA5C4D0C-3FE4-4177-B407-36D31DE5EAF9}"/>
    <cellStyle name="Normal 2 4 8 4 3" xfId="5945" xr:uid="{00000000-0005-0000-0000-000009110000}"/>
    <cellStyle name="Normal 2 4 8 4 3 2" xfId="14387" xr:uid="{1C3AD2F1-5835-4530-9A9B-2F2AC53151EC}"/>
    <cellStyle name="Normal 2 4 8 4 4" xfId="10169" xr:uid="{089D5178-BBA4-4DB4-989C-C2E64C498063}"/>
    <cellStyle name="Normal 2 4 8 5" xfId="2051" xr:uid="{00000000-0005-0000-0000-00000A110000}"/>
    <cellStyle name="Normal 2 4 8 5 2" xfId="4280" xr:uid="{00000000-0005-0000-0000-00000B110000}"/>
    <cellStyle name="Normal 2 4 8 5 2 2" xfId="8503" xr:uid="{00000000-0005-0000-0000-00000C110000}"/>
    <cellStyle name="Normal 2 4 8 5 2 2 2" xfId="16945" xr:uid="{920C8AB3-169E-48A9-9048-BE49E7A106DE}"/>
    <cellStyle name="Normal 2 4 8 5 2 3" xfId="12727" xr:uid="{C94CE9D3-18F5-4ECB-ADF2-44DC402CC668}"/>
    <cellStyle name="Normal 2 4 8 5 3" xfId="6358" xr:uid="{00000000-0005-0000-0000-00000D110000}"/>
    <cellStyle name="Normal 2 4 8 5 3 2" xfId="14800" xr:uid="{E8C180C4-DF78-47B6-B4E4-618601839490}"/>
    <cellStyle name="Normal 2 4 8 5 4" xfId="10582" xr:uid="{E1982BC4-BF89-476A-B23B-D061C07F7D3B}"/>
    <cellStyle name="Normal 2 4 8 6" xfId="2487" xr:uid="{00000000-0005-0000-0000-00000E110000}"/>
    <cellStyle name="Normal 2 4 8 6 2" xfId="6771" xr:uid="{00000000-0005-0000-0000-00000F110000}"/>
    <cellStyle name="Normal 2 4 8 6 2 2" xfId="15213" xr:uid="{79767D02-1467-4005-8E55-08B094173128}"/>
    <cellStyle name="Normal 2 4 8 6 3" xfId="10995" xr:uid="{39CACF4C-CA87-4773-BC05-969FC1A0DB5D}"/>
    <cellStyle name="Normal 2 4 8 7" xfId="4705" xr:uid="{00000000-0005-0000-0000-000010110000}"/>
    <cellStyle name="Normal 2 4 8 7 2" xfId="13147" xr:uid="{9CD6B58E-A729-4D4B-A08C-BC25E7B53F02}"/>
    <cellStyle name="Normal 2 4 8 8" xfId="8929" xr:uid="{761466A2-2A57-4FF0-AF5A-A2E7F50F1E77}"/>
    <cellStyle name="Normal 2 5" xfId="315" xr:uid="{00000000-0005-0000-0000-000011110000}"/>
    <cellStyle name="Normal 2 5 10" xfId="4706" xr:uid="{00000000-0005-0000-0000-000012110000}"/>
    <cellStyle name="Normal 2 5 10 2" xfId="13148" xr:uid="{D9202054-B063-4D07-AD96-DE2E31346BB4}"/>
    <cellStyle name="Normal 2 5 11" xfId="8930" xr:uid="{EA0F0144-CD19-4BFA-916C-440D842BEFF1}"/>
    <cellStyle name="Normal 2 5 2" xfId="316" xr:uid="{00000000-0005-0000-0000-000013110000}"/>
    <cellStyle name="Normal 2 5 3" xfId="317" xr:uid="{00000000-0005-0000-0000-000014110000}"/>
    <cellStyle name="Normal 2 5 4" xfId="318" xr:uid="{00000000-0005-0000-0000-000015110000}"/>
    <cellStyle name="Normal 2 5 4 10" xfId="8931" xr:uid="{55405AE5-2C2E-4AAD-8EE2-130E45DB1C44}"/>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15710" xr:uid="{799B4E09-2E44-40AA-A133-44E73E95346B}"/>
    <cellStyle name="Normal 2 5 4 2 2 2 2 3" xfId="11492" xr:uid="{F3EB5C8F-B5E2-42F2-997B-C039060969F4}"/>
    <cellStyle name="Normal 2 5 4 2 2 2 3" xfId="5123" xr:uid="{00000000-0005-0000-0000-00001B110000}"/>
    <cellStyle name="Normal 2 5 4 2 2 2 3 2" xfId="13565" xr:uid="{D56D81A3-93B8-4CB1-957C-B426BFD36D5D}"/>
    <cellStyle name="Normal 2 5 4 2 2 2 4" xfId="9347" xr:uid="{CC177AF3-4873-4061-9BD7-C908FC4F1D6D}"/>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2 2" xfId="16123" xr:uid="{8B9098C4-DBAA-4C82-BE4D-4A2EBBC0891A}"/>
    <cellStyle name="Normal 2 5 4 2 2 3 2 3" xfId="11905" xr:uid="{5D605401-0C3D-4D8F-A8C6-E41BFCD8FAA6}"/>
    <cellStyle name="Normal 2 5 4 2 2 3 3" xfId="5536" xr:uid="{00000000-0005-0000-0000-00001F110000}"/>
    <cellStyle name="Normal 2 5 4 2 2 3 3 2" xfId="13978" xr:uid="{A23146B2-E937-4682-886D-D7497421906F}"/>
    <cellStyle name="Normal 2 5 4 2 2 3 4" xfId="9760" xr:uid="{69B62ED4-9202-4D9D-B709-F71593C6FF7F}"/>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2 2 2" xfId="16536" xr:uid="{459B49B0-FA6B-432D-9274-FE2505F3F048}"/>
    <cellStyle name="Normal 2 5 4 2 2 4 2 3" xfId="12318" xr:uid="{9902C269-7E4F-4207-B92B-2E8D3FC6761E}"/>
    <cellStyle name="Normal 2 5 4 2 2 4 3" xfId="5949" xr:uid="{00000000-0005-0000-0000-000023110000}"/>
    <cellStyle name="Normal 2 5 4 2 2 4 3 2" xfId="14391" xr:uid="{F2A8BF72-8C2E-4861-8543-C82B19EC8A16}"/>
    <cellStyle name="Normal 2 5 4 2 2 4 4" xfId="10173" xr:uid="{4AF0C489-4C31-4E16-A3D7-20078C33B6FF}"/>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2 2 2" xfId="16949" xr:uid="{FE1AB648-256E-453B-82ED-048409225EC0}"/>
    <cellStyle name="Normal 2 5 4 2 2 5 2 3" xfId="12731" xr:uid="{12A2382B-D8EF-47CD-8977-9523B1BD6CCE}"/>
    <cellStyle name="Normal 2 5 4 2 2 5 3" xfId="6362" xr:uid="{00000000-0005-0000-0000-000027110000}"/>
    <cellStyle name="Normal 2 5 4 2 2 5 3 2" xfId="14804" xr:uid="{284BB326-95F2-4EAF-8E74-A76385010CFA}"/>
    <cellStyle name="Normal 2 5 4 2 2 5 4" xfId="10586" xr:uid="{0AFB6F22-03C6-4384-A493-806FADD7AB81}"/>
    <cellStyle name="Normal 2 5 4 2 2 6" xfId="2491" xr:uid="{00000000-0005-0000-0000-000028110000}"/>
    <cellStyle name="Normal 2 5 4 2 2 6 2" xfId="6775" xr:uid="{00000000-0005-0000-0000-000029110000}"/>
    <cellStyle name="Normal 2 5 4 2 2 6 2 2" xfId="15217" xr:uid="{26B0C9EA-C3C6-4413-A8C0-87E5B4CDD499}"/>
    <cellStyle name="Normal 2 5 4 2 2 6 3" xfId="10999" xr:uid="{40ED1329-5CDC-4F6B-B6CB-B4D9222D299C}"/>
    <cellStyle name="Normal 2 5 4 2 2 7" xfId="4709" xr:uid="{00000000-0005-0000-0000-00002A110000}"/>
    <cellStyle name="Normal 2 5 4 2 2 7 2" xfId="13151" xr:uid="{1589E77E-C818-4134-8FF0-581C0B378B4B}"/>
    <cellStyle name="Normal 2 5 4 2 2 8" xfId="8933" xr:uid="{BFEB66E9-0224-4B4A-91E6-452BEB7DF19D}"/>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15709" xr:uid="{FB7D5C22-3487-4CC4-BB51-B04A0CFA62AF}"/>
    <cellStyle name="Normal 2 5 4 2 3 2 3" xfId="11491" xr:uid="{90BCC5B4-9D87-4E82-94A5-ABFB40B3A05A}"/>
    <cellStyle name="Normal 2 5 4 2 3 3" xfId="5122" xr:uid="{00000000-0005-0000-0000-00002E110000}"/>
    <cellStyle name="Normal 2 5 4 2 3 3 2" xfId="13564" xr:uid="{EE775119-6138-4236-8E50-355B1986E263}"/>
    <cellStyle name="Normal 2 5 4 2 3 4" xfId="9346" xr:uid="{695C5330-ED15-4F8E-90DC-808BE897E80C}"/>
    <cellStyle name="Normal 2 5 4 2 4" xfId="1227" xr:uid="{00000000-0005-0000-0000-00002F110000}"/>
    <cellStyle name="Normal 2 5 4 2 4 2" xfId="3457" xr:uid="{00000000-0005-0000-0000-000030110000}"/>
    <cellStyle name="Normal 2 5 4 2 4 2 2" xfId="7680" xr:uid="{00000000-0005-0000-0000-000031110000}"/>
    <cellStyle name="Normal 2 5 4 2 4 2 2 2" xfId="16122" xr:uid="{FD37FBED-1A46-48F2-BFDD-D56920BB07D9}"/>
    <cellStyle name="Normal 2 5 4 2 4 2 3" xfId="11904" xr:uid="{C1638CE0-AD2B-4723-8B8F-C5BC8A7F1D93}"/>
    <cellStyle name="Normal 2 5 4 2 4 3" xfId="5535" xr:uid="{00000000-0005-0000-0000-000032110000}"/>
    <cellStyle name="Normal 2 5 4 2 4 3 2" xfId="13977" xr:uid="{807AD22F-1A52-4879-90C1-362ACC6C5EE4}"/>
    <cellStyle name="Normal 2 5 4 2 4 4" xfId="9759" xr:uid="{D300293A-2732-413B-AC06-FCAC76794D3B}"/>
    <cellStyle name="Normal 2 5 4 2 5" xfId="1640" xr:uid="{00000000-0005-0000-0000-000033110000}"/>
    <cellStyle name="Normal 2 5 4 2 5 2" xfId="3870" xr:uid="{00000000-0005-0000-0000-000034110000}"/>
    <cellStyle name="Normal 2 5 4 2 5 2 2" xfId="8093" xr:uid="{00000000-0005-0000-0000-000035110000}"/>
    <cellStyle name="Normal 2 5 4 2 5 2 2 2" xfId="16535" xr:uid="{4D21E7CA-8FC3-4AEA-A04A-8212BECF2628}"/>
    <cellStyle name="Normal 2 5 4 2 5 2 3" xfId="12317" xr:uid="{A55DF400-599B-4E0C-AB84-9EB0C35C0DB3}"/>
    <cellStyle name="Normal 2 5 4 2 5 3" xfId="5948" xr:uid="{00000000-0005-0000-0000-000036110000}"/>
    <cellStyle name="Normal 2 5 4 2 5 3 2" xfId="14390" xr:uid="{6DE35668-1E44-48BA-B959-8FDE9D411EC6}"/>
    <cellStyle name="Normal 2 5 4 2 5 4" xfId="10172" xr:uid="{27852D89-05D2-4667-8DDC-0A21E79F9FB4}"/>
    <cellStyle name="Normal 2 5 4 2 6" xfId="2054" xr:uid="{00000000-0005-0000-0000-000037110000}"/>
    <cellStyle name="Normal 2 5 4 2 6 2" xfId="4283" xr:uid="{00000000-0005-0000-0000-000038110000}"/>
    <cellStyle name="Normal 2 5 4 2 6 2 2" xfId="8506" xr:uid="{00000000-0005-0000-0000-000039110000}"/>
    <cellStyle name="Normal 2 5 4 2 6 2 2 2" xfId="16948" xr:uid="{666FF0CC-5C74-411C-BD89-766B5750B434}"/>
    <cellStyle name="Normal 2 5 4 2 6 2 3" xfId="12730" xr:uid="{902CD461-0C60-493B-82B2-619C68672928}"/>
    <cellStyle name="Normal 2 5 4 2 6 3" xfId="6361" xr:uid="{00000000-0005-0000-0000-00003A110000}"/>
    <cellStyle name="Normal 2 5 4 2 6 3 2" xfId="14803" xr:uid="{B0299DFA-434F-4527-BFA2-1E7B609FC03C}"/>
    <cellStyle name="Normal 2 5 4 2 6 4" xfId="10585" xr:uid="{BD1C3174-4C78-4A2C-A066-8C268BA7FC84}"/>
    <cellStyle name="Normal 2 5 4 2 7" xfId="2490" xr:uid="{00000000-0005-0000-0000-00003B110000}"/>
    <cellStyle name="Normal 2 5 4 2 7 2" xfId="6774" xr:uid="{00000000-0005-0000-0000-00003C110000}"/>
    <cellStyle name="Normal 2 5 4 2 7 2 2" xfId="15216" xr:uid="{A1191D58-AE3A-4E05-A2D5-2CE1E2C3E352}"/>
    <cellStyle name="Normal 2 5 4 2 7 3" xfId="10998" xr:uid="{FE72E629-157A-4131-9F6D-2C47F77171F8}"/>
    <cellStyle name="Normal 2 5 4 2 8" xfId="4708" xr:uid="{00000000-0005-0000-0000-00003D110000}"/>
    <cellStyle name="Normal 2 5 4 2 8 2" xfId="13150" xr:uid="{AF398952-6BF6-4170-9B1B-003512440F74}"/>
    <cellStyle name="Normal 2 5 4 2 9" xfId="8932" xr:uid="{5140AE05-5E56-4C0E-BD50-5BDD761EFE56}"/>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15711" xr:uid="{126FBB41-56B1-4E6B-AC22-C2C0E20141B9}"/>
    <cellStyle name="Normal 2 5 4 3 2 2 3" xfId="11493" xr:uid="{AC0C6323-0CC6-4471-9632-BE6DE6925316}"/>
    <cellStyle name="Normal 2 5 4 3 2 3" xfId="5124" xr:uid="{00000000-0005-0000-0000-000042110000}"/>
    <cellStyle name="Normal 2 5 4 3 2 3 2" xfId="13566" xr:uid="{3EB4D602-3B3D-4701-9C27-A836C94160D4}"/>
    <cellStyle name="Normal 2 5 4 3 2 4" xfId="9348" xr:uid="{A7372082-7F87-4D36-B6AE-6DD23D21A95F}"/>
    <cellStyle name="Normal 2 5 4 3 3" xfId="1229" xr:uid="{00000000-0005-0000-0000-000043110000}"/>
    <cellStyle name="Normal 2 5 4 3 3 2" xfId="3459" xr:uid="{00000000-0005-0000-0000-000044110000}"/>
    <cellStyle name="Normal 2 5 4 3 3 2 2" xfId="7682" xr:uid="{00000000-0005-0000-0000-000045110000}"/>
    <cellStyle name="Normal 2 5 4 3 3 2 2 2" xfId="16124" xr:uid="{58ADA7A9-2C48-48FF-AEB4-32D16B8E3F93}"/>
    <cellStyle name="Normal 2 5 4 3 3 2 3" xfId="11906" xr:uid="{C360A2E0-166D-4CF7-BD73-545A8F218F70}"/>
    <cellStyle name="Normal 2 5 4 3 3 3" xfId="5537" xr:uid="{00000000-0005-0000-0000-000046110000}"/>
    <cellStyle name="Normal 2 5 4 3 3 3 2" xfId="13979" xr:uid="{0F56ACB5-D38E-4012-937A-B828F1D00114}"/>
    <cellStyle name="Normal 2 5 4 3 3 4" xfId="9761" xr:uid="{979BCCB0-704E-4C22-A439-7047CBDD956E}"/>
    <cellStyle name="Normal 2 5 4 3 4" xfId="1642" xr:uid="{00000000-0005-0000-0000-000047110000}"/>
    <cellStyle name="Normal 2 5 4 3 4 2" xfId="3872" xr:uid="{00000000-0005-0000-0000-000048110000}"/>
    <cellStyle name="Normal 2 5 4 3 4 2 2" xfId="8095" xr:uid="{00000000-0005-0000-0000-000049110000}"/>
    <cellStyle name="Normal 2 5 4 3 4 2 2 2" xfId="16537" xr:uid="{57BBD530-BB35-48BD-A208-E92CF92ED6CF}"/>
    <cellStyle name="Normal 2 5 4 3 4 2 3" xfId="12319" xr:uid="{7004D4A3-7008-466A-BFC8-61A666DB6B72}"/>
    <cellStyle name="Normal 2 5 4 3 4 3" xfId="5950" xr:uid="{00000000-0005-0000-0000-00004A110000}"/>
    <cellStyle name="Normal 2 5 4 3 4 3 2" xfId="14392" xr:uid="{3CFAAB99-97C1-471B-9909-9B070DCF707B}"/>
    <cellStyle name="Normal 2 5 4 3 4 4" xfId="10174" xr:uid="{D8B7744D-8B4B-4902-96FD-52CDADBA3065}"/>
    <cellStyle name="Normal 2 5 4 3 5" xfId="2056" xr:uid="{00000000-0005-0000-0000-00004B110000}"/>
    <cellStyle name="Normal 2 5 4 3 5 2" xfId="4285" xr:uid="{00000000-0005-0000-0000-00004C110000}"/>
    <cellStyle name="Normal 2 5 4 3 5 2 2" xfId="8508" xr:uid="{00000000-0005-0000-0000-00004D110000}"/>
    <cellStyle name="Normal 2 5 4 3 5 2 2 2" xfId="16950" xr:uid="{EBAD3D73-82DE-4DF5-9DDB-A6704B07FB86}"/>
    <cellStyle name="Normal 2 5 4 3 5 2 3" xfId="12732" xr:uid="{CF18BE38-4619-42F4-8002-353FA5D56FAB}"/>
    <cellStyle name="Normal 2 5 4 3 5 3" xfId="6363" xr:uid="{00000000-0005-0000-0000-00004E110000}"/>
    <cellStyle name="Normal 2 5 4 3 5 3 2" xfId="14805" xr:uid="{438F9145-B57F-436D-929C-6D55F8ECF070}"/>
    <cellStyle name="Normal 2 5 4 3 5 4" xfId="10587" xr:uid="{8DF32A2B-8DE3-4D3E-9350-721FED387C2A}"/>
    <cellStyle name="Normal 2 5 4 3 6" xfId="2492" xr:uid="{00000000-0005-0000-0000-00004F110000}"/>
    <cellStyle name="Normal 2 5 4 3 6 2" xfId="6776" xr:uid="{00000000-0005-0000-0000-000050110000}"/>
    <cellStyle name="Normal 2 5 4 3 6 2 2" xfId="15218" xr:uid="{5ABD2E33-9A02-4621-8F75-AC265EE9D8A9}"/>
    <cellStyle name="Normal 2 5 4 3 6 3" xfId="11000" xr:uid="{DB91837D-772C-42BD-88C7-5D6F425E2C62}"/>
    <cellStyle name="Normal 2 5 4 3 7" xfId="4710" xr:uid="{00000000-0005-0000-0000-000051110000}"/>
    <cellStyle name="Normal 2 5 4 3 7 2" xfId="13152" xr:uid="{F4570724-1FCC-48D1-B823-3839BDC40097}"/>
    <cellStyle name="Normal 2 5 4 3 8" xfId="8934" xr:uid="{50B3D50B-FE1F-439F-9FB5-714CF4083D41}"/>
    <cellStyle name="Normal 2 5 4 4" xfId="804" xr:uid="{00000000-0005-0000-0000-000052110000}"/>
    <cellStyle name="Normal 2 5 4 4 2" xfId="3043" xr:uid="{00000000-0005-0000-0000-000053110000}"/>
    <cellStyle name="Normal 2 5 4 4 2 2" xfId="7266" xr:uid="{00000000-0005-0000-0000-000054110000}"/>
    <cellStyle name="Normal 2 5 4 4 2 2 2" xfId="15708" xr:uid="{2F0F3DAB-7C48-478E-AFBF-CD62B25D4448}"/>
    <cellStyle name="Normal 2 5 4 4 2 3" xfId="11490" xr:uid="{FB412AD5-0E39-492D-879F-F5C04698D42F}"/>
    <cellStyle name="Normal 2 5 4 4 3" xfId="5121" xr:uid="{00000000-0005-0000-0000-000055110000}"/>
    <cellStyle name="Normal 2 5 4 4 3 2" xfId="13563" xr:uid="{2622C48E-ADD3-4078-B3F8-1FD577ED2680}"/>
    <cellStyle name="Normal 2 5 4 4 4" xfId="9345" xr:uid="{09F5E4FF-0DB2-44B0-B53D-E1683E5B9F1B}"/>
    <cellStyle name="Normal 2 5 4 5" xfId="1226" xr:uid="{00000000-0005-0000-0000-000056110000}"/>
    <cellStyle name="Normal 2 5 4 5 2" xfId="3456" xr:uid="{00000000-0005-0000-0000-000057110000}"/>
    <cellStyle name="Normal 2 5 4 5 2 2" xfId="7679" xr:uid="{00000000-0005-0000-0000-000058110000}"/>
    <cellStyle name="Normal 2 5 4 5 2 2 2" xfId="16121" xr:uid="{E7EBDDC9-806F-4A6D-8925-D0BAB27B9687}"/>
    <cellStyle name="Normal 2 5 4 5 2 3" xfId="11903" xr:uid="{5BC4E33C-B031-4AB2-96B5-B2DD3446F319}"/>
    <cellStyle name="Normal 2 5 4 5 3" xfId="5534" xr:uid="{00000000-0005-0000-0000-000059110000}"/>
    <cellStyle name="Normal 2 5 4 5 3 2" xfId="13976" xr:uid="{30EA4CC7-4EA6-42B3-8491-D12192F335C0}"/>
    <cellStyle name="Normal 2 5 4 5 4" xfId="9758" xr:uid="{E8A093A0-BB37-44AE-A5A0-A109F13E6196}"/>
    <cellStyle name="Normal 2 5 4 6" xfId="1639" xr:uid="{00000000-0005-0000-0000-00005A110000}"/>
    <cellStyle name="Normal 2 5 4 6 2" xfId="3869" xr:uid="{00000000-0005-0000-0000-00005B110000}"/>
    <cellStyle name="Normal 2 5 4 6 2 2" xfId="8092" xr:uid="{00000000-0005-0000-0000-00005C110000}"/>
    <cellStyle name="Normal 2 5 4 6 2 2 2" xfId="16534" xr:uid="{DACB37D6-0F8F-4C32-8C04-C4F62B7FEB87}"/>
    <cellStyle name="Normal 2 5 4 6 2 3" xfId="12316" xr:uid="{B8DD3B1B-B170-42AD-9343-3070741F01B2}"/>
    <cellStyle name="Normal 2 5 4 6 3" xfId="5947" xr:uid="{00000000-0005-0000-0000-00005D110000}"/>
    <cellStyle name="Normal 2 5 4 6 3 2" xfId="14389" xr:uid="{B2D011AD-8EAC-408E-BF41-279D5BDC0582}"/>
    <cellStyle name="Normal 2 5 4 6 4" xfId="10171" xr:uid="{4741B589-2741-4E24-97DD-7E8566277CB2}"/>
    <cellStyle name="Normal 2 5 4 7" xfId="2053" xr:uid="{00000000-0005-0000-0000-00005E110000}"/>
    <cellStyle name="Normal 2 5 4 7 2" xfId="4282" xr:uid="{00000000-0005-0000-0000-00005F110000}"/>
    <cellStyle name="Normal 2 5 4 7 2 2" xfId="8505" xr:uid="{00000000-0005-0000-0000-000060110000}"/>
    <cellStyle name="Normal 2 5 4 7 2 2 2" xfId="16947" xr:uid="{8091431D-4CD5-4FB5-8766-C25956CB594C}"/>
    <cellStyle name="Normal 2 5 4 7 2 3" xfId="12729" xr:uid="{4A11FC8F-2446-4501-9710-BEBD5B8B5934}"/>
    <cellStyle name="Normal 2 5 4 7 3" xfId="6360" xr:uid="{00000000-0005-0000-0000-000061110000}"/>
    <cellStyle name="Normal 2 5 4 7 3 2" xfId="14802" xr:uid="{A39A9B1C-4A35-44F9-8224-20D58DB82489}"/>
    <cellStyle name="Normal 2 5 4 7 4" xfId="10584" xr:uid="{012EE625-96D5-4479-B846-87B7DC722E56}"/>
    <cellStyle name="Normal 2 5 4 8" xfId="2489" xr:uid="{00000000-0005-0000-0000-000062110000}"/>
    <cellStyle name="Normal 2 5 4 8 2" xfId="6773" xr:uid="{00000000-0005-0000-0000-000063110000}"/>
    <cellStyle name="Normal 2 5 4 8 2 2" xfId="15215" xr:uid="{9BA3D820-97BB-4D8D-A924-B0C63384E82D}"/>
    <cellStyle name="Normal 2 5 4 8 3" xfId="10997" xr:uid="{15B6E956-713B-45C6-962E-73F520CA05C0}"/>
    <cellStyle name="Normal 2 5 4 9" xfId="4707" xr:uid="{00000000-0005-0000-0000-000064110000}"/>
    <cellStyle name="Normal 2 5 4 9 2" xfId="13149" xr:uid="{363A5EA2-3E62-47A7-97D3-FB6263AB7CF4}"/>
    <cellStyle name="Normal 2 5 5" xfId="803" xr:uid="{00000000-0005-0000-0000-000065110000}"/>
    <cellStyle name="Normal 2 5 5 2" xfId="3042" xr:uid="{00000000-0005-0000-0000-000066110000}"/>
    <cellStyle name="Normal 2 5 5 2 2" xfId="7265" xr:uid="{00000000-0005-0000-0000-000067110000}"/>
    <cellStyle name="Normal 2 5 5 2 2 2" xfId="15707" xr:uid="{D23272F0-410D-4762-9878-0D2A3AC04752}"/>
    <cellStyle name="Normal 2 5 5 2 3" xfId="11489" xr:uid="{1802B259-CE0A-4242-BD27-A39DD10A3BA3}"/>
    <cellStyle name="Normal 2 5 5 3" xfId="5120" xr:uid="{00000000-0005-0000-0000-000068110000}"/>
    <cellStyle name="Normal 2 5 5 3 2" xfId="13562" xr:uid="{61F69447-4F8A-4D78-9397-53A42458AA60}"/>
    <cellStyle name="Normal 2 5 5 4" xfId="9344" xr:uid="{6E096561-F5B7-46C7-8E66-BC31AC9ADA02}"/>
    <cellStyle name="Normal 2 5 6" xfId="1225" xr:uid="{00000000-0005-0000-0000-000069110000}"/>
    <cellStyle name="Normal 2 5 6 2" xfId="3455" xr:uid="{00000000-0005-0000-0000-00006A110000}"/>
    <cellStyle name="Normal 2 5 6 2 2" xfId="7678" xr:uid="{00000000-0005-0000-0000-00006B110000}"/>
    <cellStyle name="Normal 2 5 6 2 2 2" xfId="16120" xr:uid="{D21C9D9D-4A0D-4E8A-9F6C-81443EB6A2C4}"/>
    <cellStyle name="Normal 2 5 6 2 3" xfId="11902" xr:uid="{BE4D7C9B-24BC-4FE2-929D-7164DE655BD7}"/>
    <cellStyle name="Normal 2 5 6 3" xfId="5533" xr:uid="{00000000-0005-0000-0000-00006C110000}"/>
    <cellStyle name="Normal 2 5 6 3 2" xfId="13975" xr:uid="{90BBB8C6-CD1A-43F1-B227-81567A965B87}"/>
    <cellStyle name="Normal 2 5 6 4" xfId="9757" xr:uid="{076B15BB-3686-43D4-93DC-005F2C23CEA6}"/>
    <cellStyle name="Normal 2 5 7" xfId="1638" xr:uid="{00000000-0005-0000-0000-00006D110000}"/>
    <cellStyle name="Normal 2 5 7 2" xfId="3868" xr:uid="{00000000-0005-0000-0000-00006E110000}"/>
    <cellStyle name="Normal 2 5 7 2 2" xfId="8091" xr:uid="{00000000-0005-0000-0000-00006F110000}"/>
    <cellStyle name="Normal 2 5 7 2 2 2" xfId="16533" xr:uid="{D4896688-9597-4F6D-A8AF-7852736A15A1}"/>
    <cellStyle name="Normal 2 5 7 2 3" xfId="12315" xr:uid="{153DACE7-0C08-4C3E-9E03-700066425425}"/>
    <cellStyle name="Normal 2 5 7 3" xfId="5946" xr:uid="{00000000-0005-0000-0000-000070110000}"/>
    <cellStyle name="Normal 2 5 7 3 2" xfId="14388" xr:uid="{716B0042-0347-4FF5-988B-02D3E9634A25}"/>
    <cellStyle name="Normal 2 5 7 4" xfId="10170" xr:uid="{128DAD67-46FC-4EB2-AD69-A4BD1DE43AD7}"/>
    <cellStyle name="Normal 2 5 8" xfId="2052" xr:uid="{00000000-0005-0000-0000-000071110000}"/>
    <cellStyle name="Normal 2 5 8 2" xfId="4281" xr:uid="{00000000-0005-0000-0000-000072110000}"/>
    <cellStyle name="Normal 2 5 8 2 2" xfId="8504" xr:uid="{00000000-0005-0000-0000-000073110000}"/>
    <cellStyle name="Normal 2 5 8 2 2 2" xfId="16946" xr:uid="{14EDA015-8F84-49DD-9401-22D1ABFAF3CB}"/>
    <cellStyle name="Normal 2 5 8 2 3" xfId="12728" xr:uid="{D51CCCA4-A87C-44E9-9B4D-AB9C52E2ED71}"/>
    <cellStyle name="Normal 2 5 8 3" xfId="6359" xr:uid="{00000000-0005-0000-0000-000074110000}"/>
    <cellStyle name="Normal 2 5 8 3 2" xfId="14801" xr:uid="{669F9085-D6AD-4522-BE80-A2CE63A04F6A}"/>
    <cellStyle name="Normal 2 5 8 4" xfId="10583" xr:uid="{896C106C-42DD-4D8D-ABC7-1AA1D3D162ED}"/>
    <cellStyle name="Normal 2 5 9" xfId="2488" xr:uid="{00000000-0005-0000-0000-000075110000}"/>
    <cellStyle name="Normal 2 5 9 2" xfId="6772" xr:uid="{00000000-0005-0000-0000-000076110000}"/>
    <cellStyle name="Normal 2 5 9 2 2" xfId="15214" xr:uid="{EADE0A1A-F84E-4857-862F-305D43D37195}"/>
    <cellStyle name="Normal 2 5 9 3" xfId="10996" xr:uid="{313D0924-E3A8-4F4F-89BA-8B3C391AD9B4}"/>
    <cellStyle name="Normal 2 6" xfId="322" xr:uid="{00000000-0005-0000-0000-000077110000}"/>
    <cellStyle name="Normal 2 7" xfId="769" xr:uid="{00000000-0005-0000-0000-000078110000}"/>
    <cellStyle name="Normal 2 8" xfId="4495" xr:uid="{00000000-0005-0000-0000-000079110000}"/>
    <cellStyle name="Normal 2 8 2" xfId="12940" xr:uid="{CBF2B1A8-C422-4533-A2F4-C74EB264F080}"/>
    <cellStyle name="Normal 3" xfId="323" xr:uid="{00000000-0005-0000-0000-00007A110000}"/>
    <cellStyle name="Normal 3 2" xfId="324" xr:uid="{00000000-0005-0000-0000-00007B110000}"/>
    <cellStyle name="Normal 3 2 10" xfId="8935" xr:uid="{C77FE4F8-6867-4DE4-BBBC-6AA433371B5B}"/>
    <cellStyle name="Normal 3 2 2" xfId="325" xr:uid="{00000000-0005-0000-0000-00007C110000}"/>
    <cellStyle name="Normal 3 2 2 2" xfId="810" xr:uid="{00000000-0005-0000-0000-00007D110000}"/>
    <cellStyle name="Normal 3 2 3" xfId="326" xr:uid="{00000000-0005-0000-0000-00007E110000}"/>
    <cellStyle name="Normal 3 2 3 10" xfId="8936" xr:uid="{60F8CA59-FB79-4F6E-B74F-8E37A1689165}"/>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15715" xr:uid="{A34A7371-ED6A-4E0B-94F1-E20DD5037E10}"/>
    <cellStyle name="Normal 3 2 3 2 2 2 2 3" xfId="11497" xr:uid="{77130401-28CB-4E60-91E8-1EC58EF168E5}"/>
    <cellStyle name="Normal 3 2 3 2 2 2 3" xfId="5128" xr:uid="{00000000-0005-0000-0000-000084110000}"/>
    <cellStyle name="Normal 3 2 3 2 2 2 3 2" xfId="13570" xr:uid="{9BB64489-CCA4-43C6-83DD-C1B110CB9490}"/>
    <cellStyle name="Normal 3 2 3 2 2 2 4" xfId="9352" xr:uid="{73EBE7BD-440C-4065-AFCB-9E268A1C015C}"/>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2 2" xfId="16128" xr:uid="{B5EFFA35-96F7-49A4-B60A-E56EDE6B8DC8}"/>
    <cellStyle name="Normal 3 2 3 2 2 3 2 3" xfId="11910" xr:uid="{01F494B8-B25F-4891-AFBC-D3F61049B767}"/>
    <cellStyle name="Normal 3 2 3 2 2 3 3" xfId="5541" xr:uid="{00000000-0005-0000-0000-000088110000}"/>
    <cellStyle name="Normal 3 2 3 2 2 3 3 2" xfId="13983" xr:uid="{35526ED7-8C21-4A40-BC9A-49A79CE93025}"/>
    <cellStyle name="Normal 3 2 3 2 2 3 4" xfId="9765" xr:uid="{52BE420E-A04B-4130-8C20-9DF59015737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2 2 2" xfId="16541" xr:uid="{CD2D709C-C6F8-402F-B470-EF4A20DE056C}"/>
    <cellStyle name="Normal 3 2 3 2 2 4 2 3" xfId="12323" xr:uid="{72D721D9-0AAC-4A9A-B891-F978B1355792}"/>
    <cellStyle name="Normal 3 2 3 2 2 4 3" xfId="5954" xr:uid="{00000000-0005-0000-0000-00008C110000}"/>
    <cellStyle name="Normal 3 2 3 2 2 4 3 2" xfId="14396" xr:uid="{1ACA8606-A9C9-4627-9533-36348F8E16BF}"/>
    <cellStyle name="Normal 3 2 3 2 2 4 4" xfId="10178" xr:uid="{78C9DF1C-93B3-4976-B081-EA76FA91FCA5}"/>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2 2 2" xfId="16954" xr:uid="{0B70F241-6495-4379-A1FB-1C318CCE138A}"/>
    <cellStyle name="Normal 3 2 3 2 2 5 2 3" xfId="12736" xr:uid="{DE9D0505-9E27-41A7-8AB8-84B8D5F3178F}"/>
    <cellStyle name="Normal 3 2 3 2 2 5 3" xfId="6367" xr:uid="{00000000-0005-0000-0000-000090110000}"/>
    <cellStyle name="Normal 3 2 3 2 2 5 3 2" xfId="14809" xr:uid="{2BFA129F-B77B-43E0-8DA7-8C5D0DDD3093}"/>
    <cellStyle name="Normal 3 2 3 2 2 5 4" xfId="10591" xr:uid="{480AFEA3-9970-4879-A83F-4904BE8CF41B}"/>
    <cellStyle name="Normal 3 2 3 2 2 6" xfId="2496" xr:uid="{00000000-0005-0000-0000-000091110000}"/>
    <cellStyle name="Normal 3 2 3 2 2 6 2" xfId="6780" xr:uid="{00000000-0005-0000-0000-000092110000}"/>
    <cellStyle name="Normal 3 2 3 2 2 6 2 2" xfId="15222" xr:uid="{DFD244EE-7B67-4A20-8416-C99793C5ADE1}"/>
    <cellStyle name="Normal 3 2 3 2 2 6 3" xfId="11004" xr:uid="{D1F5D42A-FC99-4505-B74E-40C502B219AF}"/>
    <cellStyle name="Normal 3 2 3 2 2 7" xfId="4714" xr:uid="{00000000-0005-0000-0000-000093110000}"/>
    <cellStyle name="Normal 3 2 3 2 2 7 2" xfId="13156" xr:uid="{7B7C333C-7AD8-49A9-89C8-905FEB257F13}"/>
    <cellStyle name="Normal 3 2 3 2 2 8" xfId="8938" xr:uid="{7FD77385-4C7E-4B38-B46B-6539236DFC3E}"/>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15714" xr:uid="{AF4A666E-1007-48AC-90B9-DFC55140280E}"/>
    <cellStyle name="Normal 3 2 3 2 3 2 3" xfId="11496" xr:uid="{CB4618E2-2AAD-4493-AE77-94CA6DD146F6}"/>
    <cellStyle name="Normal 3 2 3 2 3 3" xfId="5127" xr:uid="{00000000-0005-0000-0000-000097110000}"/>
    <cellStyle name="Normal 3 2 3 2 3 3 2" xfId="13569" xr:uid="{AEC5990B-682A-4F56-BDF0-4AF895378B01}"/>
    <cellStyle name="Normal 3 2 3 2 3 4" xfId="9351" xr:uid="{B501B09F-0716-4D8E-8A02-9469302D7B54}"/>
    <cellStyle name="Normal 3 2 3 2 4" xfId="1232" xr:uid="{00000000-0005-0000-0000-000098110000}"/>
    <cellStyle name="Normal 3 2 3 2 4 2" xfId="3462" xr:uid="{00000000-0005-0000-0000-000099110000}"/>
    <cellStyle name="Normal 3 2 3 2 4 2 2" xfId="7685" xr:uid="{00000000-0005-0000-0000-00009A110000}"/>
    <cellStyle name="Normal 3 2 3 2 4 2 2 2" xfId="16127" xr:uid="{97C50989-AD83-4DA6-B524-83481DB41848}"/>
    <cellStyle name="Normal 3 2 3 2 4 2 3" xfId="11909" xr:uid="{C77B6FDB-C543-4DE2-9085-529C53F812E3}"/>
    <cellStyle name="Normal 3 2 3 2 4 3" xfId="5540" xr:uid="{00000000-0005-0000-0000-00009B110000}"/>
    <cellStyle name="Normal 3 2 3 2 4 3 2" xfId="13982" xr:uid="{BE432F91-2BE5-48ED-8C25-B2B47393956B}"/>
    <cellStyle name="Normal 3 2 3 2 4 4" xfId="9764" xr:uid="{1A632731-4BC4-4137-B042-B959B3345799}"/>
    <cellStyle name="Normal 3 2 3 2 5" xfId="1645" xr:uid="{00000000-0005-0000-0000-00009C110000}"/>
    <cellStyle name="Normal 3 2 3 2 5 2" xfId="3875" xr:uid="{00000000-0005-0000-0000-00009D110000}"/>
    <cellStyle name="Normal 3 2 3 2 5 2 2" xfId="8098" xr:uid="{00000000-0005-0000-0000-00009E110000}"/>
    <cellStyle name="Normal 3 2 3 2 5 2 2 2" xfId="16540" xr:uid="{83D48267-C94D-44F2-B6F9-8C53053C1A14}"/>
    <cellStyle name="Normal 3 2 3 2 5 2 3" xfId="12322" xr:uid="{15ADF680-89BF-434F-A0E9-7A5BC5948426}"/>
    <cellStyle name="Normal 3 2 3 2 5 3" xfId="5953" xr:uid="{00000000-0005-0000-0000-00009F110000}"/>
    <cellStyle name="Normal 3 2 3 2 5 3 2" xfId="14395" xr:uid="{107A5B37-3DE5-4A59-8EDB-F4DF01444026}"/>
    <cellStyle name="Normal 3 2 3 2 5 4" xfId="10177" xr:uid="{70EB463D-FA1D-4C0D-9860-0A26FC699E98}"/>
    <cellStyle name="Normal 3 2 3 2 6" xfId="2059" xr:uid="{00000000-0005-0000-0000-0000A0110000}"/>
    <cellStyle name="Normal 3 2 3 2 6 2" xfId="4288" xr:uid="{00000000-0005-0000-0000-0000A1110000}"/>
    <cellStyle name="Normal 3 2 3 2 6 2 2" xfId="8511" xr:uid="{00000000-0005-0000-0000-0000A2110000}"/>
    <cellStyle name="Normal 3 2 3 2 6 2 2 2" xfId="16953" xr:uid="{FE1B303F-1F6E-4FB5-8191-C69136C81C8D}"/>
    <cellStyle name="Normal 3 2 3 2 6 2 3" xfId="12735" xr:uid="{B2039897-DFB1-4337-9611-EF90BF4671C4}"/>
    <cellStyle name="Normal 3 2 3 2 6 3" xfId="6366" xr:uid="{00000000-0005-0000-0000-0000A3110000}"/>
    <cellStyle name="Normal 3 2 3 2 6 3 2" xfId="14808" xr:uid="{4BFF27A2-2347-4745-B6B5-AACA06145DAB}"/>
    <cellStyle name="Normal 3 2 3 2 6 4" xfId="10590" xr:uid="{DC67ECEF-B97F-4E3A-9B7D-38D5BB5A7F50}"/>
    <cellStyle name="Normal 3 2 3 2 7" xfId="2495" xr:uid="{00000000-0005-0000-0000-0000A4110000}"/>
    <cellStyle name="Normal 3 2 3 2 7 2" xfId="6779" xr:uid="{00000000-0005-0000-0000-0000A5110000}"/>
    <cellStyle name="Normal 3 2 3 2 7 2 2" xfId="15221" xr:uid="{DDCE9099-5D35-4BB6-8749-9F994DBDD506}"/>
    <cellStyle name="Normal 3 2 3 2 7 3" xfId="11003" xr:uid="{D09EE014-2E52-4E08-8F9E-B04BD6D79DFC}"/>
    <cellStyle name="Normal 3 2 3 2 8" xfId="4713" xr:uid="{00000000-0005-0000-0000-0000A6110000}"/>
    <cellStyle name="Normal 3 2 3 2 8 2" xfId="13155" xr:uid="{72BA2AF9-89D6-4983-BAE2-A75207D7E118}"/>
    <cellStyle name="Normal 3 2 3 2 9" xfId="8937" xr:uid="{37FECE7C-8435-473F-974B-3F7D22BAEB87}"/>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15716" xr:uid="{A02647E5-42C7-40D7-92DA-625E4BF3B596}"/>
    <cellStyle name="Normal 3 2 3 3 2 2 3" xfId="11498" xr:uid="{5808A572-CEC3-4244-9F08-F4F539C516AD}"/>
    <cellStyle name="Normal 3 2 3 3 2 3" xfId="5129" xr:uid="{00000000-0005-0000-0000-0000AB110000}"/>
    <cellStyle name="Normal 3 2 3 3 2 3 2" xfId="13571" xr:uid="{491ACD47-C775-4EBD-A9B2-079711BF101C}"/>
    <cellStyle name="Normal 3 2 3 3 2 4" xfId="9353" xr:uid="{4BE68D29-0DAA-48A2-A1E0-3B8F5CE3ACA9}"/>
    <cellStyle name="Normal 3 2 3 3 3" xfId="1234" xr:uid="{00000000-0005-0000-0000-0000AC110000}"/>
    <cellStyle name="Normal 3 2 3 3 3 2" xfId="3464" xr:uid="{00000000-0005-0000-0000-0000AD110000}"/>
    <cellStyle name="Normal 3 2 3 3 3 2 2" xfId="7687" xr:uid="{00000000-0005-0000-0000-0000AE110000}"/>
    <cellStyle name="Normal 3 2 3 3 3 2 2 2" xfId="16129" xr:uid="{01D2B79F-C3EA-4DC9-BEFD-AC9248B57257}"/>
    <cellStyle name="Normal 3 2 3 3 3 2 3" xfId="11911" xr:uid="{C214A34C-383F-46E3-9D6C-9F03D5237A6F}"/>
    <cellStyle name="Normal 3 2 3 3 3 3" xfId="5542" xr:uid="{00000000-0005-0000-0000-0000AF110000}"/>
    <cellStyle name="Normal 3 2 3 3 3 3 2" xfId="13984" xr:uid="{9754B5A9-9104-4047-960A-DBF062043FBD}"/>
    <cellStyle name="Normal 3 2 3 3 3 4" xfId="9766" xr:uid="{98CD3AED-D98C-4C28-964A-834ABE9FBCD4}"/>
    <cellStyle name="Normal 3 2 3 3 4" xfId="1647" xr:uid="{00000000-0005-0000-0000-0000B0110000}"/>
    <cellStyle name="Normal 3 2 3 3 4 2" xfId="3877" xr:uid="{00000000-0005-0000-0000-0000B1110000}"/>
    <cellStyle name="Normal 3 2 3 3 4 2 2" xfId="8100" xr:uid="{00000000-0005-0000-0000-0000B2110000}"/>
    <cellStyle name="Normal 3 2 3 3 4 2 2 2" xfId="16542" xr:uid="{218FDD3C-26D6-4D66-9844-0946C89CF253}"/>
    <cellStyle name="Normal 3 2 3 3 4 2 3" xfId="12324" xr:uid="{5506077F-41DF-4B4C-BC4C-DBA1DB0465F2}"/>
    <cellStyle name="Normal 3 2 3 3 4 3" xfId="5955" xr:uid="{00000000-0005-0000-0000-0000B3110000}"/>
    <cellStyle name="Normal 3 2 3 3 4 3 2" xfId="14397" xr:uid="{0A05F1FB-37F7-4475-8988-BA049A70294B}"/>
    <cellStyle name="Normal 3 2 3 3 4 4" xfId="10179" xr:uid="{4D77E022-1307-475A-9010-70438413145D}"/>
    <cellStyle name="Normal 3 2 3 3 5" xfId="2061" xr:uid="{00000000-0005-0000-0000-0000B4110000}"/>
    <cellStyle name="Normal 3 2 3 3 5 2" xfId="4290" xr:uid="{00000000-0005-0000-0000-0000B5110000}"/>
    <cellStyle name="Normal 3 2 3 3 5 2 2" xfId="8513" xr:uid="{00000000-0005-0000-0000-0000B6110000}"/>
    <cellStyle name="Normal 3 2 3 3 5 2 2 2" xfId="16955" xr:uid="{02B84BC7-F04B-4778-83B4-A099467C084B}"/>
    <cellStyle name="Normal 3 2 3 3 5 2 3" xfId="12737" xr:uid="{1A53790F-A4FE-48AA-BCE9-D717EDF8AE99}"/>
    <cellStyle name="Normal 3 2 3 3 5 3" xfId="6368" xr:uid="{00000000-0005-0000-0000-0000B7110000}"/>
    <cellStyle name="Normal 3 2 3 3 5 3 2" xfId="14810" xr:uid="{8F3E68DB-EB03-429B-91BE-2EC9D1C36440}"/>
    <cellStyle name="Normal 3 2 3 3 5 4" xfId="10592" xr:uid="{1C5219BE-8D7D-485B-A56B-11D901516DBD}"/>
    <cellStyle name="Normal 3 2 3 3 6" xfId="2497" xr:uid="{00000000-0005-0000-0000-0000B8110000}"/>
    <cellStyle name="Normal 3 2 3 3 6 2" xfId="6781" xr:uid="{00000000-0005-0000-0000-0000B9110000}"/>
    <cellStyle name="Normal 3 2 3 3 6 2 2" xfId="15223" xr:uid="{763C8410-6069-4114-AE4C-CB9CED5640BA}"/>
    <cellStyle name="Normal 3 2 3 3 6 3" xfId="11005" xr:uid="{D77194C9-B504-4247-893C-63415443603F}"/>
    <cellStyle name="Normal 3 2 3 3 7" xfId="4715" xr:uid="{00000000-0005-0000-0000-0000BA110000}"/>
    <cellStyle name="Normal 3 2 3 3 7 2" xfId="13157" xr:uid="{472DC5F5-0AA0-4256-B352-1974F0129BC3}"/>
    <cellStyle name="Normal 3 2 3 3 8" xfId="8939" xr:uid="{64771145-D945-49F3-87CA-8A14806574CE}"/>
    <cellStyle name="Normal 3 2 3 4" xfId="811" xr:uid="{00000000-0005-0000-0000-0000BB110000}"/>
    <cellStyle name="Normal 3 2 3 4 2" xfId="3048" xr:uid="{00000000-0005-0000-0000-0000BC110000}"/>
    <cellStyle name="Normal 3 2 3 4 2 2" xfId="7271" xr:uid="{00000000-0005-0000-0000-0000BD110000}"/>
    <cellStyle name="Normal 3 2 3 4 2 2 2" xfId="15713" xr:uid="{E24A0848-FE9B-40FA-B79B-731C52644457}"/>
    <cellStyle name="Normal 3 2 3 4 2 3" xfId="11495" xr:uid="{6E9208E8-1178-4E2C-B7E2-5BF03D216EAA}"/>
    <cellStyle name="Normal 3 2 3 4 3" xfId="5126" xr:uid="{00000000-0005-0000-0000-0000BE110000}"/>
    <cellStyle name="Normal 3 2 3 4 3 2" xfId="13568" xr:uid="{312381A8-3157-4ED8-8FC2-B7850138930E}"/>
    <cellStyle name="Normal 3 2 3 4 4" xfId="9350" xr:uid="{B70A2C86-F6EE-4449-8BC7-701FB1BDB335}"/>
    <cellStyle name="Normal 3 2 3 5" xfId="1231" xr:uid="{00000000-0005-0000-0000-0000BF110000}"/>
    <cellStyle name="Normal 3 2 3 5 2" xfId="3461" xr:uid="{00000000-0005-0000-0000-0000C0110000}"/>
    <cellStyle name="Normal 3 2 3 5 2 2" xfId="7684" xr:uid="{00000000-0005-0000-0000-0000C1110000}"/>
    <cellStyle name="Normal 3 2 3 5 2 2 2" xfId="16126" xr:uid="{B351D816-F830-480A-966D-2BB79A08D424}"/>
    <cellStyle name="Normal 3 2 3 5 2 3" xfId="11908" xr:uid="{26B45424-D140-4DB5-80D7-F0A3CAE9AF50}"/>
    <cellStyle name="Normal 3 2 3 5 3" xfId="5539" xr:uid="{00000000-0005-0000-0000-0000C2110000}"/>
    <cellStyle name="Normal 3 2 3 5 3 2" xfId="13981" xr:uid="{D13B4DDA-281F-41C8-9992-6A972E0EEBDB}"/>
    <cellStyle name="Normal 3 2 3 5 4" xfId="9763" xr:uid="{8A3CDB8A-4A5A-414C-A9B3-B185C8A6701F}"/>
    <cellStyle name="Normal 3 2 3 6" xfId="1644" xr:uid="{00000000-0005-0000-0000-0000C3110000}"/>
    <cellStyle name="Normal 3 2 3 6 2" xfId="3874" xr:uid="{00000000-0005-0000-0000-0000C4110000}"/>
    <cellStyle name="Normal 3 2 3 6 2 2" xfId="8097" xr:uid="{00000000-0005-0000-0000-0000C5110000}"/>
    <cellStyle name="Normal 3 2 3 6 2 2 2" xfId="16539" xr:uid="{5C7E5F80-5142-4BBD-93A3-DD0B4213A87A}"/>
    <cellStyle name="Normal 3 2 3 6 2 3" xfId="12321" xr:uid="{FC11E0B8-2060-4774-82C3-AA2A8A2E871E}"/>
    <cellStyle name="Normal 3 2 3 6 3" xfId="5952" xr:uid="{00000000-0005-0000-0000-0000C6110000}"/>
    <cellStyle name="Normal 3 2 3 6 3 2" xfId="14394" xr:uid="{BDA826C2-E74A-45E9-9081-C285573FFE9E}"/>
    <cellStyle name="Normal 3 2 3 6 4" xfId="10176" xr:uid="{968E893E-38DE-4B56-A2ED-7ECDA7A06FA6}"/>
    <cellStyle name="Normal 3 2 3 7" xfId="2058" xr:uid="{00000000-0005-0000-0000-0000C7110000}"/>
    <cellStyle name="Normal 3 2 3 7 2" xfId="4287" xr:uid="{00000000-0005-0000-0000-0000C8110000}"/>
    <cellStyle name="Normal 3 2 3 7 2 2" xfId="8510" xr:uid="{00000000-0005-0000-0000-0000C9110000}"/>
    <cellStyle name="Normal 3 2 3 7 2 2 2" xfId="16952" xr:uid="{54D3AC3B-B964-46E9-BF40-68C931A4DCB3}"/>
    <cellStyle name="Normal 3 2 3 7 2 3" xfId="12734" xr:uid="{D8A95A51-94B3-4509-BCA3-6EC8277DC791}"/>
    <cellStyle name="Normal 3 2 3 7 3" xfId="6365" xr:uid="{00000000-0005-0000-0000-0000CA110000}"/>
    <cellStyle name="Normal 3 2 3 7 3 2" xfId="14807" xr:uid="{12376B88-F827-4951-98C9-D3BA7366EFE7}"/>
    <cellStyle name="Normal 3 2 3 7 4" xfId="10589" xr:uid="{552B8E5B-30E1-4F0E-9493-36D418FE8497}"/>
    <cellStyle name="Normal 3 2 3 8" xfId="2494" xr:uid="{00000000-0005-0000-0000-0000CB110000}"/>
    <cellStyle name="Normal 3 2 3 8 2" xfId="6778" xr:uid="{00000000-0005-0000-0000-0000CC110000}"/>
    <cellStyle name="Normal 3 2 3 8 2 2" xfId="15220" xr:uid="{2BD061B6-ED8C-4B5F-A644-1AF471E14DA1}"/>
    <cellStyle name="Normal 3 2 3 8 3" xfId="11002" xr:uid="{16E6AA2B-4B1B-4460-9B1E-B59FC2B4A3DE}"/>
    <cellStyle name="Normal 3 2 3 9" xfId="4712" xr:uid="{00000000-0005-0000-0000-0000CD110000}"/>
    <cellStyle name="Normal 3 2 3 9 2" xfId="13154" xr:uid="{1B4D97DE-13DC-47EE-9889-DF7BABC88B0D}"/>
    <cellStyle name="Normal 3 2 4" xfId="809" xr:uid="{00000000-0005-0000-0000-0000CE110000}"/>
    <cellStyle name="Normal 3 2 4 2" xfId="3047" xr:uid="{00000000-0005-0000-0000-0000CF110000}"/>
    <cellStyle name="Normal 3 2 4 2 2" xfId="7270" xr:uid="{00000000-0005-0000-0000-0000D0110000}"/>
    <cellStyle name="Normal 3 2 4 2 2 2" xfId="15712" xr:uid="{2889A7C6-75B8-48BF-880F-0A075ADE1E34}"/>
    <cellStyle name="Normal 3 2 4 2 3" xfId="11494" xr:uid="{E10D219C-2791-4E43-9E4B-A3099C4CFF94}"/>
    <cellStyle name="Normal 3 2 4 3" xfId="5125" xr:uid="{00000000-0005-0000-0000-0000D1110000}"/>
    <cellStyle name="Normal 3 2 4 3 2" xfId="13567" xr:uid="{DF228379-7BE3-4EB7-999C-F916E4B550ED}"/>
    <cellStyle name="Normal 3 2 4 4" xfId="9349" xr:uid="{90D2E456-FE8E-4DE0-9A01-B911973588F8}"/>
    <cellStyle name="Normal 3 2 5" xfId="1230" xr:uid="{00000000-0005-0000-0000-0000D2110000}"/>
    <cellStyle name="Normal 3 2 5 2" xfId="3460" xr:uid="{00000000-0005-0000-0000-0000D3110000}"/>
    <cellStyle name="Normal 3 2 5 2 2" xfId="7683" xr:uid="{00000000-0005-0000-0000-0000D4110000}"/>
    <cellStyle name="Normal 3 2 5 2 2 2" xfId="16125" xr:uid="{2F826DB8-67C6-43F6-9B61-948E6BDA19DF}"/>
    <cellStyle name="Normal 3 2 5 2 3" xfId="11907" xr:uid="{5BAF7B6D-6B9E-499C-A257-0CE21D715A6E}"/>
    <cellStyle name="Normal 3 2 5 3" xfId="5538" xr:uid="{00000000-0005-0000-0000-0000D5110000}"/>
    <cellStyle name="Normal 3 2 5 3 2" xfId="13980" xr:uid="{EF473F91-383D-4493-B2C8-677359AE5FDB}"/>
    <cellStyle name="Normal 3 2 5 4" xfId="9762" xr:uid="{3A0C72B2-FE93-48D7-8203-7A8E1D0976ED}"/>
    <cellStyle name="Normal 3 2 6" xfId="1643" xr:uid="{00000000-0005-0000-0000-0000D6110000}"/>
    <cellStyle name="Normal 3 2 6 2" xfId="3873" xr:uid="{00000000-0005-0000-0000-0000D7110000}"/>
    <cellStyle name="Normal 3 2 6 2 2" xfId="8096" xr:uid="{00000000-0005-0000-0000-0000D8110000}"/>
    <cellStyle name="Normal 3 2 6 2 2 2" xfId="16538" xr:uid="{DF2CD87B-BA58-412C-809B-3B9B5970F627}"/>
    <cellStyle name="Normal 3 2 6 2 3" xfId="12320" xr:uid="{D67911EC-B757-4243-B165-10FE044BD745}"/>
    <cellStyle name="Normal 3 2 6 3" xfId="5951" xr:uid="{00000000-0005-0000-0000-0000D9110000}"/>
    <cellStyle name="Normal 3 2 6 3 2" xfId="14393" xr:uid="{9CE88E67-7524-40BD-B49A-AF6E018B6D5A}"/>
    <cellStyle name="Normal 3 2 6 4" xfId="10175" xr:uid="{E4A10C4D-7B8A-46AE-B4A7-9F9B308D87CB}"/>
    <cellStyle name="Normal 3 2 7" xfId="2057" xr:uid="{00000000-0005-0000-0000-0000DA110000}"/>
    <cellStyle name="Normal 3 2 7 2" xfId="4286" xr:uid="{00000000-0005-0000-0000-0000DB110000}"/>
    <cellStyle name="Normal 3 2 7 2 2" xfId="8509" xr:uid="{00000000-0005-0000-0000-0000DC110000}"/>
    <cellStyle name="Normal 3 2 7 2 2 2" xfId="16951" xr:uid="{3AE980C9-A86D-41EA-9B25-832D82983244}"/>
    <cellStyle name="Normal 3 2 7 2 3" xfId="12733" xr:uid="{3FCD386B-2350-4D49-B961-1662A5999EE2}"/>
    <cellStyle name="Normal 3 2 7 3" xfId="6364" xr:uid="{00000000-0005-0000-0000-0000DD110000}"/>
    <cellStyle name="Normal 3 2 7 3 2" xfId="14806" xr:uid="{B400B5C7-9C58-465A-983A-238D9784AB44}"/>
    <cellStyle name="Normal 3 2 7 4" xfId="10588" xr:uid="{99EDD196-D869-41AE-A662-65ED7DD8CBA5}"/>
    <cellStyle name="Normal 3 2 8" xfId="2493" xr:uid="{00000000-0005-0000-0000-0000DE110000}"/>
    <cellStyle name="Normal 3 2 8 2" xfId="6777" xr:uid="{00000000-0005-0000-0000-0000DF110000}"/>
    <cellStyle name="Normal 3 2 8 2 2" xfId="15219" xr:uid="{0AE31131-D6EE-4391-B867-9DA366096556}"/>
    <cellStyle name="Normal 3 2 8 3" xfId="11001" xr:uid="{27C0790B-01A1-43EA-94B5-88FE9DE18C20}"/>
    <cellStyle name="Normal 3 2 9" xfId="4711" xr:uid="{00000000-0005-0000-0000-0000E0110000}"/>
    <cellStyle name="Normal 3 2 9 2" xfId="13153" xr:uid="{88FF9F15-66C7-4D37-A502-32C53F833AA9}"/>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0" xr:uid="{F9F187E8-3F08-43C5-B88F-5FAB2EDB2737}"/>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2 2 2" xfId="16956" xr:uid="{191F043A-E276-4622-ACBA-CCF122D7FB9F}"/>
    <cellStyle name="Normal 4 2 2 10 2 3" xfId="12738" xr:uid="{04536813-7C67-41F5-8D29-6E3D482112D7}"/>
    <cellStyle name="Normal 4 2 2 10 3" xfId="6369" xr:uid="{00000000-0005-0000-0000-0000ED110000}"/>
    <cellStyle name="Normal 4 2 2 10 3 2" xfId="14811" xr:uid="{FE1CCF47-1D04-41FF-AC6B-A820E3716403}"/>
    <cellStyle name="Normal 4 2 2 10 4" xfId="10593" xr:uid="{76A6E750-343A-49A0-8AA7-F5DD19A0C528}"/>
    <cellStyle name="Normal 4 2 2 11" xfId="2498" xr:uid="{00000000-0005-0000-0000-0000EE110000}"/>
    <cellStyle name="Normal 4 2 2 11 2" xfId="6782" xr:uid="{00000000-0005-0000-0000-0000EF110000}"/>
    <cellStyle name="Normal 4 2 2 11 2 2" xfId="15224" xr:uid="{3B200A38-A9DE-4223-9AFE-FADD07A9922F}"/>
    <cellStyle name="Normal 4 2 2 11 3" xfId="11006" xr:uid="{63EA2993-FBA2-40A3-BC20-D304099B33FC}"/>
    <cellStyle name="Normal 4 2 2 12" xfId="4717" xr:uid="{00000000-0005-0000-0000-0000F0110000}"/>
    <cellStyle name="Normal 4 2 2 12 2" xfId="13159" xr:uid="{4E4568E9-6697-4B4F-ABF0-7694826075DA}"/>
    <cellStyle name="Normal 4 2 2 13" xfId="8941" xr:uid="{98068BEB-2A4E-44C9-BE36-D78325037429}"/>
    <cellStyle name="Normal 4 2 2 2" xfId="338" xr:uid="{00000000-0005-0000-0000-0000F1110000}"/>
    <cellStyle name="Normal 4 2 2 3" xfId="339" xr:uid="{00000000-0005-0000-0000-0000F2110000}"/>
    <cellStyle name="Normal 4 2 2 3 10" xfId="4718" xr:uid="{00000000-0005-0000-0000-0000F3110000}"/>
    <cellStyle name="Normal 4 2 2 3 10 2" xfId="13160" xr:uid="{5FC3E0DD-83A7-4027-9242-175721B0627B}"/>
    <cellStyle name="Normal 4 2 2 3 11" xfId="8942" xr:uid="{3061F448-E446-4054-BD7C-C646E64A8D47}"/>
    <cellStyle name="Normal 4 2 2 3 2" xfId="340" xr:uid="{00000000-0005-0000-0000-0000F4110000}"/>
    <cellStyle name="Normal 4 2 2 3 2 10" xfId="8943" xr:uid="{599C6502-B97E-474F-860A-CAFDB75F1C3A}"/>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15721" xr:uid="{7A8D97CB-88A0-4E16-A278-BB2F920938C3}"/>
    <cellStyle name="Normal 4 2 2 3 2 2 2 2 2 3" xfId="11503" xr:uid="{88252E18-C28B-41CC-9528-3B8241280856}"/>
    <cellStyle name="Normal 4 2 2 3 2 2 2 2 3" xfId="5134" xr:uid="{00000000-0005-0000-0000-0000FA110000}"/>
    <cellStyle name="Normal 4 2 2 3 2 2 2 2 3 2" xfId="13576" xr:uid="{82025E64-0FAC-4DF4-A052-5B807AFD222E}"/>
    <cellStyle name="Normal 4 2 2 3 2 2 2 2 4" xfId="9358" xr:uid="{9CB80B13-ADEC-436F-AB84-19925DB32951}"/>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2 2" xfId="16134" xr:uid="{5A1A797D-EB4E-4E49-8041-11BD14F0BC16}"/>
    <cellStyle name="Normal 4 2 2 3 2 2 2 3 2 3" xfId="11916" xr:uid="{5AA45A23-9BA5-43A9-BF47-0294CEA689E5}"/>
    <cellStyle name="Normal 4 2 2 3 2 2 2 3 3" xfId="5547" xr:uid="{00000000-0005-0000-0000-0000FE110000}"/>
    <cellStyle name="Normal 4 2 2 3 2 2 2 3 3 2" xfId="13989" xr:uid="{D82E2694-44C8-4135-8AAF-F2720C668068}"/>
    <cellStyle name="Normal 4 2 2 3 2 2 2 3 4" xfId="9771" xr:uid="{1830BCE3-A68A-408D-9112-ABD59DE18186}"/>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2 2 2" xfId="16547" xr:uid="{541DBD11-56D0-4F44-AEE4-4FCD2D7CBC57}"/>
    <cellStyle name="Normal 4 2 2 3 2 2 2 4 2 3" xfId="12329" xr:uid="{4973FD56-3CDD-4085-B583-8C01D94A964A}"/>
    <cellStyle name="Normal 4 2 2 3 2 2 2 4 3" xfId="5960" xr:uid="{00000000-0005-0000-0000-000002120000}"/>
    <cellStyle name="Normal 4 2 2 3 2 2 2 4 3 2" xfId="14402" xr:uid="{6732D4F3-9ABC-45D0-B0D8-7E9905CA639B}"/>
    <cellStyle name="Normal 4 2 2 3 2 2 2 4 4" xfId="10184" xr:uid="{1DF87C5F-A858-49A1-A8DE-36C9AFD95839}"/>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2 2 2" xfId="16960" xr:uid="{0880DB1C-DD01-4151-ADD8-AE41AA7223D3}"/>
    <cellStyle name="Normal 4 2 2 3 2 2 2 5 2 3" xfId="12742" xr:uid="{E4D522C1-15F1-4858-9F4F-08AFC36535E2}"/>
    <cellStyle name="Normal 4 2 2 3 2 2 2 5 3" xfId="6373" xr:uid="{00000000-0005-0000-0000-000006120000}"/>
    <cellStyle name="Normal 4 2 2 3 2 2 2 5 3 2" xfId="14815" xr:uid="{9E32007C-E721-41A0-B817-8E721F749025}"/>
    <cellStyle name="Normal 4 2 2 3 2 2 2 5 4" xfId="10597" xr:uid="{226BD499-56EA-40CA-A3BF-F07CB668098E}"/>
    <cellStyle name="Normal 4 2 2 3 2 2 2 6" xfId="2502" xr:uid="{00000000-0005-0000-0000-000007120000}"/>
    <cellStyle name="Normal 4 2 2 3 2 2 2 6 2" xfId="6786" xr:uid="{00000000-0005-0000-0000-000008120000}"/>
    <cellStyle name="Normal 4 2 2 3 2 2 2 6 2 2" xfId="15228" xr:uid="{98044729-03E9-4C12-8D9E-4FF25685506E}"/>
    <cellStyle name="Normal 4 2 2 3 2 2 2 6 3" xfId="11010" xr:uid="{FD99445A-B303-4C0D-B4BC-2D7966BE7633}"/>
    <cellStyle name="Normal 4 2 2 3 2 2 2 7" xfId="4721" xr:uid="{00000000-0005-0000-0000-000009120000}"/>
    <cellStyle name="Normal 4 2 2 3 2 2 2 7 2" xfId="13163" xr:uid="{7351C5FD-E3F3-4BF5-833F-1C12E34032F7}"/>
    <cellStyle name="Normal 4 2 2 3 2 2 2 8" xfId="8945" xr:uid="{D8DB7F48-EFCC-4E97-B46A-C67E9F308274}"/>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15720" xr:uid="{EB2E5940-2465-4715-93D4-18B79F1A9D44}"/>
    <cellStyle name="Normal 4 2 2 3 2 2 3 2 3" xfId="11502" xr:uid="{64DE667F-29E5-46A5-8021-CEC63694D921}"/>
    <cellStyle name="Normal 4 2 2 3 2 2 3 3" xfId="5133" xr:uid="{00000000-0005-0000-0000-00000D120000}"/>
    <cellStyle name="Normal 4 2 2 3 2 2 3 3 2" xfId="13575" xr:uid="{20097CC7-ED76-4551-B10A-E8428E85FFD8}"/>
    <cellStyle name="Normal 4 2 2 3 2 2 3 4" xfId="9357" xr:uid="{A2253B17-A28B-4D23-A48D-A69ECCB8A5DF}"/>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2 2" xfId="16133" xr:uid="{AA0D5940-0DF3-4861-8212-B7F9E2E562F5}"/>
    <cellStyle name="Normal 4 2 2 3 2 2 4 2 3" xfId="11915" xr:uid="{8B02C8FA-B8E5-4A28-B6E7-48BF19B6A269}"/>
    <cellStyle name="Normal 4 2 2 3 2 2 4 3" xfId="5546" xr:uid="{00000000-0005-0000-0000-000011120000}"/>
    <cellStyle name="Normal 4 2 2 3 2 2 4 3 2" xfId="13988" xr:uid="{B2BAB9B7-A87B-43E6-928F-C592C3C73C40}"/>
    <cellStyle name="Normal 4 2 2 3 2 2 4 4" xfId="9770" xr:uid="{C8F59926-C4B0-4B1E-9C93-DBAC436CD6C8}"/>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2 2 2" xfId="16546" xr:uid="{FB4DE41F-8193-4E1E-BA8E-07D4F3611CA8}"/>
    <cellStyle name="Normal 4 2 2 3 2 2 5 2 3" xfId="12328" xr:uid="{CAD92168-38E9-44BE-8AB9-AF5A11140C3B}"/>
    <cellStyle name="Normal 4 2 2 3 2 2 5 3" xfId="5959" xr:uid="{00000000-0005-0000-0000-000015120000}"/>
    <cellStyle name="Normal 4 2 2 3 2 2 5 3 2" xfId="14401" xr:uid="{D26A969D-4E12-4E56-9F4C-32E1E03FC456}"/>
    <cellStyle name="Normal 4 2 2 3 2 2 5 4" xfId="10183" xr:uid="{5AAC9125-8659-4E26-B3D4-B1BF729DF6D7}"/>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2 2 2" xfId="16959" xr:uid="{F9C726FF-7795-4E7A-9A43-768B63FB7528}"/>
    <cellStyle name="Normal 4 2 2 3 2 2 6 2 3" xfId="12741" xr:uid="{36259825-EC0E-4972-B8A5-AFC158C254F4}"/>
    <cellStyle name="Normal 4 2 2 3 2 2 6 3" xfId="6372" xr:uid="{00000000-0005-0000-0000-000019120000}"/>
    <cellStyle name="Normal 4 2 2 3 2 2 6 3 2" xfId="14814" xr:uid="{48312D1F-FA5B-46ED-9EE3-DA49102DB4F5}"/>
    <cellStyle name="Normal 4 2 2 3 2 2 6 4" xfId="10596" xr:uid="{23F78FFA-CEFA-4FEC-8E66-7F9BF4D35172}"/>
    <cellStyle name="Normal 4 2 2 3 2 2 7" xfId="2501" xr:uid="{00000000-0005-0000-0000-00001A120000}"/>
    <cellStyle name="Normal 4 2 2 3 2 2 7 2" xfId="6785" xr:uid="{00000000-0005-0000-0000-00001B120000}"/>
    <cellStyle name="Normal 4 2 2 3 2 2 7 2 2" xfId="15227" xr:uid="{7352D958-77B2-4FFE-B448-4859A4221C9D}"/>
    <cellStyle name="Normal 4 2 2 3 2 2 7 3" xfId="11009" xr:uid="{5BD01F6D-2A13-46EF-BC37-45E8A50EFC0A}"/>
    <cellStyle name="Normal 4 2 2 3 2 2 8" xfId="4720" xr:uid="{00000000-0005-0000-0000-00001C120000}"/>
    <cellStyle name="Normal 4 2 2 3 2 2 8 2" xfId="13162" xr:uid="{57078836-5137-4474-A8CA-E58F4504054E}"/>
    <cellStyle name="Normal 4 2 2 3 2 2 9" xfId="8944" xr:uid="{E809BE5B-B02F-46F8-995C-2ADD60511FA7}"/>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15722" xr:uid="{6D9A2AEC-A0F3-408D-8C78-A88857E81294}"/>
    <cellStyle name="Normal 4 2 2 3 2 3 2 2 3" xfId="11504" xr:uid="{1FB20E01-2EA2-492E-8E51-73DFF6354358}"/>
    <cellStyle name="Normal 4 2 2 3 2 3 2 3" xfId="5135" xr:uid="{00000000-0005-0000-0000-000021120000}"/>
    <cellStyle name="Normal 4 2 2 3 2 3 2 3 2" xfId="13577" xr:uid="{C313AB1D-C15C-4707-9D90-0D688F0D1408}"/>
    <cellStyle name="Normal 4 2 2 3 2 3 2 4" xfId="9359" xr:uid="{9F610468-59C9-485C-9FA6-607F93D8E3EB}"/>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2 2" xfId="16135" xr:uid="{D0BB60A5-41BB-44E0-B5CB-82AE9C8DB832}"/>
    <cellStyle name="Normal 4 2 2 3 2 3 3 2 3" xfId="11917" xr:uid="{BE506E78-85AD-4513-A05B-F553624B6177}"/>
    <cellStyle name="Normal 4 2 2 3 2 3 3 3" xfId="5548" xr:uid="{00000000-0005-0000-0000-000025120000}"/>
    <cellStyle name="Normal 4 2 2 3 2 3 3 3 2" xfId="13990" xr:uid="{C8BCB02B-9A60-462E-B445-A2D23DE1108F}"/>
    <cellStyle name="Normal 4 2 2 3 2 3 3 4" xfId="9772" xr:uid="{FE5575A2-2D40-4A34-A377-71DC11438E07}"/>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2 2 2" xfId="16548" xr:uid="{E2E3ABA9-231B-4E44-AFE9-E63B40AD5125}"/>
    <cellStyle name="Normal 4 2 2 3 2 3 4 2 3" xfId="12330" xr:uid="{179EE9EA-E2F1-435C-A99F-B8FFC919FF2A}"/>
    <cellStyle name="Normal 4 2 2 3 2 3 4 3" xfId="5961" xr:uid="{00000000-0005-0000-0000-000029120000}"/>
    <cellStyle name="Normal 4 2 2 3 2 3 4 3 2" xfId="14403" xr:uid="{C0BCC311-A7EB-418B-8AAB-029A0DB10288}"/>
    <cellStyle name="Normal 4 2 2 3 2 3 4 4" xfId="10185" xr:uid="{3B124EE4-B067-4C35-A459-8F599FC06986}"/>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2 2 2" xfId="16961" xr:uid="{E76BF273-D6FD-4914-BA49-38E8727A2AC4}"/>
    <cellStyle name="Normal 4 2 2 3 2 3 5 2 3" xfId="12743" xr:uid="{3751743A-FA48-45B2-9CAA-3A5C7DFE1875}"/>
    <cellStyle name="Normal 4 2 2 3 2 3 5 3" xfId="6374" xr:uid="{00000000-0005-0000-0000-00002D120000}"/>
    <cellStyle name="Normal 4 2 2 3 2 3 5 3 2" xfId="14816" xr:uid="{246F8F5F-EDDB-41DC-B166-976F6DDF6523}"/>
    <cellStyle name="Normal 4 2 2 3 2 3 5 4" xfId="10598" xr:uid="{10A1EE10-D66A-4D90-9919-A59E1414920A}"/>
    <cellStyle name="Normal 4 2 2 3 2 3 6" xfId="2503" xr:uid="{00000000-0005-0000-0000-00002E120000}"/>
    <cellStyle name="Normal 4 2 2 3 2 3 6 2" xfId="6787" xr:uid="{00000000-0005-0000-0000-00002F120000}"/>
    <cellStyle name="Normal 4 2 2 3 2 3 6 2 2" xfId="15229" xr:uid="{5B93170C-827F-4B57-953E-487E7061A3BB}"/>
    <cellStyle name="Normal 4 2 2 3 2 3 6 3" xfId="11011" xr:uid="{8048EB80-2E6E-4891-9E1F-78826D5E849B}"/>
    <cellStyle name="Normal 4 2 2 3 2 3 7" xfId="4722" xr:uid="{00000000-0005-0000-0000-000030120000}"/>
    <cellStyle name="Normal 4 2 2 3 2 3 7 2" xfId="13164" xr:uid="{AC0D0D2B-B214-4332-BB8B-81481E9E20B2}"/>
    <cellStyle name="Normal 4 2 2 3 2 3 8" xfId="8946" xr:uid="{6B504B42-F817-4AAA-8B7A-29D742722554}"/>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15719" xr:uid="{7CD3A50C-6CE3-4C6D-BFFA-A7E2CA9DEB2B}"/>
    <cellStyle name="Normal 4 2 2 3 2 4 2 3" xfId="11501" xr:uid="{932D1E5C-D01A-43D6-8D8D-B5AF0835A0C6}"/>
    <cellStyle name="Normal 4 2 2 3 2 4 3" xfId="5132" xr:uid="{00000000-0005-0000-0000-000034120000}"/>
    <cellStyle name="Normal 4 2 2 3 2 4 3 2" xfId="13574" xr:uid="{FB3EBDF8-7D33-46F0-B588-858BBC769C0B}"/>
    <cellStyle name="Normal 4 2 2 3 2 4 4" xfId="9356" xr:uid="{BB6035D1-AF06-4AF4-8599-910A3B0B3C4E}"/>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2 2" xfId="16132" xr:uid="{27DED89E-B29C-4C91-AC62-05387CB9AD87}"/>
    <cellStyle name="Normal 4 2 2 3 2 5 2 3" xfId="11914" xr:uid="{A96A26DE-6E06-41CE-815A-6C436543D369}"/>
    <cellStyle name="Normal 4 2 2 3 2 5 3" xfId="5545" xr:uid="{00000000-0005-0000-0000-000038120000}"/>
    <cellStyle name="Normal 4 2 2 3 2 5 3 2" xfId="13987" xr:uid="{B52CA1C7-8115-42F2-BF0C-55C4756522DB}"/>
    <cellStyle name="Normal 4 2 2 3 2 5 4" xfId="9769" xr:uid="{19A12F27-F4A9-4A17-92B1-6A7B9000E829}"/>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2 2 2" xfId="16545" xr:uid="{24D6EE2C-099B-495F-86D0-97D6ACA992C0}"/>
    <cellStyle name="Normal 4 2 2 3 2 6 2 3" xfId="12327" xr:uid="{086677DF-4702-46CE-B165-8682DD29426E}"/>
    <cellStyle name="Normal 4 2 2 3 2 6 3" xfId="5958" xr:uid="{00000000-0005-0000-0000-00003C120000}"/>
    <cellStyle name="Normal 4 2 2 3 2 6 3 2" xfId="14400" xr:uid="{0BAD7C91-A10F-44A2-B8A1-30C28A6558D2}"/>
    <cellStyle name="Normal 4 2 2 3 2 6 4" xfId="10182" xr:uid="{9E2C1581-2B62-4292-8FB4-88F3CBB767CB}"/>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2 2 2" xfId="16958" xr:uid="{03190294-18DA-4D73-ABE7-CE0A77A50B40}"/>
    <cellStyle name="Normal 4 2 2 3 2 7 2 3" xfId="12740" xr:uid="{CCB9E840-455A-4628-B9A1-6F1B30CA50CA}"/>
    <cellStyle name="Normal 4 2 2 3 2 7 3" xfId="6371" xr:uid="{00000000-0005-0000-0000-000040120000}"/>
    <cellStyle name="Normal 4 2 2 3 2 7 3 2" xfId="14813" xr:uid="{6B2E7345-DD16-4590-B819-2A1CF44C7867}"/>
    <cellStyle name="Normal 4 2 2 3 2 7 4" xfId="10595" xr:uid="{821E280A-966A-4BEE-AD5F-89587E868400}"/>
    <cellStyle name="Normal 4 2 2 3 2 8" xfId="2500" xr:uid="{00000000-0005-0000-0000-000041120000}"/>
    <cellStyle name="Normal 4 2 2 3 2 8 2" xfId="6784" xr:uid="{00000000-0005-0000-0000-000042120000}"/>
    <cellStyle name="Normal 4 2 2 3 2 8 2 2" xfId="15226" xr:uid="{6064993D-BAA6-4112-9E2D-B55D7D25BBCF}"/>
    <cellStyle name="Normal 4 2 2 3 2 8 3" xfId="11008" xr:uid="{8B90F34F-FBA2-4B8D-ADB6-23C3C4F6D523}"/>
    <cellStyle name="Normal 4 2 2 3 2 9" xfId="4719" xr:uid="{00000000-0005-0000-0000-000043120000}"/>
    <cellStyle name="Normal 4 2 2 3 2 9 2" xfId="13161" xr:uid="{9CEF641A-3248-467F-A3B4-5B9CB6DB3E1F}"/>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15724" xr:uid="{F6A67379-BFDB-4BFD-B54B-E9D8BDC9E0BE}"/>
    <cellStyle name="Normal 4 2 2 3 3 2 2 2 3" xfId="11506" xr:uid="{B2B59F16-0A38-4F3F-87BA-A9E54A95A4C2}"/>
    <cellStyle name="Normal 4 2 2 3 3 2 2 3" xfId="5137" xr:uid="{00000000-0005-0000-0000-000049120000}"/>
    <cellStyle name="Normal 4 2 2 3 3 2 2 3 2" xfId="13579" xr:uid="{42B1738D-4E0B-4D59-A64D-63376BE521B9}"/>
    <cellStyle name="Normal 4 2 2 3 3 2 2 4" xfId="9361" xr:uid="{85FB6BF2-448F-4F93-9421-EDC04E4A9392}"/>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2 2" xfId="16137" xr:uid="{F49A64A7-53D7-4E3E-AF88-AEA3098F6A93}"/>
    <cellStyle name="Normal 4 2 2 3 3 2 3 2 3" xfId="11919" xr:uid="{987D0D4E-7A5A-4DAA-A76A-BAF3BFC3C801}"/>
    <cellStyle name="Normal 4 2 2 3 3 2 3 3" xfId="5550" xr:uid="{00000000-0005-0000-0000-00004D120000}"/>
    <cellStyle name="Normal 4 2 2 3 3 2 3 3 2" xfId="13992" xr:uid="{E2A0DE97-4481-4525-9B1C-C47BAE8FA5B8}"/>
    <cellStyle name="Normal 4 2 2 3 3 2 3 4" xfId="9774" xr:uid="{B2F90FBE-91CD-4DAC-B562-5AF8B9B6CA4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2 2 2" xfId="16550" xr:uid="{65307E0C-EA75-4EAD-9697-4591E3451360}"/>
    <cellStyle name="Normal 4 2 2 3 3 2 4 2 3" xfId="12332" xr:uid="{39D72CCC-D1B8-44FA-8C17-BAEF8431E328}"/>
    <cellStyle name="Normal 4 2 2 3 3 2 4 3" xfId="5963" xr:uid="{00000000-0005-0000-0000-000051120000}"/>
    <cellStyle name="Normal 4 2 2 3 3 2 4 3 2" xfId="14405" xr:uid="{4227F7B0-2B65-4553-BA5F-BA345EB7DAE4}"/>
    <cellStyle name="Normal 4 2 2 3 3 2 4 4" xfId="10187" xr:uid="{3982E44D-0E01-460D-9304-82B0B6975906}"/>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2 2 2" xfId="16963" xr:uid="{305FC0C8-5EB9-41F9-AD3F-3AAF0D521EC4}"/>
    <cellStyle name="Normal 4 2 2 3 3 2 5 2 3" xfId="12745" xr:uid="{D6C5BF1A-0247-47B5-9FB8-DB01ED4D50BD}"/>
    <cellStyle name="Normal 4 2 2 3 3 2 5 3" xfId="6376" xr:uid="{00000000-0005-0000-0000-000055120000}"/>
    <cellStyle name="Normal 4 2 2 3 3 2 5 3 2" xfId="14818" xr:uid="{74E4A21C-607F-4958-A6D0-EA312573EF1A}"/>
    <cellStyle name="Normal 4 2 2 3 3 2 5 4" xfId="10600" xr:uid="{B2D6714A-17FD-409B-8B4C-9AB7D11BDDD0}"/>
    <cellStyle name="Normal 4 2 2 3 3 2 6" xfId="2505" xr:uid="{00000000-0005-0000-0000-000056120000}"/>
    <cellStyle name="Normal 4 2 2 3 3 2 6 2" xfId="6789" xr:uid="{00000000-0005-0000-0000-000057120000}"/>
    <cellStyle name="Normal 4 2 2 3 3 2 6 2 2" xfId="15231" xr:uid="{7C1F001A-8F2B-46FF-A084-D8B206121A67}"/>
    <cellStyle name="Normal 4 2 2 3 3 2 6 3" xfId="11013" xr:uid="{4FD43709-136E-40F4-9D1D-08CFF1924FD8}"/>
    <cellStyle name="Normal 4 2 2 3 3 2 7" xfId="4724" xr:uid="{00000000-0005-0000-0000-000058120000}"/>
    <cellStyle name="Normal 4 2 2 3 3 2 7 2" xfId="13166" xr:uid="{6ACC7379-2443-4FA4-B288-EB3B226C76D7}"/>
    <cellStyle name="Normal 4 2 2 3 3 2 8" xfId="8948" xr:uid="{3FA1B967-C625-4817-8CF2-11320B8BBCC3}"/>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15723" xr:uid="{B26A6CF8-C6F6-44FA-8490-6778FD866AF4}"/>
    <cellStyle name="Normal 4 2 2 3 3 3 2 3" xfId="11505" xr:uid="{E3A87A2C-3699-4726-A2BF-6013DA66474E}"/>
    <cellStyle name="Normal 4 2 2 3 3 3 3" xfId="5136" xr:uid="{00000000-0005-0000-0000-00005C120000}"/>
    <cellStyle name="Normal 4 2 2 3 3 3 3 2" xfId="13578" xr:uid="{D2A9CCB3-58D2-4191-BD67-F33E37456A18}"/>
    <cellStyle name="Normal 4 2 2 3 3 3 4" xfId="9360" xr:uid="{912D6C05-D140-416F-BD8E-19C23A6413C3}"/>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2 2" xfId="16136" xr:uid="{C2DE4C95-5AAE-4AF3-ABB1-5BAB600DA3B1}"/>
    <cellStyle name="Normal 4 2 2 3 3 4 2 3" xfId="11918" xr:uid="{4FCDC9B0-D55F-40E1-8F1F-4652102647D7}"/>
    <cellStyle name="Normal 4 2 2 3 3 4 3" xfId="5549" xr:uid="{00000000-0005-0000-0000-000060120000}"/>
    <cellStyle name="Normal 4 2 2 3 3 4 3 2" xfId="13991" xr:uid="{037CF12C-2D70-489D-BD0C-DBFCBC417022}"/>
    <cellStyle name="Normal 4 2 2 3 3 4 4" xfId="9773" xr:uid="{75D34E9B-B5B3-4067-B5F1-745344A20927}"/>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2 2 2" xfId="16549" xr:uid="{5552F621-BEA0-4712-808B-7D0FB366D668}"/>
    <cellStyle name="Normal 4 2 2 3 3 5 2 3" xfId="12331" xr:uid="{72569F8F-316E-4216-8BC0-C331D8E7BBC1}"/>
    <cellStyle name="Normal 4 2 2 3 3 5 3" xfId="5962" xr:uid="{00000000-0005-0000-0000-000064120000}"/>
    <cellStyle name="Normal 4 2 2 3 3 5 3 2" xfId="14404" xr:uid="{D2E4F539-631E-4D1F-951E-9442BE7CCE7B}"/>
    <cellStyle name="Normal 4 2 2 3 3 5 4" xfId="10186" xr:uid="{12C7A023-771D-4988-87D7-F20BF52E873D}"/>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2 2 2" xfId="16962" xr:uid="{A466E0F3-0821-41D1-B1B3-10048F2D8E64}"/>
    <cellStyle name="Normal 4 2 2 3 3 6 2 3" xfId="12744" xr:uid="{314C17C5-218D-478A-8BDD-B5EA655638D9}"/>
    <cellStyle name="Normal 4 2 2 3 3 6 3" xfId="6375" xr:uid="{00000000-0005-0000-0000-000068120000}"/>
    <cellStyle name="Normal 4 2 2 3 3 6 3 2" xfId="14817" xr:uid="{90B14D4B-F47B-4954-84DF-AFD928D7D2B0}"/>
    <cellStyle name="Normal 4 2 2 3 3 6 4" xfId="10599" xr:uid="{A57476CF-DD27-4BE3-A7F9-2520F87C29A8}"/>
    <cellStyle name="Normal 4 2 2 3 3 7" xfId="2504" xr:uid="{00000000-0005-0000-0000-000069120000}"/>
    <cellStyle name="Normal 4 2 2 3 3 7 2" xfId="6788" xr:uid="{00000000-0005-0000-0000-00006A120000}"/>
    <cellStyle name="Normal 4 2 2 3 3 7 2 2" xfId="15230" xr:uid="{4B11A6B5-6F49-4351-8D43-C4EB6663A078}"/>
    <cellStyle name="Normal 4 2 2 3 3 7 3" xfId="11012" xr:uid="{E193939B-04FD-4E6D-BC47-857D480F0B89}"/>
    <cellStyle name="Normal 4 2 2 3 3 8" xfId="4723" xr:uid="{00000000-0005-0000-0000-00006B120000}"/>
    <cellStyle name="Normal 4 2 2 3 3 8 2" xfId="13165" xr:uid="{C244D728-F79D-4BF6-A877-53111942C7A1}"/>
    <cellStyle name="Normal 4 2 2 3 3 9" xfId="8947" xr:uid="{8D472812-CC00-4130-AFE5-A04060B01D0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15725" xr:uid="{A3778604-3F60-43F8-AB26-754D8CA22306}"/>
    <cellStyle name="Normal 4 2 2 3 4 2 2 3" xfId="11507" xr:uid="{2365F883-5526-4D56-8909-1F89A4C998DD}"/>
    <cellStyle name="Normal 4 2 2 3 4 2 3" xfId="5138" xr:uid="{00000000-0005-0000-0000-000070120000}"/>
    <cellStyle name="Normal 4 2 2 3 4 2 3 2" xfId="13580" xr:uid="{347AB8AA-288D-4292-BF0E-EAB359CE3F85}"/>
    <cellStyle name="Normal 4 2 2 3 4 2 4" xfId="9362" xr:uid="{80CD0B43-13A0-49F2-8473-442167F85BB9}"/>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2 2" xfId="16138" xr:uid="{9AC1B8AE-1DF7-4A48-9FAA-448201B11EC8}"/>
    <cellStyle name="Normal 4 2 2 3 4 3 2 3" xfId="11920" xr:uid="{8E7A1818-F66D-4177-B258-B6F5AAD1B4FE}"/>
    <cellStyle name="Normal 4 2 2 3 4 3 3" xfId="5551" xr:uid="{00000000-0005-0000-0000-000074120000}"/>
    <cellStyle name="Normal 4 2 2 3 4 3 3 2" xfId="13993" xr:uid="{7FFAC92F-F9BA-4578-A945-FC7CF554017F}"/>
    <cellStyle name="Normal 4 2 2 3 4 3 4" xfId="9775" xr:uid="{753CF754-C55E-44A4-858A-7912F173FE68}"/>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2 2 2" xfId="16551" xr:uid="{82AC5A52-3810-4C1B-984B-0BC2E661CF27}"/>
    <cellStyle name="Normal 4 2 2 3 4 4 2 3" xfId="12333" xr:uid="{C4059632-ACD3-4A0E-9E25-617D162E6218}"/>
    <cellStyle name="Normal 4 2 2 3 4 4 3" xfId="5964" xr:uid="{00000000-0005-0000-0000-000078120000}"/>
    <cellStyle name="Normal 4 2 2 3 4 4 3 2" xfId="14406" xr:uid="{3D40F860-66E2-4509-99F8-F10D7EADB6E2}"/>
    <cellStyle name="Normal 4 2 2 3 4 4 4" xfId="10188" xr:uid="{32FDCE24-9207-4C30-BACA-067285852729}"/>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2 2 2" xfId="16964" xr:uid="{7DC03928-970D-4084-B84C-EAE98EDE8EBF}"/>
    <cellStyle name="Normal 4 2 2 3 4 5 2 3" xfId="12746" xr:uid="{49594A24-D80E-4E8F-8202-25B5722BD920}"/>
    <cellStyle name="Normal 4 2 2 3 4 5 3" xfId="6377" xr:uid="{00000000-0005-0000-0000-00007C120000}"/>
    <cellStyle name="Normal 4 2 2 3 4 5 3 2" xfId="14819" xr:uid="{70D3509F-12F0-45F1-8AC0-29B0D5788E53}"/>
    <cellStyle name="Normal 4 2 2 3 4 5 4" xfId="10601" xr:uid="{27E0C8A2-21FF-4309-AAF4-3CDDAF7636C7}"/>
    <cellStyle name="Normal 4 2 2 3 4 6" xfId="2506" xr:uid="{00000000-0005-0000-0000-00007D120000}"/>
    <cellStyle name="Normal 4 2 2 3 4 6 2" xfId="6790" xr:uid="{00000000-0005-0000-0000-00007E120000}"/>
    <cellStyle name="Normal 4 2 2 3 4 6 2 2" xfId="15232" xr:uid="{33FA89BA-1C41-4DC4-9111-FA64B3CE24A7}"/>
    <cellStyle name="Normal 4 2 2 3 4 6 3" xfId="11014" xr:uid="{6A022EA3-19DC-462E-A302-255FC45F4FB6}"/>
    <cellStyle name="Normal 4 2 2 3 4 7" xfId="4725" xr:uid="{00000000-0005-0000-0000-00007F120000}"/>
    <cellStyle name="Normal 4 2 2 3 4 7 2" xfId="13167" xr:uid="{90DF3C30-8D49-47F6-9FC2-7BB19BE2F4E6}"/>
    <cellStyle name="Normal 4 2 2 3 4 8" xfId="8949" xr:uid="{FEE3CEEC-5F47-478D-B2F8-8A94BCE465B3}"/>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15718" xr:uid="{D0203BAD-9CC8-4B1A-9C83-E5FA82CA92AE}"/>
    <cellStyle name="Normal 4 2 2 3 5 2 3" xfId="11500" xr:uid="{E0A67487-7AC5-4F6D-988C-30A4233FC930}"/>
    <cellStyle name="Normal 4 2 2 3 5 3" xfId="5131" xr:uid="{00000000-0005-0000-0000-000083120000}"/>
    <cellStyle name="Normal 4 2 2 3 5 3 2" xfId="13573" xr:uid="{E876D347-514B-44D7-AC01-5BDD43825395}"/>
    <cellStyle name="Normal 4 2 2 3 5 4" xfId="9355" xr:uid="{18A444CF-0869-4B3C-ACAA-27CFB9EB00BF}"/>
    <cellStyle name="Normal 4 2 2 3 6" xfId="1236" xr:uid="{00000000-0005-0000-0000-000084120000}"/>
    <cellStyle name="Normal 4 2 2 3 6 2" xfId="3466" xr:uid="{00000000-0005-0000-0000-000085120000}"/>
    <cellStyle name="Normal 4 2 2 3 6 2 2" xfId="7689" xr:uid="{00000000-0005-0000-0000-000086120000}"/>
    <cellStyle name="Normal 4 2 2 3 6 2 2 2" xfId="16131" xr:uid="{D2D41532-366F-467F-BA50-9C4464D3D9B3}"/>
    <cellStyle name="Normal 4 2 2 3 6 2 3" xfId="11913" xr:uid="{2ECF9CA7-A2BD-49A8-8F86-F10985B21702}"/>
    <cellStyle name="Normal 4 2 2 3 6 3" xfId="5544" xr:uid="{00000000-0005-0000-0000-000087120000}"/>
    <cellStyle name="Normal 4 2 2 3 6 3 2" xfId="13986" xr:uid="{F08EEC5C-52FE-4573-96EF-EC490F692A1A}"/>
    <cellStyle name="Normal 4 2 2 3 6 4" xfId="9768" xr:uid="{B510E1E4-9C4E-49DD-8A7F-426D699AA0AE}"/>
    <cellStyle name="Normal 4 2 2 3 7" xfId="1649" xr:uid="{00000000-0005-0000-0000-000088120000}"/>
    <cellStyle name="Normal 4 2 2 3 7 2" xfId="3879" xr:uid="{00000000-0005-0000-0000-000089120000}"/>
    <cellStyle name="Normal 4 2 2 3 7 2 2" xfId="8102" xr:uid="{00000000-0005-0000-0000-00008A120000}"/>
    <cellStyle name="Normal 4 2 2 3 7 2 2 2" xfId="16544" xr:uid="{A6DC8A8A-C868-4B5F-A66B-BB896237D785}"/>
    <cellStyle name="Normal 4 2 2 3 7 2 3" xfId="12326" xr:uid="{C7E8F8D6-2ED1-4548-A9ED-B728EAC8940A}"/>
    <cellStyle name="Normal 4 2 2 3 7 3" xfId="5957" xr:uid="{00000000-0005-0000-0000-00008B120000}"/>
    <cellStyle name="Normal 4 2 2 3 7 3 2" xfId="14399" xr:uid="{C5C30D47-32D0-40A5-9CD9-9AB252F4B852}"/>
    <cellStyle name="Normal 4 2 2 3 7 4" xfId="10181" xr:uid="{69FA85B3-BBB5-4FD2-A266-DE9D9DE3A4DC}"/>
    <cellStyle name="Normal 4 2 2 3 8" xfId="2063" xr:uid="{00000000-0005-0000-0000-00008C120000}"/>
    <cellStyle name="Normal 4 2 2 3 8 2" xfId="4292" xr:uid="{00000000-0005-0000-0000-00008D120000}"/>
    <cellStyle name="Normal 4 2 2 3 8 2 2" xfId="8515" xr:uid="{00000000-0005-0000-0000-00008E120000}"/>
    <cellStyle name="Normal 4 2 2 3 8 2 2 2" xfId="16957" xr:uid="{94AB60AE-4C3C-4327-A95C-B40EA28A7008}"/>
    <cellStyle name="Normal 4 2 2 3 8 2 3" xfId="12739" xr:uid="{EBF73325-B7C0-4D8E-AABF-2A3E9FE744BE}"/>
    <cellStyle name="Normal 4 2 2 3 8 3" xfId="6370" xr:uid="{00000000-0005-0000-0000-00008F120000}"/>
    <cellStyle name="Normal 4 2 2 3 8 3 2" xfId="14812" xr:uid="{4FC75445-009D-400E-8A45-3D35C668243B}"/>
    <cellStyle name="Normal 4 2 2 3 8 4" xfId="10594" xr:uid="{89D6BE1C-72AF-45FC-AD91-557054F14043}"/>
    <cellStyle name="Normal 4 2 2 3 9" xfId="2499" xr:uid="{00000000-0005-0000-0000-000090120000}"/>
    <cellStyle name="Normal 4 2 2 3 9 2" xfId="6783" xr:uid="{00000000-0005-0000-0000-000091120000}"/>
    <cellStyle name="Normal 4 2 2 3 9 2 2" xfId="15225" xr:uid="{F5292092-B9AB-42DD-B310-9F6C26C6237B}"/>
    <cellStyle name="Normal 4 2 2 3 9 3" xfId="11007" xr:uid="{F8C58DD2-A8C3-4087-99D5-35BF64E92B11}"/>
    <cellStyle name="Normal 4 2 2 4" xfId="347" xr:uid="{00000000-0005-0000-0000-000092120000}"/>
    <cellStyle name="Normal 4 2 2 4 10" xfId="8950" xr:uid="{3005650D-F3BF-4599-95E0-5E2D4EACF99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15728" xr:uid="{4823D533-A407-4CDA-9A2D-364F5A99752C}"/>
    <cellStyle name="Normal 4 2 2 4 2 2 2 2 3" xfId="11510" xr:uid="{BD13F532-C6D1-4619-A3DF-361E470F1D53}"/>
    <cellStyle name="Normal 4 2 2 4 2 2 2 3" xfId="5141" xr:uid="{00000000-0005-0000-0000-000098120000}"/>
    <cellStyle name="Normal 4 2 2 4 2 2 2 3 2" xfId="13583" xr:uid="{ADCD4854-86DC-4FA4-A772-F8B0F68F14C3}"/>
    <cellStyle name="Normal 4 2 2 4 2 2 2 4" xfId="9365" xr:uid="{440484A1-2B4D-4EC0-9DEC-EA04EFC75F4B}"/>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2 2" xfId="16141" xr:uid="{575B9B7B-E7B9-40FE-9B81-2307C1FD4950}"/>
    <cellStyle name="Normal 4 2 2 4 2 2 3 2 3" xfId="11923" xr:uid="{7528A24E-1B48-44E2-B39E-4F4BD98A9A2D}"/>
    <cellStyle name="Normal 4 2 2 4 2 2 3 3" xfId="5554" xr:uid="{00000000-0005-0000-0000-00009C120000}"/>
    <cellStyle name="Normal 4 2 2 4 2 2 3 3 2" xfId="13996" xr:uid="{F9611C85-4BBF-4337-A6F8-6FFBE6CA0EEB}"/>
    <cellStyle name="Normal 4 2 2 4 2 2 3 4" xfId="9778" xr:uid="{8FDC362F-42E0-400A-A21A-421443ADA885}"/>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2 2 2" xfId="16554" xr:uid="{3C339ADE-72F1-4015-88F8-235BC5B771B4}"/>
    <cellStyle name="Normal 4 2 2 4 2 2 4 2 3" xfId="12336" xr:uid="{8F1BB7E0-E371-4E37-A9BE-246F0AE0F65B}"/>
    <cellStyle name="Normal 4 2 2 4 2 2 4 3" xfId="5967" xr:uid="{00000000-0005-0000-0000-0000A0120000}"/>
    <cellStyle name="Normal 4 2 2 4 2 2 4 3 2" xfId="14409" xr:uid="{600E48F2-3B3D-42BC-85DF-4511DB405AB0}"/>
    <cellStyle name="Normal 4 2 2 4 2 2 4 4" xfId="10191" xr:uid="{D76B5FEF-B0F6-4F25-9BA0-147170645514}"/>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2 2 2" xfId="16967" xr:uid="{454B44BC-4DA5-47A0-82CE-BD5E287CDD2C}"/>
    <cellStyle name="Normal 4 2 2 4 2 2 5 2 3" xfId="12749" xr:uid="{8051B763-FAEA-48DD-9520-783E4C4878D8}"/>
    <cellStyle name="Normal 4 2 2 4 2 2 5 3" xfId="6380" xr:uid="{00000000-0005-0000-0000-0000A4120000}"/>
    <cellStyle name="Normal 4 2 2 4 2 2 5 3 2" xfId="14822" xr:uid="{7B534B3E-4D3E-45E7-8641-A7105AC0D877}"/>
    <cellStyle name="Normal 4 2 2 4 2 2 5 4" xfId="10604" xr:uid="{3E5BBB4C-4C4A-4A76-8542-5A9E6D97F5CF}"/>
    <cellStyle name="Normal 4 2 2 4 2 2 6" xfId="2509" xr:uid="{00000000-0005-0000-0000-0000A5120000}"/>
    <cellStyle name="Normal 4 2 2 4 2 2 6 2" xfId="6793" xr:uid="{00000000-0005-0000-0000-0000A6120000}"/>
    <cellStyle name="Normal 4 2 2 4 2 2 6 2 2" xfId="15235" xr:uid="{2423BF59-70DF-4063-AF38-DBB236225B18}"/>
    <cellStyle name="Normal 4 2 2 4 2 2 6 3" xfId="11017" xr:uid="{7FB53E8C-D120-4410-9F64-F33AE835CA35}"/>
    <cellStyle name="Normal 4 2 2 4 2 2 7" xfId="4728" xr:uid="{00000000-0005-0000-0000-0000A7120000}"/>
    <cellStyle name="Normal 4 2 2 4 2 2 7 2" xfId="13170" xr:uid="{29B29CAE-B6D4-458F-A3C4-9973FED7031A}"/>
    <cellStyle name="Normal 4 2 2 4 2 2 8" xfId="8952" xr:uid="{036E4345-43D0-4927-A0C3-4A5FC880DFEE}"/>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15727" xr:uid="{64663BDA-6A9D-41AB-8A78-5955B7B4B32E}"/>
    <cellStyle name="Normal 4 2 2 4 2 3 2 3" xfId="11509" xr:uid="{CB1ABDA9-90AC-45D2-A1EF-D104FA2D8550}"/>
    <cellStyle name="Normal 4 2 2 4 2 3 3" xfId="5140" xr:uid="{00000000-0005-0000-0000-0000AB120000}"/>
    <cellStyle name="Normal 4 2 2 4 2 3 3 2" xfId="13582" xr:uid="{03B2F5C7-715C-448E-B74A-C44D3FA32B8E}"/>
    <cellStyle name="Normal 4 2 2 4 2 3 4" xfId="9364" xr:uid="{C939AF3E-3882-4641-9CBA-F8980E90E301}"/>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2 2" xfId="16140" xr:uid="{285DAB97-EF49-4912-BC7A-B0D111A71575}"/>
    <cellStyle name="Normal 4 2 2 4 2 4 2 3" xfId="11922" xr:uid="{4C80CCA8-46A1-443B-A283-DE6D115D2D1A}"/>
    <cellStyle name="Normal 4 2 2 4 2 4 3" xfId="5553" xr:uid="{00000000-0005-0000-0000-0000AF120000}"/>
    <cellStyle name="Normal 4 2 2 4 2 4 3 2" xfId="13995" xr:uid="{9704CF27-CA16-4B7A-B5B2-DE9F18D6FCA5}"/>
    <cellStyle name="Normal 4 2 2 4 2 4 4" xfId="9777" xr:uid="{B61FC142-9470-424B-B65C-5DC7EFB8D0D3}"/>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2 2 2" xfId="16553" xr:uid="{4FB18888-FAE6-48BE-9377-A3361EA72A46}"/>
    <cellStyle name="Normal 4 2 2 4 2 5 2 3" xfId="12335" xr:uid="{AB239BE2-C79E-439C-9ADC-C931239C9671}"/>
    <cellStyle name="Normal 4 2 2 4 2 5 3" xfId="5966" xr:uid="{00000000-0005-0000-0000-0000B3120000}"/>
    <cellStyle name="Normal 4 2 2 4 2 5 3 2" xfId="14408" xr:uid="{C8E3099E-1E1B-4655-817A-1C9BABE60AD1}"/>
    <cellStyle name="Normal 4 2 2 4 2 5 4" xfId="10190" xr:uid="{F24356DB-3C25-4776-AB80-37501E061A27}"/>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2 2 2" xfId="16966" xr:uid="{C84C84FB-020F-4570-A785-C5291662A487}"/>
    <cellStyle name="Normal 4 2 2 4 2 6 2 3" xfId="12748" xr:uid="{CF0C507B-0047-470B-89B2-D9C6BB6D8D06}"/>
    <cellStyle name="Normal 4 2 2 4 2 6 3" xfId="6379" xr:uid="{00000000-0005-0000-0000-0000B7120000}"/>
    <cellStyle name="Normal 4 2 2 4 2 6 3 2" xfId="14821" xr:uid="{7EF2262B-13A0-4DFC-B2AF-A586B71A488D}"/>
    <cellStyle name="Normal 4 2 2 4 2 6 4" xfId="10603" xr:uid="{8311C47A-BCF8-47BA-9099-CBF8F5862C3F}"/>
    <cellStyle name="Normal 4 2 2 4 2 7" xfId="2508" xr:uid="{00000000-0005-0000-0000-0000B8120000}"/>
    <cellStyle name="Normal 4 2 2 4 2 7 2" xfId="6792" xr:uid="{00000000-0005-0000-0000-0000B9120000}"/>
    <cellStyle name="Normal 4 2 2 4 2 7 2 2" xfId="15234" xr:uid="{BA45CC01-5506-490D-8E1C-C3BF67A3ACD2}"/>
    <cellStyle name="Normal 4 2 2 4 2 7 3" xfId="11016" xr:uid="{BAC5D06D-3CE1-40E0-BA84-FA733ADB4726}"/>
    <cellStyle name="Normal 4 2 2 4 2 8" xfId="4727" xr:uid="{00000000-0005-0000-0000-0000BA120000}"/>
    <cellStyle name="Normal 4 2 2 4 2 8 2" xfId="13169" xr:uid="{F2057A63-EB95-4CC1-AD92-724E5D152A3A}"/>
    <cellStyle name="Normal 4 2 2 4 2 9" xfId="8951" xr:uid="{8EB2E7D1-23B1-4065-97F6-B35777B0D05D}"/>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15729" xr:uid="{65158839-B0E4-42EE-8666-B30CBD04E715}"/>
    <cellStyle name="Normal 4 2 2 4 3 2 2 3" xfId="11511" xr:uid="{FAA8AEE8-31E6-45FC-93BA-4D557CC1608E}"/>
    <cellStyle name="Normal 4 2 2 4 3 2 3" xfId="5142" xr:uid="{00000000-0005-0000-0000-0000BF120000}"/>
    <cellStyle name="Normal 4 2 2 4 3 2 3 2" xfId="13584" xr:uid="{C41A6760-7D02-47EF-B0A3-BC710D634DAB}"/>
    <cellStyle name="Normal 4 2 2 4 3 2 4" xfId="9366" xr:uid="{CEF87C99-14E2-4A21-82EB-A9E0228E0AF8}"/>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2 2" xfId="16142" xr:uid="{0B33333D-116D-4F4F-9F43-353B5D52B9B2}"/>
    <cellStyle name="Normal 4 2 2 4 3 3 2 3" xfId="11924" xr:uid="{2CDB2537-D97F-438F-A9FC-1DA891CFE52A}"/>
    <cellStyle name="Normal 4 2 2 4 3 3 3" xfId="5555" xr:uid="{00000000-0005-0000-0000-0000C3120000}"/>
    <cellStyle name="Normal 4 2 2 4 3 3 3 2" xfId="13997" xr:uid="{AE53A23E-8129-4D9B-82BD-F56FA1CD1183}"/>
    <cellStyle name="Normal 4 2 2 4 3 3 4" xfId="9779" xr:uid="{CB23638B-442A-4251-BE79-96A1227DB80B}"/>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2 2 2" xfId="16555" xr:uid="{AA383D69-2060-4836-8D9F-C2671609BBE3}"/>
    <cellStyle name="Normal 4 2 2 4 3 4 2 3" xfId="12337" xr:uid="{AAF24BB8-4AE8-49CA-9BC6-27B478EDC464}"/>
    <cellStyle name="Normal 4 2 2 4 3 4 3" xfId="5968" xr:uid="{00000000-0005-0000-0000-0000C7120000}"/>
    <cellStyle name="Normal 4 2 2 4 3 4 3 2" xfId="14410" xr:uid="{5059D1B7-6B3D-43DB-915C-3ADAE08C06FE}"/>
    <cellStyle name="Normal 4 2 2 4 3 4 4" xfId="10192" xr:uid="{05102369-E174-4D95-AB42-E51E850120A7}"/>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2 2 2" xfId="16968" xr:uid="{81682005-1BEA-468C-8E9F-39A4BF2F3CE8}"/>
    <cellStyle name="Normal 4 2 2 4 3 5 2 3" xfId="12750" xr:uid="{6A7F64EC-DF96-446A-8F57-BCB323399575}"/>
    <cellStyle name="Normal 4 2 2 4 3 5 3" xfId="6381" xr:uid="{00000000-0005-0000-0000-0000CB120000}"/>
    <cellStyle name="Normal 4 2 2 4 3 5 3 2" xfId="14823" xr:uid="{E105BB59-C02A-449C-AC03-7556D85144AA}"/>
    <cellStyle name="Normal 4 2 2 4 3 5 4" xfId="10605" xr:uid="{FC09C4FC-E53F-409A-AE96-7E371B59D720}"/>
    <cellStyle name="Normal 4 2 2 4 3 6" xfId="2510" xr:uid="{00000000-0005-0000-0000-0000CC120000}"/>
    <cellStyle name="Normal 4 2 2 4 3 6 2" xfId="6794" xr:uid="{00000000-0005-0000-0000-0000CD120000}"/>
    <cellStyle name="Normal 4 2 2 4 3 6 2 2" xfId="15236" xr:uid="{15B101B9-7296-4817-A414-F46ED4FF63B9}"/>
    <cellStyle name="Normal 4 2 2 4 3 6 3" xfId="11018" xr:uid="{5743B007-853F-44F6-ABBB-0718EF8219BA}"/>
    <cellStyle name="Normal 4 2 2 4 3 7" xfId="4729" xr:uid="{00000000-0005-0000-0000-0000CE120000}"/>
    <cellStyle name="Normal 4 2 2 4 3 7 2" xfId="13171" xr:uid="{1449C3CF-ABFE-4513-8794-D3A3A8207DE9}"/>
    <cellStyle name="Normal 4 2 2 4 3 8" xfId="8953" xr:uid="{4D784EF3-133E-4E00-AF81-C0682563ED9F}"/>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15726" xr:uid="{C7F3531E-5043-4F1B-AB4C-11452E2B7C9E}"/>
    <cellStyle name="Normal 4 2 2 4 4 2 3" xfId="11508" xr:uid="{DCD87D09-6678-4028-B935-C03C7BF22026}"/>
    <cellStyle name="Normal 4 2 2 4 4 3" xfId="5139" xr:uid="{00000000-0005-0000-0000-0000D2120000}"/>
    <cellStyle name="Normal 4 2 2 4 4 3 2" xfId="13581" xr:uid="{3D30E0C6-ADDE-4108-9DFC-45A3DA1369D1}"/>
    <cellStyle name="Normal 4 2 2 4 4 4" xfId="9363" xr:uid="{025457D0-01A2-402D-A9EA-4F51601CF778}"/>
    <cellStyle name="Normal 4 2 2 4 5" xfId="1244" xr:uid="{00000000-0005-0000-0000-0000D3120000}"/>
    <cellStyle name="Normal 4 2 2 4 5 2" xfId="3474" xr:uid="{00000000-0005-0000-0000-0000D4120000}"/>
    <cellStyle name="Normal 4 2 2 4 5 2 2" xfId="7697" xr:uid="{00000000-0005-0000-0000-0000D5120000}"/>
    <cellStyle name="Normal 4 2 2 4 5 2 2 2" xfId="16139" xr:uid="{0F6B07AF-384E-4333-9E3A-FBC3AF3939AA}"/>
    <cellStyle name="Normal 4 2 2 4 5 2 3" xfId="11921" xr:uid="{58DB18CB-AE7D-4A71-99BE-011149EB3D61}"/>
    <cellStyle name="Normal 4 2 2 4 5 3" xfId="5552" xr:uid="{00000000-0005-0000-0000-0000D6120000}"/>
    <cellStyle name="Normal 4 2 2 4 5 3 2" xfId="13994" xr:uid="{0CAB1FE2-0560-479F-9462-F60568816809}"/>
    <cellStyle name="Normal 4 2 2 4 5 4" xfId="9776" xr:uid="{E7A338E3-437A-4ED8-AD86-A7C0A407FC93}"/>
    <cellStyle name="Normal 4 2 2 4 6" xfId="1657" xr:uid="{00000000-0005-0000-0000-0000D7120000}"/>
    <cellStyle name="Normal 4 2 2 4 6 2" xfId="3887" xr:uid="{00000000-0005-0000-0000-0000D8120000}"/>
    <cellStyle name="Normal 4 2 2 4 6 2 2" xfId="8110" xr:uid="{00000000-0005-0000-0000-0000D9120000}"/>
    <cellStyle name="Normal 4 2 2 4 6 2 2 2" xfId="16552" xr:uid="{C5935D43-C271-41A8-8667-C82073F9447E}"/>
    <cellStyle name="Normal 4 2 2 4 6 2 3" xfId="12334" xr:uid="{455D9E99-4E88-48CA-B8A4-A24086D0EB18}"/>
    <cellStyle name="Normal 4 2 2 4 6 3" xfId="5965" xr:uid="{00000000-0005-0000-0000-0000DA120000}"/>
    <cellStyle name="Normal 4 2 2 4 6 3 2" xfId="14407" xr:uid="{2997A412-1330-4506-BF8B-F20B0E3CD9D0}"/>
    <cellStyle name="Normal 4 2 2 4 6 4" xfId="10189" xr:uid="{F0149BDC-1360-48D9-A72A-87E161AAC737}"/>
    <cellStyle name="Normal 4 2 2 4 7" xfId="2071" xr:uid="{00000000-0005-0000-0000-0000DB120000}"/>
    <cellStyle name="Normal 4 2 2 4 7 2" xfId="4300" xr:uid="{00000000-0005-0000-0000-0000DC120000}"/>
    <cellStyle name="Normal 4 2 2 4 7 2 2" xfId="8523" xr:uid="{00000000-0005-0000-0000-0000DD120000}"/>
    <cellStyle name="Normal 4 2 2 4 7 2 2 2" xfId="16965" xr:uid="{12084F67-634A-437A-9C42-9D90C98D4664}"/>
    <cellStyle name="Normal 4 2 2 4 7 2 3" xfId="12747" xr:uid="{A0809293-2773-4B03-AE3F-8F9F5A740692}"/>
    <cellStyle name="Normal 4 2 2 4 7 3" xfId="6378" xr:uid="{00000000-0005-0000-0000-0000DE120000}"/>
    <cellStyle name="Normal 4 2 2 4 7 3 2" xfId="14820" xr:uid="{B1820832-C4EE-4932-98C8-5AC57FD70BE7}"/>
    <cellStyle name="Normal 4 2 2 4 7 4" xfId="10602" xr:uid="{4D39EF72-F548-4B33-8FA0-260349791057}"/>
    <cellStyle name="Normal 4 2 2 4 8" xfId="2507" xr:uid="{00000000-0005-0000-0000-0000DF120000}"/>
    <cellStyle name="Normal 4 2 2 4 8 2" xfId="6791" xr:uid="{00000000-0005-0000-0000-0000E0120000}"/>
    <cellStyle name="Normal 4 2 2 4 8 2 2" xfId="15233" xr:uid="{94496766-DB80-40F5-B712-5E77F1113F5F}"/>
    <cellStyle name="Normal 4 2 2 4 8 3" xfId="11015" xr:uid="{F3015681-6991-4A37-8CF3-6E833ADEB48A}"/>
    <cellStyle name="Normal 4 2 2 4 9" xfId="4726" xr:uid="{00000000-0005-0000-0000-0000E1120000}"/>
    <cellStyle name="Normal 4 2 2 4 9 2" xfId="13168" xr:uid="{29CDC367-8622-4EBD-8BF9-E4B8BC5D037B}"/>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15731" xr:uid="{9E89AD5A-9E49-46C1-ABEA-36F61AB7A2D0}"/>
    <cellStyle name="Normal 4 2 2 5 2 2 2 3" xfId="11513" xr:uid="{B7FC5BFC-B070-446C-95FF-9CC72855ED28}"/>
    <cellStyle name="Normal 4 2 2 5 2 2 3" xfId="5144" xr:uid="{00000000-0005-0000-0000-0000E7120000}"/>
    <cellStyle name="Normal 4 2 2 5 2 2 3 2" xfId="13586" xr:uid="{2504A818-E80B-4F9D-AE86-A1254D475CAB}"/>
    <cellStyle name="Normal 4 2 2 5 2 2 4" xfId="9368" xr:uid="{6A543F39-0C48-423B-8C3A-D24EAB05F32B}"/>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2 2" xfId="16144" xr:uid="{488F690B-4BE0-4CC4-A08B-E99CE57FCE78}"/>
    <cellStyle name="Normal 4 2 2 5 2 3 2 3" xfId="11926" xr:uid="{E3A28ADD-9EE9-434E-AB59-2A050D4AABB5}"/>
    <cellStyle name="Normal 4 2 2 5 2 3 3" xfId="5557" xr:uid="{00000000-0005-0000-0000-0000EB120000}"/>
    <cellStyle name="Normal 4 2 2 5 2 3 3 2" xfId="13999" xr:uid="{E3BF2F33-37ED-4EA8-BD6B-0764EB938129}"/>
    <cellStyle name="Normal 4 2 2 5 2 3 4" xfId="9781" xr:uid="{4964508D-0845-4CB0-BA13-6F288B925692}"/>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2 2 2" xfId="16557" xr:uid="{DBD29ED0-005F-47B1-B09D-2F17E0E58B5B}"/>
    <cellStyle name="Normal 4 2 2 5 2 4 2 3" xfId="12339" xr:uid="{BAFBB7D7-B5CC-4526-8CD0-B2F4D8D1586C}"/>
    <cellStyle name="Normal 4 2 2 5 2 4 3" xfId="5970" xr:uid="{00000000-0005-0000-0000-0000EF120000}"/>
    <cellStyle name="Normal 4 2 2 5 2 4 3 2" xfId="14412" xr:uid="{2F53A023-DA1A-4514-8323-A5AE5A3ABF48}"/>
    <cellStyle name="Normal 4 2 2 5 2 4 4" xfId="10194" xr:uid="{C3C56A35-24B1-41BE-9E80-4DD4079F2105}"/>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2 2 2" xfId="16970" xr:uid="{B7A573C6-4A5C-4D1D-945B-DFCA91BE2C6E}"/>
    <cellStyle name="Normal 4 2 2 5 2 5 2 3" xfId="12752" xr:uid="{3DE7212D-EDD3-41AB-88FD-14D9B39C72D2}"/>
    <cellStyle name="Normal 4 2 2 5 2 5 3" xfId="6383" xr:uid="{00000000-0005-0000-0000-0000F3120000}"/>
    <cellStyle name="Normal 4 2 2 5 2 5 3 2" xfId="14825" xr:uid="{0A1CAF86-D0E1-455C-93DA-E66C1BA40398}"/>
    <cellStyle name="Normal 4 2 2 5 2 5 4" xfId="10607" xr:uid="{D18AE5B0-C83E-44C5-99B6-20CFFED4D619}"/>
    <cellStyle name="Normal 4 2 2 5 2 6" xfId="2512" xr:uid="{00000000-0005-0000-0000-0000F4120000}"/>
    <cellStyle name="Normal 4 2 2 5 2 6 2" xfId="6796" xr:uid="{00000000-0005-0000-0000-0000F5120000}"/>
    <cellStyle name="Normal 4 2 2 5 2 6 2 2" xfId="15238" xr:uid="{A113108F-D804-4C67-8697-A79026B881DD}"/>
    <cellStyle name="Normal 4 2 2 5 2 6 3" xfId="11020" xr:uid="{C9DF6245-666F-4FFE-9F32-B7811DD336F6}"/>
    <cellStyle name="Normal 4 2 2 5 2 7" xfId="4731" xr:uid="{00000000-0005-0000-0000-0000F6120000}"/>
    <cellStyle name="Normal 4 2 2 5 2 7 2" xfId="13173" xr:uid="{BB79612F-4A6B-4A8E-B0B8-E91EDCF99F7F}"/>
    <cellStyle name="Normal 4 2 2 5 2 8" xfId="8955" xr:uid="{31FEDCC4-C3A2-4CE1-8DE3-7E14C0BF166E}"/>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15730" xr:uid="{ECA33FE6-5F6A-41FD-B780-64911DF3356F}"/>
    <cellStyle name="Normal 4 2 2 5 3 2 3" xfId="11512" xr:uid="{F19CBF04-C8C4-4E39-ADFF-DB5F714093AC}"/>
    <cellStyle name="Normal 4 2 2 5 3 3" xfId="5143" xr:uid="{00000000-0005-0000-0000-0000FA120000}"/>
    <cellStyle name="Normal 4 2 2 5 3 3 2" xfId="13585" xr:uid="{4680BD50-D91F-4400-8876-72F33ED4B285}"/>
    <cellStyle name="Normal 4 2 2 5 3 4" xfId="9367" xr:uid="{13C9A378-AE9D-44FB-9D5B-FFB22CA52D0C}"/>
    <cellStyle name="Normal 4 2 2 5 4" xfId="1248" xr:uid="{00000000-0005-0000-0000-0000FB120000}"/>
    <cellStyle name="Normal 4 2 2 5 4 2" xfId="3478" xr:uid="{00000000-0005-0000-0000-0000FC120000}"/>
    <cellStyle name="Normal 4 2 2 5 4 2 2" xfId="7701" xr:uid="{00000000-0005-0000-0000-0000FD120000}"/>
    <cellStyle name="Normal 4 2 2 5 4 2 2 2" xfId="16143" xr:uid="{EB312D9E-17D4-4FFC-99D2-CD3DE7C52212}"/>
    <cellStyle name="Normal 4 2 2 5 4 2 3" xfId="11925" xr:uid="{5995C730-749D-4D7B-B055-D756B5F4580F}"/>
    <cellStyle name="Normal 4 2 2 5 4 3" xfId="5556" xr:uid="{00000000-0005-0000-0000-0000FE120000}"/>
    <cellStyle name="Normal 4 2 2 5 4 3 2" xfId="13998" xr:uid="{959E01F7-D4DF-4FD2-92AF-5D70271633B7}"/>
    <cellStyle name="Normal 4 2 2 5 4 4" xfId="9780" xr:uid="{C7420185-F099-4CAF-99C3-C0A09C82BF59}"/>
    <cellStyle name="Normal 4 2 2 5 5" xfId="1661" xr:uid="{00000000-0005-0000-0000-0000FF120000}"/>
    <cellStyle name="Normal 4 2 2 5 5 2" xfId="3891" xr:uid="{00000000-0005-0000-0000-000000130000}"/>
    <cellStyle name="Normal 4 2 2 5 5 2 2" xfId="8114" xr:uid="{00000000-0005-0000-0000-000001130000}"/>
    <cellStyle name="Normal 4 2 2 5 5 2 2 2" xfId="16556" xr:uid="{160A7FD8-DE8A-4434-9E30-3432D9427262}"/>
    <cellStyle name="Normal 4 2 2 5 5 2 3" xfId="12338" xr:uid="{1F4A6EA1-C3AA-4159-93BE-11829CAEE79F}"/>
    <cellStyle name="Normal 4 2 2 5 5 3" xfId="5969" xr:uid="{00000000-0005-0000-0000-000002130000}"/>
    <cellStyle name="Normal 4 2 2 5 5 3 2" xfId="14411" xr:uid="{AB860264-5F0D-4567-B998-E58C313B7695}"/>
    <cellStyle name="Normal 4 2 2 5 5 4" xfId="10193" xr:uid="{3F77FD13-C9B3-406F-A08B-27E9FF6D0604}"/>
    <cellStyle name="Normal 4 2 2 5 6" xfId="2075" xr:uid="{00000000-0005-0000-0000-000003130000}"/>
    <cellStyle name="Normal 4 2 2 5 6 2" xfId="4304" xr:uid="{00000000-0005-0000-0000-000004130000}"/>
    <cellStyle name="Normal 4 2 2 5 6 2 2" xfId="8527" xr:uid="{00000000-0005-0000-0000-000005130000}"/>
    <cellStyle name="Normal 4 2 2 5 6 2 2 2" xfId="16969" xr:uid="{686FCDF1-D2DD-499C-8003-4995C5DD867E}"/>
    <cellStyle name="Normal 4 2 2 5 6 2 3" xfId="12751" xr:uid="{F75D93D6-AF17-4BFE-A9C2-DDC913170D69}"/>
    <cellStyle name="Normal 4 2 2 5 6 3" xfId="6382" xr:uid="{00000000-0005-0000-0000-000006130000}"/>
    <cellStyle name="Normal 4 2 2 5 6 3 2" xfId="14824" xr:uid="{A7430581-E2F1-41B0-B21D-9D594E8D026B}"/>
    <cellStyle name="Normal 4 2 2 5 6 4" xfId="10606" xr:uid="{5B27C90E-A8B1-4AFC-9566-0EDD286A6486}"/>
    <cellStyle name="Normal 4 2 2 5 7" xfId="2511" xr:uid="{00000000-0005-0000-0000-000007130000}"/>
    <cellStyle name="Normal 4 2 2 5 7 2" xfId="6795" xr:uid="{00000000-0005-0000-0000-000008130000}"/>
    <cellStyle name="Normal 4 2 2 5 7 2 2" xfId="15237" xr:uid="{4744C897-23F7-4C05-9B7B-DD223CAB3BDA}"/>
    <cellStyle name="Normal 4 2 2 5 7 3" xfId="11019" xr:uid="{ECFDAEF3-90F6-48C2-9B8C-A41BFE42E0E1}"/>
    <cellStyle name="Normal 4 2 2 5 8" xfId="4730" xr:uid="{00000000-0005-0000-0000-000009130000}"/>
    <cellStyle name="Normal 4 2 2 5 8 2" xfId="13172" xr:uid="{2D61AA7D-1EB4-43D7-A33E-170B72E2A758}"/>
    <cellStyle name="Normal 4 2 2 5 9" xfId="8954" xr:uid="{029E0613-7950-43F2-AD27-072856AF89D6}"/>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15732" xr:uid="{78838621-E378-44F5-9B3C-60977F9A61BD}"/>
    <cellStyle name="Normal 4 2 2 6 2 2 3" xfId="11514" xr:uid="{F7399EE7-7BA0-4A71-8F6B-5E2D8EFA0F52}"/>
    <cellStyle name="Normal 4 2 2 6 2 3" xfId="5145" xr:uid="{00000000-0005-0000-0000-00000E130000}"/>
    <cellStyle name="Normal 4 2 2 6 2 3 2" xfId="13587" xr:uid="{65A5F010-3157-49F5-B125-2029797CD054}"/>
    <cellStyle name="Normal 4 2 2 6 2 4" xfId="9369" xr:uid="{FD055013-1526-414F-8E6C-5721D94F383F}"/>
    <cellStyle name="Normal 4 2 2 6 3" xfId="1250" xr:uid="{00000000-0005-0000-0000-00000F130000}"/>
    <cellStyle name="Normal 4 2 2 6 3 2" xfId="3480" xr:uid="{00000000-0005-0000-0000-000010130000}"/>
    <cellStyle name="Normal 4 2 2 6 3 2 2" xfId="7703" xr:uid="{00000000-0005-0000-0000-000011130000}"/>
    <cellStyle name="Normal 4 2 2 6 3 2 2 2" xfId="16145" xr:uid="{A5D22148-AA00-4B22-9121-8B4163E7B92B}"/>
    <cellStyle name="Normal 4 2 2 6 3 2 3" xfId="11927" xr:uid="{EBFECCEB-B9BB-4CC2-8F4D-E2FBC45C79BF}"/>
    <cellStyle name="Normal 4 2 2 6 3 3" xfId="5558" xr:uid="{00000000-0005-0000-0000-000012130000}"/>
    <cellStyle name="Normal 4 2 2 6 3 3 2" xfId="14000" xr:uid="{157DC811-916B-403F-9A4C-B9D2FAC6ADDA}"/>
    <cellStyle name="Normal 4 2 2 6 3 4" xfId="9782" xr:uid="{E1C18BE9-1CAE-4247-B6DB-AAA18D7DCF5F}"/>
    <cellStyle name="Normal 4 2 2 6 4" xfId="1663" xr:uid="{00000000-0005-0000-0000-000013130000}"/>
    <cellStyle name="Normal 4 2 2 6 4 2" xfId="3893" xr:uid="{00000000-0005-0000-0000-000014130000}"/>
    <cellStyle name="Normal 4 2 2 6 4 2 2" xfId="8116" xr:uid="{00000000-0005-0000-0000-000015130000}"/>
    <cellStyle name="Normal 4 2 2 6 4 2 2 2" xfId="16558" xr:uid="{B17523EE-EBBC-4D65-B783-35EAB5ABB24C}"/>
    <cellStyle name="Normal 4 2 2 6 4 2 3" xfId="12340" xr:uid="{3A2BA5BE-5561-4403-89AA-085C2A4417CF}"/>
    <cellStyle name="Normal 4 2 2 6 4 3" xfId="5971" xr:uid="{00000000-0005-0000-0000-000016130000}"/>
    <cellStyle name="Normal 4 2 2 6 4 3 2" xfId="14413" xr:uid="{7D445AE0-A9CC-4468-B6C4-3B0F1C728489}"/>
    <cellStyle name="Normal 4 2 2 6 4 4" xfId="10195" xr:uid="{CDC82EE3-48EB-4F38-AE26-63187A239211}"/>
    <cellStyle name="Normal 4 2 2 6 5" xfId="2077" xr:uid="{00000000-0005-0000-0000-000017130000}"/>
    <cellStyle name="Normal 4 2 2 6 5 2" xfId="4306" xr:uid="{00000000-0005-0000-0000-000018130000}"/>
    <cellStyle name="Normal 4 2 2 6 5 2 2" xfId="8529" xr:uid="{00000000-0005-0000-0000-000019130000}"/>
    <cellStyle name="Normal 4 2 2 6 5 2 2 2" xfId="16971" xr:uid="{9671280F-C03D-451C-9485-20DDAC625059}"/>
    <cellStyle name="Normal 4 2 2 6 5 2 3" xfId="12753" xr:uid="{3BDEC55A-6FB7-43A9-912C-A7FC046E78F5}"/>
    <cellStyle name="Normal 4 2 2 6 5 3" xfId="6384" xr:uid="{00000000-0005-0000-0000-00001A130000}"/>
    <cellStyle name="Normal 4 2 2 6 5 3 2" xfId="14826" xr:uid="{574BCFA9-2AF0-4C51-97D5-FC2DADEA9ED8}"/>
    <cellStyle name="Normal 4 2 2 6 5 4" xfId="10608" xr:uid="{9BF344CE-C365-4E66-B9ED-64B98EB9B4DF}"/>
    <cellStyle name="Normal 4 2 2 6 6" xfId="2513" xr:uid="{00000000-0005-0000-0000-00001B130000}"/>
    <cellStyle name="Normal 4 2 2 6 6 2" xfId="6797" xr:uid="{00000000-0005-0000-0000-00001C130000}"/>
    <cellStyle name="Normal 4 2 2 6 6 2 2" xfId="15239" xr:uid="{334D28D8-5BC4-43B4-8F1C-DE052972CC05}"/>
    <cellStyle name="Normal 4 2 2 6 6 3" xfId="11021" xr:uid="{D03913B2-1B53-4A68-9941-B99AF962E3D6}"/>
    <cellStyle name="Normal 4 2 2 6 7" xfId="4732" xr:uid="{00000000-0005-0000-0000-00001D130000}"/>
    <cellStyle name="Normal 4 2 2 6 7 2" xfId="13174" xr:uid="{80BCFD1B-73AB-4DF9-893A-41A3F4BED5A2}"/>
    <cellStyle name="Normal 4 2 2 6 8" xfId="8956" xr:uid="{BC91E786-1526-4E06-8D15-A793FEA286B6}"/>
    <cellStyle name="Normal 4 2 2 7" xfId="815" xr:uid="{00000000-0005-0000-0000-00001E130000}"/>
    <cellStyle name="Normal 4 2 2 7 2" xfId="3052" xr:uid="{00000000-0005-0000-0000-00001F130000}"/>
    <cellStyle name="Normal 4 2 2 7 2 2" xfId="7275" xr:uid="{00000000-0005-0000-0000-000020130000}"/>
    <cellStyle name="Normal 4 2 2 7 2 2 2" xfId="15717" xr:uid="{EAC1D66F-E2C4-4DA9-B758-6381D8A9D2A0}"/>
    <cellStyle name="Normal 4 2 2 7 2 3" xfId="11499" xr:uid="{182B16A9-4C65-429C-BCEC-31495CDE028A}"/>
    <cellStyle name="Normal 4 2 2 7 3" xfId="5130" xr:uid="{00000000-0005-0000-0000-000021130000}"/>
    <cellStyle name="Normal 4 2 2 7 3 2" xfId="13572" xr:uid="{E2AE9712-277B-4C1C-85A0-593CF745F882}"/>
    <cellStyle name="Normal 4 2 2 7 4" xfId="9354" xr:uid="{59ADEDFC-8886-4C08-928D-3EE6162D171F}"/>
    <cellStyle name="Normal 4 2 2 8" xfId="1235" xr:uid="{00000000-0005-0000-0000-000022130000}"/>
    <cellStyle name="Normal 4 2 2 8 2" xfId="3465" xr:uid="{00000000-0005-0000-0000-000023130000}"/>
    <cellStyle name="Normal 4 2 2 8 2 2" xfId="7688" xr:uid="{00000000-0005-0000-0000-000024130000}"/>
    <cellStyle name="Normal 4 2 2 8 2 2 2" xfId="16130" xr:uid="{844A4CE4-C363-4201-AC48-AC2D55661939}"/>
    <cellStyle name="Normal 4 2 2 8 2 3" xfId="11912" xr:uid="{FF0C9BA1-EDCD-4585-8E75-F0DF947EF80F}"/>
    <cellStyle name="Normal 4 2 2 8 3" xfId="5543" xr:uid="{00000000-0005-0000-0000-000025130000}"/>
    <cellStyle name="Normal 4 2 2 8 3 2" xfId="13985" xr:uid="{AA672560-58C7-45B9-A13D-8FCE7A733775}"/>
    <cellStyle name="Normal 4 2 2 8 4" xfId="9767" xr:uid="{85EE9EF4-ED88-448C-8F84-6F4CF5852404}"/>
    <cellStyle name="Normal 4 2 2 9" xfId="1648" xr:uid="{00000000-0005-0000-0000-000026130000}"/>
    <cellStyle name="Normal 4 2 2 9 2" xfId="3878" xr:uid="{00000000-0005-0000-0000-000027130000}"/>
    <cellStyle name="Normal 4 2 2 9 2 2" xfId="8101" xr:uid="{00000000-0005-0000-0000-000028130000}"/>
    <cellStyle name="Normal 4 2 2 9 2 2 2" xfId="16543" xr:uid="{2D8EFE3C-47B8-4BFA-BF7B-C4E10577F050}"/>
    <cellStyle name="Normal 4 2 2 9 2 3" xfId="12325" xr:uid="{3B0CA416-7BAC-4CE9-9913-559CBC91A700}"/>
    <cellStyle name="Normal 4 2 2 9 3" xfId="5956" xr:uid="{00000000-0005-0000-0000-000029130000}"/>
    <cellStyle name="Normal 4 2 2 9 3 2" xfId="14398" xr:uid="{01E209D4-C6E5-482E-9CEA-AD3DC7D6DBA5}"/>
    <cellStyle name="Normal 4 2 2 9 4" xfId="10180" xr:uid="{64CCC83C-13E7-4107-A34B-22A61A53E334}"/>
    <cellStyle name="Normal 4 2 3" xfId="354" xr:uid="{00000000-0005-0000-0000-00002A130000}"/>
    <cellStyle name="Normal 4 2 4" xfId="355" xr:uid="{00000000-0005-0000-0000-00002B130000}"/>
    <cellStyle name="Normal 4 2 4 10" xfId="4733" xr:uid="{00000000-0005-0000-0000-00002C130000}"/>
    <cellStyle name="Normal 4 2 4 10 2" xfId="13175" xr:uid="{1702EBFE-A46F-4878-800E-BF1168DD0162}"/>
    <cellStyle name="Normal 4 2 4 11" xfId="8957" xr:uid="{D709318E-1160-4915-BBE2-1263BAD8058C}"/>
    <cellStyle name="Normal 4 2 4 2" xfId="356" xr:uid="{00000000-0005-0000-0000-00002D130000}"/>
    <cellStyle name="Normal 4 2 4 2 10" xfId="8958" xr:uid="{6BFDB6D4-8B88-4C73-A7AC-E8223D77DA3D}"/>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15736" xr:uid="{CC080C68-DF84-458D-A457-C51372719F58}"/>
    <cellStyle name="Normal 4 2 4 2 2 2 2 2 3" xfId="11518" xr:uid="{4A41676B-3870-4BC5-8052-8E5B051605B7}"/>
    <cellStyle name="Normal 4 2 4 2 2 2 2 3" xfId="5149" xr:uid="{00000000-0005-0000-0000-000033130000}"/>
    <cellStyle name="Normal 4 2 4 2 2 2 2 3 2" xfId="13591" xr:uid="{4174C9C7-F740-49D6-B307-CBFC3946B7E9}"/>
    <cellStyle name="Normal 4 2 4 2 2 2 2 4" xfId="9373" xr:uid="{7AC1E8D7-3E5E-40F9-82E4-FD0CC4A47C5C}"/>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2 2" xfId="16149" xr:uid="{E32823E0-CB7C-4313-921E-775765B32E6F}"/>
    <cellStyle name="Normal 4 2 4 2 2 2 3 2 3" xfId="11931" xr:uid="{0768A422-401B-4A39-86D8-ECB2705A005B}"/>
    <cellStyle name="Normal 4 2 4 2 2 2 3 3" xfId="5562" xr:uid="{00000000-0005-0000-0000-000037130000}"/>
    <cellStyle name="Normal 4 2 4 2 2 2 3 3 2" xfId="14004" xr:uid="{E30948DD-F96C-4A16-8A82-2872695ED595}"/>
    <cellStyle name="Normal 4 2 4 2 2 2 3 4" xfId="9786" xr:uid="{C1FBC96F-4617-493F-BDC8-1CB36C702D1E}"/>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2 2 2" xfId="16562" xr:uid="{7535A632-3F66-49D3-9DB2-1B1A1ECAB029}"/>
    <cellStyle name="Normal 4 2 4 2 2 2 4 2 3" xfId="12344" xr:uid="{EE613F8E-8E44-4722-A6FB-4D146A46CE46}"/>
    <cellStyle name="Normal 4 2 4 2 2 2 4 3" xfId="5975" xr:uid="{00000000-0005-0000-0000-00003B130000}"/>
    <cellStyle name="Normal 4 2 4 2 2 2 4 3 2" xfId="14417" xr:uid="{5F478633-9540-4037-B19B-D861CC4F2BBD}"/>
    <cellStyle name="Normal 4 2 4 2 2 2 4 4" xfId="10199" xr:uid="{8452E874-0489-4483-83AA-28D695C22102}"/>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2 2 2" xfId="16975" xr:uid="{9DF8DAFB-D1F1-4A3A-AF34-76B7EA5843D6}"/>
    <cellStyle name="Normal 4 2 4 2 2 2 5 2 3" xfId="12757" xr:uid="{CD587DA4-1541-49F1-B30F-7A01BFAB5042}"/>
    <cellStyle name="Normal 4 2 4 2 2 2 5 3" xfId="6388" xr:uid="{00000000-0005-0000-0000-00003F130000}"/>
    <cellStyle name="Normal 4 2 4 2 2 2 5 3 2" xfId="14830" xr:uid="{89745B80-B5C0-4682-B583-F9B6C72B0544}"/>
    <cellStyle name="Normal 4 2 4 2 2 2 5 4" xfId="10612" xr:uid="{5C1B39EB-433C-4274-824D-CF1368914243}"/>
    <cellStyle name="Normal 4 2 4 2 2 2 6" xfId="2517" xr:uid="{00000000-0005-0000-0000-000040130000}"/>
    <cellStyle name="Normal 4 2 4 2 2 2 6 2" xfId="6801" xr:uid="{00000000-0005-0000-0000-000041130000}"/>
    <cellStyle name="Normal 4 2 4 2 2 2 6 2 2" xfId="15243" xr:uid="{85F6271C-FF53-4F8B-8AF0-FA940D6D48C8}"/>
    <cellStyle name="Normal 4 2 4 2 2 2 6 3" xfId="11025" xr:uid="{344A9123-E41E-427D-BF77-52BAC6A477B8}"/>
    <cellStyle name="Normal 4 2 4 2 2 2 7" xfId="4736" xr:uid="{00000000-0005-0000-0000-000042130000}"/>
    <cellStyle name="Normal 4 2 4 2 2 2 7 2" xfId="13178" xr:uid="{DC5E344C-CE11-4466-A3BF-25D3C5B18C9C}"/>
    <cellStyle name="Normal 4 2 4 2 2 2 8" xfId="8960" xr:uid="{2DFD8F21-C1E1-4093-9893-25BC78E049BB}"/>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15735" xr:uid="{4A370666-CC3F-4909-9099-067620310711}"/>
    <cellStyle name="Normal 4 2 4 2 2 3 2 3" xfId="11517" xr:uid="{A0C37644-8C64-4ACB-828E-365D498A607D}"/>
    <cellStyle name="Normal 4 2 4 2 2 3 3" xfId="5148" xr:uid="{00000000-0005-0000-0000-000046130000}"/>
    <cellStyle name="Normal 4 2 4 2 2 3 3 2" xfId="13590" xr:uid="{5C80E758-2404-4EAA-B7D6-677F82C3781D}"/>
    <cellStyle name="Normal 4 2 4 2 2 3 4" xfId="9372" xr:uid="{0473761A-BC77-477C-80C3-2D98481BCC9B}"/>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2 2" xfId="16148" xr:uid="{43FFB378-E630-47A1-9381-12F01FB9FF6A}"/>
    <cellStyle name="Normal 4 2 4 2 2 4 2 3" xfId="11930" xr:uid="{CD09D2D7-AFB6-4A59-B8AC-D2EB955D54A9}"/>
    <cellStyle name="Normal 4 2 4 2 2 4 3" xfId="5561" xr:uid="{00000000-0005-0000-0000-00004A130000}"/>
    <cellStyle name="Normal 4 2 4 2 2 4 3 2" xfId="14003" xr:uid="{706B6B21-23B5-4040-8C6B-34D0252CD1C7}"/>
    <cellStyle name="Normal 4 2 4 2 2 4 4" xfId="9785" xr:uid="{E4D02045-5CD9-4D8D-B064-3D956D41B9BA}"/>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2 2 2" xfId="16561" xr:uid="{B06FF08B-5474-4CB5-AAF7-EA6DCDE5D1D6}"/>
    <cellStyle name="Normal 4 2 4 2 2 5 2 3" xfId="12343" xr:uid="{4F29F7B5-3DF1-4CDD-9170-C999F69A3306}"/>
    <cellStyle name="Normal 4 2 4 2 2 5 3" xfId="5974" xr:uid="{00000000-0005-0000-0000-00004E130000}"/>
    <cellStyle name="Normal 4 2 4 2 2 5 3 2" xfId="14416" xr:uid="{DBBE3996-8CD8-491B-A529-8992DA17C06F}"/>
    <cellStyle name="Normal 4 2 4 2 2 5 4" xfId="10198" xr:uid="{51BA97A0-33B8-47F1-9084-516FDBFC4472}"/>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2 2 2" xfId="16974" xr:uid="{D991CC73-DF0A-4739-A1D8-826AD3E536CF}"/>
    <cellStyle name="Normal 4 2 4 2 2 6 2 3" xfId="12756" xr:uid="{9403887E-B88F-425E-B25D-3D3CC9C02BED}"/>
    <cellStyle name="Normal 4 2 4 2 2 6 3" xfId="6387" xr:uid="{00000000-0005-0000-0000-000052130000}"/>
    <cellStyle name="Normal 4 2 4 2 2 6 3 2" xfId="14829" xr:uid="{CFBDD16E-751C-483A-A533-F01617C87D7C}"/>
    <cellStyle name="Normal 4 2 4 2 2 6 4" xfId="10611" xr:uid="{64D5720C-12CE-4B80-88AA-9057859348A2}"/>
    <cellStyle name="Normal 4 2 4 2 2 7" xfId="2516" xr:uid="{00000000-0005-0000-0000-000053130000}"/>
    <cellStyle name="Normal 4 2 4 2 2 7 2" xfId="6800" xr:uid="{00000000-0005-0000-0000-000054130000}"/>
    <cellStyle name="Normal 4 2 4 2 2 7 2 2" xfId="15242" xr:uid="{FAC963BF-D3F6-41AE-A7D7-7B3F0DE2C267}"/>
    <cellStyle name="Normal 4 2 4 2 2 7 3" xfId="11024" xr:uid="{6D7692F3-276F-445B-AD32-5B6045E5EACD}"/>
    <cellStyle name="Normal 4 2 4 2 2 8" xfId="4735" xr:uid="{00000000-0005-0000-0000-000055130000}"/>
    <cellStyle name="Normal 4 2 4 2 2 8 2" xfId="13177" xr:uid="{71A432BF-4270-4533-83AB-E772703653A5}"/>
    <cellStyle name="Normal 4 2 4 2 2 9" xfId="8959" xr:uid="{58111CFD-EB0C-4BDE-94D6-A2708F0CAFF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15737" xr:uid="{ABC23E2B-EC54-41E2-B8C2-9051FE80B534}"/>
    <cellStyle name="Normal 4 2 4 2 3 2 2 3" xfId="11519" xr:uid="{FB22D286-EBDB-4923-86D5-75A15629D826}"/>
    <cellStyle name="Normal 4 2 4 2 3 2 3" xfId="5150" xr:uid="{00000000-0005-0000-0000-00005A130000}"/>
    <cellStyle name="Normal 4 2 4 2 3 2 3 2" xfId="13592" xr:uid="{A09427CC-4FC1-4CEC-8E50-3BC9599F3FB2}"/>
    <cellStyle name="Normal 4 2 4 2 3 2 4" xfId="9374" xr:uid="{3BB66377-42F9-49AA-8F21-B8FB0BF35FB3}"/>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2 2" xfId="16150" xr:uid="{EB4AC59C-0D11-4687-BBF7-9B39D43F4183}"/>
    <cellStyle name="Normal 4 2 4 2 3 3 2 3" xfId="11932" xr:uid="{53EE1AA0-9D8F-48C7-9ACB-DF4C1E66D8C0}"/>
    <cellStyle name="Normal 4 2 4 2 3 3 3" xfId="5563" xr:uid="{00000000-0005-0000-0000-00005E130000}"/>
    <cellStyle name="Normal 4 2 4 2 3 3 3 2" xfId="14005" xr:uid="{EA059DF7-0EF4-4E44-ABC7-7CE957EC9D9F}"/>
    <cellStyle name="Normal 4 2 4 2 3 3 4" xfId="9787" xr:uid="{6DF6C9D5-32AF-44D6-BB13-124788609549}"/>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2 2 2" xfId="16563" xr:uid="{238FD8BC-C05C-4BB3-8FD3-2D23F3463F18}"/>
    <cellStyle name="Normal 4 2 4 2 3 4 2 3" xfId="12345" xr:uid="{968DC931-3BB9-402B-B480-9CEA80C95136}"/>
    <cellStyle name="Normal 4 2 4 2 3 4 3" xfId="5976" xr:uid="{00000000-0005-0000-0000-000062130000}"/>
    <cellStyle name="Normal 4 2 4 2 3 4 3 2" xfId="14418" xr:uid="{9E65C98A-D26A-4B29-9419-FDEAADE81BF8}"/>
    <cellStyle name="Normal 4 2 4 2 3 4 4" xfId="10200" xr:uid="{44356AAA-988D-4ACB-A13F-7715474734CB}"/>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2 2 2" xfId="16976" xr:uid="{303CD134-E674-45F6-B981-B3E139C3E968}"/>
    <cellStyle name="Normal 4 2 4 2 3 5 2 3" xfId="12758" xr:uid="{7EC449DD-DE97-4D13-80BA-5794AAE17F45}"/>
    <cellStyle name="Normal 4 2 4 2 3 5 3" xfId="6389" xr:uid="{00000000-0005-0000-0000-000066130000}"/>
    <cellStyle name="Normal 4 2 4 2 3 5 3 2" xfId="14831" xr:uid="{C827E41B-CDF6-46E8-9472-6B74FFF1C406}"/>
    <cellStyle name="Normal 4 2 4 2 3 5 4" xfId="10613" xr:uid="{8616C6A5-C1B9-4FF5-86C9-CC1DA8E79409}"/>
    <cellStyle name="Normal 4 2 4 2 3 6" xfId="2518" xr:uid="{00000000-0005-0000-0000-000067130000}"/>
    <cellStyle name="Normal 4 2 4 2 3 6 2" xfId="6802" xr:uid="{00000000-0005-0000-0000-000068130000}"/>
    <cellStyle name="Normal 4 2 4 2 3 6 2 2" xfId="15244" xr:uid="{0A0F3AFB-84B5-4313-A94A-B46BA52A3DF0}"/>
    <cellStyle name="Normal 4 2 4 2 3 6 3" xfId="11026" xr:uid="{D09EB29B-BD9F-436B-BE26-A6632F985DCD}"/>
    <cellStyle name="Normal 4 2 4 2 3 7" xfId="4737" xr:uid="{00000000-0005-0000-0000-000069130000}"/>
    <cellStyle name="Normal 4 2 4 2 3 7 2" xfId="13179" xr:uid="{AB6865E8-C1C6-43C5-9258-CACB8116EB68}"/>
    <cellStyle name="Normal 4 2 4 2 3 8" xfId="8961" xr:uid="{7B96B72A-3E0F-41CC-9EF1-96EFF34BB5D9}"/>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15734" xr:uid="{0851714D-B3E7-4EEE-A1C3-0E3BEFD25D9D}"/>
    <cellStyle name="Normal 4 2 4 2 4 2 3" xfId="11516" xr:uid="{43A071C3-97B0-42CF-BA46-42BBCF558812}"/>
    <cellStyle name="Normal 4 2 4 2 4 3" xfId="5147" xr:uid="{00000000-0005-0000-0000-00006D130000}"/>
    <cellStyle name="Normal 4 2 4 2 4 3 2" xfId="13589" xr:uid="{E0AD0880-B852-4F99-9535-F9531FBD5D66}"/>
    <cellStyle name="Normal 4 2 4 2 4 4" xfId="9371" xr:uid="{B8674113-DA7E-49F2-BFA6-4964AA915CCC}"/>
    <cellStyle name="Normal 4 2 4 2 5" xfId="1252" xr:uid="{00000000-0005-0000-0000-00006E130000}"/>
    <cellStyle name="Normal 4 2 4 2 5 2" xfId="3482" xr:uid="{00000000-0005-0000-0000-00006F130000}"/>
    <cellStyle name="Normal 4 2 4 2 5 2 2" xfId="7705" xr:uid="{00000000-0005-0000-0000-000070130000}"/>
    <cellStyle name="Normal 4 2 4 2 5 2 2 2" xfId="16147" xr:uid="{EBDEBE20-8F75-46B0-BE31-0BE02FD0553C}"/>
    <cellStyle name="Normal 4 2 4 2 5 2 3" xfId="11929" xr:uid="{5A99A9AE-06A5-4453-AC05-5772C42A97AB}"/>
    <cellStyle name="Normal 4 2 4 2 5 3" xfId="5560" xr:uid="{00000000-0005-0000-0000-000071130000}"/>
    <cellStyle name="Normal 4 2 4 2 5 3 2" xfId="14002" xr:uid="{5259E848-1C5F-4448-97E9-9D2D0A68BFCE}"/>
    <cellStyle name="Normal 4 2 4 2 5 4" xfId="9784" xr:uid="{C70FE083-C9F6-4F5E-ACAA-48D6D8C2CA33}"/>
    <cellStyle name="Normal 4 2 4 2 6" xfId="1665" xr:uid="{00000000-0005-0000-0000-000072130000}"/>
    <cellStyle name="Normal 4 2 4 2 6 2" xfId="3895" xr:uid="{00000000-0005-0000-0000-000073130000}"/>
    <cellStyle name="Normal 4 2 4 2 6 2 2" xfId="8118" xr:uid="{00000000-0005-0000-0000-000074130000}"/>
    <cellStyle name="Normal 4 2 4 2 6 2 2 2" xfId="16560" xr:uid="{0C0572BF-4BB4-4ED0-B7E3-556D9D4FF675}"/>
    <cellStyle name="Normal 4 2 4 2 6 2 3" xfId="12342" xr:uid="{80A45070-8259-48F9-A458-FA05F7DF3718}"/>
    <cellStyle name="Normal 4 2 4 2 6 3" xfId="5973" xr:uid="{00000000-0005-0000-0000-000075130000}"/>
    <cellStyle name="Normal 4 2 4 2 6 3 2" xfId="14415" xr:uid="{4B3C7D87-26D9-40A9-AAF6-E99DDFD53405}"/>
    <cellStyle name="Normal 4 2 4 2 6 4" xfId="10197" xr:uid="{2D5EABE9-8FF4-493B-9F20-D2A39945D5AE}"/>
    <cellStyle name="Normal 4 2 4 2 7" xfId="2079" xr:uid="{00000000-0005-0000-0000-000076130000}"/>
    <cellStyle name="Normal 4 2 4 2 7 2" xfId="4308" xr:uid="{00000000-0005-0000-0000-000077130000}"/>
    <cellStyle name="Normal 4 2 4 2 7 2 2" xfId="8531" xr:uid="{00000000-0005-0000-0000-000078130000}"/>
    <cellStyle name="Normal 4 2 4 2 7 2 2 2" xfId="16973" xr:uid="{AB3C8D96-D107-4397-9A1E-85BEA36EF9AB}"/>
    <cellStyle name="Normal 4 2 4 2 7 2 3" xfId="12755" xr:uid="{BE5410F0-4599-47F7-8639-F88F0B52F432}"/>
    <cellStyle name="Normal 4 2 4 2 7 3" xfId="6386" xr:uid="{00000000-0005-0000-0000-000079130000}"/>
    <cellStyle name="Normal 4 2 4 2 7 3 2" xfId="14828" xr:uid="{B8F25676-97D3-4EE5-A06A-342773E5F7F1}"/>
    <cellStyle name="Normal 4 2 4 2 7 4" xfId="10610" xr:uid="{F6308710-A9FA-4302-B7AE-0205F523DE0C}"/>
    <cellStyle name="Normal 4 2 4 2 8" xfId="2515" xr:uid="{00000000-0005-0000-0000-00007A130000}"/>
    <cellStyle name="Normal 4 2 4 2 8 2" xfId="6799" xr:uid="{00000000-0005-0000-0000-00007B130000}"/>
    <cellStyle name="Normal 4 2 4 2 8 2 2" xfId="15241" xr:uid="{70A80F30-E4C1-4611-835C-F8FA33C894E7}"/>
    <cellStyle name="Normal 4 2 4 2 8 3" xfId="11023" xr:uid="{0FDF0C58-1925-4163-99BC-BE5DB5CA35FF}"/>
    <cellStyle name="Normal 4 2 4 2 9" xfId="4734" xr:uid="{00000000-0005-0000-0000-00007C130000}"/>
    <cellStyle name="Normal 4 2 4 2 9 2" xfId="13176" xr:uid="{A4180CBB-882F-411F-971B-21D7385FB5ED}"/>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15739" xr:uid="{809824C3-ED96-438A-AC13-CADAACE7F3C6}"/>
    <cellStyle name="Normal 4 2 4 3 2 2 2 3" xfId="11521" xr:uid="{1174BD24-172B-4760-915E-41FE6A06D99E}"/>
    <cellStyle name="Normal 4 2 4 3 2 2 3" xfId="5152" xr:uid="{00000000-0005-0000-0000-000082130000}"/>
    <cellStyle name="Normal 4 2 4 3 2 2 3 2" xfId="13594" xr:uid="{5BD46EDF-0F02-49B6-9BA7-54B2780BA122}"/>
    <cellStyle name="Normal 4 2 4 3 2 2 4" xfId="9376" xr:uid="{CE3A88B7-3E0B-475A-B58F-3769F2936B67}"/>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2 2" xfId="16152" xr:uid="{A9F0C593-45FB-4558-9E73-FCC5B4EBEFAA}"/>
    <cellStyle name="Normal 4 2 4 3 2 3 2 3" xfId="11934" xr:uid="{A9B15917-E23D-4FEE-B073-CA4BF1FB20D8}"/>
    <cellStyle name="Normal 4 2 4 3 2 3 3" xfId="5565" xr:uid="{00000000-0005-0000-0000-000086130000}"/>
    <cellStyle name="Normal 4 2 4 3 2 3 3 2" xfId="14007" xr:uid="{5567105C-A6DE-46EA-9A60-0466B354BCB2}"/>
    <cellStyle name="Normal 4 2 4 3 2 3 4" xfId="9789" xr:uid="{0B609439-FFD3-4115-8A0F-0B500C184B24}"/>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2 2 2" xfId="16565" xr:uid="{8906BB77-61BF-46D9-8092-5C2F4F6C7EB3}"/>
    <cellStyle name="Normal 4 2 4 3 2 4 2 3" xfId="12347" xr:uid="{A403258F-973B-43E1-91D1-9DC2A2B84389}"/>
    <cellStyle name="Normal 4 2 4 3 2 4 3" xfId="5978" xr:uid="{00000000-0005-0000-0000-00008A130000}"/>
    <cellStyle name="Normal 4 2 4 3 2 4 3 2" xfId="14420" xr:uid="{61E4C21C-307A-4265-98CC-EE17E268A5E0}"/>
    <cellStyle name="Normal 4 2 4 3 2 4 4" xfId="10202" xr:uid="{DCF21716-0F18-42B8-BBB7-80BBB0E14B14}"/>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2 2 2" xfId="16978" xr:uid="{87CE8112-B5F9-4476-A2D7-F8B4E715808A}"/>
    <cellStyle name="Normal 4 2 4 3 2 5 2 3" xfId="12760" xr:uid="{E0681C85-8B1A-4773-B797-D955E7A831DE}"/>
    <cellStyle name="Normal 4 2 4 3 2 5 3" xfId="6391" xr:uid="{00000000-0005-0000-0000-00008E130000}"/>
    <cellStyle name="Normal 4 2 4 3 2 5 3 2" xfId="14833" xr:uid="{3B7C41D8-984B-46A4-A882-EF79C7244928}"/>
    <cellStyle name="Normal 4 2 4 3 2 5 4" xfId="10615" xr:uid="{78F2D904-05DB-4794-B9D4-0E4369CBF88F}"/>
    <cellStyle name="Normal 4 2 4 3 2 6" xfId="2520" xr:uid="{00000000-0005-0000-0000-00008F130000}"/>
    <cellStyle name="Normal 4 2 4 3 2 6 2" xfId="6804" xr:uid="{00000000-0005-0000-0000-000090130000}"/>
    <cellStyle name="Normal 4 2 4 3 2 6 2 2" xfId="15246" xr:uid="{F87BEFCF-97DE-4215-88ED-37D2D00240E5}"/>
    <cellStyle name="Normal 4 2 4 3 2 6 3" xfId="11028" xr:uid="{F97DF668-2E95-4ECE-9F07-49DB56D7A653}"/>
    <cellStyle name="Normal 4 2 4 3 2 7" xfId="4739" xr:uid="{00000000-0005-0000-0000-000091130000}"/>
    <cellStyle name="Normal 4 2 4 3 2 7 2" xfId="13181" xr:uid="{41216BA6-A023-4C49-A5F0-1C6806B3A533}"/>
    <cellStyle name="Normal 4 2 4 3 2 8" xfId="8963" xr:uid="{F4EA8D03-689F-4062-BDEC-EC2666A09AB5}"/>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15738" xr:uid="{A6B41546-FDBF-425B-AAA8-3B6777A987D2}"/>
    <cellStyle name="Normal 4 2 4 3 3 2 3" xfId="11520" xr:uid="{B92DFE5A-DDB1-4B5D-8B29-28954629A956}"/>
    <cellStyle name="Normal 4 2 4 3 3 3" xfId="5151" xr:uid="{00000000-0005-0000-0000-000095130000}"/>
    <cellStyle name="Normal 4 2 4 3 3 3 2" xfId="13593" xr:uid="{D6586DBB-1017-48C5-BED4-E9E7AE86C346}"/>
    <cellStyle name="Normal 4 2 4 3 3 4" xfId="9375" xr:uid="{DC200F59-C272-421D-B976-7AE5E8857BDB}"/>
    <cellStyle name="Normal 4 2 4 3 4" xfId="1256" xr:uid="{00000000-0005-0000-0000-000096130000}"/>
    <cellStyle name="Normal 4 2 4 3 4 2" xfId="3486" xr:uid="{00000000-0005-0000-0000-000097130000}"/>
    <cellStyle name="Normal 4 2 4 3 4 2 2" xfId="7709" xr:uid="{00000000-0005-0000-0000-000098130000}"/>
    <cellStyle name="Normal 4 2 4 3 4 2 2 2" xfId="16151" xr:uid="{556CA773-3784-4694-A96B-F3B61C02A6F8}"/>
    <cellStyle name="Normal 4 2 4 3 4 2 3" xfId="11933" xr:uid="{618F99DE-40CA-4798-9CAC-19C677867883}"/>
    <cellStyle name="Normal 4 2 4 3 4 3" xfId="5564" xr:uid="{00000000-0005-0000-0000-000099130000}"/>
    <cellStyle name="Normal 4 2 4 3 4 3 2" xfId="14006" xr:uid="{492F5D2B-1E55-4869-9EA8-EC116C10A5FB}"/>
    <cellStyle name="Normal 4 2 4 3 4 4" xfId="9788" xr:uid="{C1C63FA4-A70A-45A1-B4F0-432D7C100DE8}"/>
    <cellStyle name="Normal 4 2 4 3 5" xfId="1669" xr:uid="{00000000-0005-0000-0000-00009A130000}"/>
    <cellStyle name="Normal 4 2 4 3 5 2" xfId="3899" xr:uid="{00000000-0005-0000-0000-00009B130000}"/>
    <cellStyle name="Normal 4 2 4 3 5 2 2" xfId="8122" xr:uid="{00000000-0005-0000-0000-00009C130000}"/>
    <cellStyle name="Normal 4 2 4 3 5 2 2 2" xfId="16564" xr:uid="{E2D45D95-20F2-4E57-927A-966F355E61A4}"/>
    <cellStyle name="Normal 4 2 4 3 5 2 3" xfId="12346" xr:uid="{942DBCC5-2508-428A-8578-8D19691DDB2D}"/>
    <cellStyle name="Normal 4 2 4 3 5 3" xfId="5977" xr:uid="{00000000-0005-0000-0000-00009D130000}"/>
    <cellStyle name="Normal 4 2 4 3 5 3 2" xfId="14419" xr:uid="{FE19A52B-3CC8-4E68-B060-72A3FE0D7027}"/>
    <cellStyle name="Normal 4 2 4 3 5 4" xfId="10201" xr:uid="{B1175118-240C-4533-9A88-BC7F554F1040}"/>
    <cellStyle name="Normal 4 2 4 3 6" xfId="2083" xr:uid="{00000000-0005-0000-0000-00009E130000}"/>
    <cellStyle name="Normal 4 2 4 3 6 2" xfId="4312" xr:uid="{00000000-0005-0000-0000-00009F130000}"/>
    <cellStyle name="Normal 4 2 4 3 6 2 2" xfId="8535" xr:uid="{00000000-0005-0000-0000-0000A0130000}"/>
    <cellStyle name="Normal 4 2 4 3 6 2 2 2" xfId="16977" xr:uid="{4F52D5FE-5C64-478A-9DEE-DCD3D5EE866F}"/>
    <cellStyle name="Normal 4 2 4 3 6 2 3" xfId="12759" xr:uid="{E1597B2B-9124-4733-9FF1-1CD1E023858D}"/>
    <cellStyle name="Normal 4 2 4 3 6 3" xfId="6390" xr:uid="{00000000-0005-0000-0000-0000A1130000}"/>
    <cellStyle name="Normal 4 2 4 3 6 3 2" xfId="14832" xr:uid="{44585A9A-695C-4458-B907-C34DE6FB0234}"/>
    <cellStyle name="Normal 4 2 4 3 6 4" xfId="10614" xr:uid="{08D84095-511E-406A-8A6F-361649B7CF32}"/>
    <cellStyle name="Normal 4 2 4 3 7" xfId="2519" xr:uid="{00000000-0005-0000-0000-0000A2130000}"/>
    <cellStyle name="Normal 4 2 4 3 7 2" xfId="6803" xr:uid="{00000000-0005-0000-0000-0000A3130000}"/>
    <cellStyle name="Normal 4 2 4 3 7 2 2" xfId="15245" xr:uid="{694F337C-009C-4182-A2B4-C72A42C7E871}"/>
    <cellStyle name="Normal 4 2 4 3 7 3" xfId="11027" xr:uid="{D45C96B5-DE78-4FA8-9711-F192A167E2B7}"/>
    <cellStyle name="Normal 4 2 4 3 8" xfId="4738" xr:uid="{00000000-0005-0000-0000-0000A4130000}"/>
    <cellStyle name="Normal 4 2 4 3 8 2" xfId="13180" xr:uid="{1C9DE704-8D54-41A6-86C7-05172F1E97B6}"/>
    <cellStyle name="Normal 4 2 4 3 9" xfId="8962" xr:uid="{E1E1D31F-10C1-4755-BF97-A087FA49A7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15740" xr:uid="{09481FCA-1824-472F-87AD-A51EF4DCA460}"/>
    <cellStyle name="Normal 4 2 4 4 2 2 3" xfId="11522" xr:uid="{4C4D6EBB-B745-4E20-9B6A-E5EE076C6A23}"/>
    <cellStyle name="Normal 4 2 4 4 2 3" xfId="5153" xr:uid="{00000000-0005-0000-0000-0000A9130000}"/>
    <cellStyle name="Normal 4 2 4 4 2 3 2" xfId="13595" xr:uid="{EFCF7691-30B3-447B-82BC-8A64022E16D4}"/>
    <cellStyle name="Normal 4 2 4 4 2 4" xfId="9377" xr:uid="{6F01F198-C6E5-4AF5-A5E6-BD037C1400D0}"/>
    <cellStyle name="Normal 4 2 4 4 3" xfId="1258" xr:uid="{00000000-0005-0000-0000-0000AA130000}"/>
    <cellStyle name="Normal 4 2 4 4 3 2" xfId="3488" xr:uid="{00000000-0005-0000-0000-0000AB130000}"/>
    <cellStyle name="Normal 4 2 4 4 3 2 2" xfId="7711" xr:uid="{00000000-0005-0000-0000-0000AC130000}"/>
    <cellStyle name="Normal 4 2 4 4 3 2 2 2" xfId="16153" xr:uid="{F4B743B1-531F-4874-A394-02868DA8E632}"/>
    <cellStyle name="Normal 4 2 4 4 3 2 3" xfId="11935" xr:uid="{7E54DBCA-3F26-44F0-BF16-864A02F92524}"/>
    <cellStyle name="Normal 4 2 4 4 3 3" xfId="5566" xr:uid="{00000000-0005-0000-0000-0000AD130000}"/>
    <cellStyle name="Normal 4 2 4 4 3 3 2" xfId="14008" xr:uid="{612D6B1A-532A-4281-A082-C18335537903}"/>
    <cellStyle name="Normal 4 2 4 4 3 4" xfId="9790" xr:uid="{CE9C90C7-9AC1-4D31-A5E2-E71732DB13ED}"/>
    <cellStyle name="Normal 4 2 4 4 4" xfId="1671" xr:uid="{00000000-0005-0000-0000-0000AE130000}"/>
    <cellStyle name="Normal 4 2 4 4 4 2" xfId="3901" xr:uid="{00000000-0005-0000-0000-0000AF130000}"/>
    <cellStyle name="Normal 4 2 4 4 4 2 2" xfId="8124" xr:uid="{00000000-0005-0000-0000-0000B0130000}"/>
    <cellStyle name="Normal 4 2 4 4 4 2 2 2" xfId="16566" xr:uid="{F5D95746-B1DE-4925-8095-D10F03DFCADC}"/>
    <cellStyle name="Normal 4 2 4 4 4 2 3" xfId="12348" xr:uid="{CA897028-5445-4509-9491-E363181FC300}"/>
    <cellStyle name="Normal 4 2 4 4 4 3" xfId="5979" xr:uid="{00000000-0005-0000-0000-0000B1130000}"/>
    <cellStyle name="Normal 4 2 4 4 4 3 2" xfId="14421" xr:uid="{35D3A483-FCAD-47AA-B257-189607A19C54}"/>
    <cellStyle name="Normal 4 2 4 4 4 4" xfId="10203" xr:uid="{83BDA549-D09C-4ABD-A433-730A0693D95D}"/>
    <cellStyle name="Normal 4 2 4 4 5" xfId="2085" xr:uid="{00000000-0005-0000-0000-0000B2130000}"/>
    <cellStyle name="Normal 4 2 4 4 5 2" xfId="4314" xr:uid="{00000000-0005-0000-0000-0000B3130000}"/>
    <cellStyle name="Normal 4 2 4 4 5 2 2" xfId="8537" xr:uid="{00000000-0005-0000-0000-0000B4130000}"/>
    <cellStyle name="Normal 4 2 4 4 5 2 2 2" xfId="16979" xr:uid="{CCC31154-8269-4DEE-948A-65D51ADABCFA}"/>
    <cellStyle name="Normal 4 2 4 4 5 2 3" xfId="12761" xr:uid="{063B6314-2DFF-4ACF-86DE-C45C94E2EFAA}"/>
    <cellStyle name="Normal 4 2 4 4 5 3" xfId="6392" xr:uid="{00000000-0005-0000-0000-0000B5130000}"/>
    <cellStyle name="Normal 4 2 4 4 5 3 2" xfId="14834" xr:uid="{6A41D14B-A71E-41AD-ADFA-46792E85743E}"/>
    <cellStyle name="Normal 4 2 4 4 5 4" xfId="10616" xr:uid="{422D075F-FAE0-4E14-8C24-69B6ADCE8C0D}"/>
    <cellStyle name="Normal 4 2 4 4 6" xfId="2521" xr:uid="{00000000-0005-0000-0000-0000B6130000}"/>
    <cellStyle name="Normal 4 2 4 4 6 2" xfId="6805" xr:uid="{00000000-0005-0000-0000-0000B7130000}"/>
    <cellStyle name="Normal 4 2 4 4 6 2 2" xfId="15247" xr:uid="{FC64D2E5-2667-4931-8F33-3AB4611E32A7}"/>
    <cellStyle name="Normal 4 2 4 4 6 3" xfId="11029" xr:uid="{05194E57-0D56-4FF2-8F0F-D19CFEC5A6E2}"/>
    <cellStyle name="Normal 4 2 4 4 7" xfId="4740" xr:uid="{00000000-0005-0000-0000-0000B8130000}"/>
    <cellStyle name="Normal 4 2 4 4 7 2" xfId="13182" xr:uid="{5519C12D-298F-4BD5-8461-5BEC3114D816}"/>
    <cellStyle name="Normal 4 2 4 4 8" xfId="8964" xr:uid="{6CFA5CDE-E9BC-4AE0-A0C1-F612DDE15FBF}"/>
    <cellStyle name="Normal 4 2 4 5" xfId="831" xr:uid="{00000000-0005-0000-0000-0000B9130000}"/>
    <cellStyle name="Normal 4 2 4 5 2" xfId="3068" xr:uid="{00000000-0005-0000-0000-0000BA130000}"/>
    <cellStyle name="Normal 4 2 4 5 2 2" xfId="7291" xr:uid="{00000000-0005-0000-0000-0000BB130000}"/>
    <cellStyle name="Normal 4 2 4 5 2 2 2" xfId="15733" xr:uid="{B66AC35C-8C09-4B6D-8DBD-A87CC309E2AF}"/>
    <cellStyle name="Normal 4 2 4 5 2 3" xfId="11515" xr:uid="{8971D5A9-66F6-4713-9704-EF5821619F0B}"/>
    <cellStyle name="Normal 4 2 4 5 3" xfId="5146" xr:uid="{00000000-0005-0000-0000-0000BC130000}"/>
    <cellStyle name="Normal 4 2 4 5 3 2" xfId="13588" xr:uid="{EBB82976-F739-423B-8B7B-387A3A3A5120}"/>
    <cellStyle name="Normal 4 2 4 5 4" xfId="9370" xr:uid="{5ECAABE1-C60D-4356-B169-9B01E389A471}"/>
    <cellStyle name="Normal 4 2 4 6" xfId="1251" xr:uid="{00000000-0005-0000-0000-0000BD130000}"/>
    <cellStyle name="Normal 4 2 4 6 2" xfId="3481" xr:uid="{00000000-0005-0000-0000-0000BE130000}"/>
    <cellStyle name="Normal 4 2 4 6 2 2" xfId="7704" xr:uid="{00000000-0005-0000-0000-0000BF130000}"/>
    <cellStyle name="Normal 4 2 4 6 2 2 2" xfId="16146" xr:uid="{3F02BEB8-3868-46CE-ACE9-26DC5E909526}"/>
    <cellStyle name="Normal 4 2 4 6 2 3" xfId="11928" xr:uid="{799A8967-3D3B-4B1C-8797-A2E742401D7F}"/>
    <cellStyle name="Normal 4 2 4 6 3" xfId="5559" xr:uid="{00000000-0005-0000-0000-0000C0130000}"/>
    <cellStyle name="Normal 4 2 4 6 3 2" xfId="14001" xr:uid="{53B8A042-EEA1-4E84-A297-4D94308D6195}"/>
    <cellStyle name="Normal 4 2 4 6 4" xfId="9783" xr:uid="{AF162997-38EE-4A32-B02A-BE90DD15AD5F}"/>
    <cellStyle name="Normal 4 2 4 7" xfId="1664" xr:uid="{00000000-0005-0000-0000-0000C1130000}"/>
    <cellStyle name="Normal 4 2 4 7 2" xfId="3894" xr:uid="{00000000-0005-0000-0000-0000C2130000}"/>
    <cellStyle name="Normal 4 2 4 7 2 2" xfId="8117" xr:uid="{00000000-0005-0000-0000-0000C3130000}"/>
    <cellStyle name="Normal 4 2 4 7 2 2 2" xfId="16559" xr:uid="{69B0F4A8-2CBE-4C77-8F9A-66386D590F9F}"/>
    <cellStyle name="Normal 4 2 4 7 2 3" xfId="12341" xr:uid="{39103F71-055B-41C7-B29D-6B22BD9E3074}"/>
    <cellStyle name="Normal 4 2 4 7 3" xfId="5972" xr:uid="{00000000-0005-0000-0000-0000C4130000}"/>
    <cellStyle name="Normal 4 2 4 7 3 2" xfId="14414" xr:uid="{C388774F-2BBE-4764-B6F8-BFBCE680F6CC}"/>
    <cellStyle name="Normal 4 2 4 7 4" xfId="10196" xr:uid="{017BA3F4-0FCD-44B6-89AC-98E3DB1E0AD1}"/>
    <cellStyle name="Normal 4 2 4 8" xfId="2078" xr:uid="{00000000-0005-0000-0000-0000C5130000}"/>
    <cellStyle name="Normal 4 2 4 8 2" xfId="4307" xr:uid="{00000000-0005-0000-0000-0000C6130000}"/>
    <cellStyle name="Normal 4 2 4 8 2 2" xfId="8530" xr:uid="{00000000-0005-0000-0000-0000C7130000}"/>
    <cellStyle name="Normal 4 2 4 8 2 2 2" xfId="16972" xr:uid="{AC1A35B4-8D86-466F-A049-F9E671EBE161}"/>
    <cellStyle name="Normal 4 2 4 8 2 3" xfId="12754" xr:uid="{7B04F782-4615-4463-B9D0-68D4B9C6815B}"/>
    <cellStyle name="Normal 4 2 4 8 3" xfId="6385" xr:uid="{00000000-0005-0000-0000-0000C8130000}"/>
    <cellStyle name="Normal 4 2 4 8 3 2" xfId="14827" xr:uid="{A4E3CF21-FB8E-4BF5-989E-3BC62CD0FFCE}"/>
    <cellStyle name="Normal 4 2 4 8 4" xfId="10609" xr:uid="{02B29861-35A2-4111-A80E-18662FE2B104}"/>
    <cellStyle name="Normal 4 2 4 9" xfId="2514" xr:uid="{00000000-0005-0000-0000-0000C9130000}"/>
    <cellStyle name="Normal 4 2 4 9 2" xfId="6798" xr:uid="{00000000-0005-0000-0000-0000CA130000}"/>
    <cellStyle name="Normal 4 2 4 9 2 2" xfId="15240" xr:uid="{680EF574-C2CB-42F1-A88C-9EF4BE3F079F}"/>
    <cellStyle name="Normal 4 2 4 9 3" xfId="11022" xr:uid="{19B3696D-1788-4963-9806-BF7B971F26C2}"/>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15742" xr:uid="{75A86221-A43A-418D-B74C-E1D91EE174BE}"/>
    <cellStyle name="Normal 4 2 5 2 2 2 3" xfId="11524" xr:uid="{CD1FABEC-30F6-4117-A306-612FCF90EEC5}"/>
    <cellStyle name="Normal 4 2 5 2 2 3" xfId="5155" xr:uid="{00000000-0005-0000-0000-0000D0130000}"/>
    <cellStyle name="Normal 4 2 5 2 2 3 2" xfId="13597" xr:uid="{BD0B0BC7-31EE-45A8-9318-2DB26FD5D090}"/>
    <cellStyle name="Normal 4 2 5 2 2 4" xfId="9379" xr:uid="{7F4194C4-256B-4C7F-BD30-C50498B159E0}"/>
    <cellStyle name="Normal 4 2 5 2 3" xfId="1260" xr:uid="{00000000-0005-0000-0000-0000D1130000}"/>
    <cellStyle name="Normal 4 2 5 2 3 2" xfId="3490" xr:uid="{00000000-0005-0000-0000-0000D2130000}"/>
    <cellStyle name="Normal 4 2 5 2 3 2 2" xfId="7713" xr:uid="{00000000-0005-0000-0000-0000D3130000}"/>
    <cellStyle name="Normal 4 2 5 2 3 2 2 2" xfId="16155" xr:uid="{8A2C5426-DBEA-4592-8D6D-5AA8FADB34C2}"/>
    <cellStyle name="Normal 4 2 5 2 3 2 3" xfId="11937" xr:uid="{FFEE47B0-1DAF-4D0F-9490-F8825919CB27}"/>
    <cellStyle name="Normal 4 2 5 2 3 3" xfId="5568" xr:uid="{00000000-0005-0000-0000-0000D4130000}"/>
    <cellStyle name="Normal 4 2 5 2 3 3 2" xfId="14010" xr:uid="{5D0DA946-0327-4955-96FD-E8EDA5AF2E4B}"/>
    <cellStyle name="Normal 4 2 5 2 3 4" xfId="9792" xr:uid="{DCF8FFB3-0EF4-42DD-80BC-149703689259}"/>
    <cellStyle name="Normal 4 2 5 2 4" xfId="1673" xr:uid="{00000000-0005-0000-0000-0000D5130000}"/>
    <cellStyle name="Normal 4 2 5 2 4 2" xfId="3903" xr:uid="{00000000-0005-0000-0000-0000D6130000}"/>
    <cellStyle name="Normal 4 2 5 2 4 2 2" xfId="8126" xr:uid="{00000000-0005-0000-0000-0000D7130000}"/>
    <cellStyle name="Normal 4 2 5 2 4 2 2 2" xfId="16568" xr:uid="{5B7143A3-12A2-430D-8590-1B0C30308068}"/>
    <cellStyle name="Normal 4 2 5 2 4 2 3" xfId="12350" xr:uid="{E5918550-F51C-42F9-9E26-145473146601}"/>
    <cellStyle name="Normal 4 2 5 2 4 3" xfId="5981" xr:uid="{00000000-0005-0000-0000-0000D8130000}"/>
    <cellStyle name="Normal 4 2 5 2 4 3 2" xfId="14423" xr:uid="{36379767-8E4F-4C7D-98F3-F467FF4127DA}"/>
    <cellStyle name="Normal 4 2 5 2 4 4" xfId="10205" xr:uid="{31281BC0-30AB-450C-AF98-9C033E3E91F6}"/>
    <cellStyle name="Normal 4 2 5 2 5" xfId="2087" xr:uid="{00000000-0005-0000-0000-0000D9130000}"/>
    <cellStyle name="Normal 4 2 5 2 5 2" xfId="4316" xr:uid="{00000000-0005-0000-0000-0000DA130000}"/>
    <cellStyle name="Normal 4 2 5 2 5 2 2" xfId="8539" xr:uid="{00000000-0005-0000-0000-0000DB130000}"/>
    <cellStyle name="Normal 4 2 5 2 5 2 2 2" xfId="16981" xr:uid="{2BE84782-B5E7-4D77-B80A-E4681AE046FD}"/>
    <cellStyle name="Normal 4 2 5 2 5 2 3" xfId="12763" xr:uid="{F35CE4C3-6132-4F79-891F-3099F8387073}"/>
    <cellStyle name="Normal 4 2 5 2 5 3" xfId="6394" xr:uid="{00000000-0005-0000-0000-0000DC130000}"/>
    <cellStyle name="Normal 4 2 5 2 5 3 2" xfId="14836" xr:uid="{B5B5403C-7327-4E8C-BC67-CD0AC14AE701}"/>
    <cellStyle name="Normal 4 2 5 2 5 4" xfId="10618" xr:uid="{3DDEF001-1410-459E-9172-0A86D7759708}"/>
    <cellStyle name="Normal 4 2 5 2 6" xfId="2523" xr:uid="{00000000-0005-0000-0000-0000DD130000}"/>
    <cellStyle name="Normal 4 2 5 2 6 2" xfId="6807" xr:uid="{00000000-0005-0000-0000-0000DE130000}"/>
    <cellStyle name="Normal 4 2 5 2 6 2 2" xfId="15249" xr:uid="{321FC511-10D8-4810-849A-8AA34771C0A8}"/>
    <cellStyle name="Normal 4 2 5 2 6 3" xfId="11031" xr:uid="{5A22E0FC-C0D2-480A-BB76-72785F141E69}"/>
    <cellStyle name="Normal 4 2 5 2 7" xfId="4742" xr:uid="{00000000-0005-0000-0000-0000DF130000}"/>
    <cellStyle name="Normal 4 2 5 2 7 2" xfId="13184" xr:uid="{7DD8A8C6-48C9-4936-9041-DE61D74016FD}"/>
    <cellStyle name="Normal 4 2 5 2 8" xfId="8966" xr:uid="{A36FFAF1-4A1D-4825-882D-E2516793DF9C}"/>
    <cellStyle name="Normal 4 2 5 3" xfId="839" xr:uid="{00000000-0005-0000-0000-0000E0130000}"/>
    <cellStyle name="Normal 4 2 5 3 2" xfId="3076" xr:uid="{00000000-0005-0000-0000-0000E1130000}"/>
    <cellStyle name="Normal 4 2 5 3 2 2" xfId="7299" xr:uid="{00000000-0005-0000-0000-0000E2130000}"/>
    <cellStyle name="Normal 4 2 5 3 2 2 2" xfId="15741" xr:uid="{59E3076D-EC6B-496A-BC8E-291B4649BFAC}"/>
    <cellStyle name="Normal 4 2 5 3 2 3" xfId="11523" xr:uid="{1D1EA28C-9037-42E2-92B6-A9F1F1448A66}"/>
    <cellStyle name="Normal 4 2 5 3 3" xfId="5154" xr:uid="{00000000-0005-0000-0000-0000E3130000}"/>
    <cellStyle name="Normal 4 2 5 3 3 2" xfId="13596" xr:uid="{8EEAD84B-9F68-4FA7-9743-007133A09F16}"/>
    <cellStyle name="Normal 4 2 5 3 4" xfId="9378" xr:uid="{56ADDECB-DABD-4D40-93D9-5AD7B627375B}"/>
    <cellStyle name="Normal 4 2 5 4" xfId="1259" xr:uid="{00000000-0005-0000-0000-0000E4130000}"/>
    <cellStyle name="Normal 4 2 5 4 2" xfId="3489" xr:uid="{00000000-0005-0000-0000-0000E5130000}"/>
    <cellStyle name="Normal 4 2 5 4 2 2" xfId="7712" xr:uid="{00000000-0005-0000-0000-0000E6130000}"/>
    <cellStyle name="Normal 4 2 5 4 2 2 2" xfId="16154" xr:uid="{49F9473C-9456-44F1-B166-DB72A6903CB0}"/>
    <cellStyle name="Normal 4 2 5 4 2 3" xfId="11936" xr:uid="{84005C53-6488-4951-AC97-02B7E9F4A7E5}"/>
    <cellStyle name="Normal 4 2 5 4 3" xfId="5567" xr:uid="{00000000-0005-0000-0000-0000E7130000}"/>
    <cellStyle name="Normal 4 2 5 4 3 2" xfId="14009" xr:uid="{6A417D39-2C22-4983-B3B7-E14581622655}"/>
    <cellStyle name="Normal 4 2 5 4 4" xfId="9791" xr:uid="{576E6311-F43C-479D-AC73-70AB9D4469A5}"/>
    <cellStyle name="Normal 4 2 5 5" xfId="1672" xr:uid="{00000000-0005-0000-0000-0000E8130000}"/>
    <cellStyle name="Normal 4 2 5 5 2" xfId="3902" xr:uid="{00000000-0005-0000-0000-0000E9130000}"/>
    <cellStyle name="Normal 4 2 5 5 2 2" xfId="8125" xr:uid="{00000000-0005-0000-0000-0000EA130000}"/>
    <cellStyle name="Normal 4 2 5 5 2 2 2" xfId="16567" xr:uid="{78D01FCF-51B9-4291-95F7-BA969B07BF3B}"/>
    <cellStyle name="Normal 4 2 5 5 2 3" xfId="12349" xr:uid="{B84A5291-4B83-4A56-B575-2F02D5A7037D}"/>
    <cellStyle name="Normal 4 2 5 5 3" xfId="5980" xr:uid="{00000000-0005-0000-0000-0000EB130000}"/>
    <cellStyle name="Normal 4 2 5 5 3 2" xfId="14422" xr:uid="{E33690A2-092E-4431-B659-244EA9014394}"/>
    <cellStyle name="Normal 4 2 5 5 4" xfId="10204" xr:uid="{1F6A4783-E3DD-48CE-9836-2499845E9C8C}"/>
    <cellStyle name="Normal 4 2 5 6" xfId="2086" xr:uid="{00000000-0005-0000-0000-0000EC130000}"/>
    <cellStyle name="Normal 4 2 5 6 2" xfId="4315" xr:uid="{00000000-0005-0000-0000-0000ED130000}"/>
    <cellStyle name="Normal 4 2 5 6 2 2" xfId="8538" xr:uid="{00000000-0005-0000-0000-0000EE130000}"/>
    <cellStyle name="Normal 4 2 5 6 2 2 2" xfId="16980" xr:uid="{190A608F-84C1-4C24-905F-565E190D5B35}"/>
    <cellStyle name="Normal 4 2 5 6 2 3" xfId="12762" xr:uid="{E9DDC496-EBC0-4282-B3B4-FA3DB8A71C9B}"/>
    <cellStyle name="Normal 4 2 5 6 3" xfId="6393" xr:uid="{00000000-0005-0000-0000-0000EF130000}"/>
    <cellStyle name="Normal 4 2 5 6 3 2" xfId="14835" xr:uid="{9F3212FA-998E-4609-A236-8B420BD9FE54}"/>
    <cellStyle name="Normal 4 2 5 6 4" xfId="10617" xr:uid="{514879B0-03AE-4192-9BF3-276F73416F51}"/>
    <cellStyle name="Normal 4 2 5 7" xfId="2522" xr:uid="{00000000-0005-0000-0000-0000F0130000}"/>
    <cellStyle name="Normal 4 2 5 7 2" xfId="6806" xr:uid="{00000000-0005-0000-0000-0000F1130000}"/>
    <cellStyle name="Normal 4 2 5 7 2 2" xfId="15248" xr:uid="{E6F504CC-6F7F-419F-97BF-B6E2C40002E6}"/>
    <cellStyle name="Normal 4 2 5 7 3" xfId="11030" xr:uid="{50DBB8B6-8607-413D-9911-3F575000CD57}"/>
    <cellStyle name="Normal 4 2 5 8" xfId="4741" xr:uid="{00000000-0005-0000-0000-0000F2130000}"/>
    <cellStyle name="Normal 4 2 5 8 2" xfId="13183" xr:uid="{3E3E4A56-0978-436E-88DA-D18E114B2D57}"/>
    <cellStyle name="Normal 4 2 5 9" xfId="8965" xr:uid="{B5BDFC01-6A79-4567-8505-A8AFFCF0B96E}"/>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2 2 2" xfId="15743" xr:uid="{94F5DA9F-AC86-4CFF-AE12-8565C86E8067}"/>
    <cellStyle name="Normal 4 2 6 2 2 3" xfId="11525" xr:uid="{957D1765-A502-4358-88FE-92D6BECEF676}"/>
    <cellStyle name="Normal 4 2 6 2 3" xfId="5156" xr:uid="{00000000-0005-0000-0000-0000F7130000}"/>
    <cellStyle name="Normal 4 2 6 2 3 2" xfId="13598" xr:uid="{BFC510BA-7D1B-47ED-95CE-987037A11E90}"/>
    <cellStyle name="Normal 4 2 6 2 4" xfId="9380" xr:uid="{F7C5D126-09FA-48AE-A3CD-B673CD718D60}"/>
    <cellStyle name="Normal 4 2 6 3" xfId="1261" xr:uid="{00000000-0005-0000-0000-0000F8130000}"/>
    <cellStyle name="Normal 4 2 6 3 2" xfId="3491" xr:uid="{00000000-0005-0000-0000-0000F9130000}"/>
    <cellStyle name="Normal 4 2 6 3 2 2" xfId="7714" xr:uid="{00000000-0005-0000-0000-0000FA130000}"/>
    <cellStyle name="Normal 4 2 6 3 2 2 2" xfId="16156" xr:uid="{2355D8D7-502E-4706-B37C-C75A7E2BA410}"/>
    <cellStyle name="Normal 4 2 6 3 2 3" xfId="11938" xr:uid="{65CE9C61-1127-4840-97A4-3CE1D0BC907F}"/>
    <cellStyle name="Normal 4 2 6 3 3" xfId="5569" xr:uid="{00000000-0005-0000-0000-0000FB130000}"/>
    <cellStyle name="Normal 4 2 6 3 3 2" xfId="14011" xr:uid="{65A236B7-FA17-4EBA-98FD-5BE714B10262}"/>
    <cellStyle name="Normal 4 2 6 3 4" xfId="9793" xr:uid="{19A4A73F-2E16-453C-AF29-EF8939638733}"/>
    <cellStyle name="Normal 4 2 6 4" xfId="1674" xr:uid="{00000000-0005-0000-0000-0000FC130000}"/>
    <cellStyle name="Normal 4 2 6 4 2" xfId="3904" xr:uid="{00000000-0005-0000-0000-0000FD130000}"/>
    <cellStyle name="Normal 4 2 6 4 2 2" xfId="8127" xr:uid="{00000000-0005-0000-0000-0000FE130000}"/>
    <cellStyle name="Normal 4 2 6 4 2 2 2" xfId="16569" xr:uid="{A903F620-3BC1-49AA-9F82-DD113B56B774}"/>
    <cellStyle name="Normal 4 2 6 4 2 3" xfId="12351" xr:uid="{61A0C21F-6160-4389-B2CC-8870A13B0FDE}"/>
    <cellStyle name="Normal 4 2 6 4 3" xfId="5982" xr:uid="{00000000-0005-0000-0000-0000FF130000}"/>
    <cellStyle name="Normal 4 2 6 4 3 2" xfId="14424" xr:uid="{007CE2AE-FF67-4D81-843D-3843F6BF3317}"/>
    <cellStyle name="Normal 4 2 6 4 4" xfId="10206" xr:uid="{093892A3-043F-4314-B581-BF78C77FD80C}"/>
    <cellStyle name="Normal 4 2 6 5" xfId="2088" xr:uid="{00000000-0005-0000-0000-000000140000}"/>
    <cellStyle name="Normal 4 2 6 5 2" xfId="4317" xr:uid="{00000000-0005-0000-0000-000001140000}"/>
    <cellStyle name="Normal 4 2 6 5 2 2" xfId="8540" xr:uid="{00000000-0005-0000-0000-000002140000}"/>
    <cellStyle name="Normal 4 2 6 5 2 2 2" xfId="16982" xr:uid="{24B99EA7-7807-4824-AEB8-39060B738D27}"/>
    <cellStyle name="Normal 4 2 6 5 2 3" xfId="12764" xr:uid="{65FB3386-B9A5-4BE1-BFE2-4597AD52A706}"/>
    <cellStyle name="Normal 4 2 6 5 3" xfId="6395" xr:uid="{00000000-0005-0000-0000-000003140000}"/>
    <cellStyle name="Normal 4 2 6 5 3 2" xfId="14837" xr:uid="{3B8B3B25-70F1-42B9-869D-FAA1C7836761}"/>
    <cellStyle name="Normal 4 2 6 5 4" xfId="10619" xr:uid="{10BB7CFA-199C-4440-BECC-0930DBC841F0}"/>
    <cellStyle name="Normal 4 2 6 6" xfId="2524" xr:uid="{00000000-0005-0000-0000-000004140000}"/>
    <cellStyle name="Normal 4 2 6 6 2" xfId="6808" xr:uid="{00000000-0005-0000-0000-000005140000}"/>
    <cellStyle name="Normal 4 2 6 6 2 2" xfId="15250" xr:uid="{4668C2CB-0BCE-4FF4-8258-25FB7100F11A}"/>
    <cellStyle name="Normal 4 2 6 6 3" xfId="11032" xr:uid="{33B5AEE5-DDC6-4409-9006-E221E9A52A9E}"/>
    <cellStyle name="Normal 4 2 6 7" xfId="4743" xr:uid="{00000000-0005-0000-0000-000006140000}"/>
    <cellStyle name="Normal 4 2 6 7 2" xfId="13185" xr:uid="{A7F2654D-3266-48C9-86E4-07EC2A51B95F}"/>
    <cellStyle name="Normal 4 2 6 8" xfId="8967" xr:uid="{FAC08446-A838-45C2-9269-5D4431F4F447}"/>
    <cellStyle name="Normal 4 3" xfId="366" xr:uid="{00000000-0005-0000-0000-000007140000}"/>
    <cellStyle name="Normal 4 3 10" xfId="8968" xr:uid="{3FB0A458-3060-4848-956C-002264013EA3}"/>
    <cellStyle name="Normal 4 3 2" xfId="367" xr:uid="{00000000-0005-0000-0000-000008140000}"/>
    <cellStyle name="Normal 4 3 2 2" xfId="368" xr:uid="{00000000-0005-0000-0000-000009140000}"/>
    <cellStyle name="Normal 4 3 2 2 2" xfId="369" xr:uid="{00000000-0005-0000-0000-00000A140000}"/>
    <cellStyle name="Normal 4 3 2 2 2 10" xfId="8969" xr:uid="{0C8E7945-C957-4EEF-8059-54E446F05E42}"/>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15747" xr:uid="{0D320547-B96A-4A6A-ADE0-9AF9B3D5EF8B}"/>
    <cellStyle name="Normal 4 3 2 2 2 2 2 2 2 3" xfId="11529" xr:uid="{9811084C-99EC-4B4D-BF35-A0916E2D0478}"/>
    <cellStyle name="Normal 4 3 2 2 2 2 2 2 3" xfId="5160" xr:uid="{00000000-0005-0000-0000-000010140000}"/>
    <cellStyle name="Normal 4 3 2 2 2 2 2 2 3 2" xfId="13602" xr:uid="{0AC37E3F-BD85-461D-A880-FBBC14BD018E}"/>
    <cellStyle name="Normal 4 3 2 2 2 2 2 2 4" xfId="9384" xr:uid="{E0C0DF42-D965-4B2F-9B4F-6F65E6B197CF}"/>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2 2" xfId="16160" xr:uid="{02CF2742-A234-4780-BFE8-1F1DA4F821CE}"/>
    <cellStyle name="Normal 4 3 2 2 2 2 2 3 2 3" xfId="11942" xr:uid="{F12ED2D0-932A-4A79-9F56-B2F73EA80D6E}"/>
    <cellStyle name="Normal 4 3 2 2 2 2 2 3 3" xfId="5573" xr:uid="{00000000-0005-0000-0000-000014140000}"/>
    <cellStyle name="Normal 4 3 2 2 2 2 2 3 3 2" xfId="14015" xr:uid="{C4D05AA0-E58B-4925-BFCF-CA6666159A51}"/>
    <cellStyle name="Normal 4 3 2 2 2 2 2 3 4" xfId="9797" xr:uid="{E0DFFB2E-C3DC-43FC-86A9-BFC8F4CB50DF}"/>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2 2 2" xfId="16573" xr:uid="{F9B96D98-8F9B-4DB1-9376-FDAF1371860D}"/>
    <cellStyle name="Normal 4 3 2 2 2 2 2 4 2 3" xfId="12355" xr:uid="{28F9BDC8-E933-486D-A69E-812651391125}"/>
    <cellStyle name="Normal 4 3 2 2 2 2 2 4 3" xfId="5986" xr:uid="{00000000-0005-0000-0000-000018140000}"/>
    <cellStyle name="Normal 4 3 2 2 2 2 2 4 3 2" xfId="14428" xr:uid="{9B4B0444-54DD-4B0F-8959-9B00CACEE7DB}"/>
    <cellStyle name="Normal 4 3 2 2 2 2 2 4 4" xfId="10210" xr:uid="{815A0F69-1817-411A-B479-9B26D394D732}"/>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2 2 2" xfId="16986" xr:uid="{35B5C0C8-F99E-47FE-80CD-D42ACD33B4B3}"/>
    <cellStyle name="Normal 4 3 2 2 2 2 2 5 2 3" xfId="12768" xr:uid="{F316F802-3118-411D-A098-08632410282B}"/>
    <cellStyle name="Normal 4 3 2 2 2 2 2 5 3" xfId="6399" xr:uid="{00000000-0005-0000-0000-00001C140000}"/>
    <cellStyle name="Normal 4 3 2 2 2 2 2 5 3 2" xfId="14841" xr:uid="{9C89C022-5B92-4F5F-A379-772F9B1A5D98}"/>
    <cellStyle name="Normal 4 3 2 2 2 2 2 5 4" xfId="10623" xr:uid="{A91D97BC-B248-41C7-8348-0551D9D23085}"/>
    <cellStyle name="Normal 4 3 2 2 2 2 2 6" xfId="2528" xr:uid="{00000000-0005-0000-0000-00001D140000}"/>
    <cellStyle name="Normal 4 3 2 2 2 2 2 6 2" xfId="6812" xr:uid="{00000000-0005-0000-0000-00001E140000}"/>
    <cellStyle name="Normal 4 3 2 2 2 2 2 6 2 2" xfId="15254" xr:uid="{709C7F46-D372-45D8-9C36-B19E148BD7F8}"/>
    <cellStyle name="Normal 4 3 2 2 2 2 2 6 3" xfId="11036" xr:uid="{2C9B4871-CDC0-45DC-A39C-BE72C22D2247}"/>
    <cellStyle name="Normal 4 3 2 2 2 2 2 7" xfId="4747" xr:uid="{00000000-0005-0000-0000-00001F140000}"/>
    <cellStyle name="Normal 4 3 2 2 2 2 2 7 2" xfId="13189" xr:uid="{119D2AB2-4EBA-48A8-BB1E-F3E501BA2FBC}"/>
    <cellStyle name="Normal 4 3 2 2 2 2 2 8" xfId="8971" xr:uid="{047546A4-24CD-42AC-AF80-2D0B6E9B7CD3}"/>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15746" xr:uid="{A765F428-C430-4F15-8947-775C96E1A7EC}"/>
    <cellStyle name="Normal 4 3 2 2 2 2 3 2 3" xfId="11528" xr:uid="{42888AC7-C0D3-4376-A3DE-083B76D1C2D7}"/>
    <cellStyle name="Normal 4 3 2 2 2 2 3 3" xfId="5159" xr:uid="{00000000-0005-0000-0000-000023140000}"/>
    <cellStyle name="Normal 4 3 2 2 2 2 3 3 2" xfId="13601" xr:uid="{EA7C5CBB-776C-4508-8A9F-CC94BB740852}"/>
    <cellStyle name="Normal 4 3 2 2 2 2 3 4" xfId="9383" xr:uid="{09470E6E-0492-43BB-84F7-B5D149DE34CA}"/>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2 2" xfId="16159" xr:uid="{64B0924F-00D4-4EF5-884E-963F79FA0946}"/>
    <cellStyle name="Normal 4 3 2 2 2 2 4 2 3" xfId="11941" xr:uid="{E416B35C-E4A1-4246-BCE3-8077C2DF1D51}"/>
    <cellStyle name="Normal 4 3 2 2 2 2 4 3" xfId="5572" xr:uid="{00000000-0005-0000-0000-000027140000}"/>
    <cellStyle name="Normal 4 3 2 2 2 2 4 3 2" xfId="14014" xr:uid="{75AE6F66-54A7-435F-9ADA-79F5DA5CCC7C}"/>
    <cellStyle name="Normal 4 3 2 2 2 2 4 4" xfId="9796" xr:uid="{26FCF5B0-438C-487F-9963-AD321887F1BE}"/>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2 2 2" xfId="16572" xr:uid="{65DBC022-C17B-4DE8-835E-925867581503}"/>
    <cellStyle name="Normal 4 3 2 2 2 2 5 2 3" xfId="12354" xr:uid="{08D22C35-937D-40C5-946E-BDF9751C7052}"/>
    <cellStyle name="Normal 4 3 2 2 2 2 5 3" xfId="5985" xr:uid="{00000000-0005-0000-0000-00002B140000}"/>
    <cellStyle name="Normal 4 3 2 2 2 2 5 3 2" xfId="14427" xr:uid="{468C2899-D3C8-4D79-AA94-BA6E707C8F55}"/>
    <cellStyle name="Normal 4 3 2 2 2 2 5 4" xfId="10209" xr:uid="{9E565342-BFE6-4B75-968F-FC6B4641106D}"/>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2 2 2" xfId="16985" xr:uid="{C93D2AEA-4970-4C66-B794-BD39DCED921C}"/>
    <cellStyle name="Normal 4 3 2 2 2 2 6 2 3" xfId="12767" xr:uid="{349C269E-07AF-4F26-A8FF-32075719BFD6}"/>
    <cellStyle name="Normal 4 3 2 2 2 2 6 3" xfId="6398" xr:uid="{00000000-0005-0000-0000-00002F140000}"/>
    <cellStyle name="Normal 4 3 2 2 2 2 6 3 2" xfId="14840" xr:uid="{916E4C57-AE31-4840-BFC5-58EC890114DC}"/>
    <cellStyle name="Normal 4 3 2 2 2 2 6 4" xfId="10622" xr:uid="{A783FDF0-7F60-4C42-A2D9-E7A6DC33734A}"/>
    <cellStyle name="Normal 4 3 2 2 2 2 7" xfId="2527" xr:uid="{00000000-0005-0000-0000-000030140000}"/>
    <cellStyle name="Normal 4 3 2 2 2 2 7 2" xfId="6811" xr:uid="{00000000-0005-0000-0000-000031140000}"/>
    <cellStyle name="Normal 4 3 2 2 2 2 7 2 2" xfId="15253" xr:uid="{6FAE5AA1-29E3-4CA5-B89F-15218805EBB2}"/>
    <cellStyle name="Normal 4 3 2 2 2 2 7 3" xfId="11035" xr:uid="{6DFA5AAB-963D-46F2-9594-96E08296D9EA}"/>
    <cellStyle name="Normal 4 3 2 2 2 2 8" xfId="4746" xr:uid="{00000000-0005-0000-0000-000032140000}"/>
    <cellStyle name="Normal 4 3 2 2 2 2 8 2" xfId="13188" xr:uid="{B2EE4304-17FB-4799-92B9-7223F90C5EA0}"/>
    <cellStyle name="Normal 4 3 2 2 2 2 9" xfId="8970" xr:uid="{C8970798-247E-478E-93BE-981C291DF95D}"/>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15748" xr:uid="{B4EEE88E-EEE4-443E-82AC-ED0210BC0254}"/>
    <cellStyle name="Normal 4 3 2 2 2 3 2 2 3" xfId="11530" xr:uid="{3353D36A-77C9-4EB2-B59A-4CA11BC30DCC}"/>
    <cellStyle name="Normal 4 3 2 2 2 3 2 3" xfId="5161" xr:uid="{00000000-0005-0000-0000-000037140000}"/>
    <cellStyle name="Normal 4 3 2 2 2 3 2 3 2" xfId="13603" xr:uid="{FB8E5A83-6DFF-4AF1-8FC1-BB5BCDDC9F31}"/>
    <cellStyle name="Normal 4 3 2 2 2 3 2 4" xfId="9385" xr:uid="{22CD0FB5-01E6-4332-AC2F-6AF9A4E39CA5}"/>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2 2" xfId="16161" xr:uid="{D7B80EB8-3F38-4E43-AACE-E4BADFE85E7D}"/>
    <cellStyle name="Normal 4 3 2 2 2 3 3 2 3" xfId="11943" xr:uid="{21F80E0C-449C-4267-9B75-E1E5F3472B99}"/>
    <cellStyle name="Normal 4 3 2 2 2 3 3 3" xfId="5574" xr:uid="{00000000-0005-0000-0000-00003B140000}"/>
    <cellStyle name="Normal 4 3 2 2 2 3 3 3 2" xfId="14016" xr:uid="{2EA11202-A564-4851-A924-91229C9659E8}"/>
    <cellStyle name="Normal 4 3 2 2 2 3 3 4" xfId="9798" xr:uid="{A24C857E-FE20-46AB-AB36-5903EB228B25}"/>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2 2 2" xfId="16574" xr:uid="{68E7CF4B-304E-49D9-B2D9-D5A38C42C4DC}"/>
    <cellStyle name="Normal 4 3 2 2 2 3 4 2 3" xfId="12356" xr:uid="{F0ACB86E-5F48-4B1F-985E-ABC71CF2B97A}"/>
    <cellStyle name="Normal 4 3 2 2 2 3 4 3" xfId="5987" xr:uid="{00000000-0005-0000-0000-00003F140000}"/>
    <cellStyle name="Normal 4 3 2 2 2 3 4 3 2" xfId="14429" xr:uid="{EF319462-2A05-4EBD-8AB9-E5DC93BC4459}"/>
    <cellStyle name="Normal 4 3 2 2 2 3 4 4" xfId="10211" xr:uid="{934899C8-2800-4721-B1E0-7AAE8AAF7CB6}"/>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2 2 2" xfId="16987" xr:uid="{732FF6D4-68A0-419E-BDE7-BC8F3ABA4A36}"/>
    <cellStyle name="Normal 4 3 2 2 2 3 5 2 3" xfId="12769" xr:uid="{EBB01061-A5FF-4A51-91D3-CDF96ABC2447}"/>
    <cellStyle name="Normal 4 3 2 2 2 3 5 3" xfId="6400" xr:uid="{00000000-0005-0000-0000-000043140000}"/>
    <cellStyle name="Normal 4 3 2 2 2 3 5 3 2" xfId="14842" xr:uid="{B8E5B92A-A361-40C5-9E00-0699DE53068E}"/>
    <cellStyle name="Normal 4 3 2 2 2 3 5 4" xfId="10624" xr:uid="{ABCAE0A4-1A7F-456F-842C-E78D98607FCB}"/>
    <cellStyle name="Normal 4 3 2 2 2 3 6" xfId="2529" xr:uid="{00000000-0005-0000-0000-000044140000}"/>
    <cellStyle name="Normal 4 3 2 2 2 3 6 2" xfId="6813" xr:uid="{00000000-0005-0000-0000-000045140000}"/>
    <cellStyle name="Normal 4 3 2 2 2 3 6 2 2" xfId="15255" xr:uid="{8577F97D-E97B-4969-932E-1AF089DAE960}"/>
    <cellStyle name="Normal 4 3 2 2 2 3 6 3" xfId="11037" xr:uid="{8700BB9F-6D41-4100-91C5-815FB5F91126}"/>
    <cellStyle name="Normal 4 3 2 2 2 3 7" xfId="4748" xr:uid="{00000000-0005-0000-0000-000046140000}"/>
    <cellStyle name="Normal 4 3 2 2 2 3 7 2" xfId="13190" xr:uid="{54D57547-B7DB-44C9-980F-2E036785073E}"/>
    <cellStyle name="Normal 4 3 2 2 2 3 8" xfId="8972" xr:uid="{6CF4E331-A4C4-497E-8238-AE931BC1F6C5}"/>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15745" xr:uid="{D5787526-0C5B-412C-A1D2-856DFFE1032D}"/>
    <cellStyle name="Normal 4 3 2 2 2 4 2 3" xfId="11527" xr:uid="{C2DD6678-C263-4DAD-BE1E-F8C2A004034D}"/>
    <cellStyle name="Normal 4 3 2 2 2 4 3" xfId="5158" xr:uid="{00000000-0005-0000-0000-00004A140000}"/>
    <cellStyle name="Normal 4 3 2 2 2 4 3 2" xfId="13600" xr:uid="{2ADE8845-870C-4151-A790-7485A671D3BB}"/>
    <cellStyle name="Normal 4 3 2 2 2 4 4" xfId="9382" xr:uid="{7EC7656E-C3A1-4E36-A4B2-F2B46F17D74E}"/>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2 2" xfId="16158" xr:uid="{683F7634-A200-41AE-85E3-320B623F6294}"/>
    <cellStyle name="Normal 4 3 2 2 2 5 2 3" xfId="11940" xr:uid="{8A613DA0-F5E6-416E-A711-57F47F658322}"/>
    <cellStyle name="Normal 4 3 2 2 2 5 3" xfId="5571" xr:uid="{00000000-0005-0000-0000-00004E140000}"/>
    <cellStyle name="Normal 4 3 2 2 2 5 3 2" xfId="14013" xr:uid="{0933614A-625A-42E7-9601-03A8D276020D}"/>
    <cellStyle name="Normal 4 3 2 2 2 5 4" xfId="9795" xr:uid="{01FA466C-C15D-4D5A-A783-0A984E3B7FDA}"/>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2 2 2" xfId="16571" xr:uid="{0847B40D-4801-4186-AA19-16DBB59C68E7}"/>
    <cellStyle name="Normal 4 3 2 2 2 6 2 3" xfId="12353" xr:uid="{70305666-DC6D-4D21-A573-795F0FE8BAAA}"/>
    <cellStyle name="Normal 4 3 2 2 2 6 3" xfId="5984" xr:uid="{00000000-0005-0000-0000-000052140000}"/>
    <cellStyle name="Normal 4 3 2 2 2 6 3 2" xfId="14426" xr:uid="{F15C57F8-8765-4443-843E-61304EFAB30B}"/>
    <cellStyle name="Normal 4 3 2 2 2 6 4" xfId="10208" xr:uid="{6BB6C89C-388F-4231-BCEE-4AAA1408FBFF}"/>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2 2 2" xfId="16984" xr:uid="{8A3859A9-33A5-4B83-8593-75242523B671}"/>
    <cellStyle name="Normal 4 3 2 2 2 7 2 3" xfId="12766" xr:uid="{6FE526AD-DF7E-45BC-B204-F596EEA4F069}"/>
    <cellStyle name="Normal 4 3 2 2 2 7 3" xfId="6397" xr:uid="{00000000-0005-0000-0000-000056140000}"/>
    <cellStyle name="Normal 4 3 2 2 2 7 3 2" xfId="14839" xr:uid="{E1CDB9A1-3016-4A00-A550-6F0B3DF41264}"/>
    <cellStyle name="Normal 4 3 2 2 2 7 4" xfId="10621" xr:uid="{4A4FD8F4-1C0C-46D8-8394-69C924C541F0}"/>
    <cellStyle name="Normal 4 3 2 2 2 8" xfId="2526" xr:uid="{00000000-0005-0000-0000-000057140000}"/>
    <cellStyle name="Normal 4 3 2 2 2 8 2" xfId="6810" xr:uid="{00000000-0005-0000-0000-000058140000}"/>
    <cellStyle name="Normal 4 3 2 2 2 8 2 2" xfId="15252" xr:uid="{B9FDA644-E7A9-4F86-8EED-35464AD6FB99}"/>
    <cellStyle name="Normal 4 3 2 2 2 8 3" xfId="11034" xr:uid="{E0195142-CAC9-49DD-8E26-0B2B605AE4F7}"/>
    <cellStyle name="Normal 4 3 2 2 2 9" xfId="4745" xr:uid="{00000000-0005-0000-0000-000059140000}"/>
    <cellStyle name="Normal 4 3 2 2 2 9 2" xfId="13187" xr:uid="{DF95A93B-4541-40A7-978B-139F7FDD0E2F}"/>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73" xr:uid="{CABF3D6D-4E92-4330-BE87-08B60BFD1674}"/>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15751" xr:uid="{AF0A7AA5-2BEC-4ECF-B99A-6C16FDAEE97A}"/>
    <cellStyle name="Normal 4 3 3 2 2 2 2 3" xfId="11533" xr:uid="{83E39C46-EBE4-41C5-80CE-BD6EACF24B58}"/>
    <cellStyle name="Normal 4 3 3 2 2 2 3" xfId="5164" xr:uid="{00000000-0005-0000-0000-000063140000}"/>
    <cellStyle name="Normal 4 3 3 2 2 2 3 2" xfId="13606" xr:uid="{042C9AFE-445B-44F4-AEDB-2F467F941709}"/>
    <cellStyle name="Normal 4 3 3 2 2 2 4" xfId="9388" xr:uid="{1AFB5694-BBA5-4019-8451-8871B1AB4F07}"/>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2 2" xfId="16164" xr:uid="{9DE02967-20A4-4151-88E1-C6D86D446B27}"/>
    <cellStyle name="Normal 4 3 3 2 2 3 2 3" xfId="11946" xr:uid="{33F7432D-DB27-4444-B50C-38D5CDC2B452}"/>
    <cellStyle name="Normal 4 3 3 2 2 3 3" xfId="5577" xr:uid="{00000000-0005-0000-0000-000067140000}"/>
    <cellStyle name="Normal 4 3 3 2 2 3 3 2" xfId="14019" xr:uid="{2F471928-41BF-4631-BED9-1A9D7B373E57}"/>
    <cellStyle name="Normal 4 3 3 2 2 3 4" xfId="9801" xr:uid="{DD9EB601-E1D5-4895-B3E3-AC3C2DA92551}"/>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2 2 2" xfId="16577" xr:uid="{534C0627-D284-45BE-8D80-B4371583CE9C}"/>
    <cellStyle name="Normal 4 3 3 2 2 4 2 3" xfId="12359" xr:uid="{E135C1BF-5C58-43B3-9017-5D693695023A}"/>
    <cellStyle name="Normal 4 3 3 2 2 4 3" xfId="5990" xr:uid="{00000000-0005-0000-0000-00006B140000}"/>
    <cellStyle name="Normal 4 3 3 2 2 4 3 2" xfId="14432" xr:uid="{B1FF5E21-119E-4BDB-A4EC-651C88C8B3B0}"/>
    <cellStyle name="Normal 4 3 3 2 2 4 4" xfId="10214" xr:uid="{17E8AD03-0507-4312-8221-D83151108108}"/>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2 2 2" xfId="16990" xr:uid="{A585C28D-D71A-45B1-B9CA-15462C3E89F4}"/>
    <cellStyle name="Normal 4 3 3 2 2 5 2 3" xfId="12772" xr:uid="{B2435E8C-909D-46BE-BA93-064A9880F15B}"/>
    <cellStyle name="Normal 4 3 3 2 2 5 3" xfId="6403" xr:uid="{00000000-0005-0000-0000-00006F140000}"/>
    <cellStyle name="Normal 4 3 3 2 2 5 3 2" xfId="14845" xr:uid="{DE601C5B-3725-48CB-B42A-7E1D6AA097DA}"/>
    <cellStyle name="Normal 4 3 3 2 2 5 4" xfId="10627" xr:uid="{4B36B4AD-2848-499E-9A07-78A3FA6BF795}"/>
    <cellStyle name="Normal 4 3 3 2 2 6" xfId="2532" xr:uid="{00000000-0005-0000-0000-000070140000}"/>
    <cellStyle name="Normal 4 3 3 2 2 6 2" xfId="6816" xr:uid="{00000000-0005-0000-0000-000071140000}"/>
    <cellStyle name="Normal 4 3 3 2 2 6 2 2" xfId="15258" xr:uid="{987B335A-3F2E-4E91-9B76-96E8473D1750}"/>
    <cellStyle name="Normal 4 3 3 2 2 6 3" xfId="11040" xr:uid="{9055F392-9BE1-4BF2-BD73-103F5A5E4FAF}"/>
    <cellStyle name="Normal 4 3 3 2 2 7" xfId="4751" xr:uid="{00000000-0005-0000-0000-000072140000}"/>
    <cellStyle name="Normal 4 3 3 2 2 7 2" xfId="13193" xr:uid="{C3A1A826-FC48-4520-9CD8-DA22F1C47888}"/>
    <cellStyle name="Normal 4 3 3 2 2 8" xfId="8975" xr:uid="{A16BF698-B047-468F-A09F-7D6C62933A72}"/>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15750" xr:uid="{10318594-E90D-4AEA-87F0-C48869B47657}"/>
    <cellStyle name="Normal 4 3 3 2 3 2 3" xfId="11532" xr:uid="{9401754D-D13C-41CE-A86E-D6421A0BFD03}"/>
    <cellStyle name="Normal 4 3 3 2 3 3" xfId="5163" xr:uid="{00000000-0005-0000-0000-000076140000}"/>
    <cellStyle name="Normal 4 3 3 2 3 3 2" xfId="13605" xr:uid="{7483F4BD-A904-4742-A37B-8439FE1E18DB}"/>
    <cellStyle name="Normal 4 3 3 2 3 4" xfId="9387" xr:uid="{052C8456-A740-4311-A7A1-E85B73C44938}"/>
    <cellStyle name="Normal 4 3 3 2 4" xfId="1268" xr:uid="{00000000-0005-0000-0000-000077140000}"/>
    <cellStyle name="Normal 4 3 3 2 4 2" xfId="3498" xr:uid="{00000000-0005-0000-0000-000078140000}"/>
    <cellStyle name="Normal 4 3 3 2 4 2 2" xfId="7721" xr:uid="{00000000-0005-0000-0000-000079140000}"/>
    <cellStyle name="Normal 4 3 3 2 4 2 2 2" xfId="16163" xr:uid="{B3509217-6D5A-4E1F-B67F-01673CD4774B}"/>
    <cellStyle name="Normal 4 3 3 2 4 2 3" xfId="11945" xr:uid="{7B3A4DCA-122B-4CCB-9137-DCEE2344C0E6}"/>
    <cellStyle name="Normal 4 3 3 2 4 3" xfId="5576" xr:uid="{00000000-0005-0000-0000-00007A140000}"/>
    <cellStyle name="Normal 4 3 3 2 4 3 2" xfId="14018" xr:uid="{E2647D35-4AD0-462F-A10C-D044888A5D78}"/>
    <cellStyle name="Normal 4 3 3 2 4 4" xfId="9800" xr:uid="{2D829AC5-CD69-4B41-B20F-D6C4F30682B2}"/>
    <cellStyle name="Normal 4 3 3 2 5" xfId="1681" xr:uid="{00000000-0005-0000-0000-00007B140000}"/>
    <cellStyle name="Normal 4 3 3 2 5 2" xfId="3911" xr:uid="{00000000-0005-0000-0000-00007C140000}"/>
    <cellStyle name="Normal 4 3 3 2 5 2 2" xfId="8134" xr:uid="{00000000-0005-0000-0000-00007D140000}"/>
    <cellStyle name="Normal 4 3 3 2 5 2 2 2" xfId="16576" xr:uid="{4F3DCE16-118C-4FF0-927E-D04B62A5467F}"/>
    <cellStyle name="Normal 4 3 3 2 5 2 3" xfId="12358" xr:uid="{87B7798F-CB79-4C4F-9BCF-FCA1BFA33FAC}"/>
    <cellStyle name="Normal 4 3 3 2 5 3" xfId="5989" xr:uid="{00000000-0005-0000-0000-00007E140000}"/>
    <cellStyle name="Normal 4 3 3 2 5 3 2" xfId="14431" xr:uid="{F9FC8115-8757-41D9-B2D3-9ECE44041A15}"/>
    <cellStyle name="Normal 4 3 3 2 5 4" xfId="10213" xr:uid="{86A5F663-E72A-42D0-9964-0CC36A93D464}"/>
    <cellStyle name="Normal 4 3 3 2 6" xfId="2095" xr:uid="{00000000-0005-0000-0000-00007F140000}"/>
    <cellStyle name="Normal 4 3 3 2 6 2" xfId="4324" xr:uid="{00000000-0005-0000-0000-000080140000}"/>
    <cellStyle name="Normal 4 3 3 2 6 2 2" xfId="8547" xr:uid="{00000000-0005-0000-0000-000081140000}"/>
    <cellStyle name="Normal 4 3 3 2 6 2 2 2" xfId="16989" xr:uid="{68C208AB-81E6-4DBF-859C-02CD05EB09D0}"/>
    <cellStyle name="Normal 4 3 3 2 6 2 3" xfId="12771" xr:uid="{D0EC52F1-CC93-48BF-B569-EEA478BD7FBD}"/>
    <cellStyle name="Normal 4 3 3 2 6 3" xfId="6402" xr:uid="{00000000-0005-0000-0000-000082140000}"/>
    <cellStyle name="Normal 4 3 3 2 6 3 2" xfId="14844" xr:uid="{9C438712-2AEF-490C-8211-A1D9F0E9FF71}"/>
    <cellStyle name="Normal 4 3 3 2 6 4" xfId="10626" xr:uid="{3FAAA407-DAEC-4308-8C3C-3098D1ECFAC2}"/>
    <cellStyle name="Normal 4 3 3 2 7" xfId="2531" xr:uid="{00000000-0005-0000-0000-000083140000}"/>
    <cellStyle name="Normal 4 3 3 2 7 2" xfId="6815" xr:uid="{00000000-0005-0000-0000-000084140000}"/>
    <cellStyle name="Normal 4 3 3 2 7 2 2" xfId="15257" xr:uid="{5546F139-BDFF-4FB2-97C0-B46E66AAC517}"/>
    <cellStyle name="Normal 4 3 3 2 7 3" xfId="11039" xr:uid="{BBF449D5-6D32-418E-BBB4-0F24887FBC7F}"/>
    <cellStyle name="Normal 4 3 3 2 8" xfId="4750" xr:uid="{00000000-0005-0000-0000-000085140000}"/>
    <cellStyle name="Normal 4 3 3 2 8 2" xfId="13192" xr:uid="{BF6A0D41-F688-4C3D-B812-1F57402DE112}"/>
    <cellStyle name="Normal 4 3 3 2 9" xfId="8974" xr:uid="{30B19953-F424-4AC9-AE2D-D648A950F6D9}"/>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15752" xr:uid="{4D74DBDA-6D0A-4D08-ABE7-890802C6CB9D}"/>
    <cellStyle name="Normal 4 3 3 3 2 2 3" xfId="11534" xr:uid="{9EBE8273-8566-40C6-A19E-7E5B83BE5E1A}"/>
    <cellStyle name="Normal 4 3 3 3 2 3" xfId="5165" xr:uid="{00000000-0005-0000-0000-00008A140000}"/>
    <cellStyle name="Normal 4 3 3 3 2 3 2" xfId="13607" xr:uid="{9280BB4E-608D-436A-AAEF-9FCF400213B3}"/>
    <cellStyle name="Normal 4 3 3 3 2 4" xfId="9389" xr:uid="{8E383B83-57F3-42E8-927E-D8C580229C5B}"/>
    <cellStyle name="Normal 4 3 3 3 3" xfId="1270" xr:uid="{00000000-0005-0000-0000-00008B140000}"/>
    <cellStyle name="Normal 4 3 3 3 3 2" xfId="3500" xr:uid="{00000000-0005-0000-0000-00008C140000}"/>
    <cellStyle name="Normal 4 3 3 3 3 2 2" xfId="7723" xr:uid="{00000000-0005-0000-0000-00008D140000}"/>
    <cellStyle name="Normal 4 3 3 3 3 2 2 2" xfId="16165" xr:uid="{391E400B-3EC5-4CD5-AD5C-0F8A611B035C}"/>
    <cellStyle name="Normal 4 3 3 3 3 2 3" xfId="11947" xr:uid="{E54D4B29-AA1E-4AB8-82B7-E489C32EAE77}"/>
    <cellStyle name="Normal 4 3 3 3 3 3" xfId="5578" xr:uid="{00000000-0005-0000-0000-00008E140000}"/>
    <cellStyle name="Normal 4 3 3 3 3 3 2" xfId="14020" xr:uid="{CF854D53-4E09-4C56-AEDB-FF87BB6DFF12}"/>
    <cellStyle name="Normal 4 3 3 3 3 4" xfId="9802" xr:uid="{51D4CF85-A862-4C0A-8039-8869B1C66C54}"/>
    <cellStyle name="Normal 4 3 3 3 4" xfId="1683" xr:uid="{00000000-0005-0000-0000-00008F140000}"/>
    <cellStyle name="Normal 4 3 3 3 4 2" xfId="3913" xr:uid="{00000000-0005-0000-0000-000090140000}"/>
    <cellStyle name="Normal 4 3 3 3 4 2 2" xfId="8136" xr:uid="{00000000-0005-0000-0000-000091140000}"/>
    <cellStyle name="Normal 4 3 3 3 4 2 2 2" xfId="16578" xr:uid="{7CFD709C-3E32-4477-84F9-E76ABF3B7004}"/>
    <cellStyle name="Normal 4 3 3 3 4 2 3" xfId="12360" xr:uid="{E9346AAA-287F-4E9C-9EA4-0E2E423A5B0B}"/>
    <cellStyle name="Normal 4 3 3 3 4 3" xfId="5991" xr:uid="{00000000-0005-0000-0000-000092140000}"/>
    <cellStyle name="Normal 4 3 3 3 4 3 2" xfId="14433" xr:uid="{719A0C80-B6C5-4BB2-90C0-CB2684BD89EB}"/>
    <cellStyle name="Normal 4 3 3 3 4 4" xfId="10215" xr:uid="{8DE1463F-B349-4DAE-AA47-94F64C16EA05}"/>
    <cellStyle name="Normal 4 3 3 3 5" xfId="2097" xr:uid="{00000000-0005-0000-0000-000093140000}"/>
    <cellStyle name="Normal 4 3 3 3 5 2" xfId="4326" xr:uid="{00000000-0005-0000-0000-000094140000}"/>
    <cellStyle name="Normal 4 3 3 3 5 2 2" xfId="8549" xr:uid="{00000000-0005-0000-0000-000095140000}"/>
    <cellStyle name="Normal 4 3 3 3 5 2 2 2" xfId="16991" xr:uid="{84CC6F38-24B3-46FF-93AC-47F512AB3CCA}"/>
    <cellStyle name="Normal 4 3 3 3 5 2 3" xfId="12773" xr:uid="{F61A7429-644E-462F-B4EE-C1B6F676F212}"/>
    <cellStyle name="Normal 4 3 3 3 5 3" xfId="6404" xr:uid="{00000000-0005-0000-0000-000096140000}"/>
    <cellStyle name="Normal 4 3 3 3 5 3 2" xfId="14846" xr:uid="{58B4D39A-6E12-4CBD-B372-1066F590E827}"/>
    <cellStyle name="Normal 4 3 3 3 5 4" xfId="10628" xr:uid="{3DEA8341-97F3-4C75-B31D-8ED10400059D}"/>
    <cellStyle name="Normal 4 3 3 3 6" xfId="2533" xr:uid="{00000000-0005-0000-0000-000097140000}"/>
    <cellStyle name="Normal 4 3 3 3 6 2" xfId="6817" xr:uid="{00000000-0005-0000-0000-000098140000}"/>
    <cellStyle name="Normal 4 3 3 3 6 2 2" xfId="15259" xr:uid="{33187303-51A1-43B8-8CC8-2D93EC48B783}"/>
    <cellStyle name="Normal 4 3 3 3 6 3" xfId="11041" xr:uid="{FA90338B-508B-48AE-AE85-F13058D7DCFA}"/>
    <cellStyle name="Normal 4 3 3 3 7" xfId="4752" xr:uid="{00000000-0005-0000-0000-000099140000}"/>
    <cellStyle name="Normal 4 3 3 3 7 2" xfId="13194" xr:uid="{24EB4B25-8A9B-48E6-AB10-7C4E38FF66B6}"/>
    <cellStyle name="Normal 4 3 3 3 8" xfId="8976" xr:uid="{F09BD939-9A03-47C8-8D4F-604211D646A9}"/>
    <cellStyle name="Normal 4 3 3 4" xfId="849" xr:uid="{00000000-0005-0000-0000-00009A140000}"/>
    <cellStyle name="Normal 4 3 3 4 2" xfId="3084" xr:uid="{00000000-0005-0000-0000-00009B140000}"/>
    <cellStyle name="Normal 4 3 3 4 2 2" xfId="7307" xr:uid="{00000000-0005-0000-0000-00009C140000}"/>
    <cellStyle name="Normal 4 3 3 4 2 2 2" xfId="15749" xr:uid="{60AC0431-60B1-4558-BF12-65997CD3369F}"/>
    <cellStyle name="Normal 4 3 3 4 2 3" xfId="11531" xr:uid="{5CFC6B26-1512-4411-8312-C03176A5E20B}"/>
    <cellStyle name="Normal 4 3 3 4 3" xfId="5162" xr:uid="{00000000-0005-0000-0000-00009D140000}"/>
    <cellStyle name="Normal 4 3 3 4 3 2" xfId="13604" xr:uid="{8427F67C-39C3-4370-A6C9-ACF30E86D155}"/>
    <cellStyle name="Normal 4 3 3 4 4" xfId="9386" xr:uid="{A08D6E78-5949-412B-B132-F28A34C0D286}"/>
    <cellStyle name="Normal 4 3 3 5" xfId="1267" xr:uid="{00000000-0005-0000-0000-00009E140000}"/>
    <cellStyle name="Normal 4 3 3 5 2" xfId="3497" xr:uid="{00000000-0005-0000-0000-00009F140000}"/>
    <cellStyle name="Normal 4 3 3 5 2 2" xfId="7720" xr:uid="{00000000-0005-0000-0000-0000A0140000}"/>
    <cellStyle name="Normal 4 3 3 5 2 2 2" xfId="16162" xr:uid="{503FBEB8-300D-493A-91BC-A844072DBBC5}"/>
    <cellStyle name="Normal 4 3 3 5 2 3" xfId="11944" xr:uid="{D65BE8CC-B684-4D59-BC3C-21512376E834}"/>
    <cellStyle name="Normal 4 3 3 5 3" xfId="5575" xr:uid="{00000000-0005-0000-0000-0000A1140000}"/>
    <cellStyle name="Normal 4 3 3 5 3 2" xfId="14017" xr:uid="{3790ACCF-2922-4CBE-A692-4FFE3AE84A42}"/>
    <cellStyle name="Normal 4 3 3 5 4" xfId="9799" xr:uid="{B396729E-4758-4F9C-9FB0-F8A71535805C}"/>
    <cellStyle name="Normal 4 3 3 6" xfId="1680" xr:uid="{00000000-0005-0000-0000-0000A2140000}"/>
    <cellStyle name="Normal 4 3 3 6 2" xfId="3910" xr:uid="{00000000-0005-0000-0000-0000A3140000}"/>
    <cellStyle name="Normal 4 3 3 6 2 2" xfId="8133" xr:uid="{00000000-0005-0000-0000-0000A4140000}"/>
    <cellStyle name="Normal 4 3 3 6 2 2 2" xfId="16575" xr:uid="{D18C8705-190C-4BEF-AB9C-F2A5EC6F224A}"/>
    <cellStyle name="Normal 4 3 3 6 2 3" xfId="12357" xr:uid="{727C8CEC-B7CA-4C5C-8758-B64863110A20}"/>
    <cellStyle name="Normal 4 3 3 6 3" xfId="5988" xr:uid="{00000000-0005-0000-0000-0000A5140000}"/>
    <cellStyle name="Normal 4 3 3 6 3 2" xfId="14430" xr:uid="{EC4677F0-22C2-454D-BCD3-7202BFB484D7}"/>
    <cellStyle name="Normal 4 3 3 6 4" xfId="10212" xr:uid="{DB60F0CB-3E86-4D59-B338-48D8CC63E273}"/>
    <cellStyle name="Normal 4 3 3 7" xfId="2094" xr:uid="{00000000-0005-0000-0000-0000A6140000}"/>
    <cellStyle name="Normal 4 3 3 7 2" xfId="4323" xr:uid="{00000000-0005-0000-0000-0000A7140000}"/>
    <cellStyle name="Normal 4 3 3 7 2 2" xfId="8546" xr:uid="{00000000-0005-0000-0000-0000A8140000}"/>
    <cellStyle name="Normal 4 3 3 7 2 2 2" xfId="16988" xr:uid="{B47BE5E6-E140-4DD2-AEEC-393D5167D3B2}"/>
    <cellStyle name="Normal 4 3 3 7 2 3" xfId="12770" xr:uid="{8780690B-2CBD-4915-8D72-9C9EC5E285EB}"/>
    <cellStyle name="Normal 4 3 3 7 3" xfId="6401" xr:uid="{00000000-0005-0000-0000-0000A9140000}"/>
    <cellStyle name="Normal 4 3 3 7 3 2" xfId="14843" xr:uid="{7B8A095B-E053-4212-8175-0035CDB4F130}"/>
    <cellStyle name="Normal 4 3 3 7 4" xfId="10625" xr:uid="{96F47F83-2F7F-413D-80FE-BFD57D42BEC4}"/>
    <cellStyle name="Normal 4 3 3 8" xfId="2530" xr:uid="{00000000-0005-0000-0000-0000AA140000}"/>
    <cellStyle name="Normal 4 3 3 8 2" xfId="6814" xr:uid="{00000000-0005-0000-0000-0000AB140000}"/>
    <cellStyle name="Normal 4 3 3 8 2 2" xfId="15256" xr:uid="{5C13FFF7-E27B-4DDC-8490-638E8BDA0321}"/>
    <cellStyle name="Normal 4 3 3 8 3" xfId="11038" xr:uid="{0F1177C9-C936-4DB2-AE1D-EEA985BF7893}"/>
    <cellStyle name="Normal 4 3 3 9" xfId="4749" xr:uid="{00000000-0005-0000-0000-0000AC140000}"/>
    <cellStyle name="Normal 4 3 3 9 2" xfId="13191" xr:uid="{853987A2-FF84-4AB3-93DE-DA1D8D703A66}"/>
    <cellStyle name="Normal 4 3 4" xfId="842" xr:uid="{00000000-0005-0000-0000-0000AD140000}"/>
    <cellStyle name="Normal 4 3 4 2" xfId="3079" xr:uid="{00000000-0005-0000-0000-0000AE140000}"/>
    <cellStyle name="Normal 4 3 4 2 2" xfId="7302" xr:uid="{00000000-0005-0000-0000-0000AF140000}"/>
    <cellStyle name="Normal 4 3 4 2 2 2" xfId="15744" xr:uid="{8CEE6127-479B-4AFC-B223-A53FF49092FF}"/>
    <cellStyle name="Normal 4 3 4 2 3" xfId="11526" xr:uid="{FE7DA3E6-45E8-41D1-A169-5F775F0D5BE2}"/>
    <cellStyle name="Normal 4 3 4 3" xfId="5157" xr:uid="{00000000-0005-0000-0000-0000B0140000}"/>
    <cellStyle name="Normal 4 3 4 3 2" xfId="13599" xr:uid="{D3788285-A665-4BE4-9912-567496D387E8}"/>
    <cellStyle name="Normal 4 3 4 4" xfId="9381" xr:uid="{3DAF3F15-6899-4717-B83A-ED9D79B9F87B}"/>
    <cellStyle name="Normal 4 3 5" xfId="1262" xr:uid="{00000000-0005-0000-0000-0000B1140000}"/>
    <cellStyle name="Normal 4 3 5 2" xfId="3492" xr:uid="{00000000-0005-0000-0000-0000B2140000}"/>
    <cellStyle name="Normal 4 3 5 2 2" xfId="7715" xr:uid="{00000000-0005-0000-0000-0000B3140000}"/>
    <cellStyle name="Normal 4 3 5 2 2 2" xfId="16157" xr:uid="{D52C6CA3-2C4D-4AA9-AFB8-60D21887CE3B}"/>
    <cellStyle name="Normal 4 3 5 2 3" xfId="11939" xr:uid="{107E1A74-D671-42B9-B7AF-30171380E642}"/>
    <cellStyle name="Normal 4 3 5 3" xfId="5570" xr:uid="{00000000-0005-0000-0000-0000B4140000}"/>
    <cellStyle name="Normal 4 3 5 3 2" xfId="14012" xr:uid="{3EA8E3BA-4BBA-48B8-8313-CE77AD702E55}"/>
    <cellStyle name="Normal 4 3 5 4" xfId="9794" xr:uid="{2ADB7A95-4604-43AA-81B8-78FAA45A586F}"/>
    <cellStyle name="Normal 4 3 6" xfId="1675" xr:uid="{00000000-0005-0000-0000-0000B5140000}"/>
    <cellStyle name="Normal 4 3 6 2" xfId="3905" xr:uid="{00000000-0005-0000-0000-0000B6140000}"/>
    <cellStyle name="Normal 4 3 6 2 2" xfId="8128" xr:uid="{00000000-0005-0000-0000-0000B7140000}"/>
    <cellStyle name="Normal 4 3 6 2 2 2" xfId="16570" xr:uid="{EDFF358C-5943-4B11-BD94-67DA96CC3F79}"/>
    <cellStyle name="Normal 4 3 6 2 3" xfId="12352" xr:uid="{4BDA1FC1-F3BA-4C0D-A6F6-9BDF8E47DDC3}"/>
    <cellStyle name="Normal 4 3 6 3" xfId="5983" xr:uid="{00000000-0005-0000-0000-0000B8140000}"/>
    <cellStyle name="Normal 4 3 6 3 2" xfId="14425" xr:uid="{589F0E5E-483D-4E6F-ADB6-C891D15CAD6D}"/>
    <cellStyle name="Normal 4 3 6 4" xfId="10207" xr:uid="{58E7EFAA-116D-4F03-A527-98DF65C99AB2}"/>
    <cellStyle name="Normal 4 3 7" xfId="2089" xr:uid="{00000000-0005-0000-0000-0000B9140000}"/>
    <cellStyle name="Normal 4 3 7 2" xfId="4318" xr:uid="{00000000-0005-0000-0000-0000BA140000}"/>
    <cellStyle name="Normal 4 3 7 2 2" xfId="8541" xr:uid="{00000000-0005-0000-0000-0000BB140000}"/>
    <cellStyle name="Normal 4 3 7 2 2 2" xfId="16983" xr:uid="{1BA09256-191C-4AA8-87F6-78D5956C4DFA}"/>
    <cellStyle name="Normal 4 3 7 2 3" xfId="12765" xr:uid="{28B8CCBD-AC7A-4C2D-931A-F291E58EEA2C}"/>
    <cellStyle name="Normal 4 3 7 3" xfId="6396" xr:uid="{00000000-0005-0000-0000-0000BC140000}"/>
    <cellStyle name="Normal 4 3 7 3 2" xfId="14838" xr:uid="{9FEEDA01-884D-4F00-8A15-6E75DEB91F44}"/>
    <cellStyle name="Normal 4 3 7 4" xfId="10620" xr:uid="{FAA8696F-0E10-41EC-B943-50464C0AA8C4}"/>
    <cellStyle name="Normal 4 3 8" xfId="2525" xr:uid="{00000000-0005-0000-0000-0000BD140000}"/>
    <cellStyle name="Normal 4 3 8 2" xfId="6809" xr:uid="{00000000-0005-0000-0000-0000BE140000}"/>
    <cellStyle name="Normal 4 3 8 2 2" xfId="15251" xr:uid="{93C68327-2D34-4988-A1B4-A5B8426A1C15}"/>
    <cellStyle name="Normal 4 3 8 3" xfId="11033" xr:uid="{8B499D4D-3A6E-4BB2-9D6F-5679C096C831}"/>
    <cellStyle name="Normal 4 3 9" xfId="4744" xr:uid="{00000000-0005-0000-0000-0000BF140000}"/>
    <cellStyle name="Normal 4 3 9 2" xfId="13186" xr:uid="{2F0786B1-86E0-4421-B110-C19505177AD3}"/>
    <cellStyle name="Normal 4 4" xfId="378" xr:uid="{00000000-0005-0000-0000-0000C0140000}"/>
    <cellStyle name="Normal 4 4 10" xfId="2534" xr:uid="{00000000-0005-0000-0000-0000C1140000}"/>
    <cellStyle name="Normal 4 4 10 2" xfId="6818" xr:uid="{00000000-0005-0000-0000-0000C2140000}"/>
    <cellStyle name="Normal 4 4 10 2 2" xfId="15260" xr:uid="{773C69A6-B080-41CA-A6D2-C6DF9D52EFB9}"/>
    <cellStyle name="Normal 4 4 10 3" xfId="11042" xr:uid="{8C5EB2E4-5DD1-4289-8BE1-D6AC2DD947C1}"/>
    <cellStyle name="Normal 4 4 11" xfId="4753" xr:uid="{00000000-0005-0000-0000-0000C3140000}"/>
    <cellStyle name="Normal 4 4 11 2" xfId="13195" xr:uid="{8010BD54-5E11-4B31-A948-B93D5AAEB609}"/>
    <cellStyle name="Normal 4 4 12" xfId="8977" xr:uid="{471C98BE-105D-4BB0-A967-6018A6BEF8C4}"/>
    <cellStyle name="Normal 4 4 2" xfId="379" xr:uid="{00000000-0005-0000-0000-0000C4140000}"/>
    <cellStyle name="Normal 4 4 2 10" xfId="4754" xr:uid="{00000000-0005-0000-0000-0000C5140000}"/>
    <cellStyle name="Normal 4 4 2 10 2" xfId="13196" xr:uid="{E8328BBC-E592-4CD3-85AD-8015BCA737C5}"/>
    <cellStyle name="Normal 4 4 2 11" xfId="8978" xr:uid="{699A2E6D-EEB6-44D9-B8B4-7C8E0C46C2E4}"/>
    <cellStyle name="Normal 4 4 2 2" xfId="380" xr:uid="{00000000-0005-0000-0000-0000C6140000}"/>
    <cellStyle name="Normal 4 4 2 2 10" xfId="8979" xr:uid="{4A3E9395-1102-439C-A652-31787E1BF393}"/>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15757" xr:uid="{B032EEE0-C827-4A4D-A49A-73791702DE86}"/>
    <cellStyle name="Normal 4 4 2 2 2 2 2 2 3" xfId="11539" xr:uid="{97FD4368-4D3D-4B28-A16B-83FB6DD5B7AD}"/>
    <cellStyle name="Normal 4 4 2 2 2 2 2 3" xfId="5170" xr:uid="{00000000-0005-0000-0000-0000CC140000}"/>
    <cellStyle name="Normal 4 4 2 2 2 2 2 3 2" xfId="13612" xr:uid="{179D0926-7542-4087-A6AD-5AE6B55963F3}"/>
    <cellStyle name="Normal 4 4 2 2 2 2 2 4" xfId="9394" xr:uid="{18100FEA-D3E6-44D1-9F09-4B63256B28E3}"/>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2 2" xfId="16170" xr:uid="{4766A017-3B27-4287-A218-AA6CBAFF9C75}"/>
    <cellStyle name="Normal 4 4 2 2 2 2 3 2 3" xfId="11952" xr:uid="{5703618B-A0FB-4844-BA3C-2E29111AD779}"/>
    <cellStyle name="Normal 4 4 2 2 2 2 3 3" xfId="5583" xr:uid="{00000000-0005-0000-0000-0000D0140000}"/>
    <cellStyle name="Normal 4 4 2 2 2 2 3 3 2" xfId="14025" xr:uid="{6F2FE797-A8EB-4E77-9D77-E9D33EFD3838}"/>
    <cellStyle name="Normal 4 4 2 2 2 2 3 4" xfId="9807" xr:uid="{6D5C8D41-FAAD-4C75-98AD-9EA045D0BB6C}"/>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2 2 2" xfId="16583" xr:uid="{5446B81A-03F4-40C6-8A97-E5413B843F34}"/>
    <cellStyle name="Normal 4 4 2 2 2 2 4 2 3" xfId="12365" xr:uid="{5F91D10D-60AA-4F7B-92D2-01590AD8AFC4}"/>
    <cellStyle name="Normal 4 4 2 2 2 2 4 3" xfId="5996" xr:uid="{00000000-0005-0000-0000-0000D4140000}"/>
    <cellStyle name="Normal 4 4 2 2 2 2 4 3 2" xfId="14438" xr:uid="{D774B40E-120A-4892-8429-DC32E264C1BE}"/>
    <cellStyle name="Normal 4 4 2 2 2 2 4 4" xfId="10220" xr:uid="{7F9BB43A-7375-4880-9680-5167D531B2A2}"/>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2 2 2" xfId="16996" xr:uid="{D6516DDE-86D1-46D7-969E-BDB016D47AE6}"/>
    <cellStyle name="Normal 4 4 2 2 2 2 5 2 3" xfId="12778" xr:uid="{169D6F0E-04B3-41A0-A715-E6A212586570}"/>
    <cellStyle name="Normal 4 4 2 2 2 2 5 3" xfId="6409" xr:uid="{00000000-0005-0000-0000-0000D8140000}"/>
    <cellStyle name="Normal 4 4 2 2 2 2 5 3 2" xfId="14851" xr:uid="{FB362073-0C6B-40D2-B6B1-774965EC3E88}"/>
    <cellStyle name="Normal 4 4 2 2 2 2 5 4" xfId="10633" xr:uid="{C9301DD8-A54C-4F3D-824D-0FFB45FEE489}"/>
    <cellStyle name="Normal 4 4 2 2 2 2 6" xfId="2538" xr:uid="{00000000-0005-0000-0000-0000D9140000}"/>
    <cellStyle name="Normal 4 4 2 2 2 2 6 2" xfId="6822" xr:uid="{00000000-0005-0000-0000-0000DA140000}"/>
    <cellStyle name="Normal 4 4 2 2 2 2 6 2 2" xfId="15264" xr:uid="{AB22961B-8DDB-4576-A1B2-537C2BA7885E}"/>
    <cellStyle name="Normal 4 4 2 2 2 2 6 3" xfId="11046" xr:uid="{6FF9872B-AFC3-46D2-9917-84ED1E0E98DB}"/>
    <cellStyle name="Normal 4 4 2 2 2 2 7" xfId="4757" xr:uid="{00000000-0005-0000-0000-0000DB140000}"/>
    <cellStyle name="Normal 4 4 2 2 2 2 7 2" xfId="13199" xr:uid="{768F218F-636F-45B2-807D-CE6138868C9E}"/>
    <cellStyle name="Normal 4 4 2 2 2 2 8" xfId="8981" xr:uid="{13498E8E-A301-4BA6-8761-6260FDB85C84}"/>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15756" xr:uid="{A82C4A33-1BFB-4949-A9E7-8E6EE1AD3A00}"/>
    <cellStyle name="Normal 4 4 2 2 2 3 2 3" xfId="11538" xr:uid="{278CBADB-EC6B-4704-9FDD-8C2B3B8A9DAF}"/>
    <cellStyle name="Normal 4 4 2 2 2 3 3" xfId="5169" xr:uid="{00000000-0005-0000-0000-0000DF140000}"/>
    <cellStyle name="Normal 4 4 2 2 2 3 3 2" xfId="13611" xr:uid="{1D71FA7B-77D0-40AB-A83E-E8144FA28213}"/>
    <cellStyle name="Normal 4 4 2 2 2 3 4" xfId="9393" xr:uid="{8812B5CE-4C20-4528-93FF-8F3A4709FFA1}"/>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2 2" xfId="16169" xr:uid="{EAE675A2-0767-41CE-B3B3-4143580813EA}"/>
    <cellStyle name="Normal 4 4 2 2 2 4 2 3" xfId="11951" xr:uid="{9C4F0776-1F39-40BB-8922-6A3E4112A71E}"/>
    <cellStyle name="Normal 4 4 2 2 2 4 3" xfId="5582" xr:uid="{00000000-0005-0000-0000-0000E3140000}"/>
    <cellStyle name="Normal 4 4 2 2 2 4 3 2" xfId="14024" xr:uid="{CC2F9718-81A3-4FDC-9A97-2C44F52D5A7B}"/>
    <cellStyle name="Normal 4 4 2 2 2 4 4" xfId="9806" xr:uid="{C7F9D439-1B4D-4F79-870E-887CDC25D0C5}"/>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2 2 2" xfId="16582" xr:uid="{D06B9A61-4D5B-4E9F-93E6-A40A3C831DF5}"/>
    <cellStyle name="Normal 4 4 2 2 2 5 2 3" xfId="12364" xr:uid="{459BC244-EEC0-4B38-A3CB-A6283C77F8C0}"/>
    <cellStyle name="Normal 4 4 2 2 2 5 3" xfId="5995" xr:uid="{00000000-0005-0000-0000-0000E7140000}"/>
    <cellStyle name="Normal 4 4 2 2 2 5 3 2" xfId="14437" xr:uid="{B0A4D7F0-8E6C-402B-A081-BEBCAFD6E086}"/>
    <cellStyle name="Normal 4 4 2 2 2 5 4" xfId="10219" xr:uid="{55534A55-76A1-48ED-8F9C-37BCACD6F924}"/>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2 2 2" xfId="16995" xr:uid="{FF80D4A5-093F-4201-973E-4AFFC839FE71}"/>
    <cellStyle name="Normal 4 4 2 2 2 6 2 3" xfId="12777" xr:uid="{6D5D200C-DB01-49BD-9AA8-54777F4FA0D3}"/>
    <cellStyle name="Normal 4 4 2 2 2 6 3" xfId="6408" xr:uid="{00000000-0005-0000-0000-0000EB140000}"/>
    <cellStyle name="Normal 4 4 2 2 2 6 3 2" xfId="14850" xr:uid="{8AEAB206-EF3C-4D16-A025-7B04FE9C44B5}"/>
    <cellStyle name="Normal 4 4 2 2 2 6 4" xfId="10632" xr:uid="{0ABF7F84-4154-40A6-8876-5D9EC3BE3081}"/>
    <cellStyle name="Normal 4 4 2 2 2 7" xfId="2537" xr:uid="{00000000-0005-0000-0000-0000EC140000}"/>
    <cellStyle name="Normal 4 4 2 2 2 7 2" xfId="6821" xr:uid="{00000000-0005-0000-0000-0000ED140000}"/>
    <cellStyle name="Normal 4 4 2 2 2 7 2 2" xfId="15263" xr:uid="{AD908A08-EB0F-4E3C-BBDA-FE7CC3BE0211}"/>
    <cellStyle name="Normal 4 4 2 2 2 7 3" xfId="11045" xr:uid="{630C483F-0BB9-4846-AB33-8BB5A408B280}"/>
    <cellStyle name="Normal 4 4 2 2 2 8" xfId="4756" xr:uid="{00000000-0005-0000-0000-0000EE140000}"/>
    <cellStyle name="Normal 4 4 2 2 2 8 2" xfId="13198" xr:uid="{BBB120B8-22DB-450B-876A-7F192FD5F050}"/>
    <cellStyle name="Normal 4 4 2 2 2 9" xfId="8980" xr:uid="{47B1CA23-2D26-4CB8-9CEB-4D1BAF6E12A4}"/>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15758" xr:uid="{7E4DB58A-615A-4C88-866F-8AC2E5ACC1B9}"/>
    <cellStyle name="Normal 4 4 2 2 3 2 2 3" xfId="11540" xr:uid="{78BB01E9-0660-46BA-96ED-5CD515CC9B52}"/>
    <cellStyle name="Normal 4 4 2 2 3 2 3" xfId="5171" xr:uid="{00000000-0005-0000-0000-0000F3140000}"/>
    <cellStyle name="Normal 4 4 2 2 3 2 3 2" xfId="13613" xr:uid="{755F42DE-2869-487A-A13E-A142BC076730}"/>
    <cellStyle name="Normal 4 4 2 2 3 2 4" xfId="9395" xr:uid="{6FABD1F1-5B7C-4997-8BE8-EEF30219CD06}"/>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2 2" xfId="16171" xr:uid="{B2C7C351-6C3E-4966-B107-6FC996BA4A05}"/>
    <cellStyle name="Normal 4 4 2 2 3 3 2 3" xfId="11953" xr:uid="{F4C4896B-C03B-44BB-8C17-4C5728E364E9}"/>
    <cellStyle name="Normal 4 4 2 2 3 3 3" xfId="5584" xr:uid="{00000000-0005-0000-0000-0000F7140000}"/>
    <cellStyle name="Normal 4 4 2 2 3 3 3 2" xfId="14026" xr:uid="{3338064C-035C-42C1-B9D6-6E7DB78B0007}"/>
    <cellStyle name="Normal 4 4 2 2 3 3 4" xfId="9808" xr:uid="{B6C18F3A-0BDB-40F4-887C-9C3B60138204}"/>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2 2 2" xfId="16584" xr:uid="{5DA06D23-B534-4D03-801B-0B4B6D3735EF}"/>
    <cellStyle name="Normal 4 4 2 2 3 4 2 3" xfId="12366" xr:uid="{B940CAC6-720D-4CDA-A1C6-EDE8ED3D1152}"/>
    <cellStyle name="Normal 4 4 2 2 3 4 3" xfId="5997" xr:uid="{00000000-0005-0000-0000-0000FB140000}"/>
    <cellStyle name="Normal 4 4 2 2 3 4 3 2" xfId="14439" xr:uid="{A7B26907-747B-4420-9E4C-8028BD2A9591}"/>
    <cellStyle name="Normal 4 4 2 2 3 4 4" xfId="10221" xr:uid="{AECB1460-2666-42E6-B27A-398D9AA5859B}"/>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2 2 2" xfId="16997" xr:uid="{839A8EB5-A606-4C18-834D-9C7140D68797}"/>
    <cellStyle name="Normal 4 4 2 2 3 5 2 3" xfId="12779" xr:uid="{3EB322E5-0B9A-4E97-A14F-843A2D26645A}"/>
    <cellStyle name="Normal 4 4 2 2 3 5 3" xfId="6410" xr:uid="{00000000-0005-0000-0000-0000FF140000}"/>
    <cellStyle name="Normal 4 4 2 2 3 5 3 2" xfId="14852" xr:uid="{590D1D7F-D675-4E6A-8A2F-6595054484CC}"/>
    <cellStyle name="Normal 4 4 2 2 3 5 4" xfId="10634" xr:uid="{03AD8852-BBA3-4E26-8DE7-4565E1388954}"/>
    <cellStyle name="Normal 4 4 2 2 3 6" xfId="2539" xr:uid="{00000000-0005-0000-0000-000000150000}"/>
    <cellStyle name="Normal 4 4 2 2 3 6 2" xfId="6823" xr:uid="{00000000-0005-0000-0000-000001150000}"/>
    <cellStyle name="Normal 4 4 2 2 3 6 2 2" xfId="15265" xr:uid="{EEFDB321-82BB-47EA-9626-E22E2E2C8CE2}"/>
    <cellStyle name="Normal 4 4 2 2 3 6 3" xfId="11047" xr:uid="{DC196E54-5596-463F-AA80-254F5E27AE80}"/>
    <cellStyle name="Normal 4 4 2 2 3 7" xfId="4758" xr:uid="{00000000-0005-0000-0000-000002150000}"/>
    <cellStyle name="Normal 4 4 2 2 3 7 2" xfId="13200" xr:uid="{6CFAF6F6-57C5-4A84-94BA-D631398946F8}"/>
    <cellStyle name="Normal 4 4 2 2 3 8" xfId="8982" xr:uid="{416D34C0-E78E-40C7-92E1-66967693EE16}"/>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15755" xr:uid="{4B361792-AC7E-4E16-8CA4-C0CF522F8EC9}"/>
    <cellStyle name="Normal 4 4 2 2 4 2 3" xfId="11537" xr:uid="{5E403758-808C-4DDD-895F-DFFE6BA3FF69}"/>
    <cellStyle name="Normal 4 4 2 2 4 3" xfId="5168" xr:uid="{00000000-0005-0000-0000-000006150000}"/>
    <cellStyle name="Normal 4 4 2 2 4 3 2" xfId="13610" xr:uid="{4EA79F42-499A-4BC4-85E7-94A77A4A4A03}"/>
    <cellStyle name="Normal 4 4 2 2 4 4" xfId="9392" xr:uid="{24905797-9D84-44C8-B9E7-5BDB9F8A0C64}"/>
    <cellStyle name="Normal 4 4 2 2 5" xfId="1273" xr:uid="{00000000-0005-0000-0000-000007150000}"/>
    <cellStyle name="Normal 4 4 2 2 5 2" xfId="3503" xr:uid="{00000000-0005-0000-0000-000008150000}"/>
    <cellStyle name="Normal 4 4 2 2 5 2 2" xfId="7726" xr:uid="{00000000-0005-0000-0000-000009150000}"/>
    <cellStyle name="Normal 4 4 2 2 5 2 2 2" xfId="16168" xr:uid="{828C85AB-C05F-482B-9CF8-90AB3F30CC82}"/>
    <cellStyle name="Normal 4 4 2 2 5 2 3" xfId="11950" xr:uid="{AA94B6AB-B14A-49D3-BBA3-7645DEBEE46C}"/>
    <cellStyle name="Normal 4 4 2 2 5 3" xfId="5581" xr:uid="{00000000-0005-0000-0000-00000A150000}"/>
    <cellStyle name="Normal 4 4 2 2 5 3 2" xfId="14023" xr:uid="{EBF4B99C-37C6-4ED6-BC74-BA05B3FA0E28}"/>
    <cellStyle name="Normal 4 4 2 2 5 4" xfId="9805" xr:uid="{690309C4-EA52-4E5A-B49C-37FF965D9AF2}"/>
    <cellStyle name="Normal 4 4 2 2 6" xfId="1686" xr:uid="{00000000-0005-0000-0000-00000B150000}"/>
    <cellStyle name="Normal 4 4 2 2 6 2" xfId="3916" xr:uid="{00000000-0005-0000-0000-00000C150000}"/>
    <cellStyle name="Normal 4 4 2 2 6 2 2" xfId="8139" xr:uid="{00000000-0005-0000-0000-00000D150000}"/>
    <cellStyle name="Normal 4 4 2 2 6 2 2 2" xfId="16581" xr:uid="{0C1C0F75-36EB-4883-B1C8-00B2736CA5D1}"/>
    <cellStyle name="Normal 4 4 2 2 6 2 3" xfId="12363" xr:uid="{033182DD-2BF0-448E-9DA3-C4C8A38D5843}"/>
    <cellStyle name="Normal 4 4 2 2 6 3" xfId="5994" xr:uid="{00000000-0005-0000-0000-00000E150000}"/>
    <cellStyle name="Normal 4 4 2 2 6 3 2" xfId="14436" xr:uid="{F853ABB6-82ED-4196-85B8-DDA22B64D415}"/>
    <cellStyle name="Normal 4 4 2 2 6 4" xfId="10218" xr:uid="{E3B2ACAA-91F0-40EE-8D80-74B719CF469D}"/>
    <cellStyle name="Normal 4 4 2 2 7" xfId="2100" xr:uid="{00000000-0005-0000-0000-00000F150000}"/>
    <cellStyle name="Normal 4 4 2 2 7 2" xfId="4329" xr:uid="{00000000-0005-0000-0000-000010150000}"/>
    <cellStyle name="Normal 4 4 2 2 7 2 2" xfId="8552" xr:uid="{00000000-0005-0000-0000-000011150000}"/>
    <cellStyle name="Normal 4 4 2 2 7 2 2 2" xfId="16994" xr:uid="{A7178DFF-BE97-421A-B957-192DF64F6DAC}"/>
    <cellStyle name="Normal 4 4 2 2 7 2 3" xfId="12776" xr:uid="{57BBE57D-3D76-4FE5-951D-C90280164265}"/>
    <cellStyle name="Normal 4 4 2 2 7 3" xfId="6407" xr:uid="{00000000-0005-0000-0000-000012150000}"/>
    <cellStyle name="Normal 4 4 2 2 7 3 2" xfId="14849" xr:uid="{ED51A82D-9D6F-4550-915A-B0F2D32B25CC}"/>
    <cellStyle name="Normal 4 4 2 2 7 4" xfId="10631" xr:uid="{C83D657F-31E2-452C-BE61-F5ACE378A233}"/>
    <cellStyle name="Normal 4 4 2 2 8" xfId="2536" xr:uid="{00000000-0005-0000-0000-000013150000}"/>
    <cellStyle name="Normal 4 4 2 2 8 2" xfId="6820" xr:uid="{00000000-0005-0000-0000-000014150000}"/>
    <cellStyle name="Normal 4 4 2 2 8 2 2" xfId="15262" xr:uid="{CFD0C845-45DB-475F-8C09-1DE1AF0C2D43}"/>
    <cellStyle name="Normal 4 4 2 2 8 3" xfId="11044" xr:uid="{E9FFE95A-64F7-4D43-85C7-4589F1EDDBAD}"/>
    <cellStyle name="Normal 4 4 2 2 9" xfId="4755" xr:uid="{00000000-0005-0000-0000-000015150000}"/>
    <cellStyle name="Normal 4 4 2 2 9 2" xfId="13197" xr:uid="{56577559-8900-4D59-9293-718C0134F8FF}"/>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15760" xr:uid="{DFCE7EDC-93F6-44B5-B907-D5498B4B96EF}"/>
    <cellStyle name="Normal 4 4 2 3 2 2 2 3" xfId="11542" xr:uid="{C68249A0-912B-4ECB-8AEF-6311104F0E23}"/>
    <cellStyle name="Normal 4 4 2 3 2 2 3" xfId="5173" xr:uid="{00000000-0005-0000-0000-00001B150000}"/>
    <cellStyle name="Normal 4 4 2 3 2 2 3 2" xfId="13615" xr:uid="{E124FE7D-9278-40B8-B9AB-F0575286047A}"/>
    <cellStyle name="Normal 4 4 2 3 2 2 4" xfId="9397" xr:uid="{6BE7FF4B-C6B4-4747-B9BC-8C736664A58B}"/>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2 2" xfId="16173" xr:uid="{3FC7B973-C9E3-4CEE-85DB-F1D5BC16067F}"/>
    <cellStyle name="Normal 4 4 2 3 2 3 2 3" xfId="11955" xr:uid="{6213D52E-319B-47B6-8544-33D5D2DA3041}"/>
    <cellStyle name="Normal 4 4 2 3 2 3 3" xfId="5586" xr:uid="{00000000-0005-0000-0000-00001F150000}"/>
    <cellStyle name="Normal 4 4 2 3 2 3 3 2" xfId="14028" xr:uid="{C2C85B99-2E7D-473E-BC71-948113CB999E}"/>
    <cellStyle name="Normal 4 4 2 3 2 3 4" xfId="9810" xr:uid="{9273C52F-BFD7-4FC4-A243-34B3BBA8AAD2}"/>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2 2 2" xfId="16586" xr:uid="{38600083-D7E1-43A3-9E29-C06E7ACB68EC}"/>
    <cellStyle name="Normal 4 4 2 3 2 4 2 3" xfId="12368" xr:uid="{6D92F785-EEE9-46C3-BE43-A3865C776CAF}"/>
    <cellStyle name="Normal 4 4 2 3 2 4 3" xfId="5999" xr:uid="{00000000-0005-0000-0000-000023150000}"/>
    <cellStyle name="Normal 4 4 2 3 2 4 3 2" xfId="14441" xr:uid="{F7394C90-C9DC-4832-A9BD-97FBC483C062}"/>
    <cellStyle name="Normal 4 4 2 3 2 4 4" xfId="10223" xr:uid="{2DFAF1CA-7D20-4281-B732-E3E069A5649A}"/>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2 2 2" xfId="16999" xr:uid="{78B3B27F-62FD-4624-A2EA-0A8E7B796AAE}"/>
    <cellStyle name="Normal 4 4 2 3 2 5 2 3" xfId="12781" xr:uid="{CD776CDE-D921-4514-8C4B-73014FA4E2DD}"/>
    <cellStyle name="Normal 4 4 2 3 2 5 3" xfId="6412" xr:uid="{00000000-0005-0000-0000-000027150000}"/>
    <cellStyle name="Normal 4 4 2 3 2 5 3 2" xfId="14854" xr:uid="{CF15FEB8-A7ED-4CCA-BCE8-B787CA5EE4BD}"/>
    <cellStyle name="Normal 4 4 2 3 2 5 4" xfId="10636" xr:uid="{6A5128E2-B8DC-45C1-A885-CBEE1B901B5D}"/>
    <cellStyle name="Normal 4 4 2 3 2 6" xfId="2541" xr:uid="{00000000-0005-0000-0000-000028150000}"/>
    <cellStyle name="Normal 4 4 2 3 2 6 2" xfId="6825" xr:uid="{00000000-0005-0000-0000-000029150000}"/>
    <cellStyle name="Normal 4 4 2 3 2 6 2 2" xfId="15267" xr:uid="{411D0BE3-ED27-4063-B598-BE8A998F44A4}"/>
    <cellStyle name="Normal 4 4 2 3 2 6 3" xfId="11049" xr:uid="{A5D0ECC8-A045-418A-A4B9-E825315F1918}"/>
    <cellStyle name="Normal 4 4 2 3 2 7" xfId="4760" xr:uid="{00000000-0005-0000-0000-00002A150000}"/>
    <cellStyle name="Normal 4 4 2 3 2 7 2" xfId="13202" xr:uid="{DE949F55-422C-41C8-B0CB-F675237697FC}"/>
    <cellStyle name="Normal 4 4 2 3 2 8" xfId="8984" xr:uid="{7CAFB867-D16F-441C-A043-8B4458CA20A1}"/>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15759" xr:uid="{4710059C-0E79-4A9C-8E2B-071D3894D571}"/>
    <cellStyle name="Normal 4 4 2 3 3 2 3" xfId="11541" xr:uid="{6A7307FC-93C2-4FF4-9CCE-752369CE444C}"/>
    <cellStyle name="Normal 4 4 2 3 3 3" xfId="5172" xr:uid="{00000000-0005-0000-0000-00002E150000}"/>
    <cellStyle name="Normal 4 4 2 3 3 3 2" xfId="13614" xr:uid="{6986C8B6-448D-4717-9D42-23493E0B153A}"/>
    <cellStyle name="Normal 4 4 2 3 3 4" xfId="9396" xr:uid="{0587B716-7B60-4B91-BB62-15A9D0076E56}"/>
    <cellStyle name="Normal 4 4 2 3 4" xfId="1277" xr:uid="{00000000-0005-0000-0000-00002F150000}"/>
    <cellStyle name="Normal 4 4 2 3 4 2" xfId="3507" xr:uid="{00000000-0005-0000-0000-000030150000}"/>
    <cellStyle name="Normal 4 4 2 3 4 2 2" xfId="7730" xr:uid="{00000000-0005-0000-0000-000031150000}"/>
    <cellStyle name="Normal 4 4 2 3 4 2 2 2" xfId="16172" xr:uid="{851E0BD6-1885-4519-928F-6FF0E843A160}"/>
    <cellStyle name="Normal 4 4 2 3 4 2 3" xfId="11954" xr:uid="{CB09A55E-3DB3-4AA3-9F89-01A9ABB69163}"/>
    <cellStyle name="Normal 4 4 2 3 4 3" xfId="5585" xr:uid="{00000000-0005-0000-0000-000032150000}"/>
    <cellStyle name="Normal 4 4 2 3 4 3 2" xfId="14027" xr:uid="{6B0BBB0D-7481-4C0E-A5D3-48698F5264D5}"/>
    <cellStyle name="Normal 4 4 2 3 4 4" xfId="9809" xr:uid="{E49A6A33-F36C-4870-A162-5D4E046C815B}"/>
    <cellStyle name="Normal 4 4 2 3 5" xfId="1690" xr:uid="{00000000-0005-0000-0000-000033150000}"/>
    <cellStyle name="Normal 4 4 2 3 5 2" xfId="3920" xr:uid="{00000000-0005-0000-0000-000034150000}"/>
    <cellStyle name="Normal 4 4 2 3 5 2 2" xfId="8143" xr:uid="{00000000-0005-0000-0000-000035150000}"/>
    <cellStyle name="Normal 4 4 2 3 5 2 2 2" xfId="16585" xr:uid="{FEDC4264-E0C9-4770-AB5D-840BB7BFF4AC}"/>
    <cellStyle name="Normal 4 4 2 3 5 2 3" xfId="12367" xr:uid="{575B2A9F-5033-45C0-81D3-7D282F195E15}"/>
    <cellStyle name="Normal 4 4 2 3 5 3" xfId="5998" xr:uid="{00000000-0005-0000-0000-000036150000}"/>
    <cellStyle name="Normal 4 4 2 3 5 3 2" xfId="14440" xr:uid="{B93097C4-CD56-409D-B0E1-F1BE62C09D33}"/>
    <cellStyle name="Normal 4 4 2 3 5 4" xfId="10222" xr:uid="{F38B91D7-1C78-40E7-AA3D-57ED47EEEDDE}"/>
    <cellStyle name="Normal 4 4 2 3 6" xfId="2104" xr:uid="{00000000-0005-0000-0000-000037150000}"/>
    <cellStyle name="Normal 4 4 2 3 6 2" xfId="4333" xr:uid="{00000000-0005-0000-0000-000038150000}"/>
    <cellStyle name="Normal 4 4 2 3 6 2 2" xfId="8556" xr:uid="{00000000-0005-0000-0000-000039150000}"/>
    <cellStyle name="Normal 4 4 2 3 6 2 2 2" xfId="16998" xr:uid="{B5E453C8-A4E1-43B9-9F1D-2DD401C73263}"/>
    <cellStyle name="Normal 4 4 2 3 6 2 3" xfId="12780" xr:uid="{79AB50D3-4A0E-4C82-96D1-D33DC389719F}"/>
    <cellStyle name="Normal 4 4 2 3 6 3" xfId="6411" xr:uid="{00000000-0005-0000-0000-00003A150000}"/>
    <cellStyle name="Normal 4 4 2 3 6 3 2" xfId="14853" xr:uid="{14C2CCAC-1A97-4879-ACBF-530CE3A2957F}"/>
    <cellStyle name="Normal 4 4 2 3 6 4" xfId="10635" xr:uid="{1226F953-41A7-4BEA-A05A-7919004A9F55}"/>
    <cellStyle name="Normal 4 4 2 3 7" xfId="2540" xr:uid="{00000000-0005-0000-0000-00003B150000}"/>
    <cellStyle name="Normal 4 4 2 3 7 2" xfId="6824" xr:uid="{00000000-0005-0000-0000-00003C150000}"/>
    <cellStyle name="Normal 4 4 2 3 7 2 2" xfId="15266" xr:uid="{0E287006-BC45-4909-80D9-48DA8BDD08A5}"/>
    <cellStyle name="Normal 4 4 2 3 7 3" xfId="11048" xr:uid="{95E72414-2972-41C1-84A3-31658006405E}"/>
    <cellStyle name="Normal 4 4 2 3 8" xfId="4759" xr:uid="{00000000-0005-0000-0000-00003D150000}"/>
    <cellStyle name="Normal 4 4 2 3 8 2" xfId="13201" xr:uid="{460ABB49-60D2-4B3E-BF9B-949936D98F51}"/>
    <cellStyle name="Normal 4 4 2 3 9" xfId="8983" xr:uid="{FAA96344-834A-49CC-83E5-BBD3ADF60F46}"/>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15761" xr:uid="{F45167E4-0860-4DE8-82D2-2C5F1F9B06F0}"/>
    <cellStyle name="Normal 4 4 2 4 2 2 3" xfId="11543" xr:uid="{7D4A123C-C73F-40C3-BBAD-4666EC91DEC8}"/>
    <cellStyle name="Normal 4 4 2 4 2 3" xfId="5174" xr:uid="{00000000-0005-0000-0000-000042150000}"/>
    <cellStyle name="Normal 4 4 2 4 2 3 2" xfId="13616" xr:uid="{89C0DAE7-C8DD-4B09-BEB2-3B0544962035}"/>
    <cellStyle name="Normal 4 4 2 4 2 4" xfId="9398" xr:uid="{24393EC6-CA48-44FB-AD97-8C3611DD5CBB}"/>
    <cellStyle name="Normal 4 4 2 4 3" xfId="1279" xr:uid="{00000000-0005-0000-0000-000043150000}"/>
    <cellStyle name="Normal 4 4 2 4 3 2" xfId="3509" xr:uid="{00000000-0005-0000-0000-000044150000}"/>
    <cellStyle name="Normal 4 4 2 4 3 2 2" xfId="7732" xr:uid="{00000000-0005-0000-0000-000045150000}"/>
    <cellStyle name="Normal 4 4 2 4 3 2 2 2" xfId="16174" xr:uid="{7623D447-8750-40D3-BB57-8164357EDD89}"/>
    <cellStyle name="Normal 4 4 2 4 3 2 3" xfId="11956" xr:uid="{33A8F2CA-3534-4424-98D2-977CE8C2A06B}"/>
    <cellStyle name="Normal 4 4 2 4 3 3" xfId="5587" xr:uid="{00000000-0005-0000-0000-000046150000}"/>
    <cellStyle name="Normal 4 4 2 4 3 3 2" xfId="14029" xr:uid="{5CCF8CC5-3EB1-40AB-B016-6CA3F8E1BA85}"/>
    <cellStyle name="Normal 4 4 2 4 3 4" xfId="9811" xr:uid="{2795385F-D6E4-463F-99DF-CFAB2D81F1FA}"/>
    <cellStyle name="Normal 4 4 2 4 4" xfId="1692" xr:uid="{00000000-0005-0000-0000-000047150000}"/>
    <cellStyle name="Normal 4 4 2 4 4 2" xfId="3922" xr:uid="{00000000-0005-0000-0000-000048150000}"/>
    <cellStyle name="Normal 4 4 2 4 4 2 2" xfId="8145" xr:uid="{00000000-0005-0000-0000-000049150000}"/>
    <cellStyle name="Normal 4 4 2 4 4 2 2 2" xfId="16587" xr:uid="{E0E30F34-0188-4CA5-A8FD-444F78BFEF94}"/>
    <cellStyle name="Normal 4 4 2 4 4 2 3" xfId="12369" xr:uid="{F2A4AD79-2889-4716-A3E1-FF22D57BFC08}"/>
    <cellStyle name="Normal 4 4 2 4 4 3" xfId="6000" xr:uid="{00000000-0005-0000-0000-00004A150000}"/>
    <cellStyle name="Normal 4 4 2 4 4 3 2" xfId="14442" xr:uid="{D1049508-0546-4BFB-AD02-3BC5AE135D97}"/>
    <cellStyle name="Normal 4 4 2 4 4 4" xfId="10224" xr:uid="{E33183CB-FD14-440C-A291-34842C333F9C}"/>
    <cellStyle name="Normal 4 4 2 4 5" xfId="2106" xr:uid="{00000000-0005-0000-0000-00004B150000}"/>
    <cellStyle name="Normal 4 4 2 4 5 2" xfId="4335" xr:uid="{00000000-0005-0000-0000-00004C150000}"/>
    <cellStyle name="Normal 4 4 2 4 5 2 2" xfId="8558" xr:uid="{00000000-0005-0000-0000-00004D150000}"/>
    <cellStyle name="Normal 4 4 2 4 5 2 2 2" xfId="17000" xr:uid="{3698F631-3818-43EA-A1DB-5DC3EC80ACDF}"/>
    <cellStyle name="Normal 4 4 2 4 5 2 3" xfId="12782" xr:uid="{EC2E023C-3B39-435B-BAEB-389455FAA247}"/>
    <cellStyle name="Normal 4 4 2 4 5 3" xfId="6413" xr:uid="{00000000-0005-0000-0000-00004E150000}"/>
    <cellStyle name="Normal 4 4 2 4 5 3 2" xfId="14855" xr:uid="{26368BC5-B015-4D64-9054-2B40CEA2868B}"/>
    <cellStyle name="Normal 4 4 2 4 5 4" xfId="10637" xr:uid="{AB60B119-488B-4981-A1B1-EC9A944EEC2C}"/>
    <cellStyle name="Normal 4 4 2 4 6" xfId="2542" xr:uid="{00000000-0005-0000-0000-00004F150000}"/>
    <cellStyle name="Normal 4 4 2 4 6 2" xfId="6826" xr:uid="{00000000-0005-0000-0000-000050150000}"/>
    <cellStyle name="Normal 4 4 2 4 6 2 2" xfId="15268" xr:uid="{060BC27A-DC6E-4DA8-84FE-8165303780D9}"/>
    <cellStyle name="Normal 4 4 2 4 6 3" xfId="11050" xr:uid="{06F6D518-965A-4219-A90C-AD940647A74D}"/>
    <cellStyle name="Normal 4 4 2 4 7" xfId="4761" xr:uid="{00000000-0005-0000-0000-000051150000}"/>
    <cellStyle name="Normal 4 4 2 4 7 2" xfId="13203" xr:uid="{3F4E9CF7-A930-4077-A549-14471A7BDAE5}"/>
    <cellStyle name="Normal 4 4 2 4 8" xfId="8985" xr:uid="{656586BF-399E-4477-A990-DF7336B81788}"/>
    <cellStyle name="Normal 4 4 2 5" xfId="854" xr:uid="{00000000-0005-0000-0000-000052150000}"/>
    <cellStyle name="Normal 4 4 2 5 2" xfId="3089" xr:uid="{00000000-0005-0000-0000-000053150000}"/>
    <cellStyle name="Normal 4 4 2 5 2 2" xfId="7312" xr:uid="{00000000-0005-0000-0000-000054150000}"/>
    <cellStyle name="Normal 4 4 2 5 2 2 2" xfId="15754" xr:uid="{43326078-8E93-4F8F-A263-43DA5FA373F6}"/>
    <cellStyle name="Normal 4 4 2 5 2 3" xfId="11536" xr:uid="{BF0545AC-A2DB-4B6F-B3A5-49D6F2F99A66}"/>
    <cellStyle name="Normal 4 4 2 5 3" xfId="5167" xr:uid="{00000000-0005-0000-0000-000055150000}"/>
    <cellStyle name="Normal 4 4 2 5 3 2" xfId="13609" xr:uid="{7A41076F-2D5B-4CDB-B5F9-1AAF28442F89}"/>
    <cellStyle name="Normal 4 4 2 5 4" xfId="9391" xr:uid="{5FA7B837-684F-4FC8-BA2A-7E440381E9F0}"/>
    <cellStyle name="Normal 4 4 2 6" xfId="1272" xr:uid="{00000000-0005-0000-0000-000056150000}"/>
    <cellStyle name="Normal 4 4 2 6 2" xfId="3502" xr:uid="{00000000-0005-0000-0000-000057150000}"/>
    <cellStyle name="Normal 4 4 2 6 2 2" xfId="7725" xr:uid="{00000000-0005-0000-0000-000058150000}"/>
    <cellStyle name="Normal 4 4 2 6 2 2 2" xfId="16167" xr:uid="{D14B69D2-9A97-4D19-B0B3-3F58077C9D21}"/>
    <cellStyle name="Normal 4 4 2 6 2 3" xfId="11949" xr:uid="{74E13AA8-35F8-4EF7-BDCC-8C6478896E45}"/>
    <cellStyle name="Normal 4 4 2 6 3" xfId="5580" xr:uid="{00000000-0005-0000-0000-000059150000}"/>
    <cellStyle name="Normal 4 4 2 6 3 2" xfId="14022" xr:uid="{E30BFBFC-28FC-48E2-AC92-92E2DB2A462A}"/>
    <cellStyle name="Normal 4 4 2 6 4" xfId="9804" xr:uid="{EE720F9A-4A5B-472C-BC8A-CF2A346D29E6}"/>
    <cellStyle name="Normal 4 4 2 7" xfId="1685" xr:uid="{00000000-0005-0000-0000-00005A150000}"/>
    <cellStyle name="Normal 4 4 2 7 2" xfId="3915" xr:uid="{00000000-0005-0000-0000-00005B150000}"/>
    <cellStyle name="Normal 4 4 2 7 2 2" xfId="8138" xr:uid="{00000000-0005-0000-0000-00005C150000}"/>
    <cellStyle name="Normal 4 4 2 7 2 2 2" xfId="16580" xr:uid="{5A807097-A0DC-46B6-85FB-F2110E8BD569}"/>
    <cellStyle name="Normal 4 4 2 7 2 3" xfId="12362" xr:uid="{B38B15A0-BA22-4290-91D4-1455FE23D9EF}"/>
    <cellStyle name="Normal 4 4 2 7 3" xfId="5993" xr:uid="{00000000-0005-0000-0000-00005D150000}"/>
    <cellStyle name="Normal 4 4 2 7 3 2" xfId="14435" xr:uid="{FABE504C-E38F-4D0A-823E-DACE361800ED}"/>
    <cellStyle name="Normal 4 4 2 7 4" xfId="10217" xr:uid="{BE0B1871-25C2-414C-83F0-30F491232AC3}"/>
    <cellStyle name="Normal 4 4 2 8" xfId="2099" xr:uid="{00000000-0005-0000-0000-00005E150000}"/>
    <cellStyle name="Normal 4 4 2 8 2" xfId="4328" xr:uid="{00000000-0005-0000-0000-00005F150000}"/>
    <cellStyle name="Normal 4 4 2 8 2 2" xfId="8551" xr:uid="{00000000-0005-0000-0000-000060150000}"/>
    <cellStyle name="Normal 4 4 2 8 2 2 2" xfId="16993" xr:uid="{E4F40FE6-C1E3-45C6-BF39-8F3AA9E42425}"/>
    <cellStyle name="Normal 4 4 2 8 2 3" xfId="12775" xr:uid="{440AF8EA-950B-41DB-9C35-59EE2C38AE86}"/>
    <cellStyle name="Normal 4 4 2 8 3" xfId="6406" xr:uid="{00000000-0005-0000-0000-000061150000}"/>
    <cellStyle name="Normal 4 4 2 8 3 2" xfId="14848" xr:uid="{3B6427BE-3FBA-4283-9692-7088B552DFB1}"/>
    <cellStyle name="Normal 4 4 2 8 4" xfId="10630" xr:uid="{A71EF0C8-4B77-4025-B43D-2031BD75977C}"/>
    <cellStyle name="Normal 4 4 2 9" xfId="2535" xr:uid="{00000000-0005-0000-0000-000062150000}"/>
    <cellStyle name="Normal 4 4 2 9 2" xfId="6819" xr:uid="{00000000-0005-0000-0000-000063150000}"/>
    <cellStyle name="Normal 4 4 2 9 2 2" xfId="15261" xr:uid="{FEE9D6D4-AA3F-4B15-A019-F8F8D467775F}"/>
    <cellStyle name="Normal 4 4 2 9 3" xfId="11043" xr:uid="{DF29EF83-A239-40B7-A383-7E76ACEE392A}"/>
    <cellStyle name="Normal 4 4 3" xfId="387" xr:uid="{00000000-0005-0000-0000-000064150000}"/>
    <cellStyle name="Normal 4 4 3 10" xfId="8986" xr:uid="{E06F1B68-FE1D-4561-B08A-0AF5580DF3C3}"/>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15764" xr:uid="{0CB50CF3-29A5-448A-A918-9ECCA1C60578}"/>
    <cellStyle name="Normal 4 4 3 2 2 2 2 3" xfId="11546" xr:uid="{09C17556-E4BC-4A55-B9C7-B99F19881C76}"/>
    <cellStyle name="Normal 4 4 3 2 2 2 3" xfId="5177" xr:uid="{00000000-0005-0000-0000-00006A150000}"/>
    <cellStyle name="Normal 4 4 3 2 2 2 3 2" xfId="13619" xr:uid="{C0BC080C-B658-463B-9560-1180D4E2AD7B}"/>
    <cellStyle name="Normal 4 4 3 2 2 2 4" xfId="9401" xr:uid="{B60FF82D-6AB8-484A-AEC4-DD93A1E3EFE5}"/>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2 2" xfId="16177" xr:uid="{4616C91C-3E29-4865-86F2-739CC98F60A5}"/>
    <cellStyle name="Normal 4 4 3 2 2 3 2 3" xfId="11959" xr:uid="{CDEDFB55-EDE6-425E-ADFF-E917757A03E0}"/>
    <cellStyle name="Normal 4 4 3 2 2 3 3" xfId="5590" xr:uid="{00000000-0005-0000-0000-00006E150000}"/>
    <cellStyle name="Normal 4 4 3 2 2 3 3 2" xfId="14032" xr:uid="{E09CD1CD-2094-4C48-8AA9-EB474EF78625}"/>
    <cellStyle name="Normal 4 4 3 2 2 3 4" xfId="9814" xr:uid="{C8E2E133-55F8-4120-B716-EF418DEB813D}"/>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2 2 2" xfId="16590" xr:uid="{EE09472E-0541-453A-A67E-1C46EBA93D33}"/>
    <cellStyle name="Normal 4 4 3 2 2 4 2 3" xfId="12372" xr:uid="{8426CFB9-6E45-4C2E-BCA3-BABC8CB3A2FF}"/>
    <cellStyle name="Normal 4 4 3 2 2 4 3" xfId="6003" xr:uid="{00000000-0005-0000-0000-000072150000}"/>
    <cellStyle name="Normal 4 4 3 2 2 4 3 2" xfId="14445" xr:uid="{9A0CEA70-E121-4A95-9202-D7346A369DBA}"/>
    <cellStyle name="Normal 4 4 3 2 2 4 4" xfId="10227" xr:uid="{0B3CC7CD-6AE0-4521-A030-5F9B4FE84189}"/>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2 2 2" xfId="17003" xr:uid="{F2687CD6-EEDF-4B29-B8D6-7535502DA52F}"/>
    <cellStyle name="Normal 4 4 3 2 2 5 2 3" xfId="12785" xr:uid="{1FCEFBAF-9DA1-4629-AAEA-180AB4E8D8D0}"/>
    <cellStyle name="Normal 4 4 3 2 2 5 3" xfId="6416" xr:uid="{00000000-0005-0000-0000-000076150000}"/>
    <cellStyle name="Normal 4 4 3 2 2 5 3 2" xfId="14858" xr:uid="{AD060A25-45A5-4BA0-BA0C-CB9592F674AA}"/>
    <cellStyle name="Normal 4 4 3 2 2 5 4" xfId="10640" xr:uid="{A819022C-8717-4835-A43B-682847814D7C}"/>
    <cellStyle name="Normal 4 4 3 2 2 6" xfId="2545" xr:uid="{00000000-0005-0000-0000-000077150000}"/>
    <cellStyle name="Normal 4 4 3 2 2 6 2" xfId="6829" xr:uid="{00000000-0005-0000-0000-000078150000}"/>
    <cellStyle name="Normal 4 4 3 2 2 6 2 2" xfId="15271" xr:uid="{076A7A40-BF39-40C2-91F3-0C905B8DC0C8}"/>
    <cellStyle name="Normal 4 4 3 2 2 6 3" xfId="11053" xr:uid="{81F3F938-C192-4F4E-A284-BA84524BBA1D}"/>
    <cellStyle name="Normal 4 4 3 2 2 7" xfId="4764" xr:uid="{00000000-0005-0000-0000-000079150000}"/>
    <cellStyle name="Normal 4 4 3 2 2 7 2" xfId="13206" xr:uid="{22869E8F-DE01-4558-AA57-C7B782D7726B}"/>
    <cellStyle name="Normal 4 4 3 2 2 8" xfId="8988" xr:uid="{F0018E1B-ED7E-4AFF-B069-C9008107197E}"/>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15763" xr:uid="{3738D057-97C6-473D-90D4-FD88A6E2C5E2}"/>
    <cellStyle name="Normal 4 4 3 2 3 2 3" xfId="11545" xr:uid="{1BEB2FA4-A00F-47B0-9DD2-41B657234AA6}"/>
    <cellStyle name="Normal 4 4 3 2 3 3" xfId="5176" xr:uid="{00000000-0005-0000-0000-00007D150000}"/>
    <cellStyle name="Normal 4 4 3 2 3 3 2" xfId="13618" xr:uid="{EDB0FCFE-47E7-47A6-8FBF-18ED5C736241}"/>
    <cellStyle name="Normal 4 4 3 2 3 4" xfId="9400" xr:uid="{C0137D45-7DA7-4244-86B5-139BDF5A20CE}"/>
    <cellStyle name="Normal 4 4 3 2 4" xfId="1281" xr:uid="{00000000-0005-0000-0000-00007E150000}"/>
    <cellStyle name="Normal 4 4 3 2 4 2" xfId="3511" xr:uid="{00000000-0005-0000-0000-00007F150000}"/>
    <cellStyle name="Normal 4 4 3 2 4 2 2" xfId="7734" xr:uid="{00000000-0005-0000-0000-000080150000}"/>
    <cellStyle name="Normal 4 4 3 2 4 2 2 2" xfId="16176" xr:uid="{46203821-B88A-4F37-902B-FA89721BD48C}"/>
    <cellStyle name="Normal 4 4 3 2 4 2 3" xfId="11958" xr:uid="{233D1012-71C3-45F3-B424-A35AA3E6BD0E}"/>
    <cellStyle name="Normal 4 4 3 2 4 3" xfId="5589" xr:uid="{00000000-0005-0000-0000-000081150000}"/>
    <cellStyle name="Normal 4 4 3 2 4 3 2" xfId="14031" xr:uid="{91E98C91-8179-4290-B27F-B50C624A8657}"/>
    <cellStyle name="Normal 4 4 3 2 4 4" xfId="9813" xr:uid="{4DDFEF8D-F542-4C78-B39D-F1439CF8A7FC}"/>
    <cellStyle name="Normal 4 4 3 2 5" xfId="1694" xr:uid="{00000000-0005-0000-0000-000082150000}"/>
    <cellStyle name="Normal 4 4 3 2 5 2" xfId="3924" xr:uid="{00000000-0005-0000-0000-000083150000}"/>
    <cellStyle name="Normal 4 4 3 2 5 2 2" xfId="8147" xr:uid="{00000000-0005-0000-0000-000084150000}"/>
    <cellStyle name="Normal 4 4 3 2 5 2 2 2" xfId="16589" xr:uid="{BBC68DDB-71F9-4BB6-9727-32DCE7673BA1}"/>
    <cellStyle name="Normal 4 4 3 2 5 2 3" xfId="12371" xr:uid="{26CDE6D3-E2BE-49D1-92D9-8F01128893D5}"/>
    <cellStyle name="Normal 4 4 3 2 5 3" xfId="6002" xr:uid="{00000000-0005-0000-0000-000085150000}"/>
    <cellStyle name="Normal 4 4 3 2 5 3 2" xfId="14444" xr:uid="{510DD639-3594-45E6-978F-3591E52039DD}"/>
    <cellStyle name="Normal 4 4 3 2 5 4" xfId="10226" xr:uid="{E27DD8F2-C166-480A-8183-A7F569317C38}"/>
    <cellStyle name="Normal 4 4 3 2 6" xfId="2108" xr:uid="{00000000-0005-0000-0000-000086150000}"/>
    <cellStyle name="Normal 4 4 3 2 6 2" xfId="4337" xr:uid="{00000000-0005-0000-0000-000087150000}"/>
    <cellStyle name="Normal 4 4 3 2 6 2 2" xfId="8560" xr:uid="{00000000-0005-0000-0000-000088150000}"/>
    <cellStyle name="Normal 4 4 3 2 6 2 2 2" xfId="17002" xr:uid="{3F1E804D-4672-45A5-B036-54AE8108E5D3}"/>
    <cellStyle name="Normal 4 4 3 2 6 2 3" xfId="12784" xr:uid="{E1F1A266-C2B1-4D07-899D-AD875032174C}"/>
    <cellStyle name="Normal 4 4 3 2 6 3" xfId="6415" xr:uid="{00000000-0005-0000-0000-000089150000}"/>
    <cellStyle name="Normal 4 4 3 2 6 3 2" xfId="14857" xr:uid="{1FA8B3AB-8B78-40D5-9517-08265646387C}"/>
    <cellStyle name="Normal 4 4 3 2 6 4" xfId="10639" xr:uid="{B7465911-8C93-4695-9F27-3A1E63F6CC6F}"/>
    <cellStyle name="Normal 4 4 3 2 7" xfId="2544" xr:uid="{00000000-0005-0000-0000-00008A150000}"/>
    <cellStyle name="Normal 4 4 3 2 7 2" xfId="6828" xr:uid="{00000000-0005-0000-0000-00008B150000}"/>
    <cellStyle name="Normal 4 4 3 2 7 2 2" xfId="15270" xr:uid="{5A352169-9BAE-4274-BE6D-075A388972E0}"/>
    <cellStyle name="Normal 4 4 3 2 7 3" xfId="11052" xr:uid="{C54CB187-4822-4B34-BA7D-D19F9EC0FD87}"/>
    <cellStyle name="Normal 4 4 3 2 8" xfId="4763" xr:uid="{00000000-0005-0000-0000-00008C150000}"/>
    <cellStyle name="Normal 4 4 3 2 8 2" xfId="13205" xr:uid="{6E6F16AB-6EAE-47CD-AF2A-371D94F47640}"/>
    <cellStyle name="Normal 4 4 3 2 9" xfId="8987" xr:uid="{A6E8EA09-45FB-4BA7-B0A7-95BB02294E12}"/>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15765" xr:uid="{7AADD314-7094-4EAB-B8D7-9B20F0B2E18D}"/>
    <cellStyle name="Normal 4 4 3 3 2 2 3" xfId="11547" xr:uid="{392E953D-0276-4D36-A74B-89DA85127FAD}"/>
    <cellStyle name="Normal 4 4 3 3 2 3" xfId="5178" xr:uid="{00000000-0005-0000-0000-000091150000}"/>
    <cellStyle name="Normal 4 4 3 3 2 3 2" xfId="13620" xr:uid="{5C45B37C-15BC-4B8A-BEED-929F11EED74A}"/>
    <cellStyle name="Normal 4 4 3 3 2 4" xfId="9402" xr:uid="{3220BBEF-0904-4018-8CFB-2348A9B66D8A}"/>
    <cellStyle name="Normal 4 4 3 3 3" xfId="1283" xr:uid="{00000000-0005-0000-0000-000092150000}"/>
    <cellStyle name="Normal 4 4 3 3 3 2" xfId="3513" xr:uid="{00000000-0005-0000-0000-000093150000}"/>
    <cellStyle name="Normal 4 4 3 3 3 2 2" xfId="7736" xr:uid="{00000000-0005-0000-0000-000094150000}"/>
    <cellStyle name="Normal 4 4 3 3 3 2 2 2" xfId="16178" xr:uid="{7799ED2E-24D8-4504-8DFE-2D0E6D688660}"/>
    <cellStyle name="Normal 4 4 3 3 3 2 3" xfId="11960" xr:uid="{090A97C4-FE95-4E42-A63A-CDCBA69577A2}"/>
    <cellStyle name="Normal 4 4 3 3 3 3" xfId="5591" xr:uid="{00000000-0005-0000-0000-000095150000}"/>
    <cellStyle name="Normal 4 4 3 3 3 3 2" xfId="14033" xr:uid="{32A29309-591F-4A4C-B44D-5DF41977C748}"/>
    <cellStyle name="Normal 4 4 3 3 3 4" xfId="9815" xr:uid="{4D9290AC-1BCA-4888-8488-620B660C0547}"/>
    <cellStyle name="Normal 4 4 3 3 4" xfId="1696" xr:uid="{00000000-0005-0000-0000-000096150000}"/>
    <cellStyle name="Normal 4 4 3 3 4 2" xfId="3926" xr:uid="{00000000-0005-0000-0000-000097150000}"/>
    <cellStyle name="Normal 4 4 3 3 4 2 2" xfId="8149" xr:uid="{00000000-0005-0000-0000-000098150000}"/>
    <cellStyle name="Normal 4 4 3 3 4 2 2 2" xfId="16591" xr:uid="{EC60AA44-4619-43B5-BDD3-D54ACDC2B36F}"/>
    <cellStyle name="Normal 4 4 3 3 4 2 3" xfId="12373" xr:uid="{339E4D5C-8729-4747-BC4E-0722B778B30F}"/>
    <cellStyle name="Normal 4 4 3 3 4 3" xfId="6004" xr:uid="{00000000-0005-0000-0000-000099150000}"/>
    <cellStyle name="Normal 4 4 3 3 4 3 2" xfId="14446" xr:uid="{C044A10B-D237-4048-B38C-E4B234C2761E}"/>
    <cellStyle name="Normal 4 4 3 3 4 4" xfId="10228" xr:uid="{ED830CDA-8A87-41DD-AE31-9AD2461C8D37}"/>
    <cellStyle name="Normal 4 4 3 3 5" xfId="2110" xr:uid="{00000000-0005-0000-0000-00009A150000}"/>
    <cellStyle name="Normal 4 4 3 3 5 2" xfId="4339" xr:uid="{00000000-0005-0000-0000-00009B150000}"/>
    <cellStyle name="Normal 4 4 3 3 5 2 2" xfId="8562" xr:uid="{00000000-0005-0000-0000-00009C150000}"/>
    <cellStyle name="Normal 4 4 3 3 5 2 2 2" xfId="17004" xr:uid="{F10BDCB5-D4E9-4A44-9F4A-B38CC96A8A03}"/>
    <cellStyle name="Normal 4 4 3 3 5 2 3" xfId="12786" xr:uid="{0755FEE3-E027-4C2E-A15F-1307F150B335}"/>
    <cellStyle name="Normal 4 4 3 3 5 3" xfId="6417" xr:uid="{00000000-0005-0000-0000-00009D150000}"/>
    <cellStyle name="Normal 4 4 3 3 5 3 2" xfId="14859" xr:uid="{B6F0FC75-0545-403D-BA93-7D7324D6BF57}"/>
    <cellStyle name="Normal 4 4 3 3 5 4" xfId="10641" xr:uid="{702F0664-5360-43F9-86CF-E37D15AF8D6E}"/>
    <cellStyle name="Normal 4 4 3 3 6" xfId="2546" xr:uid="{00000000-0005-0000-0000-00009E150000}"/>
    <cellStyle name="Normal 4 4 3 3 6 2" xfId="6830" xr:uid="{00000000-0005-0000-0000-00009F150000}"/>
    <cellStyle name="Normal 4 4 3 3 6 2 2" xfId="15272" xr:uid="{8ADA4CFC-51E6-43F5-9BED-9843F4FB66A2}"/>
    <cellStyle name="Normal 4 4 3 3 6 3" xfId="11054" xr:uid="{89847DA4-F283-4701-B83F-7CD63B57ED12}"/>
    <cellStyle name="Normal 4 4 3 3 7" xfId="4765" xr:uid="{00000000-0005-0000-0000-0000A0150000}"/>
    <cellStyle name="Normal 4 4 3 3 7 2" xfId="13207" xr:uid="{16CE4EAF-1ABB-40EC-A6EF-6DFFC652F7C6}"/>
    <cellStyle name="Normal 4 4 3 3 8" xfId="8989" xr:uid="{E2AEB6AF-DE19-4F57-9B59-9CA7051EBB7F}"/>
    <cellStyle name="Normal 4 4 3 4" xfId="862" xr:uid="{00000000-0005-0000-0000-0000A1150000}"/>
    <cellStyle name="Normal 4 4 3 4 2" xfId="3097" xr:uid="{00000000-0005-0000-0000-0000A2150000}"/>
    <cellStyle name="Normal 4 4 3 4 2 2" xfId="7320" xr:uid="{00000000-0005-0000-0000-0000A3150000}"/>
    <cellStyle name="Normal 4 4 3 4 2 2 2" xfId="15762" xr:uid="{D7E1D856-1DE1-4524-88F1-0EFE8A1D4CA1}"/>
    <cellStyle name="Normal 4 4 3 4 2 3" xfId="11544" xr:uid="{2E35D57D-238C-4447-8549-47AFDAA78D6C}"/>
    <cellStyle name="Normal 4 4 3 4 3" xfId="5175" xr:uid="{00000000-0005-0000-0000-0000A4150000}"/>
    <cellStyle name="Normal 4 4 3 4 3 2" xfId="13617" xr:uid="{3F8FF63F-84CC-4E43-BC2E-2AA017C8FA11}"/>
    <cellStyle name="Normal 4 4 3 4 4" xfId="9399" xr:uid="{9AA1C2FB-EE3C-4529-B911-DD92D6A824FB}"/>
    <cellStyle name="Normal 4 4 3 5" xfId="1280" xr:uid="{00000000-0005-0000-0000-0000A5150000}"/>
    <cellStyle name="Normal 4 4 3 5 2" xfId="3510" xr:uid="{00000000-0005-0000-0000-0000A6150000}"/>
    <cellStyle name="Normal 4 4 3 5 2 2" xfId="7733" xr:uid="{00000000-0005-0000-0000-0000A7150000}"/>
    <cellStyle name="Normal 4 4 3 5 2 2 2" xfId="16175" xr:uid="{B735E79A-424F-437E-BB55-8040DC9186F1}"/>
    <cellStyle name="Normal 4 4 3 5 2 3" xfId="11957" xr:uid="{A9C559CD-B5CC-4D33-9C5F-3D1FA7E555EB}"/>
    <cellStyle name="Normal 4 4 3 5 3" xfId="5588" xr:uid="{00000000-0005-0000-0000-0000A8150000}"/>
    <cellStyle name="Normal 4 4 3 5 3 2" xfId="14030" xr:uid="{9795E306-F241-41D5-9CC2-598C05DF490A}"/>
    <cellStyle name="Normal 4 4 3 5 4" xfId="9812" xr:uid="{EB45370C-F0A0-4A48-A720-4551651321EE}"/>
    <cellStyle name="Normal 4 4 3 6" xfId="1693" xr:uid="{00000000-0005-0000-0000-0000A9150000}"/>
    <cellStyle name="Normal 4 4 3 6 2" xfId="3923" xr:uid="{00000000-0005-0000-0000-0000AA150000}"/>
    <cellStyle name="Normal 4 4 3 6 2 2" xfId="8146" xr:uid="{00000000-0005-0000-0000-0000AB150000}"/>
    <cellStyle name="Normal 4 4 3 6 2 2 2" xfId="16588" xr:uid="{AD9BCB2F-9711-47CA-8891-13F1CA248C97}"/>
    <cellStyle name="Normal 4 4 3 6 2 3" xfId="12370" xr:uid="{F2F654F7-2E5B-4245-AB09-616BDC3AFF08}"/>
    <cellStyle name="Normal 4 4 3 6 3" xfId="6001" xr:uid="{00000000-0005-0000-0000-0000AC150000}"/>
    <cellStyle name="Normal 4 4 3 6 3 2" xfId="14443" xr:uid="{12393E53-77A2-4997-B7DE-3AA9AAE24C03}"/>
    <cellStyle name="Normal 4 4 3 6 4" xfId="10225" xr:uid="{C5E44520-190E-4C74-8FCD-7734D76078CD}"/>
    <cellStyle name="Normal 4 4 3 7" xfId="2107" xr:uid="{00000000-0005-0000-0000-0000AD150000}"/>
    <cellStyle name="Normal 4 4 3 7 2" xfId="4336" xr:uid="{00000000-0005-0000-0000-0000AE150000}"/>
    <cellStyle name="Normal 4 4 3 7 2 2" xfId="8559" xr:uid="{00000000-0005-0000-0000-0000AF150000}"/>
    <cellStyle name="Normal 4 4 3 7 2 2 2" xfId="17001" xr:uid="{9A84C09D-6F73-4E67-A527-A2EF1FB9CC39}"/>
    <cellStyle name="Normal 4 4 3 7 2 3" xfId="12783" xr:uid="{3A3B2FB7-29EB-4AA3-947F-A2C9289BFB4E}"/>
    <cellStyle name="Normal 4 4 3 7 3" xfId="6414" xr:uid="{00000000-0005-0000-0000-0000B0150000}"/>
    <cellStyle name="Normal 4 4 3 7 3 2" xfId="14856" xr:uid="{E2B2A9EA-3908-42AD-955C-5DDB07E514E5}"/>
    <cellStyle name="Normal 4 4 3 7 4" xfId="10638" xr:uid="{2C1B6EE4-89F0-4089-B7CE-B372B396D118}"/>
    <cellStyle name="Normal 4 4 3 8" xfId="2543" xr:uid="{00000000-0005-0000-0000-0000B1150000}"/>
    <cellStyle name="Normal 4 4 3 8 2" xfId="6827" xr:uid="{00000000-0005-0000-0000-0000B2150000}"/>
    <cellStyle name="Normal 4 4 3 8 2 2" xfId="15269" xr:uid="{B437DEE8-5380-49EC-816B-91C14ACE195E}"/>
    <cellStyle name="Normal 4 4 3 8 3" xfId="11051" xr:uid="{5A87DFF0-7740-4CEF-A7B0-672677AB5AB2}"/>
    <cellStyle name="Normal 4 4 3 9" xfId="4762" xr:uid="{00000000-0005-0000-0000-0000B3150000}"/>
    <cellStyle name="Normal 4 4 3 9 2" xfId="13204" xr:uid="{20A3C288-2A25-4083-823B-82C657F1E192}"/>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15767" xr:uid="{693F86B7-5830-40E4-AD01-FFCD29D73159}"/>
    <cellStyle name="Normal 4 4 4 2 2 2 3" xfId="11549" xr:uid="{EAB9C4EA-24C3-4C2C-84F2-1553FCFD55FE}"/>
    <cellStyle name="Normal 4 4 4 2 2 3" xfId="5180" xr:uid="{00000000-0005-0000-0000-0000B9150000}"/>
    <cellStyle name="Normal 4 4 4 2 2 3 2" xfId="13622" xr:uid="{66FD1B0C-1702-4751-A3F4-CFE6E9219C36}"/>
    <cellStyle name="Normal 4 4 4 2 2 4" xfId="9404" xr:uid="{46F11A3C-7998-42E0-BC20-2012DAF127AB}"/>
    <cellStyle name="Normal 4 4 4 2 3" xfId="1285" xr:uid="{00000000-0005-0000-0000-0000BA150000}"/>
    <cellStyle name="Normal 4 4 4 2 3 2" xfId="3515" xr:uid="{00000000-0005-0000-0000-0000BB150000}"/>
    <cellStyle name="Normal 4 4 4 2 3 2 2" xfId="7738" xr:uid="{00000000-0005-0000-0000-0000BC150000}"/>
    <cellStyle name="Normal 4 4 4 2 3 2 2 2" xfId="16180" xr:uid="{66974A39-631B-48DE-9D5C-A729304C055E}"/>
    <cellStyle name="Normal 4 4 4 2 3 2 3" xfId="11962" xr:uid="{03F96423-8804-4DE3-87E4-A324C350FB28}"/>
    <cellStyle name="Normal 4 4 4 2 3 3" xfId="5593" xr:uid="{00000000-0005-0000-0000-0000BD150000}"/>
    <cellStyle name="Normal 4 4 4 2 3 3 2" xfId="14035" xr:uid="{A1BCAF01-C67D-41D8-BEB3-98019C247D8D}"/>
    <cellStyle name="Normal 4 4 4 2 3 4" xfId="9817" xr:uid="{D7653090-1225-4479-8BC4-D0FB0EC0BF01}"/>
    <cellStyle name="Normal 4 4 4 2 4" xfId="1698" xr:uid="{00000000-0005-0000-0000-0000BE150000}"/>
    <cellStyle name="Normal 4 4 4 2 4 2" xfId="3928" xr:uid="{00000000-0005-0000-0000-0000BF150000}"/>
    <cellStyle name="Normal 4 4 4 2 4 2 2" xfId="8151" xr:uid="{00000000-0005-0000-0000-0000C0150000}"/>
    <cellStyle name="Normal 4 4 4 2 4 2 2 2" xfId="16593" xr:uid="{9ACF2EF2-8058-44E3-861F-DDF0151321EA}"/>
    <cellStyle name="Normal 4 4 4 2 4 2 3" xfId="12375" xr:uid="{C738E6AD-3498-41DE-A2C6-FA9E136A836A}"/>
    <cellStyle name="Normal 4 4 4 2 4 3" xfId="6006" xr:uid="{00000000-0005-0000-0000-0000C1150000}"/>
    <cellStyle name="Normal 4 4 4 2 4 3 2" xfId="14448" xr:uid="{3ADDA94B-4319-4E19-AA9D-FCBFA0B829AF}"/>
    <cellStyle name="Normal 4 4 4 2 4 4" xfId="10230" xr:uid="{A0651E2D-8D0E-42CF-80DD-8F8343163916}"/>
    <cellStyle name="Normal 4 4 4 2 5" xfId="2112" xr:uid="{00000000-0005-0000-0000-0000C2150000}"/>
    <cellStyle name="Normal 4 4 4 2 5 2" xfId="4341" xr:uid="{00000000-0005-0000-0000-0000C3150000}"/>
    <cellStyle name="Normal 4 4 4 2 5 2 2" xfId="8564" xr:uid="{00000000-0005-0000-0000-0000C4150000}"/>
    <cellStyle name="Normal 4 4 4 2 5 2 2 2" xfId="17006" xr:uid="{F8891226-5FDA-4500-8C05-DCA20264D147}"/>
    <cellStyle name="Normal 4 4 4 2 5 2 3" xfId="12788" xr:uid="{59130FC8-C952-4610-819C-B5F8C17024EB}"/>
    <cellStyle name="Normal 4 4 4 2 5 3" xfId="6419" xr:uid="{00000000-0005-0000-0000-0000C5150000}"/>
    <cellStyle name="Normal 4 4 4 2 5 3 2" xfId="14861" xr:uid="{B5A897BE-15EA-45E4-8F4A-690A99480B47}"/>
    <cellStyle name="Normal 4 4 4 2 5 4" xfId="10643" xr:uid="{000D64CE-D7AA-46E8-9C46-4D557254C5F6}"/>
    <cellStyle name="Normal 4 4 4 2 6" xfId="2548" xr:uid="{00000000-0005-0000-0000-0000C6150000}"/>
    <cellStyle name="Normal 4 4 4 2 6 2" xfId="6832" xr:uid="{00000000-0005-0000-0000-0000C7150000}"/>
    <cellStyle name="Normal 4 4 4 2 6 2 2" xfId="15274" xr:uid="{374360B4-3576-4741-817E-7EA7094E8CF4}"/>
    <cellStyle name="Normal 4 4 4 2 6 3" xfId="11056" xr:uid="{9ED80217-EFAD-4BBD-974F-5B37C9789D22}"/>
    <cellStyle name="Normal 4 4 4 2 7" xfId="4767" xr:uid="{00000000-0005-0000-0000-0000C8150000}"/>
    <cellStyle name="Normal 4 4 4 2 7 2" xfId="13209" xr:uid="{AE77773C-A429-43BC-B019-276C1C54A3AF}"/>
    <cellStyle name="Normal 4 4 4 2 8" xfId="8991" xr:uid="{E090A898-B047-4836-8D01-94BB52C8409F}"/>
    <cellStyle name="Normal 4 4 4 3" xfId="866" xr:uid="{00000000-0005-0000-0000-0000C9150000}"/>
    <cellStyle name="Normal 4 4 4 3 2" xfId="3101" xr:uid="{00000000-0005-0000-0000-0000CA150000}"/>
    <cellStyle name="Normal 4 4 4 3 2 2" xfId="7324" xr:uid="{00000000-0005-0000-0000-0000CB150000}"/>
    <cellStyle name="Normal 4 4 4 3 2 2 2" xfId="15766" xr:uid="{4F81E168-4B4E-4743-95D6-C2ECFEC4C7C0}"/>
    <cellStyle name="Normal 4 4 4 3 2 3" xfId="11548" xr:uid="{0D1ED44E-F253-4504-8341-0F1D995EE2E7}"/>
    <cellStyle name="Normal 4 4 4 3 3" xfId="5179" xr:uid="{00000000-0005-0000-0000-0000CC150000}"/>
    <cellStyle name="Normal 4 4 4 3 3 2" xfId="13621" xr:uid="{87DE905B-5219-411E-91B3-E5F9A254A6F6}"/>
    <cellStyle name="Normal 4 4 4 3 4" xfId="9403" xr:uid="{6A6BF273-2790-463D-A2A6-27122C3F6678}"/>
    <cellStyle name="Normal 4 4 4 4" xfId="1284" xr:uid="{00000000-0005-0000-0000-0000CD150000}"/>
    <cellStyle name="Normal 4 4 4 4 2" xfId="3514" xr:uid="{00000000-0005-0000-0000-0000CE150000}"/>
    <cellStyle name="Normal 4 4 4 4 2 2" xfId="7737" xr:uid="{00000000-0005-0000-0000-0000CF150000}"/>
    <cellStyle name="Normal 4 4 4 4 2 2 2" xfId="16179" xr:uid="{B96CDF37-F216-4D81-A3B0-C9903D931E90}"/>
    <cellStyle name="Normal 4 4 4 4 2 3" xfId="11961" xr:uid="{42AB6877-9CFF-4FE2-96A7-951BAF11CAF4}"/>
    <cellStyle name="Normal 4 4 4 4 3" xfId="5592" xr:uid="{00000000-0005-0000-0000-0000D0150000}"/>
    <cellStyle name="Normal 4 4 4 4 3 2" xfId="14034" xr:uid="{87BF5234-556B-45D1-BC77-4332C98A71CD}"/>
    <cellStyle name="Normal 4 4 4 4 4" xfId="9816" xr:uid="{20861651-0204-49C3-9A1E-93E80553D7E1}"/>
    <cellStyle name="Normal 4 4 4 5" xfId="1697" xr:uid="{00000000-0005-0000-0000-0000D1150000}"/>
    <cellStyle name="Normal 4 4 4 5 2" xfId="3927" xr:uid="{00000000-0005-0000-0000-0000D2150000}"/>
    <cellStyle name="Normal 4 4 4 5 2 2" xfId="8150" xr:uid="{00000000-0005-0000-0000-0000D3150000}"/>
    <cellStyle name="Normal 4 4 4 5 2 2 2" xfId="16592" xr:uid="{9D934B47-2C1A-4B52-8E23-9AAD63AAAECC}"/>
    <cellStyle name="Normal 4 4 4 5 2 3" xfId="12374" xr:uid="{B1BDC9A4-F173-44FE-9C83-C2BAB7912555}"/>
    <cellStyle name="Normal 4 4 4 5 3" xfId="6005" xr:uid="{00000000-0005-0000-0000-0000D4150000}"/>
    <cellStyle name="Normal 4 4 4 5 3 2" xfId="14447" xr:uid="{CA5610C2-5876-44BE-A373-DF8525453AAD}"/>
    <cellStyle name="Normal 4 4 4 5 4" xfId="10229" xr:uid="{A3BE1734-3DD5-416A-8042-1D87EAD04877}"/>
    <cellStyle name="Normal 4 4 4 6" xfId="2111" xr:uid="{00000000-0005-0000-0000-0000D5150000}"/>
    <cellStyle name="Normal 4 4 4 6 2" xfId="4340" xr:uid="{00000000-0005-0000-0000-0000D6150000}"/>
    <cellStyle name="Normal 4 4 4 6 2 2" xfId="8563" xr:uid="{00000000-0005-0000-0000-0000D7150000}"/>
    <cellStyle name="Normal 4 4 4 6 2 2 2" xfId="17005" xr:uid="{49F23F91-22E7-4AC8-AEE5-CAD14AB2A422}"/>
    <cellStyle name="Normal 4 4 4 6 2 3" xfId="12787" xr:uid="{C077B13A-F2D9-48DB-9D6C-A2D0B65A90B9}"/>
    <cellStyle name="Normal 4 4 4 6 3" xfId="6418" xr:uid="{00000000-0005-0000-0000-0000D8150000}"/>
    <cellStyle name="Normal 4 4 4 6 3 2" xfId="14860" xr:uid="{43860207-2C9C-41D3-823B-00A621454D0C}"/>
    <cellStyle name="Normal 4 4 4 6 4" xfId="10642" xr:uid="{C2CB3D99-3927-4C57-B38B-E5DCF214D49D}"/>
    <cellStyle name="Normal 4 4 4 7" xfId="2547" xr:uid="{00000000-0005-0000-0000-0000D9150000}"/>
    <cellStyle name="Normal 4 4 4 7 2" xfId="6831" xr:uid="{00000000-0005-0000-0000-0000DA150000}"/>
    <cellStyle name="Normal 4 4 4 7 2 2" xfId="15273" xr:uid="{B7941ABB-1C96-497F-A875-884254A000AB}"/>
    <cellStyle name="Normal 4 4 4 7 3" xfId="11055" xr:uid="{EBECA46C-BB5F-4E5C-B4BE-3687763BBD20}"/>
    <cellStyle name="Normal 4 4 4 8" xfId="4766" xr:uid="{00000000-0005-0000-0000-0000DB150000}"/>
    <cellStyle name="Normal 4 4 4 8 2" xfId="13208" xr:uid="{E581F0DD-D007-45A2-B644-B3574F04344E}"/>
    <cellStyle name="Normal 4 4 4 9" xfId="8990" xr:uid="{E24F63AF-9B6A-4FBD-BF37-C7DFB6649F5B}"/>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2 2 2" xfId="15768" xr:uid="{0942B610-47EF-4945-BDBE-B2EC5BE0642B}"/>
    <cellStyle name="Normal 4 4 5 2 2 3" xfId="11550" xr:uid="{EBD4D325-C153-4EC0-8C82-8FB23450DE5D}"/>
    <cellStyle name="Normal 4 4 5 2 3" xfId="5181" xr:uid="{00000000-0005-0000-0000-0000E0150000}"/>
    <cellStyle name="Normal 4 4 5 2 3 2" xfId="13623" xr:uid="{771639C3-BE1B-4AB3-9424-D51E7118B541}"/>
    <cellStyle name="Normal 4 4 5 2 4" xfId="9405" xr:uid="{1BEE3736-571A-4AA0-98CF-72864435AD7F}"/>
    <cellStyle name="Normal 4 4 5 3" xfId="1286" xr:uid="{00000000-0005-0000-0000-0000E1150000}"/>
    <cellStyle name="Normal 4 4 5 3 2" xfId="3516" xr:uid="{00000000-0005-0000-0000-0000E2150000}"/>
    <cellStyle name="Normal 4 4 5 3 2 2" xfId="7739" xr:uid="{00000000-0005-0000-0000-0000E3150000}"/>
    <cellStyle name="Normal 4 4 5 3 2 2 2" xfId="16181" xr:uid="{34C71EDE-8C0B-4383-93D0-1C9EBF880113}"/>
    <cellStyle name="Normal 4 4 5 3 2 3" xfId="11963" xr:uid="{0F420A75-3CEB-4AAE-897D-76788F590749}"/>
    <cellStyle name="Normal 4 4 5 3 3" xfId="5594" xr:uid="{00000000-0005-0000-0000-0000E4150000}"/>
    <cellStyle name="Normal 4 4 5 3 3 2" xfId="14036" xr:uid="{A4600B0E-EFE4-4EDD-9D49-A7DA3AC32C18}"/>
    <cellStyle name="Normal 4 4 5 3 4" xfId="9818" xr:uid="{A603F676-8F68-459E-88D1-E4F816178884}"/>
    <cellStyle name="Normal 4 4 5 4" xfId="1699" xr:uid="{00000000-0005-0000-0000-0000E5150000}"/>
    <cellStyle name="Normal 4 4 5 4 2" xfId="3929" xr:uid="{00000000-0005-0000-0000-0000E6150000}"/>
    <cellStyle name="Normal 4 4 5 4 2 2" xfId="8152" xr:uid="{00000000-0005-0000-0000-0000E7150000}"/>
    <cellStyle name="Normal 4 4 5 4 2 2 2" xfId="16594" xr:uid="{BE70C6C4-B7EB-40CE-9AE5-A8FE4FFCA2FC}"/>
    <cellStyle name="Normal 4 4 5 4 2 3" xfId="12376" xr:uid="{25C0134D-78DB-4A3D-A9A4-0AC197F64256}"/>
    <cellStyle name="Normal 4 4 5 4 3" xfId="6007" xr:uid="{00000000-0005-0000-0000-0000E8150000}"/>
    <cellStyle name="Normal 4 4 5 4 3 2" xfId="14449" xr:uid="{61C8644B-7A57-4A10-9A2A-65E0864F627E}"/>
    <cellStyle name="Normal 4 4 5 4 4" xfId="10231" xr:uid="{1B996973-FFE5-42A6-A181-5CCD94D44282}"/>
    <cellStyle name="Normal 4 4 5 5" xfId="2113" xr:uid="{00000000-0005-0000-0000-0000E9150000}"/>
    <cellStyle name="Normal 4 4 5 5 2" xfId="4342" xr:uid="{00000000-0005-0000-0000-0000EA150000}"/>
    <cellStyle name="Normal 4 4 5 5 2 2" xfId="8565" xr:uid="{00000000-0005-0000-0000-0000EB150000}"/>
    <cellStyle name="Normal 4 4 5 5 2 2 2" xfId="17007" xr:uid="{644E9F4A-CE16-47D5-906D-8A0407226B30}"/>
    <cellStyle name="Normal 4 4 5 5 2 3" xfId="12789" xr:uid="{9FD95081-0FFA-42C1-877A-7DEFF134A74B}"/>
    <cellStyle name="Normal 4 4 5 5 3" xfId="6420" xr:uid="{00000000-0005-0000-0000-0000EC150000}"/>
    <cellStyle name="Normal 4 4 5 5 3 2" xfId="14862" xr:uid="{65D90832-2291-4BA8-812D-4EEBE8F3C391}"/>
    <cellStyle name="Normal 4 4 5 5 4" xfId="10644" xr:uid="{EB034958-34FA-471A-8006-580D7419B17C}"/>
    <cellStyle name="Normal 4 4 5 6" xfId="2549" xr:uid="{00000000-0005-0000-0000-0000ED150000}"/>
    <cellStyle name="Normal 4 4 5 6 2" xfId="6833" xr:uid="{00000000-0005-0000-0000-0000EE150000}"/>
    <cellStyle name="Normal 4 4 5 6 2 2" xfId="15275" xr:uid="{484394E6-8E81-4D4D-A448-CF5CF6D2F641}"/>
    <cellStyle name="Normal 4 4 5 6 3" xfId="11057" xr:uid="{69CD173D-150A-4902-93F2-ECE5E8957369}"/>
    <cellStyle name="Normal 4 4 5 7" xfId="4768" xr:uid="{00000000-0005-0000-0000-0000EF150000}"/>
    <cellStyle name="Normal 4 4 5 7 2" xfId="13210" xr:uid="{9D126487-3495-4E57-BD53-1B8573FA5C03}"/>
    <cellStyle name="Normal 4 4 5 8" xfId="8992" xr:uid="{B3362859-36BE-465D-A095-13D0FA4541C6}"/>
    <cellStyle name="Normal 4 4 6" xfId="853" xr:uid="{00000000-0005-0000-0000-0000F0150000}"/>
    <cellStyle name="Normal 4 4 6 2" xfId="3088" xr:uid="{00000000-0005-0000-0000-0000F1150000}"/>
    <cellStyle name="Normal 4 4 6 2 2" xfId="7311" xr:uid="{00000000-0005-0000-0000-0000F2150000}"/>
    <cellStyle name="Normal 4 4 6 2 2 2" xfId="15753" xr:uid="{F4FE1D7E-B98E-4939-832B-B5C189784DCE}"/>
    <cellStyle name="Normal 4 4 6 2 3" xfId="11535" xr:uid="{01B4D5F3-3FD6-41DC-9D0F-BEA48BDE8AFA}"/>
    <cellStyle name="Normal 4 4 6 3" xfId="5166" xr:uid="{00000000-0005-0000-0000-0000F3150000}"/>
    <cellStyle name="Normal 4 4 6 3 2" xfId="13608" xr:uid="{BE3B669F-C107-434B-A03D-03849E66E001}"/>
    <cellStyle name="Normal 4 4 6 4" xfId="9390" xr:uid="{66468C01-A1BC-4034-B754-42C8A2802B35}"/>
    <cellStyle name="Normal 4 4 7" xfId="1271" xr:uid="{00000000-0005-0000-0000-0000F4150000}"/>
    <cellStyle name="Normal 4 4 7 2" xfId="3501" xr:uid="{00000000-0005-0000-0000-0000F5150000}"/>
    <cellStyle name="Normal 4 4 7 2 2" xfId="7724" xr:uid="{00000000-0005-0000-0000-0000F6150000}"/>
    <cellStyle name="Normal 4 4 7 2 2 2" xfId="16166" xr:uid="{BBE77C40-806B-4459-AB4E-2A88B037CF9B}"/>
    <cellStyle name="Normal 4 4 7 2 3" xfId="11948" xr:uid="{DD5D642C-EB78-4E20-859C-90D34D8B6292}"/>
    <cellStyle name="Normal 4 4 7 3" xfId="5579" xr:uid="{00000000-0005-0000-0000-0000F7150000}"/>
    <cellStyle name="Normal 4 4 7 3 2" xfId="14021" xr:uid="{BCA564DF-DD31-41B5-8731-F7843460116A}"/>
    <cellStyle name="Normal 4 4 7 4" xfId="9803" xr:uid="{C011458B-BBFD-4884-B8F5-79C4040861BD}"/>
    <cellStyle name="Normal 4 4 8" xfId="1684" xr:uid="{00000000-0005-0000-0000-0000F8150000}"/>
    <cellStyle name="Normal 4 4 8 2" xfId="3914" xr:uid="{00000000-0005-0000-0000-0000F9150000}"/>
    <cellStyle name="Normal 4 4 8 2 2" xfId="8137" xr:uid="{00000000-0005-0000-0000-0000FA150000}"/>
    <cellStyle name="Normal 4 4 8 2 2 2" xfId="16579" xr:uid="{95F963AF-105B-49D4-AEC4-E9DBE967B705}"/>
    <cellStyle name="Normal 4 4 8 2 3" xfId="12361" xr:uid="{8E81BD62-300C-4256-8431-3F5DB70E153D}"/>
    <cellStyle name="Normal 4 4 8 3" xfId="5992" xr:uid="{00000000-0005-0000-0000-0000FB150000}"/>
    <cellStyle name="Normal 4 4 8 3 2" xfId="14434" xr:uid="{B6A37272-4510-4BED-A982-30791826FB64}"/>
    <cellStyle name="Normal 4 4 8 4" xfId="10216" xr:uid="{F4711B96-F7BF-4347-A272-324DFCD6CAB9}"/>
    <cellStyle name="Normal 4 4 9" xfId="2098" xr:uid="{00000000-0005-0000-0000-0000FC150000}"/>
    <cellStyle name="Normal 4 4 9 2" xfId="4327" xr:uid="{00000000-0005-0000-0000-0000FD150000}"/>
    <cellStyle name="Normal 4 4 9 2 2" xfId="8550" xr:uid="{00000000-0005-0000-0000-0000FE150000}"/>
    <cellStyle name="Normal 4 4 9 2 2 2" xfId="16992" xr:uid="{FA17BFCE-86E8-4519-848B-B6103A757700}"/>
    <cellStyle name="Normal 4 4 9 2 3" xfId="12774" xr:uid="{3485E286-03B2-42C4-9D84-77FF1BA30B4D}"/>
    <cellStyle name="Normal 4 4 9 3" xfId="6405" xr:uid="{00000000-0005-0000-0000-0000FF150000}"/>
    <cellStyle name="Normal 4 4 9 3 2" xfId="14847" xr:uid="{455043BD-E0ED-4565-A60E-E6518453F5F3}"/>
    <cellStyle name="Normal 4 4 9 4" xfId="10629" xr:uid="{2F2A5E71-2FF4-4E76-BA80-A776E9FB1BD2}"/>
    <cellStyle name="Normal 4 5" xfId="394" xr:uid="{00000000-0005-0000-0000-000000160000}"/>
    <cellStyle name="Normal 4 6" xfId="395" xr:uid="{00000000-0005-0000-0000-000001160000}"/>
    <cellStyle name="Normal 4 6 10" xfId="4769" xr:uid="{00000000-0005-0000-0000-000002160000}"/>
    <cellStyle name="Normal 4 6 10 2" xfId="13211" xr:uid="{7262C6EA-CA71-4934-9D55-0BF7372FC264}"/>
    <cellStyle name="Normal 4 6 11" xfId="8993" xr:uid="{B21846AF-AEB3-48F0-8AC3-1E074383819D}"/>
    <cellStyle name="Normal 4 6 2" xfId="396" xr:uid="{00000000-0005-0000-0000-000003160000}"/>
    <cellStyle name="Normal 4 6 2 10" xfId="8994" xr:uid="{A7D677E6-AD85-4838-9346-C9053019C123}"/>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15772" xr:uid="{F067A609-FB98-4FD2-AC93-E0F9005ACE46}"/>
    <cellStyle name="Normal 4 6 2 2 2 2 2 3" xfId="11554" xr:uid="{E38325BA-C7E2-49F4-9087-AD12D5697A3D}"/>
    <cellStyle name="Normal 4 6 2 2 2 2 3" xfId="5185" xr:uid="{00000000-0005-0000-0000-000009160000}"/>
    <cellStyle name="Normal 4 6 2 2 2 2 3 2" xfId="13627" xr:uid="{201B2E23-5459-4D1C-9102-F3E8A6AA67F9}"/>
    <cellStyle name="Normal 4 6 2 2 2 2 4" xfId="9409" xr:uid="{C2B233BA-7AF2-43BD-B6E2-C42A3E543332}"/>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2 2" xfId="16185" xr:uid="{D7D0B7EE-3858-4FDB-A20D-A1ABF3ECCA77}"/>
    <cellStyle name="Normal 4 6 2 2 2 3 2 3" xfId="11967" xr:uid="{EEAD2B13-132E-4D98-9D1C-2D9749200516}"/>
    <cellStyle name="Normal 4 6 2 2 2 3 3" xfId="5598" xr:uid="{00000000-0005-0000-0000-00000D160000}"/>
    <cellStyle name="Normal 4 6 2 2 2 3 3 2" xfId="14040" xr:uid="{FA82B9E5-3982-49E9-B635-73D3AEC2E489}"/>
    <cellStyle name="Normal 4 6 2 2 2 3 4" xfId="9822" xr:uid="{82C6F553-D90D-41D5-8BD3-EA852B25D091}"/>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2 2 2" xfId="16598" xr:uid="{2443E46D-FF9A-4A76-AAEC-CCFE9F92A921}"/>
    <cellStyle name="Normal 4 6 2 2 2 4 2 3" xfId="12380" xr:uid="{3E113BFC-27D6-493F-A725-5033E5BB958A}"/>
    <cellStyle name="Normal 4 6 2 2 2 4 3" xfId="6011" xr:uid="{00000000-0005-0000-0000-000011160000}"/>
    <cellStyle name="Normal 4 6 2 2 2 4 3 2" xfId="14453" xr:uid="{28413E00-CFC1-43A3-89BF-F6047678A2D6}"/>
    <cellStyle name="Normal 4 6 2 2 2 4 4" xfId="10235" xr:uid="{75620757-B9E3-46ED-81C8-EEED2233A98D}"/>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2 2 2" xfId="17011" xr:uid="{F00E3407-388C-4187-B6D8-324506A73FD7}"/>
    <cellStyle name="Normal 4 6 2 2 2 5 2 3" xfId="12793" xr:uid="{914E8E0C-BAAA-4BA3-BFDC-BBE7EC0693D4}"/>
    <cellStyle name="Normal 4 6 2 2 2 5 3" xfId="6424" xr:uid="{00000000-0005-0000-0000-000015160000}"/>
    <cellStyle name="Normal 4 6 2 2 2 5 3 2" xfId="14866" xr:uid="{E642E916-5DDB-428C-AF4A-B797EF500C19}"/>
    <cellStyle name="Normal 4 6 2 2 2 5 4" xfId="10648" xr:uid="{1735CA36-BCBF-4D0B-9BD1-0AA241AA1249}"/>
    <cellStyle name="Normal 4 6 2 2 2 6" xfId="2553" xr:uid="{00000000-0005-0000-0000-000016160000}"/>
    <cellStyle name="Normal 4 6 2 2 2 6 2" xfId="6837" xr:uid="{00000000-0005-0000-0000-000017160000}"/>
    <cellStyle name="Normal 4 6 2 2 2 6 2 2" xfId="15279" xr:uid="{E523A776-ED24-471E-961D-C31056FBDDB0}"/>
    <cellStyle name="Normal 4 6 2 2 2 6 3" xfId="11061" xr:uid="{A5859C3D-02CB-4202-889E-4CAD38EAC525}"/>
    <cellStyle name="Normal 4 6 2 2 2 7" xfId="4772" xr:uid="{00000000-0005-0000-0000-000018160000}"/>
    <cellStyle name="Normal 4 6 2 2 2 7 2" xfId="13214" xr:uid="{EF34FF25-4BE0-4135-B800-7E0D35F1C238}"/>
    <cellStyle name="Normal 4 6 2 2 2 8" xfId="8996" xr:uid="{68A7D864-1856-4128-99CC-0503CC77238C}"/>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15771" xr:uid="{AB132AA8-F176-4552-AF78-32F9065E9E36}"/>
    <cellStyle name="Normal 4 6 2 2 3 2 3" xfId="11553" xr:uid="{B8C910E1-D772-45FC-BDC2-F95ACB13C23F}"/>
    <cellStyle name="Normal 4 6 2 2 3 3" xfId="5184" xr:uid="{00000000-0005-0000-0000-00001C160000}"/>
    <cellStyle name="Normal 4 6 2 2 3 3 2" xfId="13626" xr:uid="{8022664B-8CA5-427E-9B80-1981040FC0AB}"/>
    <cellStyle name="Normal 4 6 2 2 3 4" xfId="9408" xr:uid="{E2476E6A-D288-48A6-B347-B34B5C5EBD53}"/>
    <cellStyle name="Normal 4 6 2 2 4" xfId="1289" xr:uid="{00000000-0005-0000-0000-00001D160000}"/>
    <cellStyle name="Normal 4 6 2 2 4 2" xfId="3519" xr:uid="{00000000-0005-0000-0000-00001E160000}"/>
    <cellStyle name="Normal 4 6 2 2 4 2 2" xfId="7742" xr:uid="{00000000-0005-0000-0000-00001F160000}"/>
    <cellStyle name="Normal 4 6 2 2 4 2 2 2" xfId="16184" xr:uid="{3289A8CA-81E4-4B01-A3ED-02F3BDD5629E}"/>
    <cellStyle name="Normal 4 6 2 2 4 2 3" xfId="11966" xr:uid="{8AD57BAC-6BCC-4A44-8E5C-69E35C05CCAF}"/>
    <cellStyle name="Normal 4 6 2 2 4 3" xfId="5597" xr:uid="{00000000-0005-0000-0000-000020160000}"/>
    <cellStyle name="Normal 4 6 2 2 4 3 2" xfId="14039" xr:uid="{AFE8C697-349F-4D05-9BC5-1065FAB7B543}"/>
    <cellStyle name="Normal 4 6 2 2 4 4" xfId="9821" xr:uid="{F183078A-C337-4EC9-BB9C-6D7BC4182488}"/>
    <cellStyle name="Normal 4 6 2 2 5" xfId="1702" xr:uid="{00000000-0005-0000-0000-000021160000}"/>
    <cellStyle name="Normal 4 6 2 2 5 2" xfId="3932" xr:uid="{00000000-0005-0000-0000-000022160000}"/>
    <cellStyle name="Normal 4 6 2 2 5 2 2" xfId="8155" xr:uid="{00000000-0005-0000-0000-000023160000}"/>
    <cellStyle name="Normal 4 6 2 2 5 2 2 2" xfId="16597" xr:uid="{73EDD08D-3D1D-48B9-A91F-966B69994A92}"/>
    <cellStyle name="Normal 4 6 2 2 5 2 3" xfId="12379" xr:uid="{C07B69D6-5AB3-4309-A1E8-CD42BFBEAD49}"/>
    <cellStyle name="Normal 4 6 2 2 5 3" xfId="6010" xr:uid="{00000000-0005-0000-0000-000024160000}"/>
    <cellStyle name="Normal 4 6 2 2 5 3 2" xfId="14452" xr:uid="{60D33385-F58F-4C61-8E07-C7C80782A5F1}"/>
    <cellStyle name="Normal 4 6 2 2 5 4" xfId="10234" xr:uid="{02B69EEE-DD78-410C-ADBA-55B5B995C50D}"/>
    <cellStyle name="Normal 4 6 2 2 6" xfId="2116" xr:uid="{00000000-0005-0000-0000-000025160000}"/>
    <cellStyle name="Normal 4 6 2 2 6 2" xfId="4345" xr:uid="{00000000-0005-0000-0000-000026160000}"/>
    <cellStyle name="Normal 4 6 2 2 6 2 2" xfId="8568" xr:uid="{00000000-0005-0000-0000-000027160000}"/>
    <cellStyle name="Normal 4 6 2 2 6 2 2 2" xfId="17010" xr:uid="{4D1864CC-07A2-4F90-8DEC-1AC62CA36242}"/>
    <cellStyle name="Normal 4 6 2 2 6 2 3" xfId="12792" xr:uid="{AC58A020-7CFE-4DD5-9DFB-6AD584472A7D}"/>
    <cellStyle name="Normal 4 6 2 2 6 3" xfId="6423" xr:uid="{00000000-0005-0000-0000-000028160000}"/>
    <cellStyle name="Normal 4 6 2 2 6 3 2" xfId="14865" xr:uid="{D6DCC09E-F54F-481C-B7D9-0DDD0AC8C84F}"/>
    <cellStyle name="Normal 4 6 2 2 6 4" xfId="10647" xr:uid="{1B1B4D35-5EF7-4F6C-91B7-FD4E5CD875B9}"/>
    <cellStyle name="Normal 4 6 2 2 7" xfId="2552" xr:uid="{00000000-0005-0000-0000-000029160000}"/>
    <cellStyle name="Normal 4 6 2 2 7 2" xfId="6836" xr:uid="{00000000-0005-0000-0000-00002A160000}"/>
    <cellStyle name="Normal 4 6 2 2 7 2 2" xfId="15278" xr:uid="{1208B7F0-215B-4B64-B661-EE0046D1C027}"/>
    <cellStyle name="Normal 4 6 2 2 7 3" xfId="11060" xr:uid="{0F5374C0-61C8-4001-9950-419931FEA0EC}"/>
    <cellStyle name="Normal 4 6 2 2 8" xfId="4771" xr:uid="{00000000-0005-0000-0000-00002B160000}"/>
    <cellStyle name="Normal 4 6 2 2 8 2" xfId="13213" xr:uid="{85D3A110-C601-45AF-841D-72D0E976BC70}"/>
    <cellStyle name="Normal 4 6 2 2 9" xfId="8995" xr:uid="{42CA7470-A0FC-43BA-9166-3B9B13CCAC7E}"/>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15773" xr:uid="{F58D50D8-CFA8-4E79-A8B3-D570C97A3AED}"/>
    <cellStyle name="Normal 4 6 2 3 2 2 3" xfId="11555" xr:uid="{B62F487E-358F-4B99-8EEA-477A60E87DB9}"/>
    <cellStyle name="Normal 4 6 2 3 2 3" xfId="5186" xr:uid="{00000000-0005-0000-0000-000030160000}"/>
    <cellStyle name="Normal 4 6 2 3 2 3 2" xfId="13628" xr:uid="{A9B6529A-D344-4708-9659-56147C5A295F}"/>
    <cellStyle name="Normal 4 6 2 3 2 4" xfId="9410" xr:uid="{B2BD073D-D678-4FED-B941-F246102A4AD2}"/>
    <cellStyle name="Normal 4 6 2 3 3" xfId="1291" xr:uid="{00000000-0005-0000-0000-000031160000}"/>
    <cellStyle name="Normal 4 6 2 3 3 2" xfId="3521" xr:uid="{00000000-0005-0000-0000-000032160000}"/>
    <cellStyle name="Normal 4 6 2 3 3 2 2" xfId="7744" xr:uid="{00000000-0005-0000-0000-000033160000}"/>
    <cellStyle name="Normal 4 6 2 3 3 2 2 2" xfId="16186" xr:uid="{244A22CA-8930-4CE6-8B1D-A52177F51D3C}"/>
    <cellStyle name="Normal 4 6 2 3 3 2 3" xfId="11968" xr:uid="{E8FB2146-50D5-4422-A530-50DE3AAD48A2}"/>
    <cellStyle name="Normal 4 6 2 3 3 3" xfId="5599" xr:uid="{00000000-0005-0000-0000-000034160000}"/>
    <cellStyle name="Normal 4 6 2 3 3 3 2" xfId="14041" xr:uid="{DBBC0253-B426-4901-B39A-E1AECE9CD01C}"/>
    <cellStyle name="Normal 4 6 2 3 3 4" xfId="9823" xr:uid="{CA404B75-16DD-4CA3-B543-71ADC6B26989}"/>
    <cellStyle name="Normal 4 6 2 3 4" xfId="1704" xr:uid="{00000000-0005-0000-0000-000035160000}"/>
    <cellStyle name="Normal 4 6 2 3 4 2" xfId="3934" xr:uid="{00000000-0005-0000-0000-000036160000}"/>
    <cellStyle name="Normal 4 6 2 3 4 2 2" xfId="8157" xr:uid="{00000000-0005-0000-0000-000037160000}"/>
    <cellStyle name="Normal 4 6 2 3 4 2 2 2" xfId="16599" xr:uid="{F2909DFB-2275-4F11-A0B6-36F5197CB2BD}"/>
    <cellStyle name="Normal 4 6 2 3 4 2 3" xfId="12381" xr:uid="{CB779A0D-5C03-4983-99E2-55465531FDAF}"/>
    <cellStyle name="Normal 4 6 2 3 4 3" xfId="6012" xr:uid="{00000000-0005-0000-0000-000038160000}"/>
    <cellStyle name="Normal 4 6 2 3 4 3 2" xfId="14454" xr:uid="{A11954C0-F2D5-40E7-A17B-2DB362131C73}"/>
    <cellStyle name="Normal 4 6 2 3 4 4" xfId="10236" xr:uid="{36B26EC0-353C-4A37-94DB-6774D16789C3}"/>
    <cellStyle name="Normal 4 6 2 3 5" xfId="2118" xr:uid="{00000000-0005-0000-0000-000039160000}"/>
    <cellStyle name="Normal 4 6 2 3 5 2" xfId="4347" xr:uid="{00000000-0005-0000-0000-00003A160000}"/>
    <cellStyle name="Normal 4 6 2 3 5 2 2" xfId="8570" xr:uid="{00000000-0005-0000-0000-00003B160000}"/>
    <cellStyle name="Normal 4 6 2 3 5 2 2 2" xfId="17012" xr:uid="{EEE892AA-D9E0-44DB-8B99-035C3BB3980C}"/>
    <cellStyle name="Normal 4 6 2 3 5 2 3" xfId="12794" xr:uid="{A6639B64-ED3E-4506-98A9-A3A4C62FEE9A}"/>
    <cellStyle name="Normal 4 6 2 3 5 3" xfId="6425" xr:uid="{00000000-0005-0000-0000-00003C160000}"/>
    <cellStyle name="Normal 4 6 2 3 5 3 2" xfId="14867" xr:uid="{C31C818D-04E5-4778-99A3-A0C3605488EB}"/>
    <cellStyle name="Normal 4 6 2 3 5 4" xfId="10649" xr:uid="{44C041C4-77C6-49CF-8F2A-1AD64A5F264E}"/>
    <cellStyle name="Normal 4 6 2 3 6" xfId="2554" xr:uid="{00000000-0005-0000-0000-00003D160000}"/>
    <cellStyle name="Normal 4 6 2 3 6 2" xfId="6838" xr:uid="{00000000-0005-0000-0000-00003E160000}"/>
    <cellStyle name="Normal 4 6 2 3 6 2 2" xfId="15280" xr:uid="{EC9A27AA-B55A-4633-A1EA-A8CDC8F92A8D}"/>
    <cellStyle name="Normal 4 6 2 3 6 3" xfId="11062" xr:uid="{1E9E7B8B-A5E6-4109-A403-6B779D67E848}"/>
    <cellStyle name="Normal 4 6 2 3 7" xfId="4773" xr:uid="{00000000-0005-0000-0000-00003F160000}"/>
    <cellStyle name="Normal 4 6 2 3 7 2" xfId="13215" xr:uid="{AFEABDDD-E75B-439F-AA40-56DE30748828}"/>
    <cellStyle name="Normal 4 6 2 3 8" xfId="8997" xr:uid="{046178CE-5E46-48CF-8579-97C0DD32FA2E}"/>
    <cellStyle name="Normal 4 6 2 4" xfId="870" xr:uid="{00000000-0005-0000-0000-000040160000}"/>
    <cellStyle name="Normal 4 6 2 4 2" xfId="3105" xr:uid="{00000000-0005-0000-0000-000041160000}"/>
    <cellStyle name="Normal 4 6 2 4 2 2" xfId="7328" xr:uid="{00000000-0005-0000-0000-000042160000}"/>
    <cellStyle name="Normal 4 6 2 4 2 2 2" xfId="15770" xr:uid="{B0A6EA4D-CCC5-4375-97EA-C00B1FE9135C}"/>
    <cellStyle name="Normal 4 6 2 4 2 3" xfId="11552" xr:uid="{90069EAA-4701-48B0-AF73-308349ABD73E}"/>
    <cellStyle name="Normal 4 6 2 4 3" xfId="5183" xr:uid="{00000000-0005-0000-0000-000043160000}"/>
    <cellStyle name="Normal 4 6 2 4 3 2" xfId="13625" xr:uid="{264C4E3B-0D1E-4672-A37C-9BC3D4BF2947}"/>
    <cellStyle name="Normal 4 6 2 4 4" xfId="9407" xr:uid="{0F130C18-DA08-4DB5-B9B2-07470F71C9DF}"/>
    <cellStyle name="Normal 4 6 2 5" xfId="1288" xr:uid="{00000000-0005-0000-0000-000044160000}"/>
    <cellStyle name="Normal 4 6 2 5 2" xfId="3518" xr:uid="{00000000-0005-0000-0000-000045160000}"/>
    <cellStyle name="Normal 4 6 2 5 2 2" xfId="7741" xr:uid="{00000000-0005-0000-0000-000046160000}"/>
    <cellStyle name="Normal 4 6 2 5 2 2 2" xfId="16183" xr:uid="{D84D3C30-F37F-4557-8922-46D1FD822C41}"/>
    <cellStyle name="Normal 4 6 2 5 2 3" xfId="11965" xr:uid="{66F857ED-3F95-489C-8A82-46F81DD030C3}"/>
    <cellStyle name="Normal 4 6 2 5 3" xfId="5596" xr:uid="{00000000-0005-0000-0000-000047160000}"/>
    <cellStyle name="Normal 4 6 2 5 3 2" xfId="14038" xr:uid="{06D1B17E-5E3F-4C69-AC3E-6CE4889A38A0}"/>
    <cellStyle name="Normal 4 6 2 5 4" xfId="9820" xr:uid="{5422B866-5402-4B12-9992-A5A143AE2646}"/>
    <cellStyle name="Normal 4 6 2 6" xfId="1701" xr:uid="{00000000-0005-0000-0000-000048160000}"/>
    <cellStyle name="Normal 4 6 2 6 2" xfId="3931" xr:uid="{00000000-0005-0000-0000-000049160000}"/>
    <cellStyle name="Normal 4 6 2 6 2 2" xfId="8154" xr:uid="{00000000-0005-0000-0000-00004A160000}"/>
    <cellStyle name="Normal 4 6 2 6 2 2 2" xfId="16596" xr:uid="{4ED07A88-A27B-4633-96D6-AAC52AD292D5}"/>
    <cellStyle name="Normal 4 6 2 6 2 3" xfId="12378" xr:uid="{6BEF1B8B-0F22-43B3-82AF-E9EEB5AC64BA}"/>
    <cellStyle name="Normal 4 6 2 6 3" xfId="6009" xr:uid="{00000000-0005-0000-0000-00004B160000}"/>
    <cellStyle name="Normal 4 6 2 6 3 2" xfId="14451" xr:uid="{0A0EFCCD-6143-4ADB-A061-33EDF8EFC45C}"/>
    <cellStyle name="Normal 4 6 2 6 4" xfId="10233" xr:uid="{77876EA1-2E2A-4D43-AD9F-F2E3FE1F17EC}"/>
    <cellStyle name="Normal 4 6 2 7" xfId="2115" xr:uid="{00000000-0005-0000-0000-00004C160000}"/>
    <cellStyle name="Normal 4 6 2 7 2" xfId="4344" xr:uid="{00000000-0005-0000-0000-00004D160000}"/>
    <cellStyle name="Normal 4 6 2 7 2 2" xfId="8567" xr:uid="{00000000-0005-0000-0000-00004E160000}"/>
    <cellStyle name="Normal 4 6 2 7 2 2 2" xfId="17009" xr:uid="{8FED39F8-9A2A-4EC0-933A-0967904C9D39}"/>
    <cellStyle name="Normal 4 6 2 7 2 3" xfId="12791" xr:uid="{4C07EDC7-B9A8-4AC5-8F7B-DFF455CA8ECF}"/>
    <cellStyle name="Normal 4 6 2 7 3" xfId="6422" xr:uid="{00000000-0005-0000-0000-00004F160000}"/>
    <cellStyle name="Normal 4 6 2 7 3 2" xfId="14864" xr:uid="{631B75AA-0DA8-4CCA-9530-014477B642CD}"/>
    <cellStyle name="Normal 4 6 2 7 4" xfId="10646" xr:uid="{2E605A4B-0841-47CD-9CFF-01D5597AE30B}"/>
    <cellStyle name="Normal 4 6 2 8" xfId="2551" xr:uid="{00000000-0005-0000-0000-000050160000}"/>
    <cellStyle name="Normal 4 6 2 8 2" xfId="6835" xr:uid="{00000000-0005-0000-0000-000051160000}"/>
    <cellStyle name="Normal 4 6 2 8 2 2" xfId="15277" xr:uid="{D748398A-0FDD-493C-9743-C7646CF1A134}"/>
    <cellStyle name="Normal 4 6 2 8 3" xfId="11059" xr:uid="{F239291B-FE52-4581-BB2B-DCA39E80F860}"/>
    <cellStyle name="Normal 4 6 2 9" xfId="4770" xr:uid="{00000000-0005-0000-0000-000052160000}"/>
    <cellStyle name="Normal 4 6 2 9 2" xfId="13212" xr:uid="{687751F7-27D5-4495-A90C-5E22BB713888}"/>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15775" xr:uid="{5049D2A0-B17C-4B1D-938E-C7E7ACC9FA21}"/>
    <cellStyle name="Normal 4 6 3 2 2 2 3" xfId="11557" xr:uid="{31ED714B-BC73-42B8-BDE4-85F4704848A6}"/>
    <cellStyle name="Normal 4 6 3 2 2 3" xfId="5188" xr:uid="{00000000-0005-0000-0000-000058160000}"/>
    <cellStyle name="Normal 4 6 3 2 2 3 2" xfId="13630" xr:uid="{B7D32BF6-B7BB-440A-8F38-CA9AFD9E2373}"/>
    <cellStyle name="Normal 4 6 3 2 2 4" xfId="9412" xr:uid="{28F1C8BA-0912-4478-8240-8E59D6BB7CA7}"/>
    <cellStyle name="Normal 4 6 3 2 3" xfId="1293" xr:uid="{00000000-0005-0000-0000-000059160000}"/>
    <cellStyle name="Normal 4 6 3 2 3 2" xfId="3523" xr:uid="{00000000-0005-0000-0000-00005A160000}"/>
    <cellStyle name="Normal 4 6 3 2 3 2 2" xfId="7746" xr:uid="{00000000-0005-0000-0000-00005B160000}"/>
    <cellStyle name="Normal 4 6 3 2 3 2 2 2" xfId="16188" xr:uid="{363E155A-B008-4CDC-AF83-5ACFB2D51B80}"/>
    <cellStyle name="Normal 4 6 3 2 3 2 3" xfId="11970" xr:uid="{D3287AA0-1AEE-43C8-BC3F-1D4AE17645EF}"/>
    <cellStyle name="Normal 4 6 3 2 3 3" xfId="5601" xr:uid="{00000000-0005-0000-0000-00005C160000}"/>
    <cellStyle name="Normal 4 6 3 2 3 3 2" xfId="14043" xr:uid="{C6D01FAD-3E68-4AAF-B7D1-466DF0ED509C}"/>
    <cellStyle name="Normal 4 6 3 2 3 4" xfId="9825" xr:uid="{EA538DF8-E77F-49D1-8F24-D06E5B338BD0}"/>
    <cellStyle name="Normal 4 6 3 2 4" xfId="1706" xr:uid="{00000000-0005-0000-0000-00005D160000}"/>
    <cellStyle name="Normal 4 6 3 2 4 2" xfId="3936" xr:uid="{00000000-0005-0000-0000-00005E160000}"/>
    <cellStyle name="Normal 4 6 3 2 4 2 2" xfId="8159" xr:uid="{00000000-0005-0000-0000-00005F160000}"/>
    <cellStyle name="Normal 4 6 3 2 4 2 2 2" xfId="16601" xr:uid="{B7C9C75E-AF30-4EF8-B1AC-C3199BB55EAF}"/>
    <cellStyle name="Normal 4 6 3 2 4 2 3" xfId="12383" xr:uid="{DD1FCBE9-D2CF-457C-BF5E-446D3990D296}"/>
    <cellStyle name="Normal 4 6 3 2 4 3" xfId="6014" xr:uid="{00000000-0005-0000-0000-000060160000}"/>
    <cellStyle name="Normal 4 6 3 2 4 3 2" xfId="14456" xr:uid="{140CC922-A85B-4B7C-9F37-B2F265EF2BC8}"/>
    <cellStyle name="Normal 4 6 3 2 4 4" xfId="10238" xr:uid="{15993CD8-5C03-4CC4-9FFC-D311B57AF64F}"/>
    <cellStyle name="Normal 4 6 3 2 5" xfId="2120" xr:uid="{00000000-0005-0000-0000-000061160000}"/>
    <cellStyle name="Normal 4 6 3 2 5 2" xfId="4349" xr:uid="{00000000-0005-0000-0000-000062160000}"/>
    <cellStyle name="Normal 4 6 3 2 5 2 2" xfId="8572" xr:uid="{00000000-0005-0000-0000-000063160000}"/>
    <cellStyle name="Normal 4 6 3 2 5 2 2 2" xfId="17014" xr:uid="{B3E5007D-FFA9-4644-B411-5BE50B6589DA}"/>
    <cellStyle name="Normal 4 6 3 2 5 2 3" xfId="12796" xr:uid="{A3786A5A-C514-441B-8FBD-187BE34191AF}"/>
    <cellStyle name="Normal 4 6 3 2 5 3" xfId="6427" xr:uid="{00000000-0005-0000-0000-000064160000}"/>
    <cellStyle name="Normal 4 6 3 2 5 3 2" xfId="14869" xr:uid="{096EEF94-5CC7-477E-A9C7-9EE99BC867D7}"/>
    <cellStyle name="Normal 4 6 3 2 5 4" xfId="10651" xr:uid="{62CFF88E-20F7-479B-B24C-DB4E41C926C2}"/>
    <cellStyle name="Normal 4 6 3 2 6" xfId="2556" xr:uid="{00000000-0005-0000-0000-000065160000}"/>
    <cellStyle name="Normal 4 6 3 2 6 2" xfId="6840" xr:uid="{00000000-0005-0000-0000-000066160000}"/>
    <cellStyle name="Normal 4 6 3 2 6 2 2" xfId="15282" xr:uid="{22DD7B50-95C9-49E1-BF59-73A6240E07AF}"/>
    <cellStyle name="Normal 4 6 3 2 6 3" xfId="11064" xr:uid="{7A927CB2-A3C7-4546-A5FB-B5662DB7521D}"/>
    <cellStyle name="Normal 4 6 3 2 7" xfId="4775" xr:uid="{00000000-0005-0000-0000-000067160000}"/>
    <cellStyle name="Normal 4 6 3 2 7 2" xfId="13217" xr:uid="{73495EE6-96E6-4E66-AF31-861C21D8CDA0}"/>
    <cellStyle name="Normal 4 6 3 2 8" xfId="8999" xr:uid="{190DA088-CDCB-4043-AA72-6D475247B24A}"/>
    <cellStyle name="Normal 4 6 3 3" xfId="874" xr:uid="{00000000-0005-0000-0000-000068160000}"/>
    <cellStyle name="Normal 4 6 3 3 2" xfId="3109" xr:uid="{00000000-0005-0000-0000-000069160000}"/>
    <cellStyle name="Normal 4 6 3 3 2 2" xfId="7332" xr:uid="{00000000-0005-0000-0000-00006A160000}"/>
    <cellStyle name="Normal 4 6 3 3 2 2 2" xfId="15774" xr:uid="{2A81EA41-2A15-4F02-A481-F0D6283A55D0}"/>
    <cellStyle name="Normal 4 6 3 3 2 3" xfId="11556" xr:uid="{446041F7-BB6D-449A-800B-EBAD594DB0E2}"/>
    <cellStyle name="Normal 4 6 3 3 3" xfId="5187" xr:uid="{00000000-0005-0000-0000-00006B160000}"/>
    <cellStyle name="Normal 4 6 3 3 3 2" xfId="13629" xr:uid="{07269457-3B2A-43CE-91EC-843196CFE84E}"/>
    <cellStyle name="Normal 4 6 3 3 4" xfId="9411" xr:uid="{46139CF1-39C0-41F9-9BB2-04785609531B}"/>
    <cellStyle name="Normal 4 6 3 4" xfId="1292" xr:uid="{00000000-0005-0000-0000-00006C160000}"/>
    <cellStyle name="Normal 4 6 3 4 2" xfId="3522" xr:uid="{00000000-0005-0000-0000-00006D160000}"/>
    <cellStyle name="Normal 4 6 3 4 2 2" xfId="7745" xr:uid="{00000000-0005-0000-0000-00006E160000}"/>
    <cellStyle name="Normal 4 6 3 4 2 2 2" xfId="16187" xr:uid="{1BE503E4-3E12-45BD-8749-5ECF55873816}"/>
    <cellStyle name="Normal 4 6 3 4 2 3" xfId="11969" xr:uid="{F3FCCF08-661E-4BC1-9D3B-5BAA63A8A8E2}"/>
    <cellStyle name="Normal 4 6 3 4 3" xfId="5600" xr:uid="{00000000-0005-0000-0000-00006F160000}"/>
    <cellStyle name="Normal 4 6 3 4 3 2" xfId="14042" xr:uid="{7A99E7EF-8181-49A9-8DDE-19B5E22142D4}"/>
    <cellStyle name="Normal 4 6 3 4 4" xfId="9824" xr:uid="{BB0E89C2-436C-4F7C-BCF6-CC8CDABC6984}"/>
    <cellStyle name="Normal 4 6 3 5" xfId="1705" xr:uid="{00000000-0005-0000-0000-000070160000}"/>
    <cellStyle name="Normal 4 6 3 5 2" xfId="3935" xr:uid="{00000000-0005-0000-0000-000071160000}"/>
    <cellStyle name="Normal 4 6 3 5 2 2" xfId="8158" xr:uid="{00000000-0005-0000-0000-000072160000}"/>
    <cellStyle name="Normal 4 6 3 5 2 2 2" xfId="16600" xr:uid="{B8EA20D8-B088-4EF0-8263-200EF3801F14}"/>
    <cellStyle name="Normal 4 6 3 5 2 3" xfId="12382" xr:uid="{9CA67173-C689-40FD-9F8D-803C91F5F83E}"/>
    <cellStyle name="Normal 4 6 3 5 3" xfId="6013" xr:uid="{00000000-0005-0000-0000-000073160000}"/>
    <cellStyle name="Normal 4 6 3 5 3 2" xfId="14455" xr:uid="{AAE6DDFB-98D2-41BD-A818-CF60A0D302F9}"/>
    <cellStyle name="Normal 4 6 3 5 4" xfId="10237" xr:uid="{D42C723F-03E7-435A-8A72-4597DD7B840E}"/>
    <cellStyle name="Normal 4 6 3 6" xfId="2119" xr:uid="{00000000-0005-0000-0000-000074160000}"/>
    <cellStyle name="Normal 4 6 3 6 2" xfId="4348" xr:uid="{00000000-0005-0000-0000-000075160000}"/>
    <cellStyle name="Normal 4 6 3 6 2 2" xfId="8571" xr:uid="{00000000-0005-0000-0000-000076160000}"/>
    <cellStyle name="Normal 4 6 3 6 2 2 2" xfId="17013" xr:uid="{C604B376-631A-45AC-9A75-A4ACB1085582}"/>
    <cellStyle name="Normal 4 6 3 6 2 3" xfId="12795" xr:uid="{0AFA613B-A82C-42F6-A67B-A7FAC3AA9A4F}"/>
    <cellStyle name="Normal 4 6 3 6 3" xfId="6426" xr:uid="{00000000-0005-0000-0000-000077160000}"/>
    <cellStyle name="Normal 4 6 3 6 3 2" xfId="14868" xr:uid="{8B645439-CD5D-4C86-AE07-0E1B22801729}"/>
    <cellStyle name="Normal 4 6 3 6 4" xfId="10650" xr:uid="{CF81754F-AA93-4F68-ADED-80ED033AAEAE}"/>
    <cellStyle name="Normal 4 6 3 7" xfId="2555" xr:uid="{00000000-0005-0000-0000-000078160000}"/>
    <cellStyle name="Normal 4 6 3 7 2" xfId="6839" xr:uid="{00000000-0005-0000-0000-000079160000}"/>
    <cellStyle name="Normal 4 6 3 7 2 2" xfId="15281" xr:uid="{BBE6E5C6-127C-488E-B419-056DB37D3AFD}"/>
    <cellStyle name="Normal 4 6 3 7 3" xfId="11063" xr:uid="{3B86D025-E3AB-438B-A223-74F0EC2C6747}"/>
    <cellStyle name="Normal 4 6 3 8" xfId="4774" xr:uid="{00000000-0005-0000-0000-00007A160000}"/>
    <cellStyle name="Normal 4 6 3 8 2" xfId="13216" xr:uid="{7F4E0A7C-B12A-40A1-B499-DA2A56BB3200}"/>
    <cellStyle name="Normal 4 6 3 9" xfId="8998" xr:uid="{68AA632C-A3F6-4AFD-8C00-0E31D17BD58E}"/>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2 2 2" xfId="15776" xr:uid="{F44CF376-7FC7-4F82-89A2-F1DCDCDCCBF3}"/>
    <cellStyle name="Normal 4 6 4 2 2 3" xfId="11558" xr:uid="{73E24E6F-BC43-4698-A63F-DE9088FDE119}"/>
    <cellStyle name="Normal 4 6 4 2 3" xfId="5189" xr:uid="{00000000-0005-0000-0000-00007F160000}"/>
    <cellStyle name="Normal 4 6 4 2 3 2" xfId="13631" xr:uid="{C54D43AB-1F1A-45FC-982F-CD3FD04605CB}"/>
    <cellStyle name="Normal 4 6 4 2 4" xfId="9413" xr:uid="{2B719356-A237-424E-80F1-5EF4E764DEB3}"/>
    <cellStyle name="Normal 4 6 4 3" xfId="1294" xr:uid="{00000000-0005-0000-0000-000080160000}"/>
    <cellStyle name="Normal 4 6 4 3 2" xfId="3524" xr:uid="{00000000-0005-0000-0000-000081160000}"/>
    <cellStyle name="Normal 4 6 4 3 2 2" xfId="7747" xr:uid="{00000000-0005-0000-0000-000082160000}"/>
    <cellStyle name="Normal 4 6 4 3 2 2 2" xfId="16189" xr:uid="{7115ED8E-40BD-4C20-AF0B-1F43C06D7498}"/>
    <cellStyle name="Normal 4 6 4 3 2 3" xfId="11971" xr:uid="{27B099FE-A9C6-46B5-BC37-04451B29144D}"/>
    <cellStyle name="Normal 4 6 4 3 3" xfId="5602" xr:uid="{00000000-0005-0000-0000-000083160000}"/>
    <cellStyle name="Normal 4 6 4 3 3 2" xfId="14044" xr:uid="{D68F7335-33EE-4E44-9657-DC8830EE4543}"/>
    <cellStyle name="Normal 4 6 4 3 4" xfId="9826" xr:uid="{782E27BF-95D3-4B88-A6F1-60BE4A2B5689}"/>
    <cellStyle name="Normal 4 6 4 4" xfId="1707" xr:uid="{00000000-0005-0000-0000-000084160000}"/>
    <cellStyle name="Normal 4 6 4 4 2" xfId="3937" xr:uid="{00000000-0005-0000-0000-000085160000}"/>
    <cellStyle name="Normal 4 6 4 4 2 2" xfId="8160" xr:uid="{00000000-0005-0000-0000-000086160000}"/>
    <cellStyle name="Normal 4 6 4 4 2 2 2" xfId="16602" xr:uid="{EDA013B7-EC42-4326-819B-B5D891435D69}"/>
    <cellStyle name="Normal 4 6 4 4 2 3" xfId="12384" xr:uid="{E77AA3F6-EBF9-40D5-A03D-C8EA9AA9305B}"/>
    <cellStyle name="Normal 4 6 4 4 3" xfId="6015" xr:uid="{00000000-0005-0000-0000-000087160000}"/>
    <cellStyle name="Normal 4 6 4 4 3 2" xfId="14457" xr:uid="{B1D8C6AE-6E90-4FED-924C-B56D20928B49}"/>
    <cellStyle name="Normal 4 6 4 4 4" xfId="10239" xr:uid="{A540EB41-B1E7-4169-9B4F-3BF06F48C209}"/>
    <cellStyle name="Normal 4 6 4 5" xfId="2121" xr:uid="{00000000-0005-0000-0000-000088160000}"/>
    <cellStyle name="Normal 4 6 4 5 2" xfId="4350" xr:uid="{00000000-0005-0000-0000-000089160000}"/>
    <cellStyle name="Normal 4 6 4 5 2 2" xfId="8573" xr:uid="{00000000-0005-0000-0000-00008A160000}"/>
    <cellStyle name="Normal 4 6 4 5 2 2 2" xfId="17015" xr:uid="{B620C858-22BD-4763-B06E-ECD5559100A2}"/>
    <cellStyle name="Normal 4 6 4 5 2 3" xfId="12797" xr:uid="{C966107C-BF8C-4C04-B905-5E2198EE3E05}"/>
    <cellStyle name="Normal 4 6 4 5 3" xfId="6428" xr:uid="{00000000-0005-0000-0000-00008B160000}"/>
    <cellStyle name="Normal 4 6 4 5 3 2" xfId="14870" xr:uid="{974A1062-B506-405D-B260-CA5F82D20966}"/>
    <cellStyle name="Normal 4 6 4 5 4" xfId="10652" xr:uid="{406C144A-E0C5-4E19-B5D2-EDA0ED248CAB}"/>
    <cellStyle name="Normal 4 6 4 6" xfId="2557" xr:uid="{00000000-0005-0000-0000-00008C160000}"/>
    <cellStyle name="Normal 4 6 4 6 2" xfId="6841" xr:uid="{00000000-0005-0000-0000-00008D160000}"/>
    <cellStyle name="Normal 4 6 4 6 2 2" xfId="15283" xr:uid="{459E068D-5A92-4F9D-9047-F0D4F5FA5332}"/>
    <cellStyle name="Normal 4 6 4 6 3" xfId="11065" xr:uid="{91BAD0D5-FE1E-4207-B2E3-05CC9ABE35D7}"/>
    <cellStyle name="Normal 4 6 4 7" xfId="4776" xr:uid="{00000000-0005-0000-0000-00008E160000}"/>
    <cellStyle name="Normal 4 6 4 7 2" xfId="13218" xr:uid="{56E095DB-D350-492B-8895-0C6AD97EB8BE}"/>
    <cellStyle name="Normal 4 6 4 8" xfId="9000" xr:uid="{A934D235-1579-4E3E-83E8-58E13164E5FD}"/>
    <cellStyle name="Normal 4 6 5" xfId="869" xr:uid="{00000000-0005-0000-0000-00008F160000}"/>
    <cellStyle name="Normal 4 6 5 2" xfId="3104" xr:uid="{00000000-0005-0000-0000-000090160000}"/>
    <cellStyle name="Normal 4 6 5 2 2" xfId="7327" xr:uid="{00000000-0005-0000-0000-000091160000}"/>
    <cellStyle name="Normal 4 6 5 2 2 2" xfId="15769" xr:uid="{C15CCE68-3A09-4479-89C5-9A98ED940E94}"/>
    <cellStyle name="Normal 4 6 5 2 3" xfId="11551" xr:uid="{8AF1E30E-DEDD-4583-83C0-8C6E76A43F40}"/>
    <cellStyle name="Normal 4 6 5 3" xfId="5182" xr:uid="{00000000-0005-0000-0000-000092160000}"/>
    <cellStyle name="Normal 4 6 5 3 2" xfId="13624" xr:uid="{17C46769-81B9-4893-8C7F-6E19BEE10764}"/>
    <cellStyle name="Normal 4 6 5 4" xfId="9406" xr:uid="{90A18250-56BE-4D04-830E-19A5C7F69E5B}"/>
    <cellStyle name="Normal 4 6 6" xfId="1287" xr:uid="{00000000-0005-0000-0000-000093160000}"/>
    <cellStyle name="Normal 4 6 6 2" xfId="3517" xr:uid="{00000000-0005-0000-0000-000094160000}"/>
    <cellStyle name="Normal 4 6 6 2 2" xfId="7740" xr:uid="{00000000-0005-0000-0000-000095160000}"/>
    <cellStyle name="Normal 4 6 6 2 2 2" xfId="16182" xr:uid="{6B776608-1D93-4AE3-9322-62FE090A959B}"/>
    <cellStyle name="Normal 4 6 6 2 3" xfId="11964" xr:uid="{5713995F-61D6-415D-89E7-A633E956683A}"/>
    <cellStyle name="Normal 4 6 6 3" xfId="5595" xr:uid="{00000000-0005-0000-0000-000096160000}"/>
    <cellStyle name="Normal 4 6 6 3 2" xfId="14037" xr:uid="{36DA606C-CA2D-465E-AC16-1FB5E97F4089}"/>
    <cellStyle name="Normal 4 6 6 4" xfId="9819" xr:uid="{34E6D0ED-E406-4659-AD2A-A05FD827A934}"/>
    <cellStyle name="Normal 4 6 7" xfId="1700" xr:uid="{00000000-0005-0000-0000-000097160000}"/>
    <cellStyle name="Normal 4 6 7 2" xfId="3930" xr:uid="{00000000-0005-0000-0000-000098160000}"/>
    <cellStyle name="Normal 4 6 7 2 2" xfId="8153" xr:uid="{00000000-0005-0000-0000-000099160000}"/>
    <cellStyle name="Normal 4 6 7 2 2 2" xfId="16595" xr:uid="{4994EB97-7FAC-4C25-91B5-94B38B222F92}"/>
    <cellStyle name="Normal 4 6 7 2 3" xfId="12377" xr:uid="{9FA10EA4-AA0E-4687-ABC7-D877387766FE}"/>
    <cellStyle name="Normal 4 6 7 3" xfId="6008" xr:uid="{00000000-0005-0000-0000-00009A160000}"/>
    <cellStyle name="Normal 4 6 7 3 2" xfId="14450" xr:uid="{D0CA53D5-3F17-4584-944A-62D02869E43D}"/>
    <cellStyle name="Normal 4 6 7 4" xfId="10232" xr:uid="{7219E3D4-FBDD-464A-8642-37325F66B664}"/>
    <cellStyle name="Normal 4 6 8" xfId="2114" xr:uid="{00000000-0005-0000-0000-00009B160000}"/>
    <cellStyle name="Normal 4 6 8 2" xfId="4343" xr:uid="{00000000-0005-0000-0000-00009C160000}"/>
    <cellStyle name="Normal 4 6 8 2 2" xfId="8566" xr:uid="{00000000-0005-0000-0000-00009D160000}"/>
    <cellStyle name="Normal 4 6 8 2 2 2" xfId="17008" xr:uid="{64445A47-5167-481C-BEB4-92E454E5A5D2}"/>
    <cellStyle name="Normal 4 6 8 2 3" xfId="12790" xr:uid="{8EC8BBAB-6D3E-4400-B6A0-4EC2034C4840}"/>
    <cellStyle name="Normal 4 6 8 3" xfId="6421" xr:uid="{00000000-0005-0000-0000-00009E160000}"/>
    <cellStyle name="Normal 4 6 8 3 2" xfId="14863" xr:uid="{CF1FD972-34ED-47A9-BAC3-8D5F4D52F308}"/>
    <cellStyle name="Normal 4 6 8 4" xfId="10645" xr:uid="{BA575614-421B-4BAD-9AE1-CDA201C8D57E}"/>
    <cellStyle name="Normal 4 6 9" xfId="2550" xr:uid="{00000000-0005-0000-0000-00009F160000}"/>
    <cellStyle name="Normal 4 6 9 2" xfId="6834" xr:uid="{00000000-0005-0000-0000-0000A0160000}"/>
    <cellStyle name="Normal 4 6 9 2 2" xfId="15276" xr:uid="{E2DD7472-57B2-4790-9EA3-0653F2A91966}"/>
    <cellStyle name="Normal 4 6 9 3" xfId="11058" xr:uid="{D3573A59-DB13-4606-90F6-D8A1FA16B3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2 2 2" xfId="15778" xr:uid="{022796B3-2EF5-4092-84E7-C5F4DA9E095C}"/>
    <cellStyle name="Normal 4 7 2 2 2 3" xfId="11560" xr:uid="{8278B634-1294-4FEC-84C4-6BB8D09198B5}"/>
    <cellStyle name="Normal 4 7 2 2 3" xfId="5191" xr:uid="{00000000-0005-0000-0000-0000A6160000}"/>
    <cellStyle name="Normal 4 7 2 2 3 2" xfId="13633" xr:uid="{9D471698-19C8-46B6-8086-D01B73053BA4}"/>
    <cellStyle name="Normal 4 7 2 2 4" xfId="9415" xr:uid="{A7CC30C3-1B29-4684-9DBC-FB455F0A0989}"/>
    <cellStyle name="Normal 4 7 2 3" xfId="1296" xr:uid="{00000000-0005-0000-0000-0000A7160000}"/>
    <cellStyle name="Normal 4 7 2 3 2" xfId="3526" xr:uid="{00000000-0005-0000-0000-0000A8160000}"/>
    <cellStyle name="Normal 4 7 2 3 2 2" xfId="7749" xr:uid="{00000000-0005-0000-0000-0000A9160000}"/>
    <cellStyle name="Normal 4 7 2 3 2 2 2" xfId="16191" xr:uid="{40536A94-195A-43E7-80C6-06108B2A64C6}"/>
    <cellStyle name="Normal 4 7 2 3 2 3" xfId="11973" xr:uid="{70C95F57-BAA1-4AD0-8EDA-37A95C18C169}"/>
    <cellStyle name="Normal 4 7 2 3 3" xfId="5604" xr:uid="{00000000-0005-0000-0000-0000AA160000}"/>
    <cellStyle name="Normal 4 7 2 3 3 2" xfId="14046" xr:uid="{23649E44-6E12-40A4-8425-A41908B55EF3}"/>
    <cellStyle name="Normal 4 7 2 3 4" xfId="9828" xr:uid="{839A0F7F-A799-4C4C-96EF-753291A35068}"/>
    <cellStyle name="Normal 4 7 2 4" xfId="1709" xr:uid="{00000000-0005-0000-0000-0000AB160000}"/>
    <cellStyle name="Normal 4 7 2 4 2" xfId="3939" xr:uid="{00000000-0005-0000-0000-0000AC160000}"/>
    <cellStyle name="Normal 4 7 2 4 2 2" xfId="8162" xr:uid="{00000000-0005-0000-0000-0000AD160000}"/>
    <cellStyle name="Normal 4 7 2 4 2 2 2" xfId="16604" xr:uid="{F22E9DF4-CE19-4D02-9439-2BBF855872DD}"/>
    <cellStyle name="Normal 4 7 2 4 2 3" xfId="12386" xr:uid="{290BCF65-4492-48F1-ADB5-49EBF2FE27DE}"/>
    <cellStyle name="Normal 4 7 2 4 3" xfId="6017" xr:uid="{00000000-0005-0000-0000-0000AE160000}"/>
    <cellStyle name="Normal 4 7 2 4 3 2" xfId="14459" xr:uid="{30E5FEB6-CB2B-4242-8C2A-D1331AA9D685}"/>
    <cellStyle name="Normal 4 7 2 4 4" xfId="10241" xr:uid="{B3A1835E-DDC4-485A-8E0B-0B25ED522667}"/>
    <cellStyle name="Normal 4 7 2 5" xfId="2123" xr:uid="{00000000-0005-0000-0000-0000AF160000}"/>
    <cellStyle name="Normal 4 7 2 5 2" xfId="4352" xr:uid="{00000000-0005-0000-0000-0000B0160000}"/>
    <cellStyle name="Normal 4 7 2 5 2 2" xfId="8575" xr:uid="{00000000-0005-0000-0000-0000B1160000}"/>
    <cellStyle name="Normal 4 7 2 5 2 2 2" xfId="17017" xr:uid="{99980031-4B62-4520-BE19-7D296A5EE8D2}"/>
    <cellStyle name="Normal 4 7 2 5 2 3" xfId="12799" xr:uid="{002C1D9E-F29A-44BA-8742-8EAD00857CDB}"/>
    <cellStyle name="Normal 4 7 2 5 3" xfId="6430" xr:uid="{00000000-0005-0000-0000-0000B2160000}"/>
    <cellStyle name="Normal 4 7 2 5 3 2" xfId="14872" xr:uid="{7EFFC35A-401F-4835-AE35-CC613C7E8DB4}"/>
    <cellStyle name="Normal 4 7 2 5 4" xfId="10654" xr:uid="{7C42743E-668E-4463-9CAF-0343FEBB2FF7}"/>
    <cellStyle name="Normal 4 7 2 6" xfId="2559" xr:uid="{00000000-0005-0000-0000-0000B3160000}"/>
    <cellStyle name="Normal 4 7 2 6 2" xfId="6843" xr:uid="{00000000-0005-0000-0000-0000B4160000}"/>
    <cellStyle name="Normal 4 7 2 6 2 2" xfId="15285" xr:uid="{FE2A6018-D00B-4D3A-8E52-66B584C065FE}"/>
    <cellStyle name="Normal 4 7 2 6 3" xfId="11067" xr:uid="{298E3EC3-2683-4837-BDF5-F81F363775D5}"/>
    <cellStyle name="Normal 4 7 2 7" xfId="4778" xr:uid="{00000000-0005-0000-0000-0000B5160000}"/>
    <cellStyle name="Normal 4 7 2 7 2" xfId="13220" xr:uid="{BEE563BE-BA90-4930-8246-5C3724AA34A5}"/>
    <cellStyle name="Normal 4 7 2 8" xfId="9002" xr:uid="{74D80CA1-6CC2-4B19-836B-3627243CF1B0}"/>
    <cellStyle name="Normal 4 7 3" xfId="877" xr:uid="{00000000-0005-0000-0000-0000B6160000}"/>
    <cellStyle name="Normal 4 7 3 2" xfId="3112" xr:uid="{00000000-0005-0000-0000-0000B7160000}"/>
    <cellStyle name="Normal 4 7 3 2 2" xfId="7335" xr:uid="{00000000-0005-0000-0000-0000B8160000}"/>
    <cellStyle name="Normal 4 7 3 2 2 2" xfId="15777" xr:uid="{A16EBE73-C6F9-4B3A-8A47-06C7844E9DAD}"/>
    <cellStyle name="Normal 4 7 3 2 3" xfId="11559" xr:uid="{112FCC8C-A34F-4C94-BF36-D05FBAA8D905}"/>
    <cellStyle name="Normal 4 7 3 3" xfId="5190" xr:uid="{00000000-0005-0000-0000-0000B9160000}"/>
    <cellStyle name="Normal 4 7 3 3 2" xfId="13632" xr:uid="{8CE0F460-7697-4BF7-9497-43A55AB80EBA}"/>
    <cellStyle name="Normal 4 7 3 4" xfId="9414" xr:uid="{A5A5A2A1-7AF9-4512-A3CB-AA6AE2370E56}"/>
    <cellStyle name="Normal 4 7 4" xfId="1295" xr:uid="{00000000-0005-0000-0000-0000BA160000}"/>
    <cellStyle name="Normal 4 7 4 2" xfId="3525" xr:uid="{00000000-0005-0000-0000-0000BB160000}"/>
    <cellStyle name="Normal 4 7 4 2 2" xfId="7748" xr:uid="{00000000-0005-0000-0000-0000BC160000}"/>
    <cellStyle name="Normal 4 7 4 2 2 2" xfId="16190" xr:uid="{C8F855EA-9FB1-4114-A92C-8765EEDD3F91}"/>
    <cellStyle name="Normal 4 7 4 2 3" xfId="11972" xr:uid="{8A0C2095-E0C8-4B32-9165-4BE4A1786E19}"/>
    <cellStyle name="Normal 4 7 4 3" xfId="5603" xr:uid="{00000000-0005-0000-0000-0000BD160000}"/>
    <cellStyle name="Normal 4 7 4 3 2" xfId="14045" xr:uid="{220C9931-35A5-44BB-B64A-AEC771B7C044}"/>
    <cellStyle name="Normal 4 7 4 4" xfId="9827" xr:uid="{1E2293C4-11D4-4064-B0ED-82423A8CAD3F}"/>
    <cellStyle name="Normal 4 7 5" xfId="1708" xr:uid="{00000000-0005-0000-0000-0000BE160000}"/>
    <cellStyle name="Normal 4 7 5 2" xfId="3938" xr:uid="{00000000-0005-0000-0000-0000BF160000}"/>
    <cellStyle name="Normal 4 7 5 2 2" xfId="8161" xr:uid="{00000000-0005-0000-0000-0000C0160000}"/>
    <cellStyle name="Normal 4 7 5 2 2 2" xfId="16603" xr:uid="{2ABABAC6-11D5-4118-BD5B-F5770642966E}"/>
    <cellStyle name="Normal 4 7 5 2 3" xfId="12385" xr:uid="{3C005CAE-1BFA-4D53-BA70-8ECF23AA350A}"/>
    <cellStyle name="Normal 4 7 5 3" xfId="6016" xr:uid="{00000000-0005-0000-0000-0000C1160000}"/>
    <cellStyle name="Normal 4 7 5 3 2" xfId="14458" xr:uid="{79330D7B-3415-4E96-9D8A-98CE2E15F2B6}"/>
    <cellStyle name="Normal 4 7 5 4" xfId="10240" xr:uid="{D146607E-CCD2-494B-BB05-E43609286089}"/>
    <cellStyle name="Normal 4 7 6" xfId="2122" xr:uid="{00000000-0005-0000-0000-0000C2160000}"/>
    <cellStyle name="Normal 4 7 6 2" xfId="4351" xr:uid="{00000000-0005-0000-0000-0000C3160000}"/>
    <cellStyle name="Normal 4 7 6 2 2" xfId="8574" xr:uid="{00000000-0005-0000-0000-0000C4160000}"/>
    <cellStyle name="Normal 4 7 6 2 2 2" xfId="17016" xr:uid="{D9A26CF6-1DA2-426B-8D45-77217E4B2577}"/>
    <cellStyle name="Normal 4 7 6 2 3" xfId="12798" xr:uid="{2887D85C-D507-4D9D-AB38-08AB31D2DC3C}"/>
    <cellStyle name="Normal 4 7 6 3" xfId="6429" xr:uid="{00000000-0005-0000-0000-0000C5160000}"/>
    <cellStyle name="Normal 4 7 6 3 2" xfId="14871" xr:uid="{7CACF3A8-DDB5-403E-9FF8-81B85A99B868}"/>
    <cellStyle name="Normal 4 7 6 4" xfId="10653" xr:uid="{96672C94-5906-4219-B012-F4445523CA75}"/>
    <cellStyle name="Normal 4 7 7" xfId="2558" xr:uid="{00000000-0005-0000-0000-0000C6160000}"/>
    <cellStyle name="Normal 4 7 7 2" xfId="6842" xr:uid="{00000000-0005-0000-0000-0000C7160000}"/>
    <cellStyle name="Normal 4 7 7 2 2" xfId="15284" xr:uid="{4802EAC6-70B8-4085-A075-310D1E939C93}"/>
    <cellStyle name="Normal 4 7 7 3" xfId="11066" xr:uid="{F9893152-D05B-4BA0-8B4D-C114341F9F42}"/>
    <cellStyle name="Normal 4 7 8" xfId="4777" xr:uid="{00000000-0005-0000-0000-0000C8160000}"/>
    <cellStyle name="Normal 4 7 8 2" xfId="13219" xr:uid="{B7052D0F-9B4C-4A94-9AE8-B241C7154074}"/>
    <cellStyle name="Normal 4 7 9" xfId="9001" xr:uid="{7027F5FB-2101-4ED9-8BBC-BF2E2D83CFB6}"/>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2 2 2" xfId="15779" xr:uid="{C890FA9D-7A4C-4CAD-B2C4-A7AB9A4A60C3}"/>
    <cellStyle name="Normal 4 8 2 2 3" xfId="11561" xr:uid="{0432C647-CF00-4C31-83FA-96348D71FDE0}"/>
    <cellStyle name="Normal 4 8 2 3" xfId="5192" xr:uid="{00000000-0005-0000-0000-0000CD160000}"/>
    <cellStyle name="Normal 4 8 2 3 2" xfId="13634" xr:uid="{653A67FD-6B9E-4D37-AAB0-93B814F80E40}"/>
    <cellStyle name="Normal 4 8 2 4" xfId="9416" xr:uid="{B7F80F5B-7DB6-49D9-A2DB-EE7C168610F3}"/>
    <cellStyle name="Normal 4 8 3" xfId="1297" xr:uid="{00000000-0005-0000-0000-0000CE160000}"/>
    <cellStyle name="Normal 4 8 3 2" xfId="3527" xr:uid="{00000000-0005-0000-0000-0000CF160000}"/>
    <cellStyle name="Normal 4 8 3 2 2" xfId="7750" xr:uid="{00000000-0005-0000-0000-0000D0160000}"/>
    <cellStyle name="Normal 4 8 3 2 2 2" xfId="16192" xr:uid="{6706A958-AEFD-435C-92AC-EB3A925DA225}"/>
    <cellStyle name="Normal 4 8 3 2 3" xfId="11974" xr:uid="{26CCFEF9-59D0-46E7-9525-104478453F43}"/>
    <cellStyle name="Normal 4 8 3 3" xfId="5605" xr:uid="{00000000-0005-0000-0000-0000D1160000}"/>
    <cellStyle name="Normal 4 8 3 3 2" xfId="14047" xr:uid="{07440154-26C3-418D-818B-FA35CDE0F317}"/>
    <cellStyle name="Normal 4 8 3 4" xfId="9829" xr:uid="{7887AEBD-4FCE-4A20-BC5B-ADDAF265C2C7}"/>
    <cellStyle name="Normal 4 8 4" xfId="1710" xr:uid="{00000000-0005-0000-0000-0000D2160000}"/>
    <cellStyle name="Normal 4 8 4 2" xfId="3940" xr:uid="{00000000-0005-0000-0000-0000D3160000}"/>
    <cellStyle name="Normal 4 8 4 2 2" xfId="8163" xr:uid="{00000000-0005-0000-0000-0000D4160000}"/>
    <cellStyle name="Normal 4 8 4 2 2 2" xfId="16605" xr:uid="{3D4331B8-9A25-4BA5-B2BC-A284839073C1}"/>
    <cellStyle name="Normal 4 8 4 2 3" xfId="12387" xr:uid="{BC7D1296-4B83-46A1-B571-C23E01E6638E}"/>
    <cellStyle name="Normal 4 8 4 3" xfId="6018" xr:uid="{00000000-0005-0000-0000-0000D5160000}"/>
    <cellStyle name="Normal 4 8 4 3 2" xfId="14460" xr:uid="{4EA8F44B-43E2-441E-97E9-73C8B105FD50}"/>
    <cellStyle name="Normal 4 8 4 4" xfId="10242" xr:uid="{760F7DD7-1E64-467A-BD70-72C2205C93CC}"/>
    <cellStyle name="Normal 4 8 5" xfId="2124" xr:uid="{00000000-0005-0000-0000-0000D6160000}"/>
    <cellStyle name="Normal 4 8 5 2" xfId="4353" xr:uid="{00000000-0005-0000-0000-0000D7160000}"/>
    <cellStyle name="Normal 4 8 5 2 2" xfId="8576" xr:uid="{00000000-0005-0000-0000-0000D8160000}"/>
    <cellStyle name="Normal 4 8 5 2 2 2" xfId="17018" xr:uid="{493BB9A9-C652-4AE7-B253-3831BB83AF8E}"/>
    <cellStyle name="Normal 4 8 5 2 3" xfId="12800" xr:uid="{CB7012F6-168E-4C5F-8B1C-136A49C6AB95}"/>
    <cellStyle name="Normal 4 8 5 3" xfId="6431" xr:uid="{00000000-0005-0000-0000-0000D9160000}"/>
    <cellStyle name="Normal 4 8 5 3 2" xfId="14873" xr:uid="{BC2E8060-324B-44FE-A3DB-B987EB1289D7}"/>
    <cellStyle name="Normal 4 8 5 4" xfId="10655" xr:uid="{7B90AF0F-CFCF-4E63-9BB4-20B7E75223D1}"/>
    <cellStyle name="Normal 4 8 6" xfId="2560" xr:uid="{00000000-0005-0000-0000-0000DA160000}"/>
    <cellStyle name="Normal 4 8 6 2" xfId="6844" xr:uid="{00000000-0005-0000-0000-0000DB160000}"/>
    <cellStyle name="Normal 4 8 6 2 2" xfId="15286" xr:uid="{D22FD357-FE36-4549-B082-D365CC64CA90}"/>
    <cellStyle name="Normal 4 8 6 3" xfId="11068" xr:uid="{1211F490-FF20-459E-AF49-9E30117742FB}"/>
    <cellStyle name="Normal 4 8 7" xfId="4779" xr:uid="{00000000-0005-0000-0000-0000DC160000}"/>
    <cellStyle name="Normal 4 8 7 2" xfId="13221" xr:uid="{6D26910E-8EBC-4EC2-97E9-1F3FA2CB8498}"/>
    <cellStyle name="Normal 4 8 8" xfId="9003" xr:uid="{439561B2-A0C9-4739-BD6F-770C221AFDE8}"/>
    <cellStyle name="Normal 4 9" xfId="4716" xr:uid="{00000000-0005-0000-0000-0000DD160000}"/>
    <cellStyle name="Normal 4 9 2" xfId="13158" xr:uid="{2C15AF92-24EB-4F54-B959-1BAD8976A191}"/>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2 2 2" xfId="16606" xr:uid="{1B23D0FB-819B-4700-A841-70D5DFF06F74}"/>
    <cellStyle name="Normal 5 10 2 3" xfId="12388" xr:uid="{D78021E4-EC92-4C35-9201-8F3ED878BB80}"/>
    <cellStyle name="Normal 5 10 3" xfId="6019" xr:uid="{00000000-0005-0000-0000-0000E2160000}"/>
    <cellStyle name="Normal 5 10 3 2" xfId="14461" xr:uid="{5D8750AF-B510-4208-9BE7-74505313C539}"/>
    <cellStyle name="Normal 5 10 4" xfId="10243" xr:uid="{085CBEB7-F186-41BF-A24A-35AD7085F247}"/>
    <cellStyle name="Normal 5 11" xfId="2125" xr:uid="{00000000-0005-0000-0000-0000E3160000}"/>
    <cellStyle name="Normal 5 11 2" xfId="4354" xr:uid="{00000000-0005-0000-0000-0000E4160000}"/>
    <cellStyle name="Normal 5 11 2 2" xfId="8577" xr:uid="{00000000-0005-0000-0000-0000E5160000}"/>
    <cellStyle name="Normal 5 11 2 2 2" xfId="17019" xr:uid="{AB2607B2-FC5F-4827-BCFF-8451F654F98B}"/>
    <cellStyle name="Normal 5 11 2 3" xfId="12801" xr:uid="{77E12D92-0CDE-40AC-A45D-D84AD5408C59}"/>
    <cellStyle name="Normal 5 11 3" xfId="6432" xr:uid="{00000000-0005-0000-0000-0000E6160000}"/>
    <cellStyle name="Normal 5 11 3 2" xfId="14874" xr:uid="{727912D4-E0A1-48D7-ACDE-F25BB76A6999}"/>
    <cellStyle name="Normal 5 11 4" xfId="10656" xr:uid="{C9A0E894-23B2-40FF-A401-5A39D4E6E508}"/>
    <cellStyle name="Normal 5 12" xfId="2561" xr:uid="{00000000-0005-0000-0000-0000E7160000}"/>
    <cellStyle name="Normal 5 12 2" xfId="6845" xr:uid="{00000000-0005-0000-0000-0000E8160000}"/>
    <cellStyle name="Normal 5 12 2 2" xfId="15287" xr:uid="{4D81B47A-1BFC-4C89-9FB0-716007AB516F}"/>
    <cellStyle name="Normal 5 12 3" xfId="11069" xr:uid="{A2D50611-61D9-44A8-B898-F6E2D95D5AC7}"/>
    <cellStyle name="Normal 5 13" xfId="4780" xr:uid="{00000000-0005-0000-0000-0000E9160000}"/>
    <cellStyle name="Normal 5 13 2" xfId="13222" xr:uid="{8703FE62-B083-4A81-94B2-ADCAB19F6906}"/>
    <cellStyle name="Normal 5 14" xfId="9004" xr:uid="{186A529D-C4E1-455D-BEDE-9A67ED9B4457}"/>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2 2 2" xfId="17020" xr:uid="{A90CA4BA-8217-4577-AE6F-F9A314A1FE79}"/>
    <cellStyle name="Normal 5 2 10 2 3" xfId="12802" xr:uid="{15B9428C-20B3-4B8F-9C5D-02477CDAFC54}"/>
    <cellStyle name="Normal 5 2 10 3" xfId="6433" xr:uid="{00000000-0005-0000-0000-0000EE160000}"/>
    <cellStyle name="Normal 5 2 10 3 2" xfId="14875" xr:uid="{33D82310-C767-4403-A896-E38F9C5176C9}"/>
    <cellStyle name="Normal 5 2 10 4" xfId="10657" xr:uid="{93C67D50-8EC0-41BC-8303-4F403F704216}"/>
    <cellStyle name="Normal 5 2 11" xfId="2562" xr:uid="{00000000-0005-0000-0000-0000EF160000}"/>
    <cellStyle name="Normal 5 2 11 2" xfId="6846" xr:uid="{00000000-0005-0000-0000-0000F0160000}"/>
    <cellStyle name="Normal 5 2 11 2 2" xfId="15288" xr:uid="{C3050F93-4F07-43A2-A9FF-3DF0EFE26B5F}"/>
    <cellStyle name="Normal 5 2 11 3" xfId="11070" xr:uid="{7984E467-6AC6-4B39-821B-9F89BD174D86}"/>
    <cellStyle name="Normal 5 2 12" xfId="4781" xr:uid="{00000000-0005-0000-0000-0000F1160000}"/>
    <cellStyle name="Normal 5 2 12 2" xfId="13223" xr:uid="{7B90ED5F-D73B-407D-955E-39D0B6D91510}"/>
    <cellStyle name="Normal 5 2 13" xfId="9005" xr:uid="{8049FF8E-A6D7-4D80-904A-CFFCB097CC66}"/>
    <cellStyle name="Normal 5 2 2" xfId="408" xr:uid="{00000000-0005-0000-0000-0000F2160000}"/>
    <cellStyle name="Normal 5 2 2 10" xfId="2563" xr:uid="{00000000-0005-0000-0000-0000F3160000}"/>
    <cellStyle name="Normal 5 2 2 10 2" xfId="6847" xr:uid="{00000000-0005-0000-0000-0000F4160000}"/>
    <cellStyle name="Normal 5 2 2 10 2 2" xfId="15289" xr:uid="{E477CA64-BD63-45D7-9FA9-450C3DBF9D06}"/>
    <cellStyle name="Normal 5 2 2 10 3" xfId="11071" xr:uid="{8A09C08A-2833-4C09-84BB-4523643C3091}"/>
    <cellStyle name="Normal 5 2 2 11" xfId="4782" xr:uid="{00000000-0005-0000-0000-0000F5160000}"/>
    <cellStyle name="Normal 5 2 2 11 2" xfId="13224" xr:uid="{4E78C54D-C8EC-4956-8694-C18E9F2225B0}"/>
    <cellStyle name="Normal 5 2 2 12" xfId="9006" xr:uid="{F953E166-3464-4A19-9A4F-BB7648460A92}"/>
    <cellStyle name="Normal 5 2 2 2" xfId="409" xr:uid="{00000000-0005-0000-0000-0000F6160000}"/>
    <cellStyle name="Normal 5 2 2 2 10" xfId="4783" xr:uid="{00000000-0005-0000-0000-0000F7160000}"/>
    <cellStyle name="Normal 5 2 2 2 10 2" xfId="13225" xr:uid="{89B29A87-26E6-461B-A4A4-BC37667EEEFF}"/>
    <cellStyle name="Normal 5 2 2 2 11" xfId="9007" xr:uid="{E767E329-C19E-4299-B7A6-38C55BAE0EA4}"/>
    <cellStyle name="Normal 5 2 2 2 2" xfId="410" xr:uid="{00000000-0005-0000-0000-0000F8160000}"/>
    <cellStyle name="Normal 5 2 2 2 2 10" xfId="9008" xr:uid="{1E33DFFA-7C29-4A51-8EC4-DDD33E83BD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15786" xr:uid="{85EE76C5-60BF-44F6-BBF0-8DAC9AC70026}"/>
    <cellStyle name="Normal 5 2 2 2 2 2 2 2 2 3" xfId="11568" xr:uid="{4DC6ECE4-7E75-4AF5-AECC-8B538CC523D3}"/>
    <cellStyle name="Normal 5 2 2 2 2 2 2 2 3" xfId="5199" xr:uid="{00000000-0005-0000-0000-0000FE160000}"/>
    <cellStyle name="Normal 5 2 2 2 2 2 2 2 3 2" xfId="13641" xr:uid="{57A8CB6B-4D76-4E0E-B315-0007D178F857}"/>
    <cellStyle name="Normal 5 2 2 2 2 2 2 2 4" xfId="9423" xr:uid="{4A088942-4D6E-4826-8CDE-E21DC2C9AD17}"/>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2 2" xfId="16199" xr:uid="{9D006E66-5BA0-439A-BEFC-909DD68038CB}"/>
    <cellStyle name="Normal 5 2 2 2 2 2 2 3 2 3" xfId="11981" xr:uid="{5CC49E93-7DC7-403C-B3E8-1635056D82AE}"/>
    <cellStyle name="Normal 5 2 2 2 2 2 2 3 3" xfId="5612" xr:uid="{00000000-0005-0000-0000-000002170000}"/>
    <cellStyle name="Normal 5 2 2 2 2 2 2 3 3 2" xfId="14054" xr:uid="{A273BF71-7B59-426C-A747-6CB4576BB336}"/>
    <cellStyle name="Normal 5 2 2 2 2 2 2 3 4" xfId="9836" xr:uid="{0F177365-28CD-4565-AB07-81424A813B3A}"/>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2 2 2" xfId="16612" xr:uid="{DDF11E9A-7861-461A-8CD1-D7F8A88626AB}"/>
    <cellStyle name="Normal 5 2 2 2 2 2 2 4 2 3" xfId="12394" xr:uid="{4BF2B900-C455-4350-A60A-68B6215C6DD0}"/>
    <cellStyle name="Normal 5 2 2 2 2 2 2 4 3" xfId="6025" xr:uid="{00000000-0005-0000-0000-000006170000}"/>
    <cellStyle name="Normal 5 2 2 2 2 2 2 4 3 2" xfId="14467" xr:uid="{4FBB919F-CC12-4BCF-A30B-D6FB278A6684}"/>
    <cellStyle name="Normal 5 2 2 2 2 2 2 4 4" xfId="10249" xr:uid="{469842AA-DE2A-44F4-8C9B-BE59A8469E7C}"/>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2 2 2" xfId="17025" xr:uid="{D35A9626-7ABC-422F-8C7C-F401D9BC1B35}"/>
    <cellStyle name="Normal 5 2 2 2 2 2 2 5 2 3" xfId="12807" xr:uid="{FE404B2D-B174-4277-A844-DD55AAF6E565}"/>
    <cellStyle name="Normal 5 2 2 2 2 2 2 5 3" xfId="6438" xr:uid="{00000000-0005-0000-0000-00000A170000}"/>
    <cellStyle name="Normal 5 2 2 2 2 2 2 5 3 2" xfId="14880" xr:uid="{8E52772D-F825-45B4-8DD0-720F29051148}"/>
    <cellStyle name="Normal 5 2 2 2 2 2 2 5 4" xfId="10662" xr:uid="{844BC5B7-92FD-4CDA-B772-0DB9E2546139}"/>
    <cellStyle name="Normal 5 2 2 2 2 2 2 6" xfId="2567" xr:uid="{00000000-0005-0000-0000-00000B170000}"/>
    <cellStyle name="Normal 5 2 2 2 2 2 2 6 2" xfId="6851" xr:uid="{00000000-0005-0000-0000-00000C170000}"/>
    <cellStyle name="Normal 5 2 2 2 2 2 2 6 2 2" xfId="15293" xr:uid="{DEA9FBF9-4A5F-49C7-8A0F-5F2368968797}"/>
    <cellStyle name="Normal 5 2 2 2 2 2 2 6 3" xfId="11075" xr:uid="{7330F4A6-B3E7-40AB-B25D-11CB9B7CD698}"/>
    <cellStyle name="Normal 5 2 2 2 2 2 2 7" xfId="4786" xr:uid="{00000000-0005-0000-0000-00000D170000}"/>
    <cellStyle name="Normal 5 2 2 2 2 2 2 7 2" xfId="13228" xr:uid="{807D6A1A-DA37-481E-88D4-275F35EDA122}"/>
    <cellStyle name="Normal 5 2 2 2 2 2 2 8" xfId="9010" xr:uid="{B7FE7F5A-982A-43E6-BB6F-949D362061BA}"/>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15785" xr:uid="{5A0E3524-1FB2-4496-9E4E-D4FE97003AE0}"/>
    <cellStyle name="Normal 5 2 2 2 2 2 3 2 3" xfId="11567" xr:uid="{605C1B20-7154-4AB1-A755-131F829E4E13}"/>
    <cellStyle name="Normal 5 2 2 2 2 2 3 3" xfId="5198" xr:uid="{00000000-0005-0000-0000-000011170000}"/>
    <cellStyle name="Normal 5 2 2 2 2 2 3 3 2" xfId="13640" xr:uid="{E2EFA096-D97D-47A6-8C4D-D90EAD05A908}"/>
    <cellStyle name="Normal 5 2 2 2 2 2 3 4" xfId="9422" xr:uid="{A102CA85-AFE5-4649-AD2C-05A01C516688}"/>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2 2" xfId="16198" xr:uid="{65FA2B64-7558-4DE6-B7FB-185A02DB3981}"/>
    <cellStyle name="Normal 5 2 2 2 2 2 4 2 3" xfId="11980" xr:uid="{05F18EA7-B258-4015-8CF1-81D50958160A}"/>
    <cellStyle name="Normal 5 2 2 2 2 2 4 3" xfId="5611" xr:uid="{00000000-0005-0000-0000-000015170000}"/>
    <cellStyle name="Normal 5 2 2 2 2 2 4 3 2" xfId="14053" xr:uid="{72788A0E-4E0C-4E11-8C6F-D4FEEC485209}"/>
    <cellStyle name="Normal 5 2 2 2 2 2 4 4" xfId="9835" xr:uid="{3CE547FF-14C1-4E8B-ABA2-41DE80F908C8}"/>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2 2 2" xfId="16611" xr:uid="{0DADDBCA-F52D-4838-9925-8E1CDE95A46B}"/>
    <cellStyle name="Normal 5 2 2 2 2 2 5 2 3" xfId="12393" xr:uid="{6AD26111-1707-4642-BB50-200A2851F7F5}"/>
    <cellStyle name="Normal 5 2 2 2 2 2 5 3" xfId="6024" xr:uid="{00000000-0005-0000-0000-000019170000}"/>
    <cellStyle name="Normal 5 2 2 2 2 2 5 3 2" xfId="14466" xr:uid="{A3E9CE89-D2AB-4DA6-A1BA-B1D8ED51921D}"/>
    <cellStyle name="Normal 5 2 2 2 2 2 5 4" xfId="10248" xr:uid="{F32056A9-1F1D-41B8-94F1-8C617826C038}"/>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2 2 2" xfId="17024" xr:uid="{1A125AB5-F428-4697-996D-2967BB584E67}"/>
    <cellStyle name="Normal 5 2 2 2 2 2 6 2 3" xfId="12806" xr:uid="{E839E2C9-3FF5-44E9-8842-836280CDDA16}"/>
    <cellStyle name="Normal 5 2 2 2 2 2 6 3" xfId="6437" xr:uid="{00000000-0005-0000-0000-00001D170000}"/>
    <cellStyle name="Normal 5 2 2 2 2 2 6 3 2" xfId="14879" xr:uid="{E8982B06-E691-4F2F-9471-0E24B09AE5A4}"/>
    <cellStyle name="Normal 5 2 2 2 2 2 6 4" xfId="10661" xr:uid="{82691322-9FDB-4962-819A-32E69787EA9D}"/>
    <cellStyle name="Normal 5 2 2 2 2 2 7" xfId="2566" xr:uid="{00000000-0005-0000-0000-00001E170000}"/>
    <cellStyle name="Normal 5 2 2 2 2 2 7 2" xfId="6850" xr:uid="{00000000-0005-0000-0000-00001F170000}"/>
    <cellStyle name="Normal 5 2 2 2 2 2 7 2 2" xfId="15292" xr:uid="{DCEA1151-BA02-4A2F-B76C-EEC68BD4CE41}"/>
    <cellStyle name="Normal 5 2 2 2 2 2 7 3" xfId="11074" xr:uid="{687997FF-2132-402D-B299-E1BD85D6A5EA}"/>
    <cellStyle name="Normal 5 2 2 2 2 2 8" xfId="4785" xr:uid="{00000000-0005-0000-0000-000020170000}"/>
    <cellStyle name="Normal 5 2 2 2 2 2 8 2" xfId="13227" xr:uid="{F2AB73A7-0E1B-4233-B0AF-903119815F2D}"/>
    <cellStyle name="Normal 5 2 2 2 2 2 9" xfId="9009" xr:uid="{E0B101EB-37BE-4253-BF08-A8245E21172A}"/>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15787" xr:uid="{DD2BEDE5-BB09-4653-A4FB-EF1D295750E7}"/>
    <cellStyle name="Normal 5 2 2 2 2 3 2 2 3" xfId="11569" xr:uid="{E64F5F8D-5A4C-45A6-AEAA-52E5FB2A563A}"/>
    <cellStyle name="Normal 5 2 2 2 2 3 2 3" xfId="5200" xr:uid="{00000000-0005-0000-0000-000025170000}"/>
    <cellStyle name="Normal 5 2 2 2 2 3 2 3 2" xfId="13642" xr:uid="{B5343C37-1E85-4AE8-A444-E9B521C5B85F}"/>
    <cellStyle name="Normal 5 2 2 2 2 3 2 4" xfId="9424" xr:uid="{D6E9D915-C754-4374-8D82-D619CCE2C2EA}"/>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2 2" xfId="16200" xr:uid="{4CFA5B28-25EB-4713-BAB3-4845D562963F}"/>
    <cellStyle name="Normal 5 2 2 2 2 3 3 2 3" xfId="11982" xr:uid="{18A592E3-E04F-403E-83B6-423AAE68283E}"/>
    <cellStyle name="Normal 5 2 2 2 2 3 3 3" xfId="5613" xr:uid="{00000000-0005-0000-0000-000029170000}"/>
    <cellStyle name="Normal 5 2 2 2 2 3 3 3 2" xfId="14055" xr:uid="{9794E67C-B803-40C5-8B6D-C0E89DF7AD0B}"/>
    <cellStyle name="Normal 5 2 2 2 2 3 3 4" xfId="9837" xr:uid="{8D5AC8A1-56D0-4097-83A2-6B12CFD6DC82}"/>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2 2 2" xfId="16613" xr:uid="{7A2C2481-D06E-46FA-B870-1D64DD0A7B31}"/>
    <cellStyle name="Normal 5 2 2 2 2 3 4 2 3" xfId="12395" xr:uid="{4ED5516E-753B-4499-A66D-C8D099AAA309}"/>
    <cellStyle name="Normal 5 2 2 2 2 3 4 3" xfId="6026" xr:uid="{00000000-0005-0000-0000-00002D170000}"/>
    <cellStyle name="Normal 5 2 2 2 2 3 4 3 2" xfId="14468" xr:uid="{15151992-6356-4E19-9401-8C2164E28F6B}"/>
    <cellStyle name="Normal 5 2 2 2 2 3 4 4" xfId="10250" xr:uid="{B0ACD4A3-8D5E-4134-A838-DB4B2E67843D}"/>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2 2 2" xfId="17026" xr:uid="{47A28147-D206-4D09-9D73-BA274C35B2DC}"/>
    <cellStyle name="Normal 5 2 2 2 2 3 5 2 3" xfId="12808" xr:uid="{9EE04961-3CA3-4B32-AAEB-070F1C73EFB6}"/>
    <cellStyle name="Normal 5 2 2 2 2 3 5 3" xfId="6439" xr:uid="{00000000-0005-0000-0000-000031170000}"/>
    <cellStyle name="Normal 5 2 2 2 2 3 5 3 2" xfId="14881" xr:uid="{0573A7FF-79F2-40E8-9D86-0656C1D66CDB}"/>
    <cellStyle name="Normal 5 2 2 2 2 3 5 4" xfId="10663" xr:uid="{97170380-6895-4859-AC00-7A1A8127F562}"/>
    <cellStyle name="Normal 5 2 2 2 2 3 6" xfId="2568" xr:uid="{00000000-0005-0000-0000-000032170000}"/>
    <cellStyle name="Normal 5 2 2 2 2 3 6 2" xfId="6852" xr:uid="{00000000-0005-0000-0000-000033170000}"/>
    <cellStyle name="Normal 5 2 2 2 2 3 6 2 2" xfId="15294" xr:uid="{B745D03B-30AB-4132-B3AC-AA1EC763821F}"/>
    <cellStyle name="Normal 5 2 2 2 2 3 6 3" xfId="11076" xr:uid="{38C06CED-742E-4FDF-96A8-5E387F758210}"/>
    <cellStyle name="Normal 5 2 2 2 2 3 7" xfId="4787" xr:uid="{00000000-0005-0000-0000-000034170000}"/>
    <cellStyle name="Normal 5 2 2 2 2 3 7 2" xfId="13229" xr:uid="{16B73282-C894-41F3-AA85-AD2EDADBA394}"/>
    <cellStyle name="Normal 5 2 2 2 2 3 8" xfId="9011" xr:uid="{23AE2AC3-506F-4A75-A2F1-7DBFC5054648}"/>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15784" xr:uid="{55C9DBA8-65A2-49A2-9FA7-0D55436CF06B}"/>
    <cellStyle name="Normal 5 2 2 2 2 4 2 3" xfId="11566" xr:uid="{B30134E0-F6E6-42AD-B592-7F36C8D88607}"/>
    <cellStyle name="Normal 5 2 2 2 2 4 3" xfId="5197" xr:uid="{00000000-0005-0000-0000-000038170000}"/>
    <cellStyle name="Normal 5 2 2 2 2 4 3 2" xfId="13639" xr:uid="{F4740E78-C328-46B5-961F-3F7335D8A406}"/>
    <cellStyle name="Normal 5 2 2 2 2 4 4" xfId="9421" xr:uid="{4DA3EF62-670D-4655-9A9E-2489B900073E}"/>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2 2" xfId="16197" xr:uid="{A0753820-30DC-4C5B-9AE3-0DF88DAB05C5}"/>
    <cellStyle name="Normal 5 2 2 2 2 5 2 3" xfId="11979" xr:uid="{C7A77F4D-0DC0-43F9-9B0E-FF73D14D8909}"/>
    <cellStyle name="Normal 5 2 2 2 2 5 3" xfId="5610" xr:uid="{00000000-0005-0000-0000-00003C170000}"/>
    <cellStyle name="Normal 5 2 2 2 2 5 3 2" xfId="14052" xr:uid="{70AE0B2D-6910-4DA0-B5F5-65EEBEC42BF1}"/>
    <cellStyle name="Normal 5 2 2 2 2 5 4" xfId="9834" xr:uid="{D914702D-547A-4344-98C5-534797B1DF7E}"/>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2 2 2" xfId="16610" xr:uid="{C2E883EB-ADE9-461C-848F-8E112F9705CE}"/>
    <cellStyle name="Normal 5 2 2 2 2 6 2 3" xfId="12392" xr:uid="{44E2CA68-90F0-4238-8DC9-FC0C6D624730}"/>
    <cellStyle name="Normal 5 2 2 2 2 6 3" xfId="6023" xr:uid="{00000000-0005-0000-0000-000040170000}"/>
    <cellStyle name="Normal 5 2 2 2 2 6 3 2" xfId="14465" xr:uid="{ECFE23B3-53EC-474A-AABF-89DD824E734F}"/>
    <cellStyle name="Normal 5 2 2 2 2 6 4" xfId="10247" xr:uid="{4BC8DD0C-AE78-4775-9AE7-A0DF24A078F1}"/>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2 2 2" xfId="17023" xr:uid="{0D8B94E1-96A0-4C66-A7B7-268877A49631}"/>
    <cellStyle name="Normal 5 2 2 2 2 7 2 3" xfId="12805" xr:uid="{77A8A08E-5E0E-46CD-9A81-DDE53E63F0E1}"/>
    <cellStyle name="Normal 5 2 2 2 2 7 3" xfId="6436" xr:uid="{00000000-0005-0000-0000-000044170000}"/>
    <cellStyle name="Normal 5 2 2 2 2 7 3 2" xfId="14878" xr:uid="{31349E3A-BA1B-44F8-AE24-7B0906CD8337}"/>
    <cellStyle name="Normal 5 2 2 2 2 7 4" xfId="10660" xr:uid="{9C2AA84A-6117-4F9F-9058-B648AA8C36FA}"/>
    <cellStyle name="Normal 5 2 2 2 2 8" xfId="2565" xr:uid="{00000000-0005-0000-0000-000045170000}"/>
    <cellStyle name="Normal 5 2 2 2 2 8 2" xfId="6849" xr:uid="{00000000-0005-0000-0000-000046170000}"/>
    <cellStyle name="Normal 5 2 2 2 2 8 2 2" xfId="15291" xr:uid="{F73C4989-A4B1-4B1F-AB5B-D02B186DBD8E}"/>
    <cellStyle name="Normal 5 2 2 2 2 8 3" xfId="11073" xr:uid="{01F1B8FC-B360-4E84-B8FD-09926D3FA72A}"/>
    <cellStyle name="Normal 5 2 2 2 2 9" xfId="4784" xr:uid="{00000000-0005-0000-0000-000047170000}"/>
    <cellStyle name="Normal 5 2 2 2 2 9 2" xfId="13226" xr:uid="{2EF71EAE-198C-4ECD-A8DB-94999B67AE4E}"/>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15789" xr:uid="{B642488B-9F3D-402C-A515-3098B324A320}"/>
    <cellStyle name="Normal 5 2 2 2 3 2 2 2 3" xfId="11571" xr:uid="{60FA843C-1DE5-4646-A672-ED30590A7D53}"/>
    <cellStyle name="Normal 5 2 2 2 3 2 2 3" xfId="5202" xr:uid="{00000000-0005-0000-0000-00004D170000}"/>
    <cellStyle name="Normal 5 2 2 2 3 2 2 3 2" xfId="13644" xr:uid="{924B5C2A-849E-479C-97B3-34661CF237EE}"/>
    <cellStyle name="Normal 5 2 2 2 3 2 2 4" xfId="9426" xr:uid="{7C9FA883-FE71-4BD5-9B51-752227D8D657}"/>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2 2" xfId="16202" xr:uid="{1F287374-4633-4CF7-8DBF-FE044E1CA237}"/>
    <cellStyle name="Normal 5 2 2 2 3 2 3 2 3" xfId="11984" xr:uid="{B2CC03D1-A3F7-4757-89B8-2BAB4E6C3377}"/>
    <cellStyle name="Normal 5 2 2 2 3 2 3 3" xfId="5615" xr:uid="{00000000-0005-0000-0000-000051170000}"/>
    <cellStyle name="Normal 5 2 2 2 3 2 3 3 2" xfId="14057" xr:uid="{EB907B10-4E8A-44B3-BD96-C31516D97E8A}"/>
    <cellStyle name="Normal 5 2 2 2 3 2 3 4" xfId="9839" xr:uid="{D6F720A7-0C5A-48B8-8D20-DF3736145DA8}"/>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2 2 2" xfId="16615" xr:uid="{9E8B1E06-5A76-4D11-8A41-C55E7D47562A}"/>
    <cellStyle name="Normal 5 2 2 2 3 2 4 2 3" xfId="12397" xr:uid="{38D655AE-BCFB-4643-9567-F520C3799FD7}"/>
    <cellStyle name="Normal 5 2 2 2 3 2 4 3" xfId="6028" xr:uid="{00000000-0005-0000-0000-000055170000}"/>
    <cellStyle name="Normal 5 2 2 2 3 2 4 3 2" xfId="14470" xr:uid="{A12ADEBC-B207-4D87-830E-9CDF6B8F4F0B}"/>
    <cellStyle name="Normal 5 2 2 2 3 2 4 4" xfId="10252" xr:uid="{E7F28464-A39A-4CF1-AA63-6C0143C308A4}"/>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2 2 2" xfId="17028" xr:uid="{D0547957-97E4-430B-9B1A-75904A257913}"/>
    <cellStyle name="Normal 5 2 2 2 3 2 5 2 3" xfId="12810" xr:uid="{801031F1-DDFD-4971-AD97-8AD8101CAD16}"/>
    <cellStyle name="Normal 5 2 2 2 3 2 5 3" xfId="6441" xr:uid="{00000000-0005-0000-0000-000059170000}"/>
    <cellStyle name="Normal 5 2 2 2 3 2 5 3 2" xfId="14883" xr:uid="{4C141ED0-DE8B-4685-98FF-C67016008786}"/>
    <cellStyle name="Normal 5 2 2 2 3 2 5 4" xfId="10665" xr:uid="{46C51D9B-12C8-4E53-82A2-EA8AE65756A5}"/>
    <cellStyle name="Normal 5 2 2 2 3 2 6" xfId="2570" xr:uid="{00000000-0005-0000-0000-00005A170000}"/>
    <cellStyle name="Normal 5 2 2 2 3 2 6 2" xfId="6854" xr:uid="{00000000-0005-0000-0000-00005B170000}"/>
    <cellStyle name="Normal 5 2 2 2 3 2 6 2 2" xfId="15296" xr:uid="{65D8C9B1-BF5F-46D8-A030-0E6FA4D3089F}"/>
    <cellStyle name="Normal 5 2 2 2 3 2 6 3" xfId="11078" xr:uid="{EDEB518B-89CF-4FC0-81C0-24F38A3902F6}"/>
    <cellStyle name="Normal 5 2 2 2 3 2 7" xfId="4789" xr:uid="{00000000-0005-0000-0000-00005C170000}"/>
    <cellStyle name="Normal 5 2 2 2 3 2 7 2" xfId="13231" xr:uid="{B63A3259-BFA3-44D4-8393-7EC957D904B4}"/>
    <cellStyle name="Normal 5 2 2 2 3 2 8" xfId="9013" xr:uid="{FC59471A-3155-470B-AE6A-DFCBA978DBA3}"/>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15788" xr:uid="{DD132F65-81F5-4A95-8E7F-D52C96FC6466}"/>
    <cellStyle name="Normal 5 2 2 2 3 3 2 3" xfId="11570" xr:uid="{B3540865-4772-4E39-9072-58162A8C8874}"/>
    <cellStyle name="Normal 5 2 2 2 3 3 3" xfId="5201" xr:uid="{00000000-0005-0000-0000-000060170000}"/>
    <cellStyle name="Normal 5 2 2 2 3 3 3 2" xfId="13643" xr:uid="{442B15B2-1E3F-4169-A976-9F764A83E792}"/>
    <cellStyle name="Normal 5 2 2 2 3 3 4" xfId="9425" xr:uid="{7E0BEF6E-703B-4C79-9285-6867B7D189DA}"/>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2 2" xfId="16201" xr:uid="{D41EB01A-BB15-4C19-87C0-AF4566DA475F}"/>
    <cellStyle name="Normal 5 2 2 2 3 4 2 3" xfId="11983" xr:uid="{F0244EFD-E743-42E2-A21F-99918B0182F0}"/>
    <cellStyle name="Normal 5 2 2 2 3 4 3" xfId="5614" xr:uid="{00000000-0005-0000-0000-000064170000}"/>
    <cellStyle name="Normal 5 2 2 2 3 4 3 2" xfId="14056" xr:uid="{F7B52E11-7B6C-48F9-94A8-BD407AC235D2}"/>
    <cellStyle name="Normal 5 2 2 2 3 4 4" xfId="9838" xr:uid="{A055339B-4A95-4DB2-B91B-084DE810C21D}"/>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2 2 2" xfId="16614" xr:uid="{ED6F329B-B51C-4620-9048-6D55AF3E742B}"/>
    <cellStyle name="Normal 5 2 2 2 3 5 2 3" xfId="12396" xr:uid="{8C9B400D-CCD5-45B5-B908-7C0087B25F2F}"/>
    <cellStyle name="Normal 5 2 2 2 3 5 3" xfId="6027" xr:uid="{00000000-0005-0000-0000-000068170000}"/>
    <cellStyle name="Normal 5 2 2 2 3 5 3 2" xfId="14469" xr:uid="{D3AB9E31-1732-45F0-B6FE-767A875B6D14}"/>
    <cellStyle name="Normal 5 2 2 2 3 5 4" xfId="10251" xr:uid="{0B826A4A-4507-4D99-B4A2-80F2931916EC}"/>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2 2 2" xfId="17027" xr:uid="{65C10AD3-7A61-4AF3-8091-069BA0B9A934}"/>
    <cellStyle name="Normal 5 2 2 2 3 6 2 3" xfId="12809" xr:uid="{C7F44BC4-F40C-49DB-AA04-AA98E51EF2F6}"/>
    <cellStyle name="Normal 5 2 2 2 3 6 3" xfId="6440" xr:uid="{00000000-0005-0000-0000-00006C170000}"/>
    <cellStyle name="Normal 5 2 2 2 3 6 3 2" xfId="14882" xr:uid="{996A8EE3-76A7-42F2-A794-BF5948F47124}"/>
    <cellStyle name="Normal 5 2 2 2 3 6 4" xfId="10664" xr:uid="{EC9EB2B1-1277-42AD-A01B-72ACCAFAEF7C}"/>
    <cellStyle name="Normal 5 2 2 2 3 7" xfId="2569" xr:uid="{00000000-0005-0000-0000-00006D170000}"/>
    <cellStyle name="Normal 5 2 2 2 3 7 2" xfId="6853" xr:uid="{00000000-0005-0000-0000-00006E170000}"/>
    <cellStyle name="Normal 5 2 2 2 3 7 2 2" xfId="15295" xr:uid="{87F7395C-E6C6-42ED-A2E0-DA2E8734AFC8}"/>
    <cellStyle name="Normal 5 2 2 2 3 7 3" xfId="11077" xr:uid="{2079C874-3C30-433D-B481-26508A4D64C0}"/>
    <cellStyle name="Normal 5 2 2 2 3 8" xfId="4788" xr:uid="{00000000-0005-0000-0000-00006F170000}"/>
    <cellStyle name="Normal 5 2 2 2 3 8 2" xfId="13230" xr:uid="{3F44E7E2-1EE5-4FEA-8B57-768E0AB48DEF}"/>
    <cellStyle name="Normal 5 2 2 2 3 9" xfId="9012" xr:uid="{4857601A-4A79-4FC6-9963-B88627154DFD}"/>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15790" xr:uid="{21F266E8-3E0B-44F7-9746-1AC62791820D}"/>
    <cellStyle name="Normal 5 2 2 2 4 2 2 3" xfId="11572" xr:uid="{FECDA721-C75C-492E-BAA8-A6022BA765C4}"/>
    <cellStyle name="Normal 5 2 2 2 4 2 3" xfId="5203" xr:uid="{00000000-0005-0000-0000-000074170000}"/>
    <cellStyle name="Normal 5 2 2 2 4 2 3 2" xfId="13645" xr:uid="{5AFE100D-069C-4AE1-97CE-92A213345AFB}"/>
    <cellStyle name="Normal 5 2 2 2 4 2 4" xfId="9427" xr:uid="{CD96EF62-695A-4FE9-B2AE-E8AB821A84C8}"/>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2 2" xfId="16203" xr:uid="{F4E9066A-33C4-4C88-B1AD-C837B3E8350B}"/>
    <cellStyle name="Normal 5 2 2 2 4 3 2 3" xfId="11985" xr:uid="{E6527B32-7DE5-4D11-AE48-09994BD69F64}"/>
    <cellStyle name="Normal 5 2 2 2 4 3 3" xfId="5616" xr:uid="{00000000-0005-0000-0000-000078170000}"/>
    <cellStyle name="Normal 5 2 2 2 4 3 3 2" xfId="14058" xr:uid="{4B4914E6-817A-499B-90DA-6352C9D65C3D}"/>
    <cellStyle name="Normal 5 2 2 2 4 3 4" xfId="9840" xr:uid="{50229E09-55A9-4259-B77F-C7D451D9BC72}"/>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2 2 2" xfId="16616" xr:uid="{7DB8195E-A6E4-4DBB-9F84-70810E3ACCAE}"/>
    <cellStyle name="Normal 5 2 2 2 4 4 2 3" xfId="12398" xr:uid="{061FAC52-4EEC-4B49-B114-7518950B0563}"/>
    <cellStyle name="Normal 5 2 2 2 4 4 3" xfId="6029" xr:uid="{00000000-0005-0000-0000-00007C170000}"/>
    <cellStyle name="Normal 5 2 2 2 4 4 3 2" xfId="14471" xr:uid="{77680455-BC79-44F5-AF60-61F890252725}"/>
    <cellStyle name="Normal 5 2 2 2 4 4 4" xfId="10253" xr:uid="{56D2FA51-8940-475D-8945-D1C503B2E7A6}"/>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2 2 2" xfId="17029" xr:uid="{84EA60E3-7CCA-463C-A7EA-3D4DAFA1F80C}"/>
    <cellStyle name="Normal 5 2 2 2 4 5 2 3" xfId="12811" xr:uid="{D9543992-BB73-4246-ABAB-8E1238416F40}"/>
    <cellStyle name="Normal 5 2 2 2 4 5 3" xfId="6442" xr:uid="{00000000-0005-0000-0000-000080170000}"/>
    <cellStyle name="Normal 5 2 2 2 4 5 3 2" xfId="14884" xr:uid="{BB7B0393-6598-444E-B85A-9B26AE507A7A}"/>
    <cellStyle name="Normal 5 2 2 2 4 5 4" xfId="10666" xr:uid="{9BAB1B5B-8A5E-4FE5-9379-CDDEF3B79063}"/>
    <cellStyle name="Normal 5 2 2 2 4 6" xfId="2571" xr:uid="{00000000-0005-0000-0000-000081170000}"/>
    <cellStyle name="Normal 5 2 2 2 4 6 2" xfId="6855" xr:uid="{00000000-0005-0000-0000-000082170000}"/>
    <cellStyle name="Normal 5 2 2 2 4 6 2 2" xfId="15297" xr:uid="{92C24BD3-B77B-4E4C-BD4C-92AC1A0D5697}"/>
    <cellStyle name="Normal 5 2 2 2 4 6 3" xfId="11079" xr:uid="{B6585CF8-A6DA-4C65-A946-BD747B3251D1}"/>
    <cellStyle name="Normal 5 2 2 2 4 7" xfId="4790" xr:uid="{00000000-0005-0000-0000-000083170000}"/>
    <cellStyle name="Normal 5 2 2 2 4 7 2" xfId="13232" xr:uid="{E8E8D1BD-A271-4179-B352-81F041DC5B73}"/>
    <cellStyle name="Normal 5 2 2 2 4 8" xfId="9014" xr:uid="{F2EF9190-24CB-4103-BC2A-9EFFCFB9E655}"/>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15783" xr:uid="{11AED8D2-317E-4819-BF51-87F30A7B3BD6}"/>
    <cellStyle name="Normal 5 2 2 2 5 2 3" xfId="11565" xr:uid="{8FA69B96-B5E7-481E-8747-A141799FE78B}"/>
    <cellStyle name="Normal 5 2 2 2 5 3" xfId="5196" xr:uid="{00000000-0005-0000-0000-000087170000}"/>
    <cellStyle name="Normal 5 2 2 2 5 3 2" xfId="13638" xr:uid="{FEA23C70-D363-4891-96CF-ED0792EF9395}"/>
    <cellStyle name="Normal 5 2 2 2 5 4" xfId="9420" xr:uid="{C75A98AB-C227-4E33-8158-36AE3CA14F8E}"/>
    <cellStyle name="Normal 5 2 2 2 6" xfId="1301" xr:uid="{00000000-0005-0000-0000-000088170000}"/>
    <cellStyle name="Normal 5 2 2 2 6 2" xfId="3531" xr:uid="{00000000-0005-0000-0000-000089170000}"/>
    <cellStyle name="Normal 5 2 2 2 6 2 2" xfId="7754" xr:uid="{00000000-0005-0000-0000-00008A170000}"/>
    <cellStyle name="Normal 5 2 2 2 6 2 2 2" xfId="16196" xr:uid="{CCEE48D5-D364-4B24-9B6B-68282DE6E7FF}"/>
    <cellStyle name="Normal 5 2 2 2 6 2 3" xfId="11978" xr:uid="{60660E10-7065-40F9-811C-E76943E89880}"/>
    <cellStyle name="Normal 5 2 2 2 6 3" xfId="5609" xr:uid="{00000000-0005-0000-0000-00008B170000}"/>
    <cellStyle name="Normal 5 2 2 2 6 3 2" xfId="14051" xr:uid="{879012F2-758A-4B72-97ED-54B55EE2A414}"/>
    <cellStyle name="Normal 5 2 2 2 6 4" xfId="9833" xr:uid="{43C50E1A-B50A-4FB1-B5E9-C81789C79973}"/>
    <cellStyle name="Normal 5 2 2 2 7" xfId="1714" xr:uid="{00000000-0005-0000-0000-00008C170000}"/>
    <cellStyle name="Normal 5 2 2 2 7 2" xfId="3944" xr:uid="{00000000-0005-0000-0000-00008D170000}"/>
    <cellStyle name="Normal 5 2 2 2 7 2 2" xfId="8167" xr:uid="{00000000-0005-0000-0000-00008E170000}"/>
    <cellStyle name="Normal 5 2 2 2 7 2 2 2" xfId="16609" xr:uid="{17AE0636-865C-42D9-8659-445E946DF580}"/>
    <cellStyle name="Normal 5 2 2 2 7 2 3" xfId="12391" xr:uid="{E417EFF7-EC8A-4327-93E1-D62F155383D1}"/>
    <cellStyle name="Normal 5 2 2 2 7 3" xfId="6022" xr:uid="{00000000-0005-0000-0000-00008F170000}"/>
    <cellStyle name="Normal 5 2 2 2 7 3 2" xfId="14464" xr:uid="{D7BF4F71-23FA-40D1-A523-3703CA87A027}"/>
    <cellStyle name="Normal 5 2 2 2 7 4" xfId="10246" xr:uid="{B4699FF0-7FFF-463D-9FBF-8A6E1F6B9FFF}"/>
    <cellStyle name="Normal 5 2 2 2 8" xfId="2128" xr:uid="{00000000-0005-0000-0000-000090170000}"/>
    <cellStyle name="Normal 5 2 2 2 8 2" xfId="4357" xr:uid="{00000000-0005-0000-0000-000091170000}"/>
    <cellStyle name="Normal 5 2 2 2 8 2 2" xfId="8580" xr:uid="{00000000-0005-0000-0000-000092170000}"/>
    <cellStyle name="Normal 5 2 2 2 8 2 2 2" xfId="17022" xr:uid="{5F68A9D7-D787-42DD-AC40-317E652E3E14}"/>
    <cellStyle name="Normal 5 2 2 2 8 2 3" xfId="12804" xr:uid="{A8F6CD8D-B569-443A-827E-061BA664AA78}"/>
    <cellStyle name="Normal 5 2 2 2 8 3" xfId="6435" xr:uid="{00000000-0005-0000-0000-000093170000}"/>
    <cellStyle name="Normal 5 2 2 2 8 3 2" xfId="14877" xr:uid="{35C7F3CA-4924-4278-BA4E-995F1743C95A}"/>
    <cellStyle name="Normal 5 2 2 2 8 4" xfId="10659" xr:uid="{6D8330FC-0CE9-4B46-961D-7AE8456A873F}"/>
    <cellStyle name="Normal 5 2 2 2 9" xfId="2564" xr:uid="{00000000-0005-0000-0000-000094170000}"/>
    <cellStyle name="Normal 5 2 2 2 9 2" xfId="6848" xr:uid="{00000000-0005-0000-0000-000095170000}"/>
    <cellStyle name="Normal 5 2 2 2 9 2 2" xfId="15290" xr:uid="{C9E05E76-33B4-4812-9967-5EF295B4AEA3}"/>
    <cellStyle name="Normal 5 2 2 2 9 3" xfId="11072" xr:uid="{EDB8A7D1-89E9-4B28-B443-B66433E196F7}"/>
    <cellStyle name="Normal 5 2 2 3" xfId="417" xr:uid="{00000000-0005-0000-0000-000096170000}"/>
    <cellStyle name="Normal 5 2 2 3 10" xfId="9015" xr:uid="{039E9269-34F7-4F23-8073-656540C672E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15793" xr:uid="{5DBD53A7-2916-4CBF-853F-089746B5AC0C}"/>
    <cellStyle name="Normal 5 2 2 3 2 2 2 2 3" xfId="11575" xr:uid="{BE3259AA-8B31-4ED6-A3CE-3F7A0E74BF1D}"/>
    <cellStyle name="Normal 5 2 2 3 2 2 2 3" xfId="5206" xr:uid="{00000000-0005-0000-0000-00009C170000}"/>
    <cellStyle name="Normal 5 2 2 3 2 2 2 3 2" xfId="13648" xr:uid="{EE08F0D6-0259-4710-A5EB-5277FE36037B}"/>
    <cellStyle name="Normal 5 2 2 3 2 2 2 4" xfId="9430" xr:uid="{2C435106-0D47-46F6-A597-6208DD74A912}"/>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2 2" xfId="16206" xr:uid="{A2FEA30B-4695-4B32-8CC6-E699D6AFDDD3}"/>
    <cellStyle name="Normal 5 2 2 3 2 2 3 2 3" xfId="11988" xr:uid="{9E0A15E6-BB8B-4F22-B98B-67A9E43B84FA}"/>
    <cellStyle name="Normal 5 2 2 3 2 2 3 3" xfId="5619" xr:uid="{00000000-0005-0000-0000-0000A0170000}"/>
    <cellStyle name="Normal 5 2 2 3 2 2 3 3 2" xfId="14061" xr:uid="{4D2C9C02-46FC-4EAC-B8C5-5DFB99BBC318}"/>
    <cellStyle name="Normal 5 2 2 3 2 2 3 4" xfId="9843" xr:uid="{D6B55721-F584-47C3-BD7B-3F8B9D7D4A25}"/>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2 2 2" xfId="16619" xr:uid="{17A67841-493C-467A-858C-F8D8DB265DB6}"/>
    <cellStyle name="Normal 5 2 2 3 2 2 4 2 3" xfId="12401" xr:uid="{354FC4C4-7E69-457B-A997-CE7616CFF222}"/>
    <cellStyle name="Normal 5 2 2 3 2 2 4 3" xfId="6032" xr:uid="{00000000-0005-0000-0000-0000A4170000}"/>
    <cellStyle name="Normal 5 2 2 3 2 2 4 3 2" xfId="14474" xr:uid="{E631F4C6-7DA8-4247-9CD7-FDF648F36FAA}"/>
    <cellStyle name="Normal 5 2 2 3 2 2 4 4" xfId="10256" xr:uid="{40E91022-119C-470C-88AF-658CA8A8F573}"/>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2 2 2" xfId="17032" xr:uid="{C5991DC6-DA75-4E91-B9FA-41B4EA555AEB}"/>
    <cellStyle name="Normal 5 2 2 3 2 2 5 2 3" xfId="12814" xr:uid="{656F1700-765F-4296-9798-7AA100DF12DC}"/>
    <cellStyle name="Normal 5 2 2 3 2 2 5 3" xfId="6445" xr:uid="{00000000-0005-0000-0000-0000A8170000}"/>
    <cellStyle name="Normal 5 2 2 3 2 2 5 3 2" xfId="14887" xr:uid="{093F9AD6-42C0-4E98-B03D-186D6FB0335E}"/>
    <cellStyle name="Normal 5 2 2 3 2 2 5 4" xfId="10669" xr:uid="{A1FC3F01-B381-4F87-9867-22585457C299}"/>
    <cellStyle name="Normal 5 2 2 3 2 2 6" xfId="2574" xr:uid="{00000000-0005-0000-0000-0000A9170000}"/>
    <cellStyle name="Normal 5 2 2 3 2 2 6 2" xfId="6858" xr:uid="{00000000-0005-0000-0000-0000AA170000}"/>
    <cellStyle name="Normal 5 2 2 3 2 2 6 2 2" xfId="15300" xr:uid="{C3159F04-36D6-4544-8724-531652A9F159}"/>
    <cellStyle name="Normal 5 2 2 3 2 2 6 3" xfId="11082" xr:uid="{B3C0BDEE-02D2-410C-9B8E-1DDD46466D44}"/>
    <cellStyle name="Normal 5 2 2 3 2 2 7" xfId="4793" xr:uid="{00000000-0005-0000-0000-0000AB170000}"/>
    <cellStyle name="Normal 5 2 2 3 2 2 7 2" xfId="13235" xr:uid="{F5CAB0B6-CA45-45C1-9692-1F05452E0FA0}"/>
    <cellStyle name="Normal 5 2 2 3 2 2 8" xfId="9017" xr:uid="{9443D575-05B2-4612-9AAB-87C939A5A86D}"/>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15792" xr:uid="{51FE50AA-52E9-4046-852C-3C0C8A8CE8F2}"/>
    <cellStyle name="Normal 5 2 2 3 2 3 2 3" xfId="11574" xr:uid="{620BDB77-1F9A-4117-AF7F-D3A77E590AA4}"/>
    <cellStyle name="Normal 5 2 2 3 2 3 3" xfId="5205" xr:uid="{00000000-0005-0000-0000-0000AF170000}"/>
    <cellStyle name="Normal 5 2 2 3 2 3 3 2" xfId="13647" xr:uid="{82DDA68A-192F-4A41-814A-2093E2D872AC}"/>
    <cellStyle name="Normal 5 2 2 3 2 3 4" xfId="9429" xr:uid="{69CD6BC8-89B8-44A2-8EAE-A37A1BFB4573}"/>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2 2" xfId="16205" xr:uid="{19F66573-ED58-4F64-AAA2-012DB8BE6D6F}"/>
    <cellStyle name="Normal 5 2 2 3 2 4 2 3" xfId="11987" xr:uid="{CF18D4EF-FBE6-41B2-A539-44F3E60F3BEA}"/>
    <cellStyle name="Normal 5 2 2 3 2 4 3" xfId="5618" xr:uid="{00000000-0005-0000-0000-0000B3170000}"/>
    <cellStyle name="Normal 5 2 2 3 2 4 3 2" xfId="14060" xr:uid="{6560883F-8A49-4EA6-85B2-FB79A9E1F10E}"/>
    <cellStyle name="Normal 5 2 2 3 2 4 4" xfId="9842" xr:uid="{BAC331B3-E827-4DEC-80C9-9EF221290339}"/>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2 2 2" xfId="16618" xr:uid="{3340D50F-5EE8-40B6-B042-044E0E707AEC}"/>
    <cellStyle name="Normal 5 2 2 3 2 5 2 3" xfId="12400" xr:uid="{033B9F56-66D9-4E91-8684-FA056BBCF914}"/>
    <cellStyle name="Normal 5 2 2 3 2 5 3" xfId="6031" xr:uid="{00000000-0005-0000-0000-0000B7170000}"/>
    <cellStyle name="Normal 5 2 2 3 2 5 3 2" xfId="14473" xr:uid="{EC2D7186-1AAB-4A67-A1F4-AACC0CEFD86A}"/>
    <cellStyle name="Normal 5 2 2 3 2 5 4" xfId="10255" xr:uid="{148FD334-804C-4EBC-9F0E-61C3E75B85C3}"/>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2 2 2" xfId="17031" xr:uid="{C4EFF3ED-7041-494E-A0C5-1AAA8685764E}"/>
    <cellStyle name="Normal 5 2 2 3 2 6 2 3" xfId="12813" xr:uid="{90F43167-87B3-4949-B33E-547B866F5191}"/>
    <cellStyle name="Normal 5 2 2 3 2 6 3" xfId="6444" xr:uid="{00000000-0005-0000-0000-0000BB170000}"/>
    <cellStyle name="Normal 5 2 2 3 2 6 3 2" xfId="14886" xr:uid="{68CE1223-AEC3-4C1B-B3A3-B12BB03CBD24}"/>
    <cellStyle name="Normal 5 2 2 3 2 6 4" xfId="10668" xr:uid="{3A5605A9-8323-426B-BF36-3279452A09C9}"/>
    <cellStyle name="Normal 5 2 2 3 2 7" xfId="2573" xr:uid="{00000000-0005-0000-0000-0000BC170000}"/>
    <cellStyle name="Normal 5 2 2 3 2 7 2" xfId="6857" xr:uid="{00000000-0005-0000-0000-0000BD170000}"/>
    <cellStyle name="Normal 5 2 2 3 2 7 2 2" xfId="15299" xr:uid="{C08F26A4-3B74-496D-B258-4920C524F57D}"/>
    <cellStyle name="Normal 5 2 2 3 2 7 3" xfId="11081" xr:uid="{82E0635A-FA51-4F9B-9BCF-B40FD77DD27E}"/>
    <cellStyle name="Normal 5 2 2 3 2 8" xfId="4792" xr:uid="{00000000-0005-0000-0000-0000BE170000}"/>
    <cellStyle name="Normal 5 2 2 3 2 8 2" xfId="13234" xr:uid="{767669DD-57A9-4CA9-B879-5AD6A6A70F3A}"/>
    <cellStyle name="Normal 5 2 2 3 2 9" xfId="9016" xr:uid="{D5739DAF-EB92-4896-9860-3E88223EA5D9}"/>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15794" xr:uid="{5C2E94E4-20E4-4EB7-95E8-7C1DECEF921D}"/>
    <cellStyle name="Normal 5 2 2 3 3 2 2 3" xfId="11576" xr:uid="{09B912AD-D0E9-48FF-B465-3ED3FDDE6AF7}"/>
    <cellStyle name="Normal 5 2 2 3 3 2 3" xfId="5207" xr:uid="{00000000-0005-0000-0000-0000C3170000}"/>
    <cellStyle name="Normal 5 2 2 3 3 2 3 2" xfId="13649" xr:uid="{DE9FCDEF-BB55-427B-8355-3342559185F7}"/>
    <cellStyle name="Normal 5 2 2 3 3 2 4" xfId="9431" xr:uid="{EAC0DFD5-4B51-4755-A2D4-84CDB4EE5BC2}"/>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2 2" xfId="16207" xr:uid="{D9F47DC0-CE84-4C32-B4E7-898B76A9C7C7}"/>
    <cellStyle name="Normal 5 2 2 3 3 3 2 3" xfId="11989" xr:uid="{394D7157-E630-4A3B-AAC9-92DDE9AAE25D}"/>
    <cellStyle name="Normal 5 2 2 3 3 3 3" xfId="5620" xr:uid="{00000000-0005-0000-0000-0000C7170000}"/>
    <cellStyle name="Normal 5 2 2 3 3 3 3 2" xfId="14062" xr:uid="{5D4C1197-AA67-45F2-9DF8-E58C3FE13509}"/>
    <cellStyle name="Normal 5 2 2 3 3 3 4" xfId="9844" xr:uid="{3059D5E6-B3A7-4157-B6A6-368729D5213C}"/>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2 2 2" xfId="16620" xr:uid="{7AB01DAA-5A16-4BD8-87B5-8BA1E91DF97B}"/>
    <cellStyle name="Normal 5 2 2 3 3 4 2 3" xfId="12402" xr:uid="{D4249F62-A437-4F08-9F43-AC0D2E058A37}"/>
    <cellStyle name="Normal 5 2 2 3 3 4 3" xfId="6033" xr:uid="{00000000-0005-0000-0000-0000CB170000}"/>
    <cellStyle name="Normal 5 2 2 3 3 4 3 2" xfId="14475" xr:uid="{B2FFF138-452D-4A67-9B9B-EBDB6201BB04}"/>
    <cellStyle name="Normal 5 2 2 3 3 4 4" xfId="10257" xr:uid="{847FE894-D37D-4C4D-BF36-C2EB8571B91B}"/>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2 2 2" xfId="17033" xr:uid="{7657B4D7-66A8-4494-8D2D-F0DE23F010AD}"/>
    <cellStyle name="Normal 5 2 2 3 3 5 2 3" xfId="12815" xr:uid="{6662D855-B486-4D3E-A0FD-48EA2863215D}"/>
    <cellStyle name="Normal 5 2 2 3 3 5 3" xfId="6446" xr:uid="{00000000-0005-0000-0000-0000CF170000}"/>
    <cellStyle name="Normal 5 2 2 3 3 5 3 2" xfId="14888" xr:uid="{B53DB7EF-CC67-433F-B6E6-73F443A1DE3B}"/>
    <cellStyle name="Normal 5 2 2 3 3 5 4" xfId="10670" xr:uid="{F55B0E30-4E1B-4BE4-8B8B-DBE49580DF78}"/>
    <cellStyle name="Normal 5 2 2 3 3 6" xfId="2575" xr:uid="{00000000-0005-0000-0000-0000D0170000}"/>
    <cellStyle name="Normal 5 2 2 3 3 6 2" xfId="6859" xr:uid="{00000000-0005-0000-0000-0000D1170000}"/>
    <cellStyle name="Normal 5 2 2 3 3 6 2 2" xfId="15301" xr:uid="{E9E5D23C-50A3-4000-8F1A-685BD9E110EF}"/>
    <cellStyle name="Normal 5 2 2 3 3 6 3" xfId="11083" xr:uid="{7BEA3668-19DA-41B2-B915-5736B028E2D1}"/>
    <cellStyle name="Normal 5 2 2 3 3 7" xfId="4794" xr:uid="{00000000-0005-0000-0000-0000D2170000}"/>
    <cellStyle name="Normal 5 2 2 3 3 7 2" xfId="13236" xr:uid="{42382B11-DF2D-49AD-942A-39DD2C0FE8CB}"/>
    <cellStyle name="Normal 5 2 2 3 3 8" xfId="9018" xr:uid="{79306E75-E99A-4AAC-A608-687E0774EC74}"/>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15791" xr:uid="{8DF8C67C-95AD-4897-9AF8-8EE297CBBD8F}"/>
    <cellStyle name="Normal 5 2 2 3 4 2 3" xfId="11573" xr:uid="{DFA5D85D-55F4-4B88-8014-A0257565AB56}"/>
    <cellStyle name="Normal 5 2 2 3 4 3" xfId="5204" xr:uid="{00000000-0005-0000-0000-0000D6170000}"/>
    <cellStyle name="Normal 5 2 2 3 4 3 2" xfId="13646" xr:uid="{B0578CA6-9421-410F-A8F7-66E4DA3D33F0}"/>
    <cellStyle name="Normal 5 2 2 3 4 4" xfId="9428" xr:uid="{4C03FF9E-636D-4621-A42F-9637E07036F2}"/>
    <cellStyle name="Normal 5 2 2 3 5" xfId="1309" xr:uid="{00000000-0005-0000-0000-0000D7170000}"/>
    <cellStyle name="Normal 5 2 2 3 5 2" xfId="3539" xr:uid="{00000000-0005-0000-0000-0000D8170000}"/>
    <cellStyle name="Normal 5 2 2 3 5 2 2" xfId="7762" xr:uid="{00000000-0005-0000-0000-0000D9170000}"/>
    <cellStyle name="Normal 5 2 2 3 5 2 2 2" xfId="16204" xr:uid="{77581615-97CB-46A2-AE80-CAF6FF71E552}"/>
    <cellStyle name="Normal 5 2 2 3 5 2 3" xfId="11986" xr:uid="{52B04B4A-BDF6-47E4-AC86-8EE51A778031}"/>
    <cellStyle name="Normal 5 2 2 3 5 3" xfId="5617" xr:uid="{00000000-0005-0000-0000-0000DA170000}"/>
    <cellStyle name="Normal 5 2 2 3 5 3 2" xfId="14059" xr:uid="{ECCCC647-FB70-43E0-BFD3-5E20757D82A6}"/>
    <cellStyle name="Normal 5 2 2 3 5 4" xfId="9841" xr:uid="{C5AB5BBF-7E6C-4C28-898C-B7E95C3BDBA5}"/>
    <cellStyle name="Normal 5 2 2 3 6" xfId="1722" xr:uid="{00000000-0005-0000-0000-0000DB170000}"/>
    <cellStyle name="Normal 5 2 2 3 6 2" xfId="3952" xr:uid="{00000000-0005-0000-0000-0000DC170000}"/>
    <cellStyle name="Normal 5 2 2 3 6 2 2" xfId="8175" xr:uid="{00000000-0005-0000-0000-0000DD170000}"/>
    <cellStyle name="Normal 5 2 2 3 6 2 2 2" xfId="16617" xr:uid="{6DBA41AF-1879-4AEB-8377-7CA03C4DDBC2}"/>
    <cellStyle name="Normal 5 2 2 3 6 2 3" xfId="12399" xr:uid="{0A814741-C3A7-42C5-BC39-B6710C029FE6}"/>
    <cellStyle name="Normal 5 2 2 3 6 3" xfId="6030" xr:uid="{00000000-0005-0000-0000-0000DE170000}"/>
    <cellStyle name="Normal 5 2 2 3 6 3 2" xfId="14472" xr:uid="{98315E5F-9BFF-4AB0-964E-44C92C2C29D8}"/>
    <cellStyle name="Normal 5 2 2 3 6 4" xfId="10254" xr:uid="{67A6EEDD-9901-41E8-8463-949C5353A3FE}"/>
    <cellStyle name="Normal 5 2 2 3 7" xfId="2136" xr:uid="{00000000-0005-0000-0000-0000DF170000}"/>
    <cellStyle name="Normal 5 2 2 3 7 2" xfId="4365" xr:uid="{00000000-0005-0000-0000-0000E0170000}"/>
    <cellStyle name="Normal 5 2 2 3 7 2 2" xfId="8588" xr:uid="{00000000-0005-0000-0000-0000E1170000}"/>
    <cellStyle name="Normal 5 2 2 3 7 2 2 2" xfId="17030" xr:uid="{A54536DD-0A2A-4F85-A557-42C71ACED11B}"/>
    <cellStyle name="Normal 5 2 2 3 7 2 3" xfId="12812" xr:uid="{13CDE49C-DD04-482B-AFF3-C6027EABA331}"/>
    <cellStyle name="Normal 5 2 2 3 7 3" xfId="6443" xr:uid="{00000000-0005-0000-0000-0000E2170000}"/>
    <cellStyle name="Normal 5 2 2 3 7 3 2" xfId="14885" xr:uid="{663EA8DE-F615-4A92-B644-3B120777706F}"/>
    <cellStyle name="Normal 5 2 2 3 7 4" xfId="10667" xr:uid="{55EC35CF-5AB5-466F-9F97-1BBC6AA075BE}"/>
    <cellStyle name="Normal 5 2 2 3 8" xfId="2572" xr:uid="{00000000-0005-0000-0000-0000E3170000}"/>
    <cellStyle name="Normal 5 2 2 3 8 2" xfId="6856" xr:uid="{00000000-0005-0000-0000-0000E4170000}"/>
    <cellStyle name="Normal 5 2 2 3 8 2 2" xfId="15298" xr:uid="{F5D20365-DAAF-4F1C-821D-3A32955B7468}"/>
    <cellStyle name="Normal 5 2 2 3 8 3" xfId="11080" xr:uid="{350DFF27-C950-4006-B058-1E9F92FD506E}"/>
    <cellStyle name="Normal 5 2 2 3 9" xfId="4791" xr:uid="{00000000-0005-0000-0000-0000E5170000}"/>
    <cellStyle name="Normal 5 2 2 3 9 2" xfId="13233" xr:uid="{52971AE6-C56C-4C41-9191-22A3B7804405}"/>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15796" xr:uid="{CFD288D5-5485-45DF-BD35-E19E0AAC37E9}"/>
    <cellStyle name="Normal 5 2 2 4 2 2 2 3" xfId="11578" xr:uid="{BBCF9E0D-2600-4A76-A852-CE86CC1EAFA6}"/>
    <cellStyle name="Normal 5 2 2 4 2 2 3" xfId="5209" xr:uid="{00000000-0005-0000-0000-0000EB170000}"/>
    <cellStyle name="Normal 5 2 2 4 2 2 3 2" xfId="13651" xr:uid="{4D4C9583-FD94-4A8B-BD4D-F1D5A7629D25}"/>
    <cellStyle name="Normal 5 2 2 4 2 2 4" xfId="9433" xr:uid="{0B23ED11-4C7D-4591-B553-C2977AFFE787}"/>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2 2" xfId="16209" xr:uid="{8377E961-E1DB-443B-995D-1661B538DA53}"/>
    <cellStyle name="Normal 5 2 2 4 2 3 2 3" xfId="11991" xr:uid="{738E177C-866C-4E36-8C21-294F633CCF56}"/>
    <cellStyle name="Normal 5 2 2 4 2 3 3" xfId="5622" xr:uid="{00000000-0005-0000-0000-0000EF170000}"/>
    <cellStyle name="Normal 5 2 2 4 2 3 3 2" xfId="14064" xr:uid="{90BA0946-AEF3-4723-95B2-10A44799170D}"/>
    <cellStyle name="Normal 5 2 2 4 2 3 4" xfId="9846" xr:uid="{6D34F0A4-5B36-4B62-8A15-21E09F7C628D}"/>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2 2 2" xfId="16622" xr:uid="{A3DDF203-1CE4-41EF-A6A4-8B9318D08F9C}"/>
    <cellStyle name="Normal 5 2 2 4 2 4 2 3" xfId="12404" xr:uid="{375D5102-58E5-4495-B752-83B139DF12D8}"/>
    <cellStyle name="Normal 5 2 2 4 2 4 3" xfId="6035" xr:uid="{00000000-0005-0000-0000-0000F3170000}"/>
    <cellStyle name="Normal 5 2 2 4 2 4 3 2" xfId="14477" xr:uid="{2B1EAC24-4C6A-4B26-9409-F34AA0FF2279}"/>
    <cellStyle name="Normal 5 2 2 4 2 4 4" xfId="10259" xr:uid="{85935693-837B-44C3-B2C9-2AE84679DB49}"/>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2 2 2" xfId="17035" xr:uid="{34A0C97D-350C-4D0D-B42F-8191D1B1E423}"/>
    <cellStyle name="Normal 5 2 2 4 2 5 2 3" xfId="12817" xr:uid="{A7DB76F2-B300-4801-8E53-82D7D6F2CEEA}"/>
    <cellStyle name="Normal 5 2 2 4 2 5 3" xfId="6448" xr:uid="{00000000-0005-0000-0000-0000F7170000}"/>
    <cellStyle name="Normal 5 2 2 4 2 5 3 2" xfId="14890" xr:uid="{08F97CFC-722A-4C87-9EFA-50ABC41EC46E}"/>
    <cellStyle name="Normal 5 2 2 4 2 5 4" xfId="10672" xr:uid="{B269E636-46DC-41B0-A764-874D961CE5DD}"/>
    <cellStyle name="Normal 5 2 2 4 2 6" xfId="2577" xr:uid="{00000000-0005-0000-0000-0000F8170000}"/>
    <cellStyle name="Normal 5 2 2 4 2 6 2" xfId="6861" xr:uid="{00000000-0005-0000-0000-0000F9170000}"/>
    <cellStyle name="Normal 5 2 2 4 2 6 2 2" xfId="15303" xr:uid="{9E061085-C76B-4D8F-A51D-4ECE98DBE438}"/>
    <cellStyle name="Normal 5 2 2 4 2 6 3" xfId="11085" xr:uid="{CB4869BD-F932-43F2-B13D-155EC4DB5C6F}"/>
    <cellStyle name="Normal 5 2 2 4 2 7" xfId="4796" xr:uid="{00000000-0005-0000-0000-0000FA170000}"/>
    <cellStyle name="Normal 5 2 2 4 2 7 2" xfId="13238" xr:uid="{96FF1EC7-5445-429D-8F97-FCABFE888089}"/>
    <cellStyle name="Normal 5 2 2 4 2 8" xfId="9020" xr:uid="{159A0C7C-A0AB-4BF0-9E86-CF5208057CA2}"/>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15795" xr:uid="{FD993CDA-BD34-4DFD-9766-7DCB6D827E7B}"/>
    <cellStyle name="Normal 5 2 2 4 3 2 3" xfId="11577" xr:uid="{054C0B79-EC14-4D3F-8915-570238B2C5E7}"/>
    <cellStyle name="Normal 5 2 2 4 3 3" xfId="5208" xr:uid="{00000000-0005-0000-0000-0000FE170000}"/>
    <cellStyle name="Normal 5 2 2 4 3 3 2" xfId="13650" xr:uid="{C20EC2A3-5EE7-4377-8946-40D11461E575}"/>
    <cellStyle name="Normal 5 2 2 4 3 4" xfId="9432" xr:uid="{E1E320AE-0A61-493B-85C4-E7464477A67F}"/>
    <cellStyle name="Normal 5 2 2 4 4" xfId="1313" xr:uid="{00000000-0005-0000-0000-0000FF170000}"/>
    <cellStyle name="Normal 5 2 2 4 4 2" xfId="3543" xr:uid="{00000000-0005-0000-0000-000000180000}"/>
    <cellStyle name="Normal 5 2 2 4 4 2 2" xfId="7766" xr:uid="{00000000-0005-0000-0000-000001180000}"/>
    <cellStyle name="Normal 5 2 2 4 4 2 2 2" xfId="16208" xr:uid="{4D781FD0-E7BF-4849-948B-691D540674CB}"/>
    <cellStyle name="Normal 5 2 2 4 4 2 3" xfId="11990" xr:uid="{318DC52B-A32E-41A3-8425-91BCAB007240}"/>
    <cellStyle name="Normal 5 2 2 4 4 3" xfId="5621" xr:uid="{00000000-0005-0000-0000-000002180000}"/>
    <cellStyle name="Normal 5 2 2 4 4 3 2" xfId="14063" xr:uid="{56D63C5C-8A77-451F-9FBF-92C7BC575BC5}"/>
    <cellStyle name="Normal 5 2 2 4 4 4" xfId="9845" xr:uid="{2F913F05-68B8-426B-B2FA-A96BE971FE0B}"/>
    <cellStyle name="Normal 5 2 2 4 5" xfId="1726" xr:uid="{00000000-0005-0000-0000-000003180000}"/>
    <cellStyle name="Normal 5 2 2 4 5 2" xfId="3956" xr:uid="{00000000-0005-0000-0000-000004180000}"/>
    <cellStyle name="Normal 5 2 2 4 5 2 2" xfId="8179" xr:uid="{00000000-0005-0000-0000-000005180000}"/>
    <cellStyle name="Normal 5 2 2 4 5 2 2 2" xfId="16621" xr:uid="{17B17343-0B47-4DCB-8B87-7B42D482A016}"/>
    <cellStyle name="Normal 5 2 2 4 5 2 3" xfId="12403" xr:uid="{CE2B6FAA-66E2-4EED-AC44-4CEEE43459A0}"/>
    <cellStyle name="Normal 5 2 2 4 5 3" xfId="6034" xr:uid="{00000000-0005-0000-0000-000006180000}"/>
    <cellStyle name="Normal 5 2 2 4 5 3 2" xfId="14476" xr:uid="{41706627-E6D5-4B40-958B-124B010B25F6}"/>
    <cellStyle name="Normal 5 2 2 4 5 4" xfId="10258" xr:uid="{862DDA87-4154-4D97-896F-F9546305DA78}"/>
    <cellStyle name="Normal 5 2 2 4 6" xfId="2140" xr:uid="{00000000-0005-0000-0000-000007180000}"/>
    <cellStyle name="Normal 5 2 2 4 6 2" xfId="4369" xr:uid="{00000000-0005-0000-0000-000008180000}"/>
    <cellStyle name="Normal 5 2 2 4 6 2 2" xfId="8592" xr:uid="{00000000-0005-0000-0000-000009180000}"/>
    <cellStyle name="Normal 5 2 2 4 6 2 2 2" xfId="17034" xr:uid="{AF079D3A-E2EA-48EE-9E4C-2E8805C2B5AE}"/>
    <cellStyle name="Normal 5 2 2 4 6 2 3" xfId="12816" xr:uid="{2B376350-17C2-4A5D-97CF-12D92A79FE04}"/>
    <cellStyle name="Normal 5 2 2 4 6 3" xfId="6447" xr:uid="{00000000-0005-0000-0000-00000A180000}"/>
    <cellStyle name="Normal 5 2 2 4 6 3 2" xfId="14889" xr:uid="{AE15050A-B878-469C-9D20-102438D6915C}"/>
    <cellStyle name="Normal 5 2 2 4 6 4" xfId="10671" xr:uid="{AE80538D-43A8-4DB8-B8F1-FBD874C43D60}"/>
    <cellStyle name="Normal 5 2 2 4 7" xfId="2576" xr:uid="{00000000-0005-0000-0000-00000B180000}"/>
    <cellStyle name="Normal 5 2 2 4 7 2" xfId="6860" xr:uid="{00000000-0005-0000-0000-00000C180000}"/>
    <cellStyle name="Normal 5 2 2 4 7 2 2" xfId="15302" xr:uid="{E9CE1983-6DBF-4611-BF72-22932F6EDBAC}"/>
    <cellStyle name="Normal 5 2 2 4 7 3" xfId="11084" xr:uid="{DE350DA4-BFD3-46E6-BC84-578626CD64CC}"/>
    <cellStyle name="Normal 5 2 2 4 8" xfId="4795" xr:uid="{00000000-0005-0000-0000-00000D180000}"/>
    <cellStyle name="Normal 5 2 2 4 8 2" xfId="13237" xr:uid="{13178370-B28C-4E01-9B51-5C8723EF99A6}"/>
    <cellStyle name="Normal 5 2 2 4 9" xfId="9019" xr:uid="{4596FE2C-3328-449C-B670-9BA512D18635}"/>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15797" xr:uid="{6E2476AD-D07A-45DC-9C2F-FDEB86C96EB9}"/>
    <cellStyle name="Normal 5 2 2 5 2 2 3" xfId="11579" xr:uid="{C01264D8-B65C-4E9B-925C-B970EC9CEF14}"/>
    <cellStyle name="Normal 5 2 2 5 2 3" xfId="5210" xr:uid="{00000000-0005-0000-0000-000012180000}"/>
    <cellStyle name="Normal 5 2 2 5 2 3 2" xfId="13652" xr:uid="{3D6E726F-FAD3-41E9-A095-6C248180A906}"/>
    <cellStyle name="Normal 5 2 2 5 2 4" xfId="9434" xr:uid="{23302896-01E9-4DCE-BA87-C5A919C408C2}"/>
    <cellStyle name="Normal 5 2 2 5 3" xfId="1315" xr:uid="{00000000-0005-0000-0000-000013180000}"/>
    <cellStyle name="Normal 5 2 2 5 3 2" xfId="3545" xr:uid="{00000000-0005-0000-0000-000014180000}"/>
    <cellStyle name="Normal 5 2 2 5 3 2 2" xfId="7768" xr:uid="{00000000-0005-0000-0000-000015180000}"/>
    <cellStyle name="Normal 5 2 2 5 3 2 2 2" xfId="16210" xr:uid="{F5ACDE7F-544B-4055-A70D-E73A3D86D7C8}"/>
    <cellStyle name="Normal 5 2 2 5 3 2 3" xfId="11992" xr:uid="{ED792867-E707-4B09-B22F-82BCC748F7D4}"/>
    <cellStyle name="Normal 5 2 2 5 3 3" xfId="5623" xr:uid="{00000000-0005-0000-0000-000016180000}"/>
    <cellStyle name="Normal 5 2 2 5 3 3 2" xfId="14065" xr:uid="{3341F7A2-9DDF-4FB3-A4AE-3A204EA65FA3}"/>
    <cellStyle name="Normal 5 2 2 5 3 4" xfId="9847" xr:uid="{C12DC0BB-D64E-47C7-87DD-7CE1869CE293}"/>
    <cellStyle name="Normal 5 2 2 5 4" xfId="1728" xr:uid="{00000000-0005-0000-0000-000017180000}"/>
    <cellStyle name="Normal 5 2 2 5 4 2" xfId="3958" xr:uid="{00000000-0005-0000-0000-000018180000}"/>
    <cellStyle name="Normal 5 2 2 5 4 2 2" xfId="8181" xr:uid="{00000000-0005-0000-0000-000019180000}"/>
    <cellStyle name="Normal 5 2 2 5 4 2 2 2" xfId="16623" xr:uid="{DDABD05A-047F-4935-95D1-BEBB0E513B18}"/>
    <cellStyle name="Normal 5 2 2 5 4 2 3" xfId="12405" xr:uid="{B8AC10F2-9387-4D5E-950C-0EDB5D5F93AF}"/>
    <cellStyle name="Normal 5 2 2 5 4 3" xfId="6036" xr:uid="{00000000-0005-0000-0000-00001A180000}"/>
    <cellStyle name="Normal 5 2 2 5 4 3 2" xfId="14478" xr:uid="{928FE4A9-51F9-4AEC-9E0E-A566E0C814F3}"/>
    <cellStyle name="Normal 5 2 2 5 4 4" xfId="10260" xr:uid="{2DBFA476-C227-4A41-909C-4DB5293B200B}"/>
    <cellStyle name="Normal 5 2 2 5 5" xfId="2142" xr:uid="{00000000-0005-0000-0000-00001B180000}"/>
    <cellStyle name="Normal 5 2 2 5 5 2" xfId="4371" xr:uid="{00000000-0005-0000-0000-00001C180000}"/>
    <cellStyle name="Normal 5 2 2 5 5 2 2" xfId="8594" xr:uid="{00000000-0005-0000-0000-00001D180000}"/>
    <cellStyle name="Normal 5 2 2 5 5 2 2 2" xfId="17036" xr:uid="{46AF24AC-4740-438D-85CF-0E5C072A22D7}"/>
    <cellStyle name="Normal 5 2 2 5 5 2 3" xfId="12818" xr:uid="{9C4765AA-2001-420F-9245-410B73B4E94F}"/>
    <cellStyle name="Normal 5 2 2 5 5 3" xfId="6449" xr:uid="{00000000-0005-0000-0000-00001E180000}"/>
    <cellStyle name="Normal 5 2 2 5 5 3 2" xfId="14891" xr:uid="{8FEEC5B8-CE71-4C80-A0D6-0C36E321F8B0}"/>
    <cellStyle name="Normal 5 2 2 5 5 4" xfId="10673" xr:uid="{C3201119-A91B-4797-B28A-87EC87C0C0DE}"/>
    <cellStyle name="Normal 5 2 2 5 6" xfId="2578" xr:uid="{00000000-0005-0000-0000-00001F180000}"/>
    <cellStyle name="Normal 5 2 2 5 6 2" xfId="6862" xr:uid="{00000000-0005-0000-0000-000020180000}"/>
    <cellStyle name="Normal 5 2 2 5 6 2 2" xfId="15304" xr:uid="{EA3FE4D6-1B0E-49BA-9DD9-1613B08B9DFD}"/>
    <cellStyle name="Normal 5 2 2 5 6 3" xfId="11086" xr:uid="{968BE4FD-33D7-426A-9776-A2DD26FB9FC2}"/>
    <cellStyle name="Normal 5 2 2 5 7" xfId="4797" xr:uid="{00000000-0005-0000-0000-000021180000}"/>
    <cellStyle name="Normal 5 2 2 5 7 2" xfId="13239" xr:uid="{CBAAA892-11D2-4FB3-BD69-2E984BD706CD}"/>
    <cellStyle name="Normal 5 2 2 5 8" xfId="9021" xr:uid="{841F37C9-A380-4E4B-939A-1D4E8813F333}"/>
    <cellStyle name="Normal 5 2 2 6" xfId="882" xr:uid="{00000000-0005-0000-0000-000022180000}"/>
    <cellStyle name="Normal 5 2 2 6 2" xfId="3117" xr:uid="{00000000-0005-0000-0000-000023180000}"/>
    <cellStyle name="Normal 5 2 2 6 2 2" xfId="7340" xr:uid="{00000000-0005-0000-0000-000024180000}"/>
    <cellStyle name="Normal 5 2 2 6 2 2 2" xfId="15782" xr:uid="{1516527F-639E-4D72-833D-22299255AC25}"/>
    <cellStyle name="Normal 5 2 2 6 2 3" xfId="11564" xr:uid="{3FC712F6-634A-4461-AA03-CAE9A23615AA}"/>
    <cellStyle name="Normal 5 2 2 6 3" xfId="5195" xr:uid="{00000000-0005-0000-0000-000025180000}"/>
    <cellStyle name="Normal 5 2 2 6 3 2" xfId="13637" xr:uid="{909223A5-5D80-40C5-8FD2-4773521EC40D}"/>
    <cellStyle name="Normal 5 2 2 6 4" xfId="9419" xr:uid="{F7384715-1A0E-4E56-B35D-D7CE23791418}"/>
    <cellStyle name="Normal 5 2 2 7" xfId="1300" xr:uid="{00000000-0005-0000-0000-000026180000}"/>
    <cellStyle name="Normal 5 2 2 7 2" xfId="3530" xr:uid="{00000000-0005-0000-0000-000027180000}"/>
    <cellStyle name="Normal 5 2 2 7 2 2" xfId="7753" xr:uid="{00000000-0005-0000-0000-000028180000}"/>
    <cellStyle name="Normal 5 2 2 7 2 2 2" xfId="16195" xr:uid="{3F0FC8C1-C87E-4CB5-A0A6-B0F3AD45801F}"/>
    <cellStyle name="Normal 5 2 2 7 2 3" xfId="11977" xr:uid="{DC20456E-6526-4465-9B7C-F16BBCE509BD}"/>
    <cellStyle name="Normal 5 2 2 7 3" xfId="5608" xr:uid="{00000000-0005-0000-0000-000029180000}"/>
    <cellStyle name="Normal 5 2 2 7 3 2" xfId="14050" xr:uid="{76295B51-70BF-44D6-99D5-2AE73CDB51AD}"/>
    <cellStyle name="Normal 5 2 2 7 4" xfId="9832" xr:uid="{187213AA-2D85-4D47-A80B-C348CD2646F2}"/>
    <cellStyle name="Normal 5 2 2 8" xfId="1713" xr:uid="{00000000-0005-0000-0000-00002A180000}"/>
    <cellStyle name="Normal 5 2 2 8 2" xfId="3943" xr:uid="{00000000-0005-0000-0000-00002B180000}"/>
    <cellStyle name="Normal 5 2 2 8 2 2" xfId="8166" xr:uid="{00000000-0005-0000-0000-00002C180000}"/>
    <cellStyle name="Normal 5 2 2 8 2 2 2" xfId="16608" xr:uid="{D3B87DDA-E72A-43A0-9D9F-DE7EA8BD8AFD}"/>
    <cellStyle name="Normal 5 2 2 8 2 3" xfId="12390" xr:uid="{758ADEAF-846B-47D0-B356-0135A51497CC}"/>
    <cellStyle name="Normal 5 2 2 8 3" xfId="6021" xr:uid="{00000000-0005-0000-0000-00002D180000}"/>
    <cellStyle name="Normal 5 2 2 8 3 2" xfId="14463" xr:uid="{3C8BE74F-25EF-4D8F-AA7B-DAE3C734FB2C}"/>
    <cellStyle name="Normal 5 2 2 8 4" xfId="10245" xr:uid="{D07277A0-4CFE-46E1-8312-1B408D870015}"/>
    <cellStyle name="Normal 5 2 2 9" xfId="2127" xr:uid="{00000000-0005-0000-0000-00002E180000}"/>
    <cellStyle name="Normal 5 2 2 9 2" xfId="4356" xr:uid="{00000000-0005-0000-0000-00002F180000}"/>
    <cellStyle name="Normal 5 2 2 9 2 2" xfId="8579" xr:uid="{00000000-0005-0000-0000-000030180000}"/>
    <cellStyle name="Normal 5 2 2 9 2 2 2" xfId="17021" xr:uid="{56A0C9C8-8C8D-43E4-BAAE-2DE5FF541490}"/>
    <cellStyle name="Normal 5 2 2 9 2 3" xfId="12803" xr:uid="{9BF11368-3284-4773-84F0-58C962765868}"/>
    <cellStyle name="Normal 5 2 2 9 3" xfId="6434" xr:uid="{00000000-0005-0000-0000-000031180000}"/>
    <cellStyle name="Normal 5 2 2 9 3 2" xfId="14876" xr:uid="{027F21DE-B85D-4ECB-AC6C-A43C990A804C}"/>
    <cellStyle name="Normal 5 2 2 9 4" xfId="10658" xr:uid="{91C661EB-F5FC-4DC3-A3CE-A62C449191E7}"/>
    <cellStyle name="Normal 5 2 3" xfId="424" xr:uid="{00000000-0005-0000-0000-000032180000}"/>
    <cellStyle name="Normal 5 2 3 10" xfId="4798" xr:uid="{00000000-0005-0000-0000-000033180000}"/>
    <cellStyle name="Normal 5 2 3 10 2" xfId="13240" xr:uid="{CB75D355-E3C3-46AC-8BF4-07E5719F12A9}"/>
    <cellStyle name="Normal 5 2 3 11" xfId="9022" xr:uid="{E26EB603-0A88-4966-A785-38BB076FDC99}"/>
    <cellStyle name="Normal 5 2 3 2" xfId="425" xr:uid="{00000000-0005-0000-0000-000034180000}"/>
    <cellStyle name="Normal 5 2 3 2 10" xfId="9023" xr:uid="{16CC0732-C428-4308-9EC3-C3DA43B86ECF}"/>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15801" xr:uid="{257F312E-90E7-44BF-9B03-D560AA878A74}"/>
    <cellStyle name="Normal 5 2 3 2 2 2 2 2 3" xfId="11583" xr:uid="{A1D78918-67A7-4C91-82AB-5C878973EA7C}"/>
    <cellStyle name="Normal 5 2 3 2 2 2 2 3" xfId="5214" xr:uid="{00000000-0005-0000-0000-00003A180000}"/>
    <cellStyle name="Normal 5 2 3 2 2 2 2 3 2" xfId="13656" xr:uid="{19F6A2F5-3372-4583-A1AC-F8D5832A9A13}"/>
    <cellStyle name="Normal 5 2 3 2 2 2 2 4" xfId="9438" xr:uid="{EE6B8D40-EBAC-49C5-9C90-2EDF93850882}"/>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2 2" xfId="16214" xr:uid="{0DAAA21E-9679-4B16-923A-882413DAEA73}"/>
    <cellStyle name="Normal 5 2 3 2 2 2 3 2 3" xfId="11996" xr:uid="{51192249-7C66-4C22-A47D-D7410B4E9F6E}"/>
    <cellStyle name="Normal 5 2 3 2 2 2 3 3" xfId="5627" xr:uid="{00000000-0005-0000-0000-00003E180000}"/>
    <cellStyle name="Normal 5 2 3 2 2 2 3 3 2" xfId="14069" xr:uid="{339E3138-8F10-43C9-95EC-262A6ECC10B2}"/>
    <cellStyle name="Normal 5 2 3 2 2 2 3 4" xfId="9851" xr:uid="{7639788F-4194-46F3-9960-00EF4CFF8A6A}"/>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2 2 2" xfId="16627" xr:uid="{216810F0-AFD4-4B5C-A527-E4F174439A7B}"/>
    <cellStyle name="Normal 5 2 3 2 2 2 4 2 3" xfId="12409" xr:uid="{22CBC4A5-7758-4294-A8FD-AE9DAC2CB6E7}"/>
    <cellStyle name="Normal 5 2 3 2 2 2 4 3" xfId="6040" xr:uid="{00000000-0005-0000-0000-000042180000}"/>
    <cellStyle name="Normal 5 2 3 2 2 2 4 3 2" xfId="14482" xr:uid="{EE778056-DCB1-40C6-8822-A0EBB19D7308}"/>
    <cellStyle name="Normal 5 2 3 2 2 2 4 4" xfId="10264" xr:uid="{012C7686-DB06-4834-8836-E6E7982E78AB}"/>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2 2 2" xfId="17040" xr:uid="{653A68FA-55DF-47A7-BA4B-77A2350B8964}"/>
    <cellStyle name="Normal 5 2 3 2 2 2 5 2 3" xfId="12822" xr:uid="{B020FB14-DFF3-4E2F-8379-907E1C6F2056}"/>
    <cellStyle name="Normal 5 2 3 2 2 2 5 3" xfId="6453" xr:uid="{00000000-0005-0000-0000-000046180000}"/>
    <cellStyle name="Normal 5 2 3 2 2 2 5 3 2" xfId="14895" xr:uid="{B43909A5-008A-4EE7-AF33-53DE598510E4}"/>
    <cellStyle name="Normal 5 2 3 2 2 2 5 4" xfId="10677" xr:uid="{EFD1DB71-1987-45B1-B64C-29038801D12C}"/>
    <cellStyle name="Normal 5 2 3 2 2 2 6" xfId="2582" xr:uid="{00000000-0005-0000-0000-000047180000}"/>
    <cellStyle name="Normal 5 2 3 2 2 2 6 2" xfId="6866" xr:uid="{00000000-0005-0000-0000-000048180000}"/>
    <cellStyle name="Normal 5 2 3 2 2 2 6 2 2" xfId="15308" xr:uid="{67EEFFA4-8F5F-449A-BEF9-1DFF40465BA9}"/>
    <cellStyle name="Normal 5 2 3 2 2 2 6 3" xfId="11090" xr:uid="{FB0CF67D-243C-4271-843B-1161BEFFF0C0}"/>
    <cellStyle name="Normal 5 2 3 2 2 2 7" xfId="4801" xr:uid="{00000000-0005-0000-0000-000049180000}"/>
    <cellStyle name="Normal 5 2 3 2 2 2 7 2" xfId="13243" xr:uid="{D154BC43-6EF7-4594-9402-9541AEB0C966}"/>
    <cellStyle name="Normal 5 2 3 2 2 2 8" xfId="9025" xr:uid="{A6C8000F-BFE9-4434-9EB1-74056D9EA341}"/>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15800" xr:uid="{1146FEBA-43BC-4CC1-823A-0306AA21F2AC}"/>
    <cellStyle name="Normal 5 2 3 2 2 3 2 3" xfId="11582" xr:uid="{40D49BD8-CDEA-4891-A632-881B1FD67921}"/>
    <cellStyle name="Normal 5 2 3 2 2 3 3" xfId="5213" xr:uid="{00000000-0005-0000-0000-00004D180000}"/>
    <cellStyle name="Normal 5 2 3 2 2 3 3 2" xfId="13655" xr:uid="{DC808D6E-B1EF-40DA-94A9-5CE7E726F178}"/>
    <cellStyle name="Normal 5 2 3 2 2 3 4" xfId="9437" xr:uid="{F2FF7376-C830-43A6-A48A-5212E974C769}"/>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2 2" xfId="16213" xr:uid="{2D7CA281-423F-40EE-A4FB-312D306CAC99}"/>
    <cellStyle name="Normal 5 2 3 2 2 4 2 3" xfId="11995" xr:uid="{8EC4E602-CC93-4FEF-834F-56F524A1B0B0}"/>
    <cellStyle name="Normal 5 2 3 2 2 4 3" xfId="5626" xr:uid="{00000000-0005-0000-0000-000051180000}"/>
    <cellStyle name="Normal 5 2 3 2 2 4 3 2" xfId="14068" xr:uid="{DF127CEB-2C5E-41EE-B0E4-B93B553F574C}"/>
    <cellStyle name="Normal 5 2 3 2 2 4 4" xfId="9850" xr:uid="{DA544949-FFC4-4C5F-AFCC-A2D5A07B7614}"/>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2 2 2" xfId="16626" xr:uid="{F9CF0EC3-9B19-496A-9143-0B4F23EF6567}"/>
    <cellStyle name="Normal 5 2 3 2 2 5 2 3" xfId="12408" xr:uid="{76D9D5E1-5C41-4FB8-9C9F-AA4EBFA2445B}"/>
    <cellStyle name="Normal 5 2 3 2 2 5 3" xfId="6039" xr:uid="{00000000-0005-0000-0000-000055180000}"/>
    <cellStyle name="Normal 5 2 3 2 2 5 3 2" xfId="14481" xr:uid="{2C83651A-61E1-48FD-B860-D75B82526E68}"/>
    <cellStyle name="Normal 5 2 3 2 2 5 4" xfId="10263" xr:uid="{B4045D09-77AA-4364-93D4-5E189BA15C25}"/>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2 2 2" xfId="17039" xr:uid="{15119674-C47B-41E1-A624-51C5DC5FDBD4}"/>
    <cellStyle name="Normal 5 2 3 2 2 6 2 3" xfId="12821" xr:uid="{7E7B11EC-986D-4D1F-A127-BC66B7D44D57}"/>
    <cellStyle name="Normal 5 2 3 2 2 6 3" xfId="6452" xr:uid="{00000000-0005-0000-0000-000059180000}"/>
    <cellStyle name="Normal 5 2 3 2 2 6 3 2" xfId="14894" xr:uid="{CBE2896F-1B47-4116-A9EC-D82E66FC35CB}"/>
    <cellStyle name="Normal 5 2 3 2 2 6 4" xfId="10676" xr:uid="{B4CDD18A-C67A-40E2-B6D4-C435E105783C}"/>
    <cellStyle name="Normal 5 2 3 2 2 7" xfId="2581" xr:uid="{00000000-0005-0000-0000-00005A180000}"/>
    <cellStyle name="Normal 5 2 3 2 2 7 2" xfId="6865" xr:uid="{00000000-0005-0000-0000-00005B180000}"/>
    <cellStyle name="Normal 5 2 3 2 2 7 2 2" xfId="15307" xr:uid="{7AD131BE-F7C8-4A4A-A452-4FEB8312059D}"/>
    <cellStyle name="Normal 5 2 3 2 2 7 3" xfId="11089" xr:uid="{8F2E7B80-4023-414B-8A28-56E3B6457A8F}"/>
    <cellStyle name="Normal 5 2 3 2 2 8" xfId="4800" xr:uid="{00000000-0005-0000-0000-00005C180000}"/>
    <cellStyle name="Normal 5 2 3 2 2 8 2" xfId="13242" xr:uid="{D32912E9-F0EE-4ECA-BAE0-09B16B377095}"/>
    <cellStyle name="Normal 5 2 3 2 2 9" xfId="9024" xr:uid="{83DEA625-7BEF-4D99-88C2-BCCD967FE46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15802" xr:uid="{A16AF0FF-FC84-44BF-95FD-8932D5641A62}"/>
    <cellStyle name="Normal 5 2 3 2 3 2 2 3" xfId="11584" xr:uid="{B5504E78-9DE3-4DF4-B660-4EB036719DFB}"/>
    <cellStyle name="Normal 5 2 3 2 3 2 3" xfId="5215" xr:uid="{00000000-0005-0000-0000-000061180000}"/>
    <cellStyle name="Normal 5 2 3 2 3 2 3 2" xfId="13657" xr:uid="{A3968AD7-A676-4889-8BE0-5E93FA7039F1}"/>
    <cellStyle name="Normal 5 2 3 2 3 2 4" xfId="9439" xr:uid="{F9F86109-9EC8-4AFB-99AA-D2E8B7283706}"/>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2 2" xfId="16215" xr:uid="{1E1E8BA9-515C-489E-981B-6DF771EB8028}"/>
    <cellStyle name="Normal 5 2 3 2 3 3 2 3" xfId="11997" xr:uid="{A232D686-7A20-41A9-AFAF-DBFC53EB1B32}"/>
    <cellStyle name="Normal 5 2 3 2 3 3 3" xfId="5628" xr:uid="{00000000-0005-0000-0000-000065180000}"/>
    <cellStyle name="Normal 5 2 3 2 3 3 3 2" xfId="14070" xr:uid="{0C56CBCE-FDEB-4E3C-B3D8-2A26BF95F31E}"/>
    <cellStyle name="Normal 5 2 3 2 3 3 4" xfId="9852" xr:uid="{359F7A40-76C5-4075-A4E6-5A3E592AF15A}"/>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2 2 2" xfId="16628" xr:uid="{B89FF558-389E-491F-97B7-302B3F0C168C}"/>
    <cellStyle name="Normal 5 2 3 2 3 4 2 3" xfId="12410" xr:uid="{141CA62D-BE33-4173-8E96-79EEE604051D}"/>
    <cellStyle name="Normal 5 2 3 2 3 4 3" xfId="6041" xr:uid="{00000000-0005-0000-0000-000069180000}"/>
    <cellStyle name="Normal 5 2 3 2 3 4 3 2" xfId="14483" xr:uid="{9B210BE4-92D2-41CB-BD21-683F1EEDD7C6}"/>
    <cellStyle name="Normal 5 2 3 2 3 4 4" xfId="10265" xr:uid="{CE87564B-B727-42C0-A7BA-D322073B9BF2}"/>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2 2 2" xfId="17041" xr:uid="{45C34EA3-D1B6-4654-B2C1-C65A9A2554E9}"/>
    <cellStyle name="Normal 5 2 3 2 3 5 2 3" xfId="12823" xr:uid="{EF5BF809-879B-4CB5-B0A9-1DF0CEE315EF}"/>
    <cellStyle name="Normal 5 2 3 2 3 5 3" xfId="6454" xr:uid="{00000000-0005-0000-0000-00006D180000}"/>
    <cellStyle name="Normal 5 2 3 2 3 5 3 2" xfId="14896" xr:uid="{C81CD958-EEFB-4B16-9BF8-FBEB7812375A}"/>
    <cellStyle name="Normal 5 2 3 2 3 5 4" xfId="10678" xr:uid="{DF22AECE-0CD6-4825-A34B-4B42F7970FEB}"/>
    <cellStyle name="Normal 5 2 3 2 3 6" xfId="2583" xr:uid="{00000000-0005-0000-0000-00006E180000}"/>
    <cellStyle name="Normal 5 2 3 2 3 6 2" xfId="6867" xr:uid="{00000000-0005-0000-0000-00006F180000}"/>
    <cellStyle name="Normal 5 2 3 2 3 6 2 2" xfId="15309" xr:uid="{6D0E47E8-184F-4300-AD91-EABEFA61D227}"/>
    <cellStyle name="Normal 5 2 3 2 3 6 3" xfId="11091" xr:uid="{455210AD-6C29-44EA-8B88-EA5F97DBFFB3}"/>
    <cellStyle name="Normal 5 2 3 2 3 7" xfId="4802" xr:uid="{00000000-0005-0000-0000-000070180000}"/>
    <cellStyle name="Normal 5 2 3 2 3 7 2" xfId="13244" xr:uid="{1D4BBB6E-0C57-43B7-BB23-D12EE2DAF9E9}"/>
    <cellStyle name="Normal 5 2 3 2 3 8" xfId="9026" xr:uid="{38A38865-D0F7-45B5-80C9-D51E9692D82A}"/>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15799" xr:uid="{F4E0CC40-8977-418E-AF09-2DFDEBAD2A6B}"/>
    <cellStyle name="Normal 5 2 3 2 4 2 3" xfId="11581" xr:uid="{8405A3D6-68C5-4DB0-B450-46095424AA98}"/>
    <cellStyle name="Normal 5 2 3 2 4 3" xfId="5212" xr:uid="{00000000-0005-0000-0000-000074180000}"/>
    <cellStyle name="Normal 5 2 3 2 4 3 2" xfId="13654" xr:uid="{ECE052CF-F0CA-41F3-A750-81A1B3769F29}"/>
    <cellStyle name="Normal 5 2 3 2 4 4" xfId="9436" xr:uid="{E24A6C0B-5893-445D-9DF8-FF908DCAD379}"/>
    <cellStyle name="Normal 5 2 3 2 5" xfId="1317" xr:uid="{00000000-0005-0000-0000-000075180000}"/>
    <cellStyle name="Normal 5 2 3 2 5 2" xfId="3547" xr:uid="{00000000-0005-0000-0000-000076180000}"/>
    <cellStyle name="Normal 5 2 3 2 5 2 2" xfId="7770" xr:uid="{00000000-0005-0000-0000-000077180000}"/>
    <cellStyle name="Normal 5 2 3 2 5 2 2 2" xfId="16212" xr:uid="{2AB1C96F-BFAB-4439-BEAB-899E587E6CCC}"/>
    <cellStyle name="Normal 5 2 3 2 5 2 3" xfId="11994" xr:uid="{3BAAFECE-3FCB-4823-BC4D-8FBDA79B6549}"/>
    <cellStyle name="Normal 5 2 3 2 5 3" xfId="5625" xr:uid="{00000000-0005-0000-0000-000078180000}"/>
    <cellStyle name="Normal 5 2 3 2 5 3 2" xfId="14067" xr:uid="{7375AF81-2591-4B29-AB25-014C77CA1D57}"/>
    <cellStyle name="Normal 5 2 3 2 5 4" xfId="9849" xr:uid="{D714B003-AAC6-4233-82F5-BC90C2AFE451}"/>
    <cellStyle name="Normal 5 2 3 2 6" xfId="1730" xr:uid="{00000000-0005-0000-0000-000079180000}"/>
    <cellStyle name="Normal 5 2 3 2 6 2" xfId="3960" xr:uid="{00000000-0005-0000-0000-00007A180000}"/>
    <cellStyle name="Normal 5 2 3 2 6 2 2" xfId="8183" xr:uid="{00000000-0005-0000-0000-00007B180000}"/>
    <cellStyle name="Normal 5 2 3 2 6 2 2 2" xfId="16625" xr:uid="{AD9AA57D-65BD-4337-B563-193C19EE3F67}"/>
    <cellStyle name="Normal 5 2 3 2 6 2 3" xfId="12407" xr:uid="{B41F8D02-DEC7-447B-83C4-FC42C14C5321}"/>
    <cellStyle name="Normal 5 2 3 2 6 3" xfId="6038" xr:uid="{00000000-0005-0000-0000-00007C180000}"/>
    <cellStyle name="Normal 5 2 3 2 6 3 2" xfId="14480" xr:uid="{8A7A9C0A-86AD-4053-8637-77F3C3EC71B1}"/>
    <cellStyle name="Normal 5 2 3 2 6 4" xfId="10262" xr:uid="{C427B5C5-4F38-4627-BC99-0C59EAB3A4C6}"/>
    <cellStyle name="Normal 5 2 3 2 7" xfId="2144" xr:uid="{00000000-0005-0000-0000-00007D180000}"/>
    <cellStyle name="Normal 5 2 3 2 7 2" xfId="4373" xr:uid="{00000000-0005-0000-0000-00007E180000}"/>
    <cellStyle name="Normal 5 2 3 2 7 2 2" xfId="8596" xr:uid="{00000000-0005-0000-0000-00007F180000}"/>
    <cellStyle name="Normal 5 2 3 2 7 2 2 2" xfId="17038" xr:uid="{558E6D13-B33E-4DE3-8B2D-6B3A13D31339}"/>
    <cellStyle name="Normal 5 2 3 2 7 2 3" xfId="12820" xr:uid="{EF24D2DC-1C3D-4439-B0D6-68D907831434}"/>
    <cellStyle name="Normal 5 2 3 2 7 3" xfId="6451" xr:uid="{00000000-0005-0000-0000-000080180000}"/>
    <cellStyle name="Normal 5 2 3 2 7 3 2" xfId="14893" xr:uid="{E70334EE-9A56-49CB-B561-7718871F9911}"/>
    <cellStyle name="Normal 5 2 3 2 7 4" xfId="10675" xr:uid="{BD262ED9-BC79-4009-9F72-96365B439826}"/>
    <cellStyle name="Normal 5 2 3 2 8" xfId="2580" xr:uid="{00000000-0005-0000-0000-000081180000}"/>
    <cellStyle name="Normal 5 2 3 2 8 2" xfId="6864" xr:uid="{00000000-0005-0000-0000-000082180000}"/>
    <cellStyle name="Normal 5 2 3 2 8 2 2" xfId="15306" xr:uid="{6380F33D-F7B0-4004-AEDB-BC321E44069C}"/>
    <cellStyle name="Normal 5 2 3 2 8 3" xfId="11088" xr:uid="{76C444B3-23E5-4974-B2A0-9FD7E0E01B50}"/>
    <cellStyle name="Normal 5 2 3 2 9" xfId="4799" xr:uid="{00000000-0005-0000-0000-000083180000}"/>
    <cellStyle name="Normal 5 2 3 2 9 2" xfId="13241" xr:uid="{31F1EE7D-5BA8-4DA9-8ED1-98CC3465E9BD}"/>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15804" xr:uid="{ABD560F4-7FDF-4FEA-9C7B-B5DF2A599086}"/>
    <cellStyle name="Normal 5 2 3 3 2 2 2 3" xfId="11586" xr:uid="{4CCDFA93-5B37-4250-A858-798DB7597096}"/>
    <cellStyle name="Normal 5 2 3 3 2 2 3" xfId="5217" xr:uid="{00000000-0005-0000-0000-000089180000}"/>
    <cellStyle name="Normal 5 2 3 3 2 2 3 2" xfId="13659" xr:uid="{BD87F5FA-A16B-4B3E-B021-E401499D7F2B}"/>
    <cellStyle name="Normal 5 2 3 3 2 2 4" xfId="9441" xr:uid="{C2DF5759-6761-48B3-8F53-6FB517CD08BF}"/>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2 2" xfId="16217" xr:uid="{491EA1C6-DF20-4946-A1D3-DE3C115C3C02}"/>
    <cellStyle name="Normal 5 2 3 3 2 3 2 3" xfId="11999" xr:uid="{E90EFB89-DDF6-4321-8A4A-CEB2BA127A42}"/>
    <cellStyle name="Normal 5 2 3 3 2 3 3" xfId="5630" xr:uid="{00000000-0005-0000-0000-00008D180000}"/>
    <cellStyle name="Normal 5 2 3 3 2 3 3 2" xfId="14072" xr:uid="{2C4EA3D1-D05E-4F43-9314-B3B7ED8B5CC8}"/>
    <cellStyle name="Normal 5 2 3 3 2 3 4" xfId="9854" xr:uid="{BD506535-219D-48FB-89B1-498FB5A04FA9}"/>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2 2 2" xfId="16630" xr:uid="{E343408B-3965-4F7C-A8B4-09409665E0C8}"/>
    <cellStyle name="Normal 5 2 3 3 2 4 2 3" xfId="12412" xr:uid="{3A721D5C-4C90-4A7C-8CE5-04D4F3AE2E98}"/>
    <cellStyle name="Normal 5 2 3 3 2 4 3" xfId="6043" xr:uid="{00000000-0005-0000-0000-000091180000}"/>
    <cellStyle name="Normal 5 2 3 3 2 4 3 2" xfId="14485" xr:uid="{932CFA05-D0CE-4443-A733-AA043E398DFF}"/>
    <cellStyle name="Normal 5 2 3 3 2 4 4" xfId="10267" xr:uid="{2A4DE187-2E8F-4447-925E-48E6F9BF4F61}"/>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2 2 2" xfId="17043" xr:uid="{F9CB5B45-E1E9-4C10-B951-F8301BBEE4B7}"/>
    <cellStyle name="Normal 5 2 3 3 2 5 2 3" xfId="12825" xr:uid="{3C00DEBD-DA72-40FA-BAD8-A6246C4E9C5B}"/>
    <cellStyle name="Normal 5 2 3 3 2 5 3" xfId="6456" xr:uid="{00000000-0005-0000-0000-000095180000}"/>
    <cellStyle name="Normal 5 2 3 3 2 5 3 2" xfId="14898" xr:uid="{E731BBF8-8357-4DAB-9E10-999D910E9EE1}"/>
    <cellStyle name="Normal 5 2 3 3 2 5 4" xfId="10680" xr:uid="{3C23C29E-F265-4ED7-A202-4F0D5670F514}"/>
    <cellStyle name="Normal 5 2 3 3 2 6" xfId="2585" xr:uid="{00000000-0005-0000-0000-000096180000}"/>
    <cellStyle name="Normal 5 2 3 3 2 6 2" xfId="6869" xr:uid="{00000000-0005-0000-0000-000097180000}"/>
    <cellStyle name="Normal 5 2 3 3 2 6 2 2" xfId="15311" xr:uid="{EC852BD2-C886-43B1-B632-ABE41597A535}"/>
    <cellStyle name="Normal 5 2 3 3 2 6 3" xfId="11093" xr:uid="{371F9293-DB8A-4490-A69E-76D76906B413}"/>
    <cellStyle name="Normal 5 2 3 3 2 7" xfId="4804" xr:uid="{00000000-0005-0000-0000-000098180000}"/>
    <cellStyle name="Normal 5 2 3 3 2 7 2" xfId="13246" xr:uid="{DB44531F-0135-4E64-B861-A803A1E2B754}"/>
    <cellStyle name="Normal 5 2 3 3 2 8" xfId="9028" xr:uid="{17B6287E-858F-4C0B-A842-991003ED003F}"/>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15803" xr:uid="{9AA2D169-495B-4375-82B9-D093D7D9A943}"/>
    <cellStyle name="Normal 5 2 3 3 3 2 3" xfId="11585" xr:uid="{D5DE5B30-1E84-4DA3-8AF8-5A586F3DD56D}"/>
    <cellStyle name="Normal 5 2 3 3 3 3" xfId="5216" xr:uid="{00000000-0005-0000-0000-00009C180000}"/>
    <cellStyle name="Normal 5 2 3 3 3 3 2" xfId="13658" xr:uid="{528EC41C-0F84-4528-A43E-BED8936060FA}"/>
    <cellStyle name="Normal 5 2 3 3 3 4" xfId="9440" xr:uid="{1AC6F1D5-7481-4DD3-A7C8-A40A5F30ED28}"/>
    <cellStyle name="Normal 5 2 3 3 4" xfId="1321" xr:uid="{00000000-0005-0000-0000-00009D180000}"/>
    <cellStyle name="Normal 5 2 3 3 4 2" xfId="3551" xr:uid="{00000000-0005-0000-0000-00009E180000}"/>
    <cellStyle name="Normal 5 2 3 3 4 2 2" xfId="7774" xr:uid="{00000000-0005-0000-0000-00009F180000}"/>
    <cellStyle name="Normal 5 2 3 3 4 2 2 2" xfId="16216" xr:uid="{52AE0025-50E9-4CE1-A05B-65BBB36C29C2}"/>
    <cellStyle name="Normal 5 2 3 3 4 2 3" xfId="11998" xr:uid="{27A6368A-1296-4D67-A339-1B8696BBA6F4}"/>
    <cellStyle name="Normal 5 2 3 3 4 3" xfId="5629" xr:uid="{00000000-0005-0000-0000-0000A0180000}"/>
    <cellStyle name="Normal 5 2 3 3 4 3 2" xfId="14071" xr:uid="{CA872DB0-7D85-4C30-ACBE-413CBF8AB90C}"/>
    <cellStyle name="Normal 5 2 3 3 4 4" xfId="9853" xr:uid="{0505BB78-A7C4-4E62-A776-0C9E3407C23B}"/>
    <cellStyle name="Normal 5 2 3 3 5" xfId="1734" xr:uid="{00000000-0005-0000-0000-0000A1180000}"/>
    <cellStyle name="Normal 5 2 3 3 5 2" xfId="3964" xr:uid="{00000000-0005-0000-0000-0000A2180000}"/>
    <cellStyle name="Normal 5 2 3 3 5 2 2" xfId="8187" xr:uid="{00000000-0005-0000-0000-0000A3180000}"/>
    <cellStyle name="Normal 5 2 3 3 5 2 2 2" xfId="16629" xr:uid="{ABEBFD2F-5C70-462F-BE24-EFB324AEC49A}"/>
    <cellStyle name="Normal 5 2 3 3 5 2 3" xfId="12411" xr:uid="{CA28322F-475C-4200-89F2-E2C9C3769162}"/>
    <cellStyle name="Normal 5 2 3 3 5 3" xfId="6042" xr:uid="{00000000-0005-0000-0000-0000A4180000}"/>
    <cellStyle name="Normal 5 2 3 3 5 3 2" xfId="14484" xr:uid="{0164CFB4-C970-4CEC-95A5-88C8F17C83A7}"/>
    <cellStyle name="Normal 5 2 3 3 5 4" xfId="10266" xr:uid="{F033EE76-FBD6-4BE8-89AF-AA3EE913A332}"/>
    <cellStyle name="Normal 5 2 3 3 6" xfId="2148" xr:uid="{00000000-0005-0000-0000-0000A5180000}"/>
    <cellStyle name="Normal 5 2 3 3 6 2" xfId="4377" xr:uid="{00000000-0005-0000-0000-0000A6180000}"/>
    <cellStyle name="Normal 5 2 3 3 6 2 2" xfId="8600" xr:uid="{00000000-0005-0000-0000-0000A7180000}"/>
    <cellStyle name="Normal 5 2 3 3 6 2 2 2" xfId="17042" xr:uid="{19FAAB40-E410-4EC3-8BD8-81B8CFD686E4}"/>
    <cellStyle name="Normal 5 2 3 3 6 2 3" xfId="12824" xr:uid="{33006192-7DBC-4BD7-AE3F-36FA4D813AEF}"/>
    <cellStyle name="Normal 5 2 3 3 6 3" xfId="6455" xr:uid="{00000000-0005-0000-0000-0000A8180000}"/>
    <cellStyle name="Normal 5 2 3 3 6 3 2" xfId="14897" xr:uid="{7F8F8A86-5755-4751-8A28-8C10EC0F86F6}"/>
    <cellStyle name="Normal 5 2 3 3 6 4" xfId="10679" xr:uid="{4273AA2B-CF95-445B-90E8-9EC3FC115CB6}"/>
    <cellStyle name="Normal 5 2 3 3 7" xfId="2584" xr:uid="{00000000-0005-0000-0000-0000A9180000}"/>
    <cellStyle name="Normal 5 2 3 3 7 2" xfId="6868" xr:uid="{00000000-0005-0000-0000-0000AA180000}"/>
    <cellStyle name="Normal 5 2 3 3 7 2 2" xfId="15310" xr:uid="{97BA5533-F781-45A4-9B7C-51C4C795A95E}"/>
    <cellStyle name="Normal 5 2 3 3 7 3" xfId="11092" xr:uid="{1A319B0E-BA74-44A4-B821-9EB8C39EC3C6}"/>
    <cellStyle name="Normal 5 2 3 3 8" xfId="4803" xr:uid="{00000000-0005-0000-0000-0000AB180000}"/>
    <cellStyle name="Normal 5 2 3 3 8 2" xfId="13245" xr:uid="{13EC6A0A-1B6F-4CB5-972F-F58B7051CEED}"/>
    <cellStyle name="Normal 5 2 3 3 9" xfId="9027" xr:uid="{18944F4F-6CDE-4D95-8D27-289160E29612}"/>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15805" xr:uid="{F381CC4E-9F90-4876-A9D2-ECFEECDC066B}"/>
    <cellStyle name="Normal 5 2 3 4 2 2 3" xfId="11587" xr:uid="{3A3CBCDA-5F24-4B60-9C87-09B64D9B8A3A}"/>
    <cellStyle name="Normal 5 2 3 4 2 3" xfId="5218" xr:uid="{00000000-0005-0000-0000-0000B0180000}"/>
    <cellStyle name="Normal 5 2 3 4 2 3 2" xfId="13660" xr:uid="{46EB2934-BCF8-4923-9F26-7FFFE6DC8D82}"/>
    <cellStyle name="Normal 5 2 3 4 2 4" xfId="9442" xr:uid="{7E990FA5-25EF-43B3-9037-AF3365BDE447}"/>
    <cellStyle name="Normal 5 2 3 4 3" xfId="1323" xr:uid="{00000000-0005-0000-0000-0000B1180000}"/>
    <cellStyle name="Normal 5 2 3 4 3 2" xfId="3553" xr:uid="{00000000-0005-0000-0000-0000B2180000}"/>
    <cellStyle name="Normal 5 2 3 4 3 2 2" xfId="7776" xr:uid="{00000000-0005-0000-0000-0000B3180000}"/>
    <cellStyle name="Normal 5 2 3 4 3 2 2 2" xfId="16218" xr:uid="{E7E26776-3306-40CC-907B-86C052FF9310}"/>
    <cellStyle name="Normal 5 2 3 4 3 2 3" xfId="12000" xr:uid="{0F8CC1FE-F930-4C5A-AAAA-5423F61DBCA2}"/>
    <cellStyle name="Normal 5 2 3 4 3 3" xfId="5631" xr:uid="{00000000-0005-0000-0000-0000B4180000}"/>
    <cellStyle name="Normal 5 2 3 4 3 3 2" xfId="14073" xr:uid="{CCBAB0C2-D183-47F1-BE21-288DCC8E92F2}"/>
    <cellStyle name="Normal 5 2 3 4 3 4" xfId="9855" xr:uid="{E342884A-0816-4C69-933F-0B4BD3C7A2B9}"/>
    <cellStyle name="Normal 5 2 3 4 4" xfId="1736" xr:uid="{00000000-0005-0000-0000-0000B5180000}"/>
    <cellStyle name="Normal 5 2 3 4 4 2" xfId="3966" xr:uid="{00000000-0005-0000-0000-0000B6180000}"/>
    <cellStyle name="Normal 5 2 3 4 4 2 2" xfId="8189" xr:uid="{00000000-0005-0000-0000-0000B7180000}"/>
    <cellStyle name="Normal 5 2 3 4 4 2 2 2" xfId="16631" xr:uid="{4B3C8D53-4FDD-4152-88EB-D6BF06548947}"/>
    <cellStyle name="Normal 5 2 3 4 4 2 3" xfId="12413" xr:uid="{2F2A4F2B-9E47-4B32-8D7E-ADC5347AF518}"/>
    <cellStyle name="Normal 5 2 3 4 4 3" xfId="6044" xr:uid="{00000000-0005-0000-0000-0000B8180000}"/>
    <cellStyle name="Normal 5 2 3 4 4 3 2" xfId="14486" xr:uid="{2718D8E0-1F76-4F35-8D94-93D9CB3F9BB6}"/>
    <cellStyle name="Normal 5 2 3 4 4 4" xfId="10268" xr:uid="{0CD09AFF-C4F0-4BA1-9ADB-F4B8E65D18A0}"/>
    <cellStyle name="Normal 5 2 3 4 5" xfId="2150" xr:uid="{00000000-0005-0000-0000-0000B9180000}"/>
    <cellStyle name="Normal 5 2 3 4 5 2" xfId="4379" xr:uid="{00000000-0005-0000-0000-0000BA180000}"/>
    <cellStyle name="Normal 5 2 3 4 5 2 2" xfId="8602" xr:uid="{00000000-0005-0000-0000-0000BB180000}"/>
    <cellStyle name="Normal 5 2 3 4 5 2 2 2" xfId="17044" xr:uid="{0B7DC38E-8266-45E2-9067-7CFB64472448}"/>
    <cellStyle name="Normal 5 2 3 4 5 2 3" xfId="12826" xr:uid="{437975F7-51B6-413B-AC83-B0F4C9C49B83}"/>
    <cellStyle name="Normal 5 2 3 4 5 3" xfId="6457" xr:uid="{00000000-0005-0000-0000-0000BC180000}"/>
    <cellStyle name="Normal 5 2 3 4 5 3 2" xfId="14899" xr:uid="{9A2C9316-FD1C-4BC5-B7C7-B6A45DCABBEF}"/>
    <cellStyle name="Normal 5 2 3 4 5 4" xfId="10681" xr:uid="{72F74658-6040-4321-98BF-655CE5296412}"/>
    <cellStyle name="Normal 5 2 3 4 6" xfId="2586" xr:uid="{00000000-0005-0000-0000-0000BD180000}"/>
    <cellStyle name="Normal 5 2 3 4 6 2" xfId="6870" xr:uid="{00000000-0005-0000-0000-0000BE180000}"/>
    <cellStyle name="Normal 5 2 3 4 6 2 2" xfId="15312" xr:uid="{1EDEACB3-0D85-4FB5-A210-3EA311C0231E}"/>
    <cellStyle name="Normal 5 2 3 4 6 3" xfId="11094" xr:uid="{E553A644-156C-4F22-8C98-BBE273366E98}"/>
    <cellStyle name="Normal 5 2 3 4 7" xfId="4805" xr:uid="{00000000-0005-0000-0000-0000BF180000}"/>
    <cellStyle name="Normal 5 2 3 4 7 2" xfId="13247" xr:uid="{90F93CE8-EEDE-4370-B2CE-3A21C0BB9083}"/>
    <cellStyle name="Normal 5 2 3 4 8" xfId="9029" xr:uid="{9B849344-B390-4D92-A54D-F6D3FE858537}"/>
    <cellStyle name="Normal 5 2 3 5" xfId="898" xr:uid="{00000000-0005-0000-0000-0000C0180000}"/>
    <cellStyle name="Normal 5 2 3 5 2" xfId="3133" xr:uid="{00000000-0005-0000-0000-0000C1180000}"/>
    <cellStyle name="Normal 5 2 3 5 2 2" xfId="7356" xr:uid="{00000000-0005-0000-0000-0000C2180000}"/>
    <cellStyle name="Normal 5 2 3 5 2 2 2" xfId="15798" xr:uid="{CA860C34-C866-48B9-B4CC-F38112FB7F59}"/>
    <cellStyle name="Normal 5 2 3 5 2 3" xfId="11580" xr:uid="{9D0A3183-C2D9-4F59-8311-1C331935685B}"/>
    <cellStyle name="Normal 5 2 3 5 3" xfId="5211" xr:uid="{00000000-0005-0000-0000-0000C3180000}"/>
    <cellStyle name="Normal 5 2 3 5 3 2" xfId="13653" xr:uid="{01ED2A19-2F5D-483D-A850-4494E0E24914}"/>
    <cellStyle name="Normal 5 2 3 5 4" xfId="9435" xr:uid="{EBBB1573-CA44-4AC4-A249-C2FD36C48884}"/>
    <cellStyle name="Normal 5 2 3 6" xfId="1316" xr:uid="{00000000-0005-0000-0000-0000C4180000}"/>
    <cellStyle name="Normal 5 2 3 6 2" xfId="3546" xr:uid="{00000000-0005-0000-0000-0000C5180000}"/>
    <cellStyle name="Normal 5 2 3 6 2 2" xfId="7769" xr:uid="{00000000-0005-0000-0000-0000C6180000}"/>
    <cellStyle name="Normal 5 2 3 6 2 2 2" xfId="16211" xr:uid="{41556EB9-361B-4D67-A0EE-439BBC60323B}"/>
    <cellStyle name="Normal 5 2 3 6 2 3" xfId="11993" xr:uid="{13D478B2-D0DD-496F-94A7-016098D55D5C}"/>
    <cellStyle name="Normal 5 2 3 6 3" xfId="5624" xr:uid="{00000000-0005-0000-0000-0000C7180000}"/>
    <cellStyle name="Normal 5 2 3 6 3 2" xfId="14066" xr:uid="{FB43F8CE-3A74-4C03-AAF4-7F58B1A9CC97}"/>
    <cellStyle name="Normal 5 2 3 6 4" xfId="9848" xr:uid="{DC8ECA85-2562-4B4C-97AE-7FA8AE98C21B}"/>
    <cellStyle name="Normal 5 2 3 7" xfId="1729" xr:uid="{00000000-0005-0000-0000-0000C8180000}"/>
    <cellStyle name="Normal 5 2 3 7 2" xfId="3959" xr:uid="{00000000-0005-0000-0000-0000C9180000}"/>
    <cellStyle name="Normal 5 2 3 7 2 2" xfId="8182" xr:uid="{00000000-0005-0000-0000-0000CA180000}"/>
    <cellStyle name="Normal 5 2 3 7 2 2 2" xfId="16624" xr:uid="{C0CC0CFF-D574-4F3E-94D2-CB8B98CB2820}"/>
    <cellStyle name="Normal 5 2 3 7 2 3" xfId="12406" xr:uid="{A7FE5E0C-9BF3-4667-B067-0C31F33362E8}"/>
    <cellStyle name="Normal 5 2 3 7 3" xfId="6037" xr:uid="{00000000-0005-0000-0000-0000CB180000}"/>
    <cellStyle name="Normal 5 2 3 7 3 2" xfId="14479" xr:uid="{05A84AC9-AD9E-4607-9747-D8A2656B1CAE}"/>
    <cellStyle name="Normal 5 2 3 7 4" xfId="10261" xr:uid="{81852619-D377-49BE-A8F5-DF33FA715BBD}"/>
    <cellStyle name="Normal 5 2 3 8" xfId="2143" xr:uid="{00000000-0005-0000-0000-0000CC180000}"/>
    <cellStyle name="Normal 5 2 3 8 2" xfId="4372" xr:uid="{00000000-0005-0000-0000-0000CD180000}"/>
    <cellStyle name="Normal 5 2 3 8 2 2" xfId="8595" xr:uid="{00000000-0005-0000-0000-0000CE180000}"/>
    <cellStyle name="Normal 5 2 3 8 2 2 2" xfId="17037" xr:uid="{3EFA6E84-7CCE-4593-9198-0F8308343009}"/>
    <cellStyle name="Normal 5 2 3 8 2 3" xfId="12819" xr:uid="{2F31EE5C-74CF-4184-9AAF-1A6C5EC7B62A}"/>
    <cellStyle name="Normal 5 2 3 8 3" xfId="6450" xr:uid="{00000000-0005-0000-0000-0000CF180000}"/>
    <cellStyle name="Normal 5 2 3 8 3 2" xfId="14892" xr:uid="{A39B4129-D02B-4936-AF86-39F5768AC75F}"/>
    <cellStyle name="Normal 5 2 3 8 4" xfId="10674" xr:uid="{9218124C-8FBE-4CCE-9CF7-22F3BCCFE486}"/>
    <cellStyle name="Normal 5 2 3 9" xfId="2579" xr:uid="{00000000-0005-0000-0000-0000D0180000}"/>
    <cellStyle name="Normal 5 2 3 9 2" xfId="6863" xr:uid="{00000000-0005-0000-0000-0000D1180000}"/>
    <cellStyle name="Normal 5 2 3 9 2 2" xfId="15305" xr:uid="{CE57DA06-A555-41E8-B9D0-C2EF077C7247}"/>
    <cellStyle name="Normal 5 2 3 9 3" xfId="11087" xr:uid="{962B6BE0-EE00-41F9-8538-53C174386E5A}"/>
    <cellStyle name="Normal 5 2 4" xfId="432" xr:uid="{00000000-0005-0000-0000-0000D2180000}"/>
    <cellStyle name="Normal 5 2 4 10" xfId="9030" xr:uid="{63E2A53F-01AA-4CE3-9190-AE67E386DC68}"/>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15808" xr:uid="{63479A26-0971-4518-AC96-224D5498074D}"/>
    <cellStyle name="Normal 5 2 4 2 2 2 2 3" xfId="11590" xr:uid="{486CB7EF-18FB-40F8-B472-E48B84141F8C}"/>
    <cellStyle name="Normal 5 2 4 2 2 2 3" xfId="5221" xr:uid="{00000000-0005-0000-0000-0000D8180000}"/>
    <cellStyle name="Normal 5 2 4 2 2 2 3 2" xfId="13663" xr:uid="{8F1E490E-DD21-4FC6-8543-0B2E9C310501}"/>
    <cellStyle name="Normal 5 2 4 2 2 2 4" xfId="9445" xr:uid="{9928CB54-04A3-4A99-A245-DC57BCB75653}"/>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2 2" xfId="16221" xr:uid="{C8E095DD-D815-4543-BA2B-17CB4974EAB7}"/>
    <cellStyle name="Normal 5 2 4 2 2 3 2 3" xfId="12003" xr:uid="{017693C4-B24F-4961-BEAA-DD1B4D051ECA}"/>
    <cellStyle name="Normal 5 2 4 2 2 3 3" xfId="5634" xr:uid="{00000000-0005-0000-0000-0000DC180000}"/>
    <cellStyle name="Normal 5 2 4 2 2 3 3 2" xfId="14076" xr:uid="{7096DBC6-EB2E-449F-A84E-785A2F319DCD}"/>
    <cellStyle name="Normal 5 2 4 2 2 3 4" xfId="9858" xr:uid="{A67E9B0C-E809-438A-959B-3AB39497ED3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2 2 2" xfId="16634" xr:uid="{2C2E8068-7298-4BB0-BD89-9A790B7A54EB}"/>
    <cellStyle name="Normal 5 2 4 2 2 4 2 3" xfId="12416" xr:uid="{22A50395-C2A3-40FD-86CD-7E6C53DDE5AD}"/>
    <cellStyle name="Normal 5 2 4 2 2 4 3" xfId="6047" xr:uid="{00000000-0005-0000-0000-0000E0180000}"/>
    <cellStyle name="Normal 5 2 4 2 2 4 3 2" xfId="14489" xr:uid="{4FE81537-863D-4D6A-8D73-6899A99E9D97}"/>
    <cellStyle name="Normal 5 2 4 2 2 4 4" xfId="10271" xr:uid="{32E85C91-DBD5-425A-A326-9FD0AEB18107}"/>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2 2 2" xfId="17047" xr:uid="{65C9554E-D590-45E7-B4B2-B40714FA88C6}"/>
    <cellStyle name="Normal 5 2 4 2 2 5 2 3" xfId="12829" xr:uid="{F9396D24-2719-4FD8-950B-B3FBFB8F573F}"/>
    <cellStyle name="Normal 5 2 4 2 2 5 3" xfId="6460" xr:uid="{00000000-0005-0000-0000-0000E4180000}"/>
    <cellStyle name="Normal 5 2 4 2 2 5 3 2" xfId="14902" xr:uid="{35808F51-6BB2-4F7E-A8D1-800148090E77}"/>
    <cellStyle name="Normal 5 2 4 2 2 5 4" xfId="10684" xr:uid="{BA0109BB-7FB3-4155-A5E0-65AA0FC6FBA8}"/>
    <cellStyle name="Normal 5 2 4 2 2 6" xfId="2589" xr:uid="{00000000-0005-0000-0000-0000E5180000}"/>
    <cellStyle name="Normal 5 2 4 2 2 6 2" xfId="6873" xr:uid="{00000000-0005-0000-0000-0000E6180000}"/>
    <cellStyle name="Normal 5 2 4 2 2 6 2 2" xfId="15315" xr:uid="{25BBD7A0-2C05-450C-9A7A-B8D161D54B11}"/>
    <cellStyle name="Normal 5 2 4 2 2 6 3" xfId="11097" xr:uid="{38871334-83A0-45B4-A2AE-923AEF81DC97}"/>
    <cellStyle name="Normal 5 2 4 2 2 7" xfId="4808" xr:uid="{00000000-0005-0000-0000-0000E7180000}"/>
    <cellStyle name="Normal 5 2 4 2 2 7 2" xfId="13250" xr:uid="{9E690C0C-FE49-4DC2-9A6A-D24A276E1179}"/>
    <cellStyle name="Normal 5 2 4 2 2 8" xfId="9032" xr:uid="{FC54071B-D862-4B7C-807D-D0F82CAFC141}"/>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15807" xr:uid="{A9DB90AB-B7EB-44AE-BF22-4E81FE382705}"/>
    <cellStyle name="Normal 5 2 4 2 3 2 3" xfId="11589" xr:uid="{45F5C41C-0DA9-42FC-BFA3-018D511A9ECA}"/>
    <cellStyle name="Normal 5 2 4 2 3 3" xfId="5220" xr:uid="{00000000-0005-0000-0000-0000EB180000}"/>
    <cellStyle name="Normal 5 2 4 2 3 3 2" xfId="13662" xr:uid="{C38E6D16-1178-4391-8A14-F21345B4ECE8}"/>
    <cellStyle name="Normal 5 2 4 2 3 4" xfId="9444" xr:uid="{1474B4A8-9373-4B85-B8EE-26157EAB84EC}"/>
    <cellStyle name="Normal 5 2 4 2 4" xfId="1325" xr:uid="{00000000-0005-0000-0000-0000EC180000}"/>
    <cellStyle name="Normal 5 2 4 2 4 2" xfId="3555" xr:uid="{00000000-0005-0000-0000-0000ED180000}"/>
    <cellStyle name="Normal 5 2 4 2 4 2 2" xfId="7778" xr:uid="{00000000-0005-0000-0000-0000EE180000}"/>
    <cellStyle name="Normal 5 2 4 2 4 2 2 2" xfId="16220" xr:uid="{92BC0582-1F3F-40F9-A945-B12EA9D48C97}"/>
    <cellStyle name="Normal 5 2 4 2 4 2 3" xfId="12002" xr:uid="{05173253-F731-4824-AB5A-DC22074B06C7}"/>
    <cellStyle name="Normal 5 2 4 2 4 3" xfId="5633" xr:uid="{00000000-0005-0000-0000-0000EF180000}"/>
    <cellStyle name="Normal 5 2 4 2 4 3 2" xfId="14075" xr:uid="{9CF885BA-670C-464A-A134-39ED76ACF63A}"/>
    <cellStyle name="Normal 5 2 4 2 4 4" xfId="9857" xr:uid="{60254F95-C3AC-4A04-ADE0-DA1EE1C9A56F}"/>
    <cellStyle name="Normal 5 2 4 2 5" xfId="1738" xr:uid="{00000000-0005-0000-0000-0000F0180000}"/>
    <cellStyle name="Normal 5 2 4 2 5 2" xfId="3968" xr:uid="{00000000-0005-0000-0000-0000F1180000}"/>
    <cellStyle name="Normal 5 2 4 2 5 2 2" xfId="8191" xr:uid="{00000000-0005-0000-0000-0000F2180000}"/>
    <cellStyle name="Normal 5 2 4 2 5 2 2 2" xfId="16633" xr:uid="{35E92326-A6F8-46B3-8ADA-65AE6CD3658F}"/>
    <cellStyle name="Normal 5 2 4 2 5 2 3" xfId="12415" xr:uid="{29E8E030-0416-44FA-8D6F-0603FF31319A}"/>
    <cellStyle name="Normal 5 2 4 2 5 3" xfId="6046" xr:uid="{00000000-0005-0000-0000-0000F3180000}"/>
    <cellStyle name="Normal 5 2 4 2 5 3 2" xfId="14488" xr:uid="{C27B4E22-86E7-4793-9780-E61F6CFF8D65}"/>
    <cellStyle name="Normal 5 2 4 2 5 4" xfId="10270" xr:uid="{65D0B6F6-A1CB-45BE-9D55-AA0FD8C64EBF}"/>
    <cellStyle name="Normal 5 2 4 2 6" xfId="2152" xr:uid="{00000000-0005-0000-0000-0000F4180000}"/>
    <cellStyle name="Normal 5 2 4 2 6 2" xfId="4381" xr:uid="{00000000-0005-0000-0000-0000F5180000}"/>
    <cellStyle name="Normal 5 2 4 2 6 2 2" xfId="8604" xr:uid="{00000000-0005-0000-0000-0000F6180000}"/>
    <cellStyle name="Normal 5 2 4 2 6 2 2 2" xfId="17046" xr:uid="{676791BD-48F2-4F26-AC8C-3657960AB911}"/>
    <cellStyle name="Normal 5 2 4 2 6 2 3" xfId="12828" xr:uid="{60BD7BE3-72C7-482E-9B8A-4FB109B709AA}"/>
    <cellStyle name="Normal 5 2 4 2 6 3" xfId="6459" xr:uid="{00000000-0005-0000-0000-0000F7180000}"/>
    <cellStyle name="Normal 5 2 4 2 6 3 2" xfId="14901" xr:uid="{E0DBD458-493B-4145-AD14-C8CF023E4127}"/>
    <cellStyle name="Normal 5 2 4 2 6 4" xfId="10683" xr:uid="{289D2B69-50AD-4974-9510-8810B6310141}"/>
    <cellStyle name="Normal 5 2 4 2 7" xfId="2588" xr:uid="{00000000-0005-0000-0000-0000F8180000}"/>
    <cellStyle name="Normal 5 2 4 2 7 2" xfId="6872" xr:uid="{00000000-0005-0000-0000-0000F9180000}"/>
    <cellStyle name="Normal 5 2 4 2 7 2 2" xfId="15314" xr:uid="{ACE54B43-39EA-4122-9A4B-0027132ED11B}"/>
    <cellStyle name="Normal 5 2 4 2 7 3" xfId="11096" xr:uid="{0D068074-DE65-4843-8213-DB428857A330}"/>
    <cellStyle name="Normal 5 2 4 2 8" xfId="4807" xr:uid="{00000000-0005-0000-0000-0000FA180000}"/>
    <cellStyle name="Normal 5 2 4 2 8 2" xfId="13249" xr:uid="{6DF0A9E2-4C5A-4D16-9908-3B08EAEE0CFA}"/>
    <cellStyle name="Normal 5 2 4 2 9" xfId="9031" xr:uid="{3A3FF718-F4E3-466F-81AC-D7F07A49DA7C}"/>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15809" xr:uid="{14C29A10-90AD-4022-AFB1-1C40664004D8}"/>
    <cellStyle name="Normal 5 2 4 3 2 2 3" xfId="11591" xr:uid="{2358124E-0664-44E2-9562-B4D7703004A5}"/>
    <cellStyle name="Normal 5 2 4 3 2 3" xfId="5222" xr:uid="{00000000-0005-0000-0000-0000FF180000}"/>
    <cellStyle name="Normal 5 2 4 3 2 3 2" xfId="13664" xr:uid="{78C1535A-D80D-4F15-AAB9-95370982758D}"/>
    <cellStyle name="Normal 5 2 4 3 2 4" xfId="9446" xr:uid="{4C3C3F61-53E4-41D7-B632-D5FE18DC0FBF}"/>
    <cellStyle name="Normal 5 2 4 3 3" xfId="1327" xr:uid="{00000000-0005-0000-0000-000000190000}"/>
    <cellStyle name="Normal 5 2 4 3 3 2" xfId="3557" xr:uid="{00000000-0005-0000-0000-000001190000}"/>
    <cellStyle name="Normal 5 2 4 3 3 2 2" xfId="7780" xr:uid="{00000000-0005-0000-0000-000002190000}"/>
    <cellStyle name="Normal 5 2 4 3 3 2 2 2" xfId="16222" xr:uid="{0F4E7242-E5DD-4841-835E-6F4DADD22B09}"/>
    <cellStyle name="Normal 5 2 4 3 3 2 3" xfId="12004" xr:uid="{5D23AFE4-08AC-4236-A571-DBF1F121376A}"/>
    <cellStyle name="Normal 5 2 4 3 3 3" xfId="5635" xr:uid="{00000000-0005-0000-0000-000003190000}"/>
    <cellStyle name="Normal 5 2 4 3 3 3 2" xfId="14077" xr:uid="{F6DC1930-410A-4304-9B04-38EFEBA5C1B4}"/>
    <cellStyle name="Normal 5 2 4 3 3 4" xfId="9859" xr:uid="{9447BB08-0B25-4C78-B912-34667A026823}"/>
    <cellStyle name="Normal 5 2 4 3 4" xfId="1740" xr:uid="{00000000-0005-0000-0000-000004190000}"/>
    <cellStyle name="Normal 5 2 4 3 4 2" xfId="3970" xr:uid="{00000000-0005-0000-0000-000005190000}"/>
    <cellStyle name="Normal 5 2 4 3 4 2 2" xfId="8193" xr:uid="{00000000-0005-0000-0000-000006190000}"/>
    <cellStyle name="Normal 5 2 4 3 4 2 2 2" xfId="16635" xr:uid="{2E45D735-66B0-4205-B067-72E0843BF342}"/>
    <cellStyle name="Normal 5 2 4 3 4 2 3" xfId="12417" xr:uid="{A4617494-6564-47A2-98B9-32CE89FF4403}"/>
    <cellStyle name="Normal 5 2 4 3 4 3" xfId="6048" xr:uid="{00000000-0005-0000-0000-000007190000}"/>
    <cellStyle name="Normal 5 2 4 3 4 3 2" xfId="14490" xr:uid="{ED7D3037-2215-4FBD-A094-2CFC4CC34640}"/>
    <cellStyle name="Normal 5 2 4 3 4 4" xfId="10272" xr:uid="{24EABFC2-8515-4767-83D5-9263A8D1F09D}"/>
    <cellStyle name="Normal 5 2 4 3 5" xfId="2154" xr:uid="{00000000-0005-0000-0000-000008190000}"/>
    <cellStyle name="Normal 5 2 4 3 5 2" xfId="4383" xr:uid="{00000000-0005-0000-0000-000009190000}"/>
    <cellStyle name="Normal 5 2 4 3 5 2 2" xfId="8606" xr:uid="{00000000-0005-0000-0000-00000A190000}"/>
    <cellStyle name="Normal 5 2 4 3 5 2 2 2" xfId="17048" xr:uid="{ECB80782-0591-4EB1-838C-3BCD0534D8A4}"/>
    <cellStyle name="Normal 5 2 4 3 5 2 3" xfId="12830" xr:uid="{58801C30-BBC2-44EC-9B46-5484C7363BBB}"/>
    <cellStyle name="Normal 5 2 4 3 5 3" xfId="6461" xr:uid="{00000000-0005-0000-0000-00000B190000}"/>
    <cellStyle name="Normal 5 2 4 3 5 3 2" xfId="14903" xr:uid="{BDAF776A-D749-4CC6-9BB7-C88715C5347E}"/>
    <cellStyle name="Normal 5 2 4 3 5 4" xfId="10685" xr:uid="{FDA12E12-99B3-42EB-8E20-B6A5AE5DC0C0}"/>
    <cellStyle name="Normal 5 2 4 3 6" xfId="2590" xr:uid="{00000000-0005-0000-0000-00000C190000}"/>
    <cellStyle name="Normal 5 2 4 3 6 2" xfId="6874" xr:uid="{00000000-0005-0000-0000-00000D190000}"/>
    <cellStyle name="Normal 5 2 4 3 6 2 2" xfId="15316" xr:uid="{618892D8-DCE5-44B2-AA17-11812EC4D317}"/>
    <cellStyle name="Normal 5 2 4 3 6 3" xfId="11098" xr:uid="{D210BE35-F31C-4C24-86D6-9CA273779F07}"/>
    <cellStyle name="Normal 5 2 4 3 7" xfId="4809" xr:uid="{00000000-0005-0000-0000-00000E190000}"/>
    <cellStyle name="Normal 5 2 4 3 7 2" xfId="13251" xr:uid="{730C9F9E-BB08-4127-A844-452D7B112379}"/>
    <cellStyle name="Normal 5 2 4 3 8" xfId="9033" xr:uid="{98B2E6B9-BFCF-448F-8C0A-014F0673B90D}"/>
    <cellStyle name="Normal 5 2 4 4" xfId="906" xr:uid="{00000000-0005-0000-0000-00000F190000}"/>
    <cellStyle name="Normal 5 2 4 4 2" xfId="3141" xr:uid="{00000000-0005-0000-0000-000010190000}"/>
    <cellStyle name="Normal 5 2 4 4 2 2" xfId="7364" xr:uid="{00000000-0005-0000-0000-000011190000}"/>
    <cellStyle name="Normal 5 2 4 4 2 2 2" xfId="15806" xr:uid="{21D74420-3B93-4ED8-BE36-4376A71592C3}"/>
    <cellStyle name="Normal 5 2 4 4 2 3" xfId="11588" xr:uid="{8028873A-20EB-4908-BFDD-806B77C9E2BB}"/>
    <cellStyle name="Normal 5 2 4 4 3" xfId="5219" xr:uid="{00000000-0005-0000-0000-000012190000}"/>
    <cellStyle name="Normal 5 2 4 4 3 2" xfId="13661" xr:uid="{36C16AA1-8FF6-4A30-8F8A-4F97FB19D08A}"/>
    <cellStyle name="Normal 5 2 4 4 4" xfId="9443" xr:uid="{DFDCA39E-16DE-4D16-8F1C-0CD2C7117D23}"/>
    <cellStyle name="Normal 5 2 4 5" xfId="1324" xr:uid="{00000000-0005-0000-0000-000013190000}"/>
    <cellStyle name="Normal 5 2 4 5 2" xfId="3554" xr:uid="{00000000-0005-0000-0000-000014190000}"/>
    <cellStyle name="Normal 5 2 4 5 2 2" xfId="7777" xr:uid="{00000000-0005-0000-0000-000015190000}"/>
    <cellStyle name="Normal 5 2 4 5 2 2 2" xfId="16219" xr:uid="{2E098711-439D-486B-9C4C-19205E380E92}"/>
    <cellStyle name="Normal 5 2 4 5 2 3" xfId="12001" xr:uid="{ED586E95-9DB8-4D9D-86DF-A3CFEC6CC410}"/>
    <cellStyle name="Normal 5 2 4 5 3" xfId="5632" xr:uid="{00000000-0005-0000-0000-000016190000}"/>
    <cellStyle name="Normal 5 2 4 5 3 2" xfId="14074" xr:uid="{A4FEFAC6-6C79-4657-A44C-6831346B56F1}"/>
    <cellStyle name="Normal 5 2 4 5 4" xfId="9856" xr:uid="{9377D52F-C10E-4AC4-8FC9-AC3A07C18B23}"/>
    <cellStyle name="Normal 5 2 4 6" xfId="1737" xr:uid="{00000000-0005-0000-0000-000017190000}"/>
    <cellStyle name="Normal 5 2 4 6 2" xfId="3967" xr:uid="{00000000-0005-0000-0000-000018190000}"/>
    <cellStyle name="Normal 5 2 4 6 2 2" xfId="8190" xr:uid="{00000000-0005-0000-0000-000019190000}"/>
    <cellStyle name="Normal 5 2 4 6 2 2 2" xfId="16632" xr:uid="{A53E9272-977D-4CA1-B3D4-D7DA1DA30B72}"/>
    <cellStyle name="Normal 5 2 4 6 2 3" xfId="12414" xr:uid="{1EE13DE1-D852-4A35-9ED9-4EB4E7C54C27}"/>
    <cellStyle name="Normal 5 2 4 6 3" xfId="6045" xr:uid="{00000000-0005-0000-0000-00001A190000}"/>
    <cellStyle name="Normal 5 2 4 6 3 2" xfId="14487" xr:uid="{5EE8B6A3-B8C8-4E8C-92EE-C00CE794B26F}"/>
    <cellStyle name="Normal 5 2 4 6 4" xfId="10269" xr:uid="{67251566-4DEA-4D1E-92AB-5102CE71ED36}"/>
    <cellStyle name="Normal 5 2 4 7" xfId="2151" xr:uid="{00000000-0005-0000-0000-00001B190000}"/>
    <cellStyle name="Normal 5 2 4 7 2" xfId="4380" xr:uid="{00000000-0005-0000-0000-00001C190000}"/>
    <cellStyle name="Normal 5 2 4 7 2 2" xfId="8603" xr:uid="{00000000-0005-0000-0000-00001D190000}"/>
    <cellStyle name="Normal 5 2 4 7 2 2 2" xfId="17045" xr:uid="{A5BB03E0-100A-45CA-B674-9140B19514C7}"/>
    <cellStyle name="Normal 5 2 4 7 2 3" xfId="12827" xr:uid="{323C3849-A0FA-4334-9D1C-9CF2B7379C47}"/>
    <cellStyle name="Normal 5 2 4 7 3" xfId="6458" xr:uid="{00000000-0005-0000-0000-00001E190000}"/>
    <cellStyle name="Normal 5 2 4 7 3 2" xfId="14900" xr:uid="{433EC08B-F4AC-49C0-AC15-CDA3976996FB}"/>
    <cellStyle name="Normal 5 2 4 7 4" xfId="10682" xr:uid="{98320B55-E9EB-424E-A1CD-B665727D8E51}"/>
    <cellStyle name="Normal 5 2 4 8" xfId="2587" xr:uid="{00000000-0005-0000-0000-00001F190000}"/>
    <cellStyle name="Normal 5 2 4 8 2" xfId="6871" xr:uid="{00000000-0005-0000-0000-000020190000}"/>
    <cellStyle name="Normal 5 2 4 8 2 2" xfId="15313" xr:uid="{5E9B8CAD-8FDF-4AD3-929B-B06D10948BB7}"/>
    <cellStyle name="Normal 5 2 4 8 3" xfId="11095" xr:uid="{B5AA3DA7-5226-4391-85F0-6EB1DED89515}"/>
    <cellStyle name="Normal 5 2 4 9" xfId="4806" xr:uid="{00000000-0005-0000-0000-000021190000}"/>
    <cellStyle name="Normal 5 2 4 9 2" xfId="13248" xr:uid="{66CB40CB-045A-4FCF-A74B-73FD00609D4E}"/>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15811" xr:uid="{3E0EBC36-6CDA-4A3E-9943-9AD70D306346}"/>
    <cellStyle name="Normal 5 2 5 2 2 2 3" xfId="11593" xr:uid="{D7B7DF83-C540-4BBA-8FA4-3001D0E3899D}"/>
    <cellStyle name="Normal 5 2 5 2 2 3" xfId="5224" xr:uid="{00000000-0005-0000-0000-000027190000}"/>
    <cellStyle name="Normal 5 2 5 2 2 3 2" xfId="13666" xr:uid="{3F37E873-FA82-465E-BB02-DAFC87E32ED5}"/>
    <cellStyle name="Normal 5 2 5 2 2 4" xfId="9448" xr:uid="{3E2CEBC0-0F04-4009-B875-0972B24662B5}"/>
    <cellStyle name="Normal 5 2 5 2 3" xfId="1329" xr:uid="{00000000-0005-0000-0000-000028190000}"/>
    <cellStyle name="Normal 5 2 5 2 3 2" xfId="3559" xr:uid="{00000000-0005-0000-0000-000029190000}"/>
    <cellStyle name="Normal 5 2 5 2 3 2 2" xfId="7782" xr:uid="{00000000-0005-0000-0000-00002A190000}"/>
    <cellStyle name="Normal 5 2 5 2 3 2 2 2" xfId="16224" xr:uid="{73E0E8B9-F609-4673-B8AD-DF967C88CAFE}"/>
    <cellStyle name="Normal 5 2 5 2 3 2 3" xfId="12006" xr:uid="{6AD14C92-BC8E-4569-81C3-016856A1EA83}"/>
    <cellStyle name="Normal 5 2 5 2 3 3" xfId="5637" xr:uid="{00000000-0005-0000-0000-00002B190000}"/>
    <cellStyle name="Normal 5 2 5 2 3 3 2" xfId="14079" xr:uid="{9DCE7ED0-8EC8-4A14-AF57-91CE3329655B}"/>
    <cellStyle name="Normal 5 2 5 2 3 4" xfId="9861" xr:uid="{94E6C177-B742-45FD-8CC4-801DA604BDFE}"/>
    <cellStyle name="Normal 5 2 5 2 4" xfId="1742" xr:uid="{00000000-0005-0000-0000-00002C190000}"/>
    <cellStyle name="Normal 5 2 5 2 4 2" xfId="3972" xr:uid="{00000000-0005-0000-0000-00002D190000}"/>
    <cellStyle name="Normal 5 2 5 2 4 2 2" xfId="8195" xr:uid="{00000000-0005-0000-0000-00002E190000}"/>
    <cellStyle name="Normal 5 2 5 2 4 2 2 2" xfId="16637" xr:uid="{0800484A-FB0E-416E-9086-23C60C891A1E}"/>
    <cellStyle name="Normal 5 2 5 2 4 2 3" xfId="12419" xr:uid="{B543E4D1-65D3-4A30-8527-814F2084B0BA}"/>
    <cellStyle name="Normal 5 2 5 2 4 3" xfId="6050" xr:uid="{00000000-0005-0000-0000-00002F190000}"/>
    <cellStyle name="Normal 5 2 5 2 4 3 2" xfId="14492" xr:uid="{938B2F0B-EC0E-435F-8614-BCBBFFCE4899}"/>
    <cellStyle name="Normal 5 2 5 2 4 4" xfId="10274" xr:uid="{F9B765F2-CCCE-4475-B57B-29B78058A47A}"/>
    <cellStyle name="Normal 5 2 5 2 5" xfId="2156" xr:uid="{00000000-0005-0000-0000-000030190000}"/>
    <cellStyle name="Normal 5 2 5 2 5 2" xfId="4385" xr:uid="{00000000-0005-0000-0000-000031190000}"/>
    <cellStyle name="Normal 5 2 5 2 5 2 2" xfId="8608" xr:uid="{00000000-0005-0000-0000-000032190000}"/>
    <cellStyle name="Normal 5 2 5 2 5 2 2 2" xfId="17050" xr:uid="{79C271FD-567A-4110-93C2-CDAA8C0CF865}"/>
    <cellStyle name="Normal 5 2 5 2 5 2 3" xfId="12832" xr:uid="{94254A3A-4188-472D-9569-3617475109C3}"/>
    <cellStyle name="Normal 5 2 5 2 5 3" xfId="6463" xr:uid="{00000000-0005-0000-0000-000033190000}"/>
    <cellStyle name="Normal 5 2 5 2 5 3 2" xfId="14905" xr:uid="{41ADAB85-B999-4D72-A283-02DB552741E2}"/>
    <cellStyle name="Normal 5 2 5 2 5 4" xfId="10687" xr:uid="{4549E334-329A-4E94-B8F5-30F4ADF92A5E}"/>
    <cellStyle name="Normal 5 2 5 2 6" xfId="2592" xr:uid="{00000000-0005-0000-0000-000034190000}"/>
    <cellStyle name="Normal 5 2 5 2 6 2" xfId="6876" xr:uid="{00000000-0005-0000-0000-000035190000}"/>
    <cellStyle name="Normal 5 2 5 2 6 2 2" xfId="15318" xr:uid="{70D2E306-9A14-4443-9D52-F807F9F2A21B}"/>
    <cellStyle name="Normal 5 2 5 2 6 3" xfId="11100" xr:uid="{AD3C84D1-B785-43F0-A40D-34D7FF8D8FE6}"/>
    <cellStyle name="Normal 5 2 5 2 7" xfId="4811" xr:uid="{00000000-0005-0000-0000-000036190000}"/>
    <cellStyle name="Normal 5 2 5 2 7 2" xfId="13253" xr:uid="{5CA09AD4-20E0-4443-9C46-0CBD698C09DB}"/>
    <cellStyle name="Normal 5 2 5 2 8" xfId="9035" xr:uid="{D98F37DD-0BA9-4F70-840B-FE3DB52E2496}"/>
    <cellStyle name="Normal 5 2 5 3" xfId="910" xr:uid="{00000000-0005-0000-0000-000037190000}"/>
    <cellStyle name="Normal 5 2 5 3 2" xfId="3145" xr:uid="{00000000-0005-0000-0000-000038190000}"/>
    <cellStyle name="Normal 5 2 5 3 2 2" xfId="7368" xr:uid="{00000000-0005-0000-0000-000039190000}"/>
    <cellStyle name="Normal 5 2 5 3 2 2 2" xfId="15810" xr:uid="{F67BD8FD-B540-4B9E-9D76-B591DB37C18D}"/>
    <cellStyle name="Normal 5 2 5 3 2 3" xfId="11592" xr:uid="{AEF18F7F-9C85-4945-8C77-6C7F683A5D16}"/>
    <cellStyle name="Normal 5 2 5 3 3" xfId="5223" xr:uid="{00000000-0005-0000-0000-00003A190000}"/>
    <cellStyle name="Normal 5 2 5 3 3 2" xfId="13665" xr:uid="{CFC2318E-18C3-48AC-A6D0-DE2FE5B073B3}"/>
    <cellStyle name="Normal 5 2 5 3 4" xfId="9447" xr:uid="{A6BF44FD-3F3D-4A63-A222-D0974B8D2AE9}"/>
    <cellStyle name="Normal 5 2 5 4" xfId="1328" xr:uid="{00000000-0005-0000-0000-00003B190000}"/>
    <cellStyle name="Normal 5 2 5 4 2" xfId="3558" xr:uid="{00000000-0005-0000-0000-00003C190000}"/>
    <cellStyle name="Normal 5 2 5 4 2 2" xfId="7781" xr:uid="{00000000-0005-0000-0000-00003D190000}"/>
    <cellStyle name="Normal 5 2 5 4 2 2 2" xfId="16223" xr:uid="{49AF4AF0-824B-42BD-AEBC-236F80E35A08}"/>
    <cellStyle name="Normal 5 2 5 4 2 3" xfId="12005" xr:uid="{C2720A06-AA0D-4689-AC34-0123F6AC40AE}"/>
    <cellStyle name="Normal 5 2 5 4 3" xfId="5636" xr:uid="{00000000-0005-0000-0000-00003E190000}"/>
    <cellStyle name="Normal 5 2 5 4 3 2" xfId="14078" xr:uid="{2551C1EF-A31D-47B8-9A74-D429DB79366F}"/>
    <cellStyle name="Normal 5 2 5 4 4" xfId="9860" xr:uid="{0E34D504-FB95-4DB9-B57B-2A145D111CCC}"/>
    <cellStyle name="Normal 5 2 5 5" xfId="1741" xr:uid="{00000000-0005-0000-0000-00003F190000}"/>
    <cellStyle name="Normal 5 2 5 5 2" xfId="3971" xr:uid="{00000000-0005-0000-0000-000040190000}"/>
    <cellStyle name="Normal 5 2 5 5 2 2" xfId="8194" xr:uid="{00000000-0005-0000-0000-000041190000}"/>
    <cellStyle name="Normal 5 2 5 5 2 2 2" xfId="16636" xr:uid="{9E756931-9766-4324-9CD7-5595BFBABD65}"/>
    <cellStyle name="Normal 5 2 5 5 2 3" xfId="12418" xr:uid="{D0682E5F-E80F-4A25-A8E2-1F6C3730CB7C}"/>
    <cellStyle name="Normal 5 2 5 5 3" xfId="6049" xr:uid="{00000000-0005-0000-0000-000042190000}"/>
    <cellStyle name="Normal 5 2 5 5 3 2" xfId="14491" xr:uid="{CE78B79E-8483-42CC-ABBF-DDD3EDA2CC39}"/>
    <cellStyle name="Normal 5 2 5 5 4" xfId="10273" xr:uid="{0998F959-6494-4E4D-B645-8367A3F69251}"/>
    <cellStyle name="Normal 5 2 5 6" xfId="2155" xr:uid="{00000000-0005-0000-0000-000043190000}"/>
    <cellStyle name="Normal 5 2 5 6 2" xfId="4384" xr:uid="{00000000-0005-0000-0000-000044190000}"/>
    <cellStyle name="Normal 5 2 5 6 2 2" xfId="8607" xr:uid="{00000000-0005-0000-0000-000045190000}"/>
    <cellStyle name="Normal 5 2 5 6 2 2 2" xfId="17049" xr:uid="{60A1BC1A-1BDF-4D43-89DD-E50CCAB61A17}"/>
    <cellStyle name="Normal 5 2 5 6 2 3" xfId="12831" xr:uid="{088075EA-2365-477D-AE6B-6091EF70B959}"/>
    <cellStyle name="Normal 5 2 5 6 3" xfId="6462" xr:uid="{00000000-0005-0000-0000-000046190000}"/>
    <cellStyle name="Normal 5 2 5 6 3 2" xfId="14904" xr:uid="{094090A6-0ABC-455F-822B-68AE859271BA}"/>
    <cellStyle name="Normal 5 2 5 6 4" xfId="10686" xr:uid="{8EB0BFB0-CE4D-4F78-8225-2006F78E10C3}"/>
    <cellStyle name="Normal 5 2 5 7" xfId="2591" xr:uid="{00000000-0005-0000-0000-000047190000}"/>
    <cellStyle name="Normal 5 2 5 7 2" xfId="6875" xr:uid="{00000000-0005-0000-0000-000048190000}"/>
    <cellStyle name="Normal 5 2 5 7 2 2" xfId="15317" xr:uid="{D8B2D794-B3C3-4D19-8756-EDF03ACE4FAC}"/>
    <cellStyle name="Normal 5 2 5 7 3" xfId="11099" xr:uid="{59986EFD-6AAE-4EAC-ADFC-685C932F4E12}"/>
    <cellStyle name="Normal 5 2 5 8" xfId="4810" xr:uid="{00000000-0005-0000-0000-000049190000}"/>
    <cellStyle name="Normal 5 2 5 8 2" xfId="13252" xr:uid="{9C03A909-80FE-4166-A9E1-B93ED0576934}"/>
    <cellStyle name="Normal 5 2 5 9" xfId="9034" xr:uid="{6A3424B4-19BF-489B-9FD6-3D7E2625029D}"/>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2 2 2" xfId="15812" xr:uid="{AD5943A5-0D7C-4ECF-BB8D-FA36D27C9F31}"/>
    <cellStyle name="Normal 5 2 6 2 2 3" xfId="11594" xr:uid="{E3A54B87-AC11-4F77-8C12-9F14460FA185}"/>
    <cellStyle name="Normal 5 2 6 2 3" xfId="5225" xr:uid="{00000000-0005-0000-0000-00004E190000}"/>
    <cellStyle name="Normal 5 2 6 2 3 2" xfId="13667" xr:uid="{BC0BFB8A-381D-400F-9AEA-21B9044712D6}"/>
    <cellStyle name="Normal 5 2 6 2 4" xfId="9449" xr:uid="{C4279921-6E88-4E20-B490-4A0BA9D78A3D}"/>
    <cellStyle name="Normal 5 2 6 3" xfId="1330" xr:uid="{00000000-0005-0000-0000-00004F190000}"/>
    <cellStyle name="Normal 5 2 6 3 2" xfId="3560" xr:uid="{00000000-0005-0000-0000-000050190000}"/>
    <cellStyle name="Normal 5 2 6 3 2 2" xfId="7783" xr:uid="{00000000-0005-0000-0000-000051190000}"/>
    <cellStyle name="Normal 5 2 6 3 2 2 2" xfId="16225" xr:uid="{B44DEB9D-532B-4CAE-8C4A-9A996A5017AB}"/>
    <cellStyle name="Normal 5 2 6 3 2 3" xfId="12007" xr:uid="{75EB57C6-9000-4908-BDE9-73EDB3D0B97F}"/>
    <cellStyle name="Normal 5 2 6 3 3" xfId="5638" xr:uid="{00000000-0005-0000-0000-000052190000}"/>
    <cellStyle name="Normal 5 2 6 3 3 2" xfId="14080" xr:uid="{566099BA-E4EA-4AC4-A276-3D6B2D22D7DA}"/>
    <cellStyle name="Normal 5 2 6 3 4" xfId="9862" xr:uid="{4AA78ABF-6643-44EF-9D54-1646936D2692}"/>
    <cellStyle name="Normal 5 2 6 4" xfId="1743" xr:uid="{00000000-0005-0000-0000-000053190000}"/>
    <cellStyle name="Normal 5 2 6 4 2" xfId="3973" xr:uid="{00000000-0005-0000-0000-000054190000}"/>
    <cellStyle name="Normal 5 2 6 4 2 2" xfId="8196" xr:uid="{00000000-0005-0000-0000-000055190000}"/>
    <cellStyle name="Normal 5 2 6 4 2 2 2" xfId="16638" xr:uid="{CF98E38B-ED43-4B5F-A47F-AF3CE0E5114D}"/>
    <cellStyle name="Normal 5 2 6 4 2 3" xfId="12420" xr:uid="{127D2833-3DC2-413F-BD6B-7CCAFCD4000D}"/>
    <cellStyle name="Normal 5 2 6 4 3" xfId="6051" xr:uid="{00000000-0005-0000-0000-000056190000}"/>
    <cellStyle name="Normal 5 2 6 4 3 2" xfId="14493" xr:uid="{EB5DE2B6-9348-40F1-A54B-F7A64368CE8B}"/>
    <cellStyle name="Normal 5 2 6 4 4" xfId="10275" xr:uid="{C493353F-E881-41B8-9627-AC176ACB1DE8}"/>
    <cellStyle name="Normal 5 2 6 5" xfId="2157" xr:uid="{00000000-0005-0000-0000-000057190000}"/>
    <cellStyle name="Normal 5 2 6 5 2" xfId="4386" xr:uid="{00000000-0005-0000-0000-000058190000}"/>
    <cellStyle name="Normal 5 2 6 5 2 2" xfId="8609" xr:uid="{00000000-0005-0000-0000-000059190000}"/>
    <cellStyle name="Normal 5 2 6 5 2 2 2" xfId="17051" xr:uid="{6D76C884-8F88-444E-8A12-367F247BDA21}"/>
    <cellStyle name="Normal 5 2 6 5 2 3" xfId="12833" xr:uid="{65DF56E1-08C8-483F-8F98-D953B864F3FC}"/>
    <cellStyle name="Normal 5 2 6 5 3" xfId="6464" xr:uid="{00000000-0005-0000-0000-00005A190000}"/>
    <cellStyle name="Normal 5 2 6 5 3 2" xfId="14906" xr:uid="{56325630-D6EA-42FC-A91B-43CFACCE22DA}"/>
    <cellStyle name="Normal 5 2 6 5 4" xfId="10688" xr:uid="{AD625E68-4834-49D4-ACD4-E838B994F278}"/>
    <cellStyle name="Normal 5 2 6 6" xfId="2593" xr:uid="{00000000-0005-0000-0000-00005B190000}"/>
    <cellStyle name="Normal 5 2 6 6 2" xfId="6877" xr:uid="{00000000-0005-0000-0000-00005C190000}"/>
    <cellStyle name="Normal 5 2 6 6 2 2" xfId="15319" xr:uid="{B4B818F3-5B51-4FB1-A94A-B21710729996}"/>
    <cellStyle name="Normal 5 2 6 6 3" xfId="11101" xr:uid="{3CBBEDCF-DD88-4C6C-A2E2-4FC8E4F1E601}"/>
    <cellStyle name="Normal 5 2 6 7" xfId="4812" xr:uid="{00000000-0005-0000-0000-00005D190000}"/>
    <cellStyle name="Normal 5 2 6 7 2" xfId="13254" xr:uid="{A70898AF-14D3-4E20-875B-F1CDCF814DAA}"/>
    <cellStyle name="Normal 5 2 6 8" xfId="9036" xr:uid="{9372707F-9381-4F26-9734-FF3EA498148A}"/>
    <cellStyle name="Normal 5 2 7" xfId="881" xr:uid="{00000000-0005-0000-0000-00005E190000}"/>
    <cellStyle name="Normal 5 2 7 2" xfId="3116" xr:uid="{00000000-0005-0000-0000-00005F190000}"/>
    <cellStyle name="Normal 5 2 7 2 2" xfId="7339" xr:uid="{00000000-0005-0000-0000-000060190000}"/>
    <cellStyle name="Normal 5 2 7 2 2 2" xfId="15781" xr:uid="{D581C099-EBA9-4A56-A7A1-FA186156A3AF}"/>
    <cellStyle name="Normal 5 2 7 2 3" xfId="11563" xr:uid="{9C3F6D59-112B-4C8D-9B69-8FD7D44C968E}"/>
    <cellStyle name="Normal 5 2 7 3" xfId="5194" xr:uid="{00000000-0005-0000-0000-000061190000}"/>
    <cellStyle name="Normal 5 2 7 3 2" xfId="13636" xr:uid="{E8F561A3-2919-4D38-844A-6A70DE877D43}"/>
    <cellStyle name="Normal 5 2 7 4" xfId="9418" xr:uid="{91CD6722-7782-41A2-BF37-7667E616E29C}"/>
    <cellStyle name="Normal 5 2 8" xfId="1299" xr:uid="{00000000-0005-0000-0000-000062190000}"/>
    <cellStyle name="Normal 5 2 8 2" xfId="3529" xr:uid="{00000000-0005-0000-0000-000063190000}"/>
    <cellStyle name="Normal 5 2 8 2 2" xfId="7752" xr:uid="{00000000-0005-0000-0000-000064190000}"/>
    <cellStyle name="Normal 5 2 8 2 2 2" xfId="16194" xr:uid="{0FEA8C34-E763-4BDB-B2BB-ACEA0AB0412B}"/>
    <cellStyle name="Normal 5 2 8 2 3" xfId="11976" xr:uid="{6960BA5B-6D25-43A9-A53C-7894B7D77B26}"/>
    <cellStyle name="Normal 5 2 8 3" xfId="5607" xr:uid="{00000000-0005-0000-0000-000065190000}"/>
    <cellStyle name="Normal 5 2 8 3 2" xfId="14049" xr:uid="{472D3AEB-7232-492A-89EC-338A9A890FF0}"/>
    <cellStyle name="Normal 5 2 8 4" xfId="9831" xr:uid="{D65EBF97-48B9-480F-A833-194A5E501418}"/>
    <cellStyle name="Normal 5 2 9" xfId="1712" xr:uid="{00000000-0005-0000-0000-000066190000}"/>
    <cellStyle name="Normal 5 2 9 2" xfId="3942" xr:uid="{00000000-0005-0000-0000-000067190000}"/>
    <cellStyle name="Normal 5 2 9 2 2" xfId="8165" xr:uid="{00000000-0005-0000-0000-000068190000}"/>
    <cellStyle name="Normal 5 2 9 2 2 2" xfId="16607" xr:uid="{7D27CA67-4FDF-48DD-8BB7-855D5574DE8A}"/>
    <cellStyle name="Normal 5 2 9 2 3" xfId="12389" xr:uid="{9B281FEC-326F-4686-8050-F7E4396A78C1}"/>
    <cellStyle name="Normal 5 2 9 3" xfId="6020" xr:uid="{00000000-0005-0000-0000-000069190000}"/>
    <cellStyle name="Normal 5 2 9 3 2" xfId="14462" xr:uid="{70B1C85B-D65D-47B2-80CA-5CC4416BA085}"/>
    <cellStyle name="Normal 5 2 9 4" xfId="10244" xr:uid="{D7608807-1C56-4EC1-953D-5E3B90D5D65F}"/>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2 2 2" xfId="17052" xr:uid="{67899BF2-CAD3-469B-B002-9C3891DABC60}"/>
    <cellStyle name="Normal 5 3 10 2 3" xfId="12834" xr:uid="{6A833DFE-51C6-478D-9A3D-FDB26F153893}"/>
    <cellStyle name="Normal 5 3 10 3" xfId="6465" xr:uid="{00000000-0005-0000-0000-00006E190000}"/>
    <cellStyle name="Normal 5 3 10 3 2" xfId="14907" xr:uid="{2507D5D3-EF16-4E89-B485-725755CE3381}"/>
    <cellStyle name="Normal 5 3 10 4" xfId="10689" xr:uid="{E9433A74-F263-4338-ADAC-43E0BB207EAF}"/>
    <cellStyle name="Normal 5 3 11" xfId="2594" xr:uid="{00000000-0005-0000-0000-00006F190000}"/>
    <cellStyle name="Normal 5 3 11 2" xfId="6878" xr:uid="{00000000-0005-0000-0000-000070190000}"/>
    <cellStyle name="Normal 5 3 11 2 2" xfId="15320" xr:uid="{C5A7A8B8-53EE-4C7F-AE0D-7A05BCC940CD}"/>
    <cellStyle name="Normal 5 3 11 3" xfId="11102" xr:uid="{7FF15E18-F422-4914-9083-2BA0F10A14A9}"/>
    <cellStyle name="Normal 5 3 12" xfId="4813" xr:uid="{00000000-0005-0000-0000-000071190000}"/>
    <cellStyle name="Normal 5 3 12 2" xfId="13255" xr:uid="{9A9394A2-D95A-408F-AB71-ABCE7840F230}"/>
    <cellStyle name="Normal 5 3 13" xfId="9037" xr:uid="{F875659F-CB93-4176-A006-50E419D8A192}"/>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0 2" xfId="13256" xr:uid="{C1162420-86E5-4170-A1A1-45E1BBA5D051}"/>
    <cellStyle name="Normal 5 3 3 11" xfId="9038" xr:uid="{419EEB61-D6B6-4D86-B9E9-1E4DCAE5BFA1}"/>
    <cellStyle name="Normal 5 3 3 2" xfId="442" xr:uid="{00000000-0005-0000-0000-000076190000}"/>
    <cellStyle name="Normal 5 3 3 2 10" xfId="9039" xr:uid="{790630C6-DEFD-4376-BBDB-EA865CE9AA04}"/>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15817" xr:uid="{EAD859B4-BB76-4C25-9009-337BDDD0C542}"/>
    <cellStyle name="Normal 5 3 3 2 2 2 2 2 3" xfId="11599" xr:uid="{76339F09-CC2A-497E-A389-D3C2B29B7860}"/>
    <cellStyle name="Normal 5 3 3 2 2 2 2 3" xfId="5230" xr:uid="{00000000-0005-0000-0000-00007C190000}"/>
    <cellStyle name="Normal 5 3 3 2 2 2 2 3 2" xfId="13672" xr:uid="{392108AC-6003-4195-B6ED-4BE712391665}"/>
    <cellStyle name="Normal 5 3 3 2 2 2 2 4" xfId="9454" xr:uid="{ADCF0C9D-6A69-4EDD-BB30-33CD7FECCBD3}"/>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2 2" xfId="16230" xr:uid="{A1B8294A-04D2-4CC2-A527-8FD68EDC35DD}"/>
    <cellStyle name="Normal 5 3 3 2 2 2 3 2 3" xfId="12012" xr:uid="{BDD97D6E-5869-4E0C-A99F-5B4BEF360319}"/>
    <cellStyle name="Normal 5 3 3 2 2 2 3 3" xfId="5643" xr:uid="{00000000-0005-0000-0000-000080190000}"/>
    <cellStyle name="Normal 5 3 3 2 2 2 3 3 2" xfId="14085" xr:uid="{2E46B488-DD4C-4E49-86DA-C6498C6AE216}"/>
    <cellStyle name="Normal 5 3 3 2 2 2 3 4" xfId="9867" xr:uid="{F4538FDC-0D6C-495D-B507-7FB8B1639603}"/>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2 2 2" xfId="16643" xr:uid="{7E08FA56-06AF-4AFE-A34F-A2BF440D7F92}"/>
    <cellStyle name="Normal 5 3 3 2 2 2 4 2 3" xfId="12425" xr:uid="{BA7D27A9-E8DB-4CD8-8837-45B0308C160D}"/>
    <cellStyle name="Normal 5 3 3 2 2 2 4 3" xfId="6056" xr:uid="{00000000-0005-0000-0000-000084190000}"/>
    <cellStyle name="Normal 5 3 3 2 2 2 4 3 2" xfId="14498" xr:uid="{884FBFEB-A4AF-4B9A-9E6F-7C084ED870D2}"/>
    <cellStyle name="Normal 5 3 3 2 2 2 4 4" xfId="10280" xr:uid="{4CB69853-59C4-4C79-8334-E552AB2B4B62}"/>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2 2 2" xfId="17056" xr:uid="{D0E17820-091F-4ECD-8EFD-070B17E20DA2}"/>
    <cellStyle name="Normal 5 3 3 2 2 2 5 2 3" xfId="12838" xr:uid="{8954BFB2-928F-4E08-9C82-1BB9127C5844}"/>
    <cellStyle name="Normal 5 3 3 2 2 2 5 3" xfId="6469" xr:uid="{00000000-0005-0000-0000-000088190000}"/>
    <cellStyle name="Normal 5 3 3 2 2 2 5 3 2" xfId="14911" xr:uid="{33FB59DE-2A0E-44A3-AB1F-D159B40F185A}"/>
    <cellStyle name="Normal 5 3 3 2 2 2 5 4" xfId="10693" xr:uid="{56E51614-507D-46BF-9EB0-B5359DC43BBC}"/>
    <cellStyle name="Normal 5 3 3 2 2 2 6" xfId="2598" xr:uid="{00000000-0005-0000-0000-000089190000}"/>
    <cellStyle name="Normal 5 3 3 2 2 2 6 2" xfId="6882" xr:uid="{00000000-0005-0000-0000-00008A190000}"/>
    <cellStyle name="Normal 5 3 3 2 2 2 6 2 2" xfId="15324" xr:uid="{04EAFAF2-69CA-4C2E-919D-615BA3764B58}"/>
    <cellStyle name="Normal 5 3 3 2 2 2 6 3" xfId="11106" xr:uid="{5C7A2AE7-B45B-495D-9B53-F9F0DA241785}"/>
    <cellStyle name="Normal 5 3 3 2 2 2 7" xfId="4817" xr:uid="{00000000-0005-0000-0000-00008B190000}"/>
    <cellStyle name="Normal 5 3 3 2 2 2 7 2" xfId="13259" xr:uid="{506D191E-7359-4E45-9AF7-AE2893902375}"/>
    <cellStyle name="Normal 5 3 3 2 2 2 8" xfId="9041" xr:uid="{AA369D84-C1B0-49C1-902F-8297F846B8BB}"/>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15816" xr:uid="{75DA36CB-2DFD-415B-AD0E-09B5B240465E}"/>
    <cellStyle name="Normal 5 3 3 2 2 3 2 3" xfId="11598" xr:uid="{27E2F50B-5DEB-456C-8362-68D01A078E76}"/>
    <cellStyle name="Normal 5 3 3 2 2 3 3" xfId="5229" xr:uid="{00000000-0005-0000-0000-00008F190000}"/>
    <cellStyle name="Normal 5 3 3 2 2 3 3 2" xfId="13671" xr:uid="{84069400-B730-4A8B-A9F4-77F2BED675F4}"/>
    <cellStyle name="Normal 5 3 3 2 2 3 4" xfId="9453" xr:uid="{60163548-77B5-4ECF-A83C-50F18EE84F8A}"/>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2 2" xfId="16229" xr:uid="{88A1214E-5921-4D43-8909-381D85AAA926}"/>
    <cellStyle name="Normal 5 3 3 2 2 4 2 3" xfId="12011" xr:uid="{FD9B7247-BC2E-4F4B-A9EF-AAFE4EA55B02}"/>
    <cellStyle name="Normal 5 3 3 2 2 4 3" xfId="5642" xr:uid="{00000000-0005-0000-0000-000093190000}"/>
    <cellStyle name="Normal 5 3 3 2 2 4 3 2" xfId="14084" xr:uid="{138357D8-E40B-4344-AADC-7E074DE4322D}"/>
    <cellStyle name="Normal 5 3 3 2 2 4 4" xfId="9866" xr:uid="{52A63CEF-0833-4E1B-B381-2F8EA80E02D7}"/>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2 2 2" xfId="16642" xr:uid="{3E436B63-7C26-4CC3-BEDC-A12163455479}"/>
    <cellStyle name="Normal 5 3 3 2 2 5 2 3" xfId="12424" xr:uid="{4DBA0D05-9239-4A86-BA32-8C375A39618E}"/>
    <cellStyle name="Normal 5 3 3 2 2 5 3" xfId="6055" xr:uid="{00000000-0005-0000-0000-000097190000}"/>
    <cellStyle name="Normal 5 3 3 2 2 5 3 2" xfId="14497" xr:uid="{54A01ABE-9054-461B-BE22-0F693B15B309}"/>
    <cellStyle name="Normal 5 3 3 2 2 5 4" xfId="10279" xr:uid="{1060443C-272B-403D-8466-2C2D363CBF86}"/>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2 2 2" xfId="17055" xr:uid="{EFA68D16-EC2E-46EE-8B46-8EF3C288CA60}"/>
    <cellStyle name="Normal 5 3 3 2 2 6 2 3" xfId="12837" xr:uid="{5B49EB3C-ACB2-49EC-BCB7-3296234EF99F}"/>
    <cellStyle name="Normal 5 3 3 2 2 6 3" xfId="6468" xr:uid="{00000000-0005-0000-0000-00009B190000}"/>
    <cellStyle name="Normal 5 3 3 2 2 6 3 2" xfId="14910" xr:uid="{E3B014A1-3A8B-434E-B08C-7B1390DFE0C1}"/>
    <cellStyle name="Normal 5 3 3 2 2 6 4" xfId="10692" xr:uid="{6892F966-9883-46A5-9650-72AAA87BE511}"/>
    <cellStyle name="Normal 5 3 3 2 2 7" xfId="2597" xr:uid="{00000000-0005-0000-0000-00009C190000}"/>
    <cellStyle name="Normal 5 3 3 2 2 7 2" xfId="6881" xr:uid="{00000000-0005-0000-0000-00009D190000}"/>
    <cellStyle name="Normal 5 3 3 2 2 7 2 2" xfId="15323" xr:uid="{D6A8036F-C142-4875-B825-6DBF2CB2764D}"/>
    <cellStyle name="Normal 5 3 3 2 2 7 3" xfId="11105" xr:uid="{51BBDD2F-95DB-436D-93FD-2F261A8D7963}"/>
    <cellStyle name="Normal 5 3 3 2 2 8" xfId="4816" xr:uid="{00000000-0005-0000-0000-00009E190000}"/>
    <cellStyle name="Normal 5 3 3 2 2 8 2" xfId="13258" xr:uid="{41DA0967-5AE4-4D63-8A8E-2CDC666422C7}"/>
    <cellStyle name="Normal 5 3 3 2 2 9" xfId="9040" xr:uid="{B96B2B06-5BB1-4EEA-9D2E-1D28E349E082}"/>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15818" xr:uid="{8C5C26C2-147C-477C-9418-F97B4BB1AF96}"/>
    <cellStyle name="Normal 5 3 3 2 3 2 2 3" xfId="11600" xr:uid="{BEB36E7C-851B-40DD-B2F3-717041B084CC}"/>
    <cellStyle name="Normal 5 3 3 2 3 2 3" xfId="5231" xr:uid="{00000000-0005-0000-0000-0000A3190000}"/>
    <cellStyle name="Normal 5 3 3 2 3 2 3 2" xfId="13673" xr:uid="{06000254-7382-481F-9931-FA3CA76B9BA0}"/>
    <cellStyle name="Normal 5 3 3 2 3 2 4" xfId="9455" xr:uid="{AF6DF939-2D78-4BA7-B464-DC51EE4024A3}"/>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2 2" xfId="16231" xr:uid="{929FA7D8-6D6C-4336-8F33-F3715B9DC2F9}"/>
    <cellStyle name="Normal 5 3 3 2 3 3 2 3" xfId="12013" xr:uid="{ED29CF50-42CF-4E7F-BD21-6EB6C84E8AE3}"/>
    <cellStyle name="Normal 5 3 3 2 3 3 3" xfId="5644" xr:uid="{00000000-0005-0000-0000-0000A7190000}"/>
    <cellStyle name="Normal 5 3 3 2 3 3 3 2" xfId="14086" xr:uid="{1FD6B3DE-CB26-4E8B-9E71-01174D3A485C}"/>
    <cellStyle name="Normal 5 3 3 2 3 3 4" xfId="9868" xr:uid="{A492740F-780B-4D7D-9371-7BE3F90B3487}"/>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2 2 2" xfId="16644" xr:uid="{2260E9FE-1C2C-4559-8864-B0E8D9E47C18}"/>
    <cellStyle name="Normal 5 3 3 2 3 4 2 3" xfId="12426" xr:uid="{E0572C29-B147-418B-BE78-A1AD79F035F7}"/>
    <cellStyle name="Normal 5 3 3 2 3 4 3" xfId="6057" xr:uid="{00000000-0005-0000-0000-0000AB190000}"/>
    <cellStyle name="Normal 5 3 3 2 3 4 3 2" xfId="14499" xr:uid="{E77A0A44-ECA0-4828-9042-E7B6C62C83DD}"/>
    <cellStyle name="Normal 5 3 3 2 3 4 4" xfId="10281" xr:uid="{219BC120-BC2A-421F-9EC9-04BA5629AB7C}"/>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2 2 2" xfId="17057" xr:uid="{C02A4D79-6CD9-4CEA-BFFC-01380490A934}"/>
    <cellStyle name="Normal 5 3 3 2 3 5 2 3" xfId="12839" xr:uid="{431E4917-623C-4D90-AE0C-5B665D74D58B}"/>
    <cellStyle name="Normal 5 3 3 2 3 5 3" xfId="6470" xr:uid="{00000000-0005-0000-0000-0000AF190000}"/>
    <cellStyle name="Normal 5 3 3 2 3 5 3 2" xfId="14912" xr:uid="{59E9FC15-E6C7-491D-B528-BDDA14502E6A}"/>
    <cellStyle name="Normal 5 3 3 2 3 5 4" xfId="10694" xr:uid="{73E60C81-4037-40A6-A92A-087E7F07C48B}"/>
    <cellStyle name="Normal 5 3 3 2 3 6" xfId="2599" xr:uid="{00000000-0005-0000-0000-0000B0190000}"/>
    <cellStyle name="Normal 5 3 3 2 3 6 2" xfId="6883" xr:uid="{00000000-0005-0000-0000-0000B1190000}"/>
    <cellStyle name="Normal 5 3 3 2 3 6 2 2" xfId="15325" xr:uid="{92668CCB-06DB-468F-A145-25EBBCB61845}"/>
    <cellStyle name="Normal 5 3 3 2 3 6 3" xfId="11107" xr:uid="{D4478DB3-F8E3-4DB5-9689-1BDC5025D590}"/>
    <cellStyle name="Normal 5 3 3 2 3 7" xfId="4818" xr:uid="{00000000-0005-0000-0000-0000B2190000}"/>
    <cellStyle name="Normal 5 3 3 2 3 7 2" xfId="13260" xr:uid="{E154B5D9-797F-49D1-A685-2596A2584056}"/>
    <cellStyle name="Normal 5 3 3 2 3 8" xfId="9042" xr:uid="{75844DED-10DA-4438-BC6A-719D813D92BC}"/>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15815" xr:uid="{6D8B6715-2D21-4A16-ABFF-46CAD38BBEC9}"/>
    <cellStyle name="Normal 5 3 3 2 4 2 3" xfId="11597" xr:uid="{39EA7786-0B51-40CB-A124-DBC62FF47020}"/>
    <cellStyle name="Normal 5 3 3 2 4 3" xfId="5228" xr:uid="{00000000-0005-0000-0000-0000B6190000}"/>
    <cellStyle name="Normal 5 3 3 2 4 3 2" xfId="13670" xr:uid="{EEAE075A-CD0E-4CD3-894E-D371C9BFDEAA}"/>
    <cellStyle name="Normal 5 3 3 2 4 4" xfId="9452" xr:uid="{F7B5F936-5FF6-4B90-9C25-1AA89E1BB956}"/>
    <cellStyle name="Normal 5 3 3 2 5" xfId="1333" xr:uid="{00000000-0005-0000-0000-0000B7190000}"/>
    <cellStyle name="Normal 5 3 3 2 5 2" xfId="3563" xr:uid="{00000000-0005-0000-0000-0000B8190000}"/>
    <cellStyle name="Normal 5 3 3 2 5 2 2" xfId="7786" xr:uid="{00000000-0005-0000-0000-0000B9190000}"/>
    <cellStyle name="Normal 5 3 3 2 5 2 2 2" xfId="16228" xr:uid="{B1A077CD-C041-4852-81D1-F03FA2887BF2}"/>
    <cellStyle name="Normal 5 3 3 2 5 2 3" xfId="12010" xr:uid="{DCD24724-BA7A-48D6-B7E7-6B236CC6341E}"/>
    <cellStyle name="Normal 5 3 3 2 5 3" xfId="5641" xr:uid="{00000000-0005-0000-0000-0000BA190000}"/>
    <cellStyle name="Normal 5 3 3 2 5 3 2" xfId="14083" xr:uid="{ABD490C7-4210-4BC7-8FE6-37AE8C320F1B}"/>
    <cellStyle name="Normal 5 3 3 2 5 4" xfId="9865" xr:uid="{357A5256-1E23-44A5-A2BD-F8DBFDD1B11B}"/>
    <cellStyle name="Normal 5 3 3 2 6" xfId="1746" xr:uid="{00000000-0005-0000-0000-0000BB190000}"/>
    <cellStyle name="Normal 5 3 3 2 6 2" xfId="3976" xr:uid="{00000000-0005-0000-0000-0000BC190000}"/>
    <cellStyle name="Normal 5 3 3 2 6 2 2" xfId="8199" xr:uid="{00000000-0005-0000-0000-0000BD190000}"/>
    <cellStyle name="Normal 5 3 3 2 6 2 2 2" xfId="16641" xr:uid="{4ECC2E71-7541-414C-8091-61B39899C862}"/>
    <cellStyle name="Normal 5 3 3 2 6 2 3" xfId="12423" xr:uid="{2D932205-1B63-4FEA-A421-C30DFCAF8981}"/>
    <cellStyle name="Normal 5 3 3 2 6 3" xfId="6054" xr:uid="{00000000-0005-0000-0000-0000BE190000}"/>
    <cellStyle name="Normal 5 3 3 2 6 3 2" xfId="14496" xr:uid="{E3D97835-651C-4C71-A179-1258A4EC680B}"/>
    <cellStyle name="Normal 5 3 3 2 6 4" xfId="10278" xr:uid="{EF8EB6A7-8597-4CDC-B7AB-9DFEC47589BC}"/>
    <cellStyle name="Normal 5 3 3 2 7" xfId="2160" xr:uid="{00000000-0005-0000-0000-0000BF190000}"/>
    <cellStyle name="Normal 5 3 3 2 7 2" xfId="4389" xr:uid="{00000000-0005-0000-0000-0000C0190000}"/>
    <cellStyle name="Normal 5 3 3 2 7 2 2" xfId="8612" xr:uid="{00000000-0005-0000-0000-0000C1190000}"/>
    <cellStyle name="Normal 5 3 3 2 7 2 2 2" xfId="17054" xr:uid="{EB67E1F9-5491-4BB7-9B6B-4AEBF9474293}"/>
    <cellStyle name="Normal 5 3 3 2 7 2 3" xfId="12836" xr:uid="{CFBDC7A5-B201-42BF-A77D-8D1326FD29B1}"/>
    <cellStyle name="Normal 5 3 3 2 7 3" xfId="6467" xr:uid="{00000000-0005-0000-0000-0000C2190000}"/>
    <cellStyle name="Normal 5 3 3 2 7 3 2" xfId="14909" xr:uid="{283E52A5-C4C6-45C5-8442-164F25AED380}"/>
    <cellStyle name="Normal 5 3 3 2 7 4" xfId="10691" xr:uid="{B95B7228-D7AB-4689-861D-02196AC0FCC1}"/>
    <cellStyle name="Normal 5 3 3 2 8" xfId="2596" xr:uid="{00000000-0005-0000-0000-0000C3190000}"/>
    <cellStyle name="Normal 5 3 3 2 8 2" xfId="6880" xr:uid="{00000000-0005-0000-0000-0000C4190000}"/>
    <cellStyle name="Normal 5 3 3 2 8 2 2" xfId="15322" xr:uid="{B11E039B-8A03-42F7-86DB-8F85FAAF1D5C}"/>
    <cellStyle name="Normal 5 3 3 2 8 3" xfId="11104" xr:uid="{F1BBCA7C-F83F-4944-8489-F6BF2E455D28}"/>
    <cellStyle name="Normal 5 3 3 2 9" xfId="4815" xr:uid="{00000000-0005-0000-0000-0000C5190000}"/>
    <cellStyle name="Normal 5 3 3 2 9 2" xfId="13257" xr:uid="{82A56561-8C98-425E-878F-BCFD6E6C8B16}"/>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15820" xr:uid="{908CF8CE-0E1B-4AF1-8301-929857579F1F}"/>
    <cellStyle name="Normal 5 3 3 3 2 2 2 3" xfId="11602" xr:uid="{388869E6-993A-430E-B91E-FC55262BC362}"/>
    <cellStyle name="Normal 5 3 3 3 2 2 3" xfId="5233" xr:uid="{00000000-0005-0000-0000-0000CB190000}"/>
    <cellStyle name="Normal 5 3 3 3 2 2 3 2" xfId="13675" xr:uid="{A13EFC74-69FF-43A7-B58D-300CE5CF2D3A}"/>
    <cellStyle name="Normal 5 3 3 3 2 2 4" xfId="9457" xr:uid="{2C091CB6-CAE5-42A4-BF93-BB052D39600A}"/>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2 2" xfId="16233" xr:uid="{33F08ACC-0750-44AD-883A-00671F824B65}"/>
    <cellStyle name="Normal 5 3 3 3 2 3 2 3" xfId="12015" xr:uid="{51CF8857-9ECC-452A-9755-259A112F47C8}"/>
    <cellStyle name="Normal 5 3 3 3 2 3 3" xfId="5646" xr:uid="{00000000-0005-0000-0000-0000CF190000}"/>
    <cellStyle name="Normal 5 3 3 3 2 3 3 2" xfId="14088" xr:uid="{FDEFCF7E-CE1E-4B27-8447-A833458376BB}"/>
    <cellStyle name="Normal 5 3 3 3 2 3 4" xfId="9870" xr:uid="{D5F2F523-8353-4FD9-9659-04B49B124385}"/>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2 2 2" xfId="16646" xr:uid="{1CA861AD-C252-458A-BB32-AF3C03182622}"/>
    <cellStyle name="Normal 5 3 3 3 2 4 2 3" xfId="12428" xr:uid="{39450A85-A814-4DC9-8D3F-5FC0A89617C4}"/>
    <cellStyle name="Normal 5 3 3 3 2 4 3" xfId="6059" xr:uid="{00000000-0005-0000-0000-0000D3190000}"/>
    <cellStyle name="Normal 5 3 3 3 2 4 3 2" xfId="14501" xr:uid="{1D4CE648-6BBB-43D6-ACC8-45B53A6EA53B}"/>
    <cellStyle name="Normal 5 3 3 3 2 4 4" xfId="10283" xr:uid="{5E97F27A-6391-4AAA-BFB2-AFD2B15994A3}"/>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2 2 2" xfId="17059" xr:uid="{C985C586-442D-4F88-901C-042702F64169}"/>
    <cellStyle name="Normal 5 3 3 3 2 5 2 3" xfId="12841" xr:uid="{A0AD5AA9-F8FC-4BB4-8DD9-20DC903E4599}"/>
    <cellStyle name="Normal 5 3 3 3 2 5 3" xfId="6472" xr:uid="{00000000-0005-0000-0000-0000D7190000}"/>
    <cellStyle name="Normal 5 3 3 3 2 5 3 2" xfId="14914" xr:uid="{807D5D4F-4405-4C22-AF89-818F275A8812}"/>
    <cellStyle name="Normal 5 3 3 3 2 5 4" xfId="10696" xr:uid="{C092B983-FE1B-46AF-9765-FE50CC9F718B}"/>
    <cellStyle name="Normal 5 3 3 3 2 6" xfId="2601" xr:uid="{00000000-0005-0000-0000-0000D8190000}"/>
    <cellStyle name="Normal 5 3 3 3 2 6 2" xfId="6885" xr:uid="{00000000-0005-0000-0000-0000D9190000}"/>
    <cellStyle name="Normal 5 3 3 3 2 6 2 2" xfId="15327" xr:uid="{BD371DEF-B040-4A72-B9EF-076C7BA076BA}"/>
    <cellStyle name="Normal 5 3 3 3 2 6 3" xfId="11109" xr:uid="{0F3B42E0-4B6D-4819-90DF-62EFAA55C90F}"/>
    <cellStyle name="Normal 5 3 3 3 2 7" xfId="4820" xr:uid="{00000000-0005-0000-0000-0000DA190000}"/>
    <cellStyle name="Normal 5 3 3 3 2 7 2" xfId="13262" xr:uid="{9A10F0EF-4FC4-46FB-90DC-B66275BACB08}"/>
    <cellStyle name="Normal 5 3 3 3 2 8" xfId="9044" xr:uid="{8765E1A9-94D5-4033-AB46-BFAF95A68E3F}"/>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15819" xr:uid="{A29415B2-1140-438F-A1EE-B5997347313B}"/>
    <cellStyle name="Normal 5 3 3 3 3 2 3" xfId="11601" xr:uid="{D61690E9-8ECF-4B03-A2C7-ECB6317A5C81}"/>
    <cellStyle name="Normal 5 3 3 3 3 3" xfId="5232" xr:uid="{00000000-0005-0000-0000-0000DE190000}"/>
    <cellStyle name="Normal 5 3 3 3 3 3 2" xfId="13674" xr:uid="{20EAA9E5-659D-460C-B7E0-60810BBE15A0}"/>
    <cellStyle name="Normal 5 3 3 3 3 4" xfId="9456" xr:uid="{8D807878-403C-4698-8346-DDD3D6921233}"/>
    <cellStyle name="Normal 5 3 3 3 4" xfId="1337" xr:uid="{00000000-0005-0000-0000-0000DF190000}"/>
    <cellStyle name="Normal 5 3 3 3 4 2" xfId="3567" xr:uid="{00000000-0005-0000-0000-0000E0190000}"/>
    <cellStyle name="Normal 5 3 3 3 4 2 2" xfId="7790" xr:uid="{00000000-0005-0000-0000-0000E1190000}"/>
    <cellStyle name="Normal 5 3 3 3 4 2 2 2" xfId="16232" xr:uid="{6A16DBA8-4583-4655-AAB7-A549558DB4C7}"/>
    <cellStyle name="Normal 5 3 3 3 4 2 3" xfId="12014" xr:uid="{5E048393-10B8-47EF-9A75-56115CB870CF}"/>
    <cellStyle name="Normal 5 3 3 3 4 3" xfId="5645" xr:uid="{00000000-0005-0000-0000-0000E2190000}"/>
    <cellStyle name="Normal 5 3 3 3 4 3 2" xfId="14087" xr:uid="{53AC7061-2F6F-42E4-87EB-0AA5FF3B781F}"/>
    <cellStyle name="Normal 5 3 3 3 4 4" xfId="9869" xr:uid="{14C3BCA9-1A88-4BE6-A81F-4A01F71C4D92}"/>
    <cellStyle name="Normal 5 3 3 3 5" xfId="1750" xr:uid="{00000000-0005-0000-0000-0000E3190000}"/>
    <cellStyle name="Normal 5 3 3 3 5 2" xfId="3980" xr:uid="{00000000-0005-0000-0000-0000E4190000}"/>
    <cellStyle name="Normal 5 3 3 3 5 2 2" xfId="8203" xr:uid="{00000000-0005-0000-0000-0000E5190000}"/>
    <cellStyle name="Normal 5 3 3 3 5 2 2 2" xfId="16645" xr:uid="{B33F808E-A517-4471-AA93-E48ED6B2C220}"/>
    <cellStyle name="Normal 5 3 3 3 5 2 3" xfId="12427" xr:uid="{109C3400-31C4-43D2-B25B-6AF62C3B0DD3}"/>
    <cellStyle name="Normal 5 3 3 3 5 3" xfId="6058" xr:uid="{00000000-0005-0000-0000-0000E6190000}"/>
    <cellStyle name="Normal 5 3 3 3 5 3 2" xfId="14500" xr:uid="{6A7FCE45-7641-4546-99F3-D56CC6C374B7}"/>
    <cellStyle name="Normal 5 3 3 3 5 4" xfId="10282" xr:uid="{48FE2F9F-C081-406C-A9BA-76F184F69579}"/>
    <cellStyle name="Normal 5 3 3 3 6" xfId="2164" xr:uid="{00000000-0005-0000-0000-0000E7190000}"/>
    <cellStyle name="Normal 5 3 3 3 6 2" xfId="4393" xr:uid="{00000000-0005-0000-0000-0000E8190000}"/>
    <cellStyle name="Normal 5 3 3 3 6 2 2" xfId="8616" xr:uid="{00000000-0005-0000-0000-0000E9190000}"/>
    <cellStyle name="Normal 5 3 3 3 6 2 2 2" xfId="17058" xr:uid="{FD6A932C-B03C-4FEE-8734-90AFBEC2593C}"/>
    <cellStyle name="Normal 5 3 3 3 6 2 3" xfId="12840" xr:uid="{F6F9F09C-BDE5-476F-BC47-7A7781699834}"/>
    <cellStyle name="Normal 5 3 3 3 6 3" xfId="6471" xr:uid="{00000000-0005-0000-0000-0000EA190000}"/>
    <cellStyle name="Normal 5 3 3 3 6 3 2" xfId="14913" xr:uid="{9414C001-4C6A-46B2-AEB0-91DE0924F2D0}"/>
    <cellStyle name="Normal 5 3 3 3 6 4" xfId="10695" xr:uid="{81D535F0-16AE-4AA8-8A1A-51FF9D999F7A}"/>
    <cellStyle name="Normal 5 3 3 3 7" xfId="2600" xr:uid="{00000000-0005-0000-0000-0000EB190000}"/>
    <cellStyle name="Normal 5 3 3 3 7 2" xfId="6884" xr:uid="{00000000-0005-0000-0000-0000EC190000}"/>
    <cellStyle name="Normal 5 3 3 3 7 2 2" xfId="15326" xr:uid="{619264E8-BC81-4B08-AC10-6844A49DCFEB}"/>
    <cellStyle name="Normal 5 3 3 3 7 3" xfId="11108" xr:uid="{E3103113-6788-4E5F-A7BC-95E4A905E6DD}"/>
    <cellStyle name="Normal 5 3 3 3 8" xfId="4819" xr:uid="{00000000-0005-0000-0000-0000ED190000}"/>
    <cellStyle name="Normal 5 3 3 3 8 2" xfId="13261" xr:uid="{40838019-FE74-4D43-95EB-6849D41BC3AA}"/>
    <cellStyle name="Normal 5 3 3 3 9" xfId="9043" xr:uid="{E0D73E07-16C3-403D-825B-F43266A72A51}"/>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15821" xr:uid="{043C632D-BEFA-4173-B072-2FEFD5498F88}"/>
    <cellStyle name="Normal 5 3 3 4 2 2 3" xfId="11603" xr:uid="{BB43B78F-0B0E-4347-9649-CCAB6AC96AC2}"/>
    <cellStyle name="Normal 5 3 3 4 2 3" xfId="5234" xr:uid="{00000000-0005-0000-0000-0000F2190000}"/>
    <cellStyle name="Normal 5 3 3 4 2 3 2" xfId="13676" xr:uid="{7B8E5DA9-D8E2-4342-94AE-18C3A61313B3}"/>
    <cellStyle name="Normal 5 3 3 4 2 4" xfId="9458" xr:uid="{7A97A67D-C927-4DE4-95EF-38F3C4ABB794}"/>
    <cellStyle name="Normal 5 3 3 4 3" xfId="1339" xr:uid="{00000000-0005-0000-0000-0000F3190000}"/>
    <cellStyle name="Normal 5 3 3 4 3 2" xfId="3569" xr:uid="{00000000-0005-0000-0000-0000F4190000}"/>
    <cellStyle name="Normal 5 3 3 4 3 2 2" xfId="7792" xr:uid="{00000000-0005-0000-0000-0000F5190000}"/>
    <cellStyle name="Normal 5 3 3 4 3 2 2 2" xfId="16234" xr:uid="{FD69D789-49E5-44D1-AA72-D5B8EA5D6C95}"/>
    <cellStyle name="Normal 5 3 3 4 3 2 3" xfId="12016" xr:uid="{0195FA16-02BD-4600-8784-DD5F470EF087}"/>
    <cellStyle name="Normal 5 3 3 4 3 3" xfId="5647" xr:uid="{00000000-0005-0000-0000-0000F6190000}"/>
    <cellStyle name="Normal 5 3 3 4 3 3 2" xfId="14089" xr:uid="{F322AAA9-9F73-4D52-B4CB-0777371E62BE}"/>
    <cellStyle name="Normal 5 3 3 4 3 4" xfId="9871" xr:uid="{1348D6D6-8513-4D4C-89F0-2D13CF9B6FA3}"/>
    <cellStyle name="Normal 5 3 3 4 4" xfId="1752" xr:uid="{00000000-0005-0000-0000-0000F7190000}"/>
    <cellStyle name="Normal 5 3 3 4 4 2" xfId="3982" xr:uid="{00000000-0005-0000-0000-0000F8190000}"/>
    <cellStyle name="Normal 5 3 3 4 4 2 2" xfId="8205" xr:uid="{00000000-0005-0000-0000-0000F9190000}"/>
    <cellStyle name="Normal 5 3 3 4 4 2 2 2" xfId="16647" xr:uid="{6F5E9194-A931-4242-9CD4-B1C95DA75609}"/>
    <cellStyle name="Normal 5 3 3 4 4 2 3" xfId="12429" xr:uid="{7AA77D70-2312-422D-819E-538E6B88DA09}"/>
    <cellStyle name="Normal 5 3 3 4 4 3" xfId="6060" xr:uid="{00000000-0005-0000-0000-0000FA190000}"/>
    <cellStyle name="Normal 5 3 3 4 4 3 2" xfId="14502" xr:uid="{145B8B9B-E9A2-43C6-88F6-F68909E16AC7}"/>
    <cellStyle name="Normal 5 3 3 4 4 4" xfId="10284" xr:uid="{88E93979-43C9-417B-A79D-4028AA075A22}"/>
    <cellStyle name="Normal 5 3 3 4 5" xfId="2166" xr:uid="{00000000-0005-0000-0000-0000FB190000}"/>
    <cellStyle name="Normal 5 3 3 4 5 2" xfId="4395" xr:uid="{00000000-0005-0000-0000-0000FC190000}"/>
    <cellStyle name="Normal 5 3 3 4 5 2 2" xfId="8618" xr:uid="{00000000-0005-0000-0000-0000FD190000}"/>
    <cellStyle name="Normal 5 3 3 4 5 2 2 2" xfId="17060" xr:uid="{F85C082A-05E4-4D2C-93BC-7CD9DBB5EB41}"/>
    <cellStyle name="Normal 5 3 3 4 5 2 3" xfId="12842" xr:uid="{6B124116-19EA-49FD-A010-1BBA0805624C}"/>
    <cellStyle name="Normal 5 3 3 4 5 3" xfId="6473" xr:uid="{00000000-0005-0000-0000-0000FE190000}"/>
    <cellStyle name="Normal 5 3 3 4 5 3 2" xfId="14915" xr:uid="{7C6C7BEB-018E-43AE-9526-E1649CED8FA1}"/>
    <cellStyle name="Normal 5 3 3 4 5 4" xfId="10697" xr:uid="{59444921-7E8C-4875-8229-6E51736A0E56}"/>
    <cellStyle name="Normal 5 3 3 4 6" xfId="2602" xr:uid="{00000000-0005-0000-0000-0000FF190000}"/>
    <cellStyle name="Normal 5 3 3 4 6 2" xfId="6886" xr:uid="{00000000-0005-0000-0000-0000001A0000}"/>
    <cellStyle name="Normal 5 3 3 4 6 2 2" xfId="15328" xr:uid="{B27FBA9C-F6E2-45D2-9F7D-D256FC2E36A9}"/>
    <cellStyle name="Normal 5 3 3 4 6 3" xfId="11110" xr:uid="{E36C864B-596D-4293-B4DD-81B8BC135C59}"/>
    <cellStyle name="Normal 5 3 3 4 7" xfId="4821" xr:uid="{00000000-0005-0000-0000-0000011A0000}"/>
    <cellStyle name="Normal 5 3 3 4 7 2" xfId="13263" xr:uid="{2747519F-B1C9-4EE9-B209-00D8F5C37D0E}"/>
    <cellStyle name="Normal 5 3 3 4 8" xfId="9045" xr:uid="{AE4F7CC6-CB88-43D8-9887-663057946A68}"/>
    <cellStyle name="Normal 5 3 3 5" xfId="915" xr:uid="{00000000-0005-0000-0000-0000021A0000}"/>
    <cellStyle name="Normal 5 3 3 5 2" xfId="3149" xr:uid="{00000000-0005-0000-0000-0000031A0000}"/>
    <cellStyle name="Normal 5 3 3 5 2 2" xfId="7372" xr:uid="{00000000-0005-0000-0000-0000041A0000}"/>
    <cellStyle name="Normal 5 3 3 5 2 2 2" xfId="15814" xr:uid="{44D3E51C-6E55-453A-9CA1-257550FA4C2F}"/>
    <cellStyle name="Normal 5 3 3 5 2 3" xfId="11596" xr:uid="{3A6EABF4-8595-4DA9-B724-C245A695AC3B}"/>
    <cellStyle name="Normal 5 3 3 5 3" xfId="5227" xr:uid="{00000000-0005-0000-0000-0000051A0000}"/>
    <cellStyle name="Normal 5 3 3 5 3 2" xfId="13669" xr:uid="{D209E500-F8C4-4F47-A262-5CB26158E489}"/>
    <cellStyle name="Normal 5 3 3 5 4" xfId="9451" xr:uid="{FD1EF0B2-3883-42C2-8E2F-2A6174923740}"/>
    <cellStyle name="Normal 5 3 3 6" xfId="1332" xr:uid="{00000000-0005-0000-0000-0000061A0000}"/>
    <cellStyle name="Normal 5 3 3 6 2" xfId="3562" xr:uid="{00000000-0005-0000-0000-0000071A0000}"/>
    <cellStyle name="Normal 5 3 3 6 2 2" xfId="7785" xr:uid="{00000000-0005-0000-0000-0000081A0000}"/>
    <cellStyle name="Normal 5 3 3 6 2 2 2" xfId="16227" xr:uid="{66B55650-B62B-42D4-9CFB-E13EC62CC944}"/>
    <cellStyle name="Normal 5 3 3 6 2 3" xfId="12009" xr:uid="{328C6AEF-6537-4D2C-B5EF-2807D8D02FD6}"/>
    <cellStyle name="Normal 5 3 3 6 3" xfId="5640" xr:uid="{00000000-0005-0000-0000-0000091A0000}"/>
    <cellStyle name="Normal 5 3 3 6 3 2" xfId="14082" xr:uid="{3784D5B7-9010-41AD-9549-DAA30320DF49}"/>
    <cellStyle name="Normal 5 3 3 6 4" xfId="9864" xr:uid="{53237419-EE65-4661-B366-A6375A471CD6}"/>
    <cellStyle name="Normal 5 3 3 7" xfId="1745" xr:uid="{00000000-0005-0000-0000-00000A1A0000}"/>
    <cellStyle name="Normal 5 3 3 7 2" xfId="3975" xr:uid="{00000000-0005-0000-0000-00000B1A0000}"/>
    <cellStyle name="Normal 5 3 3 7 2 2" xfId="8198" xr:uid="{00000000-0005-0000-0000-00000C1A0000}"/>
    <cellStyle name="Normal 5 3 3 7 2 2 2" xfId="16640" xr:uid="{71EC1976-139D-4390-92E1-A00210D215A0}"/>
    <cellStyle name="Normal 5 3 3 7 2 3" xfId="12422" xr:uid="{3136758C-2534-43EE-882D-2DCE9F7D9270}"/>
    <cellStyle name="Normal 5 3 3 7 3" xfId="6053" xr:uid="{00000000-0005-0000-0000-00000D1A0000}"/>
    <cellStyle name="Normal 5 3 3 7 3 2" xfId="14495" xr:uid="{8A3556DA-D6EF-4489-8584-9BA55B7F24BE}"/>
    <cellStyle name="Normal 5 3 3 7 4" xfId="10277" xr:uid="{E195363E-25E6-4E52-A671-56AFA0114100}"/>
    <cellStyle name="Normal 5 3 3 8" xfId="2159" xr:uid="{00000000-0005-0000-0000-00000E1A0000}"/>
    <cellStyle name="Normal 5 3 3 8 2" xfId="4388" xr:uid="{00000000-0005-0000-0000-00000F1A0000}"/>
    <cellStyle name="Normal 5 3 3 8 2 2" xfId="8611" xr:uid="{00000000-0005-0000-0000-0000101A0000}"/>
    <cellStyle name="Normal 5 3 3 8 2 2 2" xfId="17053" xr:uid="{013444BB-33D0-4A8A-B36F-87F4FF4829D6}"/>
    <cellStyle name="Normal 5 3 3 8 2 3" xfId="12835" xr:uid="{91B401D1-5729-4710-A3C4-E7DB2C108B56}"/>
    <cellStyle name="Normal 5 3 3 8 3" xfId="6466" xr:uid="{00000000-0005-0000-0000-0000111A0000}"/>
    <cellStyle name="Normal 5 3 3 8 3 2" xfId="14908" xr:uid="{F24800DB-FBC1-4716-B51B-8418404AE85B}"/>
    <cellStyle name="Normal 5 3 3 8 4" xfId="10690" xr:uid="{7533A5BD-F62A-4612-9B18-D1E64B284FC2}"/>
    <cellStyle name="Normal 5 3 3 9" xfId="2595" xr:uid="{00000000-0005-0000-0000-0000121A0000}"/>
    <cellStyle name="Normal 5 3 3 9 2" xfId="6879" xr:uid="{00000000-0005-0000-0000-0000131A0000}"/>
    <cellStyle name="Normal 5 3 3 9 2 2" xfId="15321" xr:uid="{38C01835-2D9B-4A56-9205-F59CBB8B8C35}"/>
    <cellStyle name="Normal 5 3 3 9 3" xfId="11103" xr:uid="{A4A488CD-B987-43F6-A22F-B013DB10F2D8}"/>
    <cellStyle name="Normal 5 3 4" xfId="449" xr:uid="{00000000-0005-0000-0000-0000141A0000}"/>
    <cellStyle name="Normal 5 3 4 10" xfId="9046" xr:uid="{1D27CC53-F8D5-49F0-90B6-305D9269E99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15824" xr:uid="{A2369452-77A1-492F-9AFD-8E6D07A6CADF}"/>
    <cellStyle name="Normal 5 3 4 2 2 2 2 3" xfId="11606" xr:uid="{654ADB9E-C202-4EE6-8B60-F8A908F42E2A}"/>
    <cellStyle name="Normal 5 3 4 2 2 2 3" xfId="5237" xr:uid="{00000000-0005-0000-0000-00001A1A0000}"/>
    <cellStyle name="Normal 5 3 4 2 2 2 3 2" xfId="13679" xr:uid="{7A4B4000-1803-414B-9A04-A4838D8446C3}"/>
    <cellStyle name="Normal 5 3 4 2 2 2 4" xfId="9461" xr:uid="{8499089C-FC12-4FC2-B971-F86F6A53D1CD}"/>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2 2" xfId="16237" xr:uid="{CFD06065-2DEE-4EA2-A489-D8B2806AF8A4}"/>
    <cellStyle name="Normal 5 3 4 2 2 3 2 3" xfId="12019" xr:uid="{F1CE0DB5-D175-4809-A8F9-5C92849562F9}"/>
    <cellStyle name="Normal 5 3 4 2 2 3 3" xfId="5650" xr:uid="{00000000-0005-0000-0000-00001E1A0000}"/>
    <cellStyle name="Normal 5 3 4 2 2 3 3 2" xfId="14092" xr:uid="{0A0E9D8B-355A-40F2-ABB5-0D1A88AF3CC1}"/>
    <cellStyle name="Normal 5 3 4 2 2 3 4" xfId="9874" xr:uid="{70CF956F-FF1F-4C36-874E-20BC8D6B1ABB}"/>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2 2 2" xfId="16650" xr:uid="{E6F60F26-8B6D-4A45-A62D-1CE67010E030}"/>
    <cellStyle name="Normal 5 3 4 2 2 4 2 3" xfId="12432" xr:uid="{A9E07944-80BD-4DBE-8B14-C88912C46116}"/>
    <cellStyle name="Normal 5 3 4 2 2 4 3" xfId="6063" xr:uid="{00000000-0005-0000-0000-0000221A0000}"/>
    <cellStyle name="Normal 5 3 4 2 2 4 3 2" xfId="14505" xr:uid="{CE7B59D1-7EE6-43C3-BE37-8DBE2ECF44D9}"/>
    <cellStyle name="Normal 5 3 4 2 2 4 4" xfId="10287" xr:uid="{9FA17B56-67FB-439C-8ED5-B6B4ED15D1C8}"/>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2 2 2" xfId="17063" xr:uid="{B28DB652-829C-41ED-BF10-9F9EB646C524}"/>
    <cellStyle name="Normal 5 3 4 2 2 5 2 3" xfId="12845" xr:uid="{73BCDC83-530F-43B4-9BAC-C91FA3066F95}"/>
    <cellStyle name="Normal 5 3 4 2 2 5 3" xfId="6476" xr:uid="{00000000-0005-0000-0000-0000261A0000}"/>
    <cellStyle name="Normal 5 3 4 2 2 5 3 2" xfId="14918" xr:uid="{F8EC21A9-A098-46FE-986D-D74D72320686}"/>
    <cellStyle name="Normal 5 3 4 2 2 5 4" xfId="10700" xr:uid="{440E8DF5-D1E9-42BA-84D0-DD825AEE7D5D}"/>
    <cellStyle name="Normal 5 3 4 2 2 6" xfId="2605" xr:uid="{00000000-0005-0000-0000-0000271A0000}"/>
    <cellStyle name="Normal 5 3 4 2 2 6 2" xfId="6889" xr:uid="{00000000-0005-0000-0000-0000281A0000}"/>
    <cellStyle name="Normal 5 3 4 2 2 6 2 2" xfId="15331" xr:uid="{B059D28E-E5CD-49C5-BBE5-8496420AE938}"/>
    <cellStyle name="Normal 5 3 4 2 2 6 3" xfId="11113" xr:uid="{7AEE7E36-0559-4FBD-9073-E332628F9F27}"/>
    <cellStyle name="Normal 5 3 4 2 2 7" xfId="4824" xr:uid="{00000000-0005-0000-0000-0000291A0000}"/>
    <cellStyle name="Normal 5 3 4 2 2 7 2" xfId="13266" xr:uid="{B8E5F6C8-1DB3-4082-8057-40C2F0E486B5}"/>
    <cellStyle name="Normal 5 3 4 2 2 8" xfId="9048" xr:uid="{D8D1DF3F-F9AA-411E-8DE5-2CFBFB4CDFE7}"/>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15823" xr:uid="{2E6F9BE2-F178-4FD5-BC2A-7E03CF3FD444}"/>
    <cellStyle name="Normal 5 3 4 2 3 2 3" xfId="11605" xr:uid="{E50884A5-09CB-40C4-9F2C-3C2C709825E1}"/>
    <cellStyle name="Normal 5 3 4 2 3 3" xfId="5236" xr:uid="{00000000-0005-0000-0000-00002D1A0000}"/>
    <cellStyle name="Normal 5 3 4 2 3 3 2" xfId="13678" xr:uid="{4C133979-7BCA-422C-A698-F759112AC3F9}"/>
    <cellStyle name="Normal 5 3 4 2 3 4" xfId="9460" xr:uid="{4F8724C2-8150-4916-B89A-74C3573D6CE5}"/>
    <cellStyle name="Normal 5 3 4 2 4" xfId="1341" xr:uid="{00000000-0005-0000-0000-00002E1A0000}"/>
    <cellStyle name="Normal 5 3 4 2 4 2" xfId="3571" xr:uid="{00000000-0005-0000-0000-00002F1A0000}"/>
    <cellStyle name="Normal 5 3 4 2 4 2 2" xfId="7794" xr:uid="{00000000-0005-0000-0000-0000301A0000}"/>
    <cellStyle name="Normal 5 3 4 2 4 2 2 2" xfId="16236" xr:uid="{15F98E27-DB57-472F-82A3-5A1C63FE0CEE}"/>
    <cellStyle name="Normal 5 3 4 2 4 2 3" xfId="12018" xr:uid="{8DB57988-EA6D-47BC-AB4C-834BF5D2D496}"/>
    <cellStyle name="Normal 5 3 4 2 4 3" xfId="5649" xr:uid="{00000000-0005-0000-0000-0000311A0000}"/>
    <cellStyle name="Normal 5 3 4 2 4 3 2" xfId="14091" xr:uid="{9530DA22-1DE0-4DF5-838A-21946048D26A}"/>
    <cellStyle name="Normal 5 3 4 2 4 4" xfId="9873" xr:uid="{1B6C19D5-1CBA-4818-849A-BABFAD974E48}"/>
    <cellStyle name="Normal 5 3 4 2 5" xfId="1754" xr:uid="{00000000-0005-0000-0000-0000321A0000}"/>
    <cellStyle name="Normal 5 3 4 2 5 2" xfId="3984" xr:uid="{00000000-0005-0000-0000-0000331A0000}"/>
    <cellStyle name="Normal 5 3 4 2 5 2 2" xfId="8207" xr:uid="{00000000-0005-0000-0000-0000341A0000}"/>
    <cellStyle name="Normal 5 3 4 2 5 2 2 2" xfId="16649" xr:uid="{EB0BD10B-AEC6-4FDC-844D-D7A8E21FC8BD}"/>
    <cellStyle name="Normal 5 3 4 2 5 2 3" xfId="12431" xr:uid="{BDB1DBE2-CBD0-4E1F-BE86-A4CFB1F36D89}"/>
    <cellStyle name="Normal 5 3 4 2 5 3" xfId="6062" xr:uid="{00000000-0005-0000-0000-0000351A0000}"/>
    <cellStyle name="Normal 5 3 4 2 5 3 2" xfId="14504" xr:uid="{222DF3E0-A04A-4FE6-8405-A2912147A40D}"/>
    <cellStyle name="Normal 5 3 4 2 5 4" xfId="10286" xr:uid="{58C40030-4550-45EB-BEC1-1F8485324DF7}"/>
    <cellStyle name="Normal 5 3 4 2 6" xfId="2168" xr:uid="{00000000-0005-0000-0000-0000361A0000}"/>
    <cellStyle name="Normal 5 3 4 2 6 2" xfId="4397" xr:uid="{00000000-0005-0000-0000-0000371A0000}"/>
    <cellStyle name="Normal 5 3 4 2 6 2 2" xfId="8620" xr:uid="{00000000-0005-0000-0000-0000381A0000}"/>
    <cellStyle name="Normal 5 3 4 2 6 2 2 2" xfId="17062" xr:uid="{7B3F713B-9484-44CA-8304-AE28DC17D63F}"/>
    <cellStyle name="Normal 5 3 4 2 6 2 3" xfId="12844" xr:uid="{43F5F32B-B6DB-499D-AA01-EF7D668848B7}"/>
    <cellStyle name="Normal 5 3 4 2 6 3" xfId="6475" xr:uid="{00000000-0005-0000-0000-0000391A0000}"/>
    <cellStyle name="Normal 5 3 4 2 6 3 2" xfId="14917" xr:uid="{17C83E84-F56C-47C3-ACE6-48634E986EAA}"/>
    <cellStyle name="Normal 5 3 4 2 6 4" xfId="10699" xr:uid="{58322E30-3B59-47BC-8EA3-F9CB373E6A37}"/>
    <cellStyle name="Normal 5 3 4 2 7" xfId="2604" xr:uid="{00000000-0005-0000-0000-00003A1A0000}"/>
    <cellStyle name="Normal 5 3 4 2 7 2" xfId="6888" xr:uid="{00000000-0005-0000-0000-00003B1A0000}"/>
    <cellStyle name="Normal 5 3 4 2 7 2 2" xfId="15330" xr:uid="{362764DB-C184-4563-91F2-5A8606C51AC4}"/>
    <cellStyle name="Normal 5 3 4 2 7 3" xfId="11112" xr:uid="{21782561-4A78-4E3F-A269-11B92F3C1CAF}"/>
    <cellStyle name="Normal 5 3 4 2 8" xfId="4823" xr:uid="{00000000-0005-0000-0000-00003C1A0000}"/>
    <cellStyle name="Normal 5 3 4 2 8 2" xfId="13265" xr:uid="{C74A9CFE-ECEA-420C-B20B-263D5CAA3F8B}"/>
    <cellStyle name="Normal 5 3 4 2 9" xfId="9047" xr:uid="{1142E4FE-167A-42B2-94B9-A2244D41F9EA}"/>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15825" xr:uid="{B17FFD43-38C3-424D-8395-ACE0CE25A010}"/>
    <cellStyle name="Normal 5 3 4 3 2 2 3" xfId="11607" xr:uid="{4743B741-622A-443E-BA77-176325C7531A}"/>
    <cellStyle name="Normal 5 3 4 3 2 3" xfId="5238" xr:uid="{00000000-0005-0000-0000-0000411A0000}"/>
    <cellStyle name="Normal 5 3 4 3 2 3 2" xfId="13680" xr:uid="{CCEEF575-DDA7-4E5C-B98E-96800B1C8E13}"/>
    <cellStyle name="Normal 5 3 4 3 2 4" xfId="9462" xr:uid="{6C9AB2B0-4BFE-406C-92A1-00FE0BEA8E47}"/>
    <cellStyle name="Normal 5 3 4 3 3" xfId="1343" xr:uid="{00000000-0005-0000-0000-0000421A0000}"/>
    <cellStyle name="Normal 5 3 4 3 3 2" xfId="3573" xr:uid="{00000000-0005-0000-0000-0000431A0000}"/>
    <cellStyle name="Normal 5 3 4 3 3 2 2" xfId="7796" xr:uid="{00000000-0005-0000-0000-0000441A0000}"/>
    <cellStyle name="Normal 5 3 4 3 3 2 2 2" xfId="16238" xr:uid="{0987C907-3371-41BA-9CF6-822CEBF97A20}"/>
    <cellStyle name="Normal 5 3 4 3 3 2 3" xfId="12020" xr:uid="{634B24D3-7E35-4917-A4B4-330B52872F76}"/>
    <cellStyle name="Normal 5 3 4 3 3 3" xfId="5651" xr:uid="{00000000-0005-0000-0000-0000451A0000}"/>
    <cellStyle name="Normal 5 3 4 3 3 3 2" xfId="14093" xr:uid="{586E6D47-9649-44D3-900A-0C9448427FBE}"/>
    <cellStyle name="Normal 5 3 4 3 3 4" xfId="9875" xr:uid="{42C89675-02D6-470F-B12D-F3B623F9052A}"/>
    <cellStyle name="Normal 5 3 4 3 4" xfId="1756" xr:uid="{00000000-0005-0000-0000-0000461A0000}"/>
    <cellStyle name="Normal 5 3 4 3 4 2" xfId="3986" xr:uid="{00000000-0005-0000-0000-0000471A0000}"/>
    <cellStyle name="Normal 5 3 4 3 4 2 2" xfId="8209" xr:uid="{00000000-0005-0000-0000-0000481A0000}"/>
    <cellStyle name="Normal 5 3 4 3 4 2 2 2" xfId="16651" xr:uid="{9F46AAE8-70C0-466B-AA6E-B7243C0A27D4}"/>
    <cellStyle name="Normal 5 3 4 3 4 2 3" xfId="12433" xr:uid="{A8062BFE-9606-47EE-997F-7950EC6F864E}"/>
    <cellStyle name="Normal 5 3 4 3 4 3" xfId="6064" xr:uid="{00000000-0005-0000-0000-0000491A0000}"/>
    <cellStyle name="Normal 5 3 4 3 4 3 2" xfId="14506" xr:uid="{0AB6706A-BDF0-4C2C-9D5C-37A4222EEAB0}"/>
    <cellStyle name="Normal 5 3 4 3 4 4" xfId="10288" xr:uid="{31DBA9D9-EF0C-4353-B01D-F07CDC35D5CD}"/>
    <cellStyle name="Normal 5 3 4 3 5" xfId="2170" xr:uid="{00000000-0005-0000-0000-00004A1A0000}"/>
    <cellStyle name="Normal 5 3 4 3 5 2" xfId="4399" xr:uid="{00000000-0005-0000-0000-00004B1A0000}"/>
    <cellStyle name="Normal 5 3 4 3 5 2 2" xfId="8622" xr:uid="{00000000-0005-0000-0000-00004C1A0000}"/>
    <cellStyle name="Normal 5 3 4 3 5 2 2 2" xfId="17064" xr:uid="{E5C001E8-2C82-4C83-B867-78B196A4D746}"/>
    <cellStyle name="Normal 5 3 4 3 5 2 3" xfId="12846" xr:uid="{4078F822-E563-45EA-B699-FAEE8D3EF948}"/>
    <cellStyle name="Normal 5 3 4 3 5 3" xfId="6477" xr:uid="{00000000-0005-0000-0000-00004D1A0000}"/>
    <cellStyle name="Normal 5 3 4 3 5 3 2" xfId="14919" xr:uid="{A5A77911-7711-4820-8C87-288040A00372}"/>
    <cellStyle name="Normal 5 3 4 3 5 4" xfId="10701" xr:uid="{874B0662-A2B8-405E-A657-8D0165788364}"/>
    <cellStyle name="Normal 5 3 4 3 6" xfId="2606" xr:uid="{00000000-0005-0000-0000-00004E1A0000}"/>
    <cellStyle name="Normal 5 3 4 3 6 2" xfId="6890" xr:uid="{00000000-0005-0000-0000-00004F1A0000}"/>
    <cellStyle name="Normal 5 3 4 3 6 2 2" xfId="15332" xr:uid="{70A25706-667D-4E07-814F-81AE51FD38F4}"/>
    <cellStyle name="Normal 5 3 4 3 6 3" xfId="11114" xr:uid="{FF0D81B6-D509-4937-AB05-0A7F0CDE6665}"/>
    <cellStyle name="Normal 5 3 4 3 7" xfId="4825" xr:uid="{00000000-0005-0000-0000-0000501A0000}"/>
    <cellStyle name="Normal 5 3 4 3 7 2" xfId="13267" xr:uid="{8E379012-1AF2-4B5D-89B9-33510101FE0D}"/>
    <cellStyle name="Normal 5 3 4 3 8" xfId="9049" xr:uid="{AFE9DE23-ACB9-484A-AB5B-07D97976EF27}"/>
    <cellStyle name="Normal 5 3 4 4" xfId="923" xr:uid="{00000000-0005-0000-0000-0000511A0000}"/>
    <cellStyle name="Normal 5 3 4 4 2" xfId="3157" xr:uid="{00000000-0005-0000-0000-0000521A0000}"/>
    <cellStyle name="Normal 5 3 4 4 2 2" xfId="7380" xr:uid="{00000000-0005-0000-0000-0000531A0000}"/>
    <cellStyle name="Normal 5 3 4 4 2 2 2" xfId="15822" xr:uid="{FA0C4C63-9690-4D77-8960-EE0485107F3B}"/>
    <cellStyle name="Normal 5 3 4 4 2 3" xfId="11604" xr:uid="{C535880F-E69C-4AE4-B170-2044EF84BCBC}"/>
    <cellStyle name="Normal 5 3 4 4 3" xfId="5235" xr:uid="{00000000-0005-0000-0000-0000541A0000}"/>
    <cellStyle name="Normal 5 3 4 4 3 2" xfId="13677" xr:uid="{9E15A3DA-B785-47B2-8362-4F7BEAB0CB68}"/>
    <cellStyle name="Normal 5 3 4 4 4" xfId="9459" xr:uid="{6003B8FE-E1CE-4B08-B241-82A63EB0BBE0}"/>
    <cellStyle name="Normal 5 3 4 5" xfId="1340" xr:uid="{00000000-0005-0000-0000-0000551A0000}"/>
    <cellStyle name="Normal 5 3 4 5 2" xfId="3570" xr:uid="{00000000-0005-0000-0000-0000561A0000}"/>
    <cellStyle name="Normal 5 3 4 5 2 2" xfId="7793" xr:uid="{00000000-0005-0000-0000-0000571A0000}"/>
    <cellStyle name="Normal 5 3 4 5 2 2 2" xfId="16235" xr:uid="{C1550394-647A-4A2D-917B-18D5D3126440}"/>
    <cellStyle name="Normal 5 3 4 5 2 3" xfId="12017" xr:uid="{62A45809-6FF8-44A3-A203-18C3A5F58E25}"/>
    <cellStyle name="Normal 5 3 4 5 3" xfId="5648" xr:uid="{00000000-0005-0000-0000-0000581A0000}"/>
    <cellStyle name="Normal 5 3 4 5 3 2" xfId="14090" xr:uid="{4DB03725-BA4C-4434-9FB5-BD0A1821EDD1}"/>
    <cellStyle name="Normal 5 3 4 5 4" xfId="9872" xr:uid="{28087F4E-667F-4B41-94B6-DAA4FF98B656}"/>
    <cellStyle name="Normal 5 3 4 6" xfId="1753" xr:uid="{00000000-0005-0000-0000-0000591A0000}"/>
    <cellStyle name="Normal 5 3 4 6 2" xfId="3983" xr:uid="{00000000-0005-0000-0000-00005A1A0000}"/>
    <cellStyle name="Normal 5 3 4 6 2 2" xfId="8206" xr:uid="{00000000-0005-0000-0000-00005B1A0000}"/>
    <cellStyle name="Normal 5 3 4 6 2 2 2" xfId="16648" xr:uid="{2BFA53F1-7C99-4C24-B4B7-87840C2C2B77}"/>
    <cellStyle name="Normal 5 3 4 6 2 3" xfId="12430" xr:uid="{3699B1B9-367C-4F33-AB8A-95E780B8BD8B}"/>
    <cellStyle name="Normal 5 3 4 6 3" xfId="6061" xr:uid="{00000000-0005-0000-0000-00005C1A0000}"/>
    <cellStyle name="Normal 5 3 4 6 3 2" xfId="14503" xr:uid="{9DB5B4B3-0053-4626-BEC9-80BF38689FD0}"/>
    <cellStyle name="Normal 5 3 4 6 4" xfId="10285" xr:uid="{5102F859-804A-4F14-A0F0-854DE213F1C5}"/>
    <cellStyle name="Normal 5 3 4 7" xfId="2167" xr:uid="{00000000-0005-0000-0000-00005D1A0000}"/>
    <cellStyle name="Normal 5 3 4 7 2" xfId="4396" xr:uid="{00000000-0005-0000-0000-00005E1A0000}"/>
    <cellStyle name="Normal 5 3 4 7 2 2" xfId="8619" xr:uid="{00000000-0005-0000-0000-00005F1A0000}"/>
    <cellStyle name="Normal 5 3 4 7 2 2 2" xfId="17061" xr:uid="{22FCE166-1EBA-4A4B-8F82-D02F94C3B70A}"/>
    <cellStyle name="Normal 5 3 4 7 2 3" xfId="12843" xr:uid="{7975323D-C6F9-4A92-82C4-045AC468EFD7}"/>
    <cellStyle name="Normal 5 3 4 7 3" xfId="6474" xr:uid="{00000000-0005-0000-0000-0000601A0000}"/>
    <cellStyle name="Normal 5 3 4 7 3 2" xfId="14916" xr:uid="{228161C8-4AD6-42A8-8412-D5041CCF9558}"/>
    <cellStyle name="Normal 5 3 4 7 4" xfId="10698" xr:uid="{91282055-D1AF-499D-A25B-9AC69A31799D}"/>
    <cellStyle name="Normal 5 3 4 8" xfId="2603" xr:uid="{00000000-0005-0000-0000-0000611A0000}"/>
    <cellStyle name="Normal 5 3 4 8 2" xfId="6887" xr:uid="{00000000-0005-0000-0000-0000621A0000}"/>
    <cellStyle name="Normal 5 3 4 8 2 2" xfId="15329" xr:uid="{6154C5D4-88B3-4C80-A390-21F4E46266E4}"/>
    <cellStyle name="Normal 5 3 4 8 3" xfId="11111" xr:uid="{37806D5C-369B-4712-89D0-53EB23336C51}"/>
    <cellStyle name="Normal 5 3 4 9" xfId="4822" xr:uid="{00000000-0005-0000-0000-0000631A0000}"/>
    <cellStyle name="Normal 5 3 4 9 2" xfId="13264" xr:uid="{9467ED44-98AF-4246-B35B-858700A69A72}"/>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15827" xr:uid="{4208833C-D915-4F0C-AEE5-7B058E5DAFE2}"/>
    <cellStyle name="Normal 5 3 5 2 2 2 3" xfId="11609" xr:uid="{F001F738-0C99-428C-86F7-F4677CC068DE}"/>
    <cellStyle name="Normal 5 3 5 2 2 3" xfId="5240" xr:uid="{00000000-0005-0000-0000-0000691A0000}"/>
    <cellStyle name="Normal 5 3 5 2 2 3 2" xfId="13682" xr:uid="{DCDFDADF-E3B4-4503-A137-962C26F391CA}"/>
    <cellStyle name="Normal 5 3 5 2 2 4" xfId="9464" xr:uid="{E5417970-BE38-46B5-B8A0-2DD002B64230}"/>
    <cellStyle name="Normal 5 3 5 2 3" xfId="1345" xr:uid="{00000000-0005-0000-0000-00006A1A0000}"/>
    <cellStyle name="Normal 5 3 5 2 3 2" xfId="3575" xr:uid="{00000000-0005-0000-0000-00006B1A0000}"/>
    <cellStyle name="Normal 5 3 5 2 3 2 2" xfId="7798" xr:uid="{00000000-0005-0000-0000-00006C1A0000}"/>
    <cellStyle name="Normal 5 3 5 2 3 2 2 2" xfId="16240" xr:uid="{774FAC24-B11B-4898-A715-930F0742A62A}"/>
    <cellStyle name="Normal 5 3 5 2 3 2 3" xfId="12022" xr:uid="{709BBF81-EFB5-4357-99DF-03D7F0369038}"/>
    <cellStyle name="Normal 5 3 5 2 3 3" xfId="5653" xr:uid="{00000000-0005-0000-0000-00006D1A0000}"/>
    <cellStyle name="Normal 5 3 5 2 3 3 2" xfId="14095" xr:uid="{C0794955-F62B-4FA8-8780-19A4EDA12C72}"/>
    <cellStyle name="Normal 5 3 5 2 3 4" xfId="9877" xr:uid="{ADD48A63-3DC0-4423-B8D4-48A53AB5AD9A}"/>
    <cellStyle name="Normal 5 3 5 2 4" xfId="1758" xr:uid="{00000000-0005-0000-0000-00006E1A0000}"/>
    <cellStyle name="Normal 5 3 5 2 4 2" xfId="3988" xr:uid="{00000000-0005-0000-0000-00006F1A0000}"/>
    <cellStyle name="Normal 5 3 5 2 4 2 2" xfId="8211" xr:uid="{00000000-0005-0000-0000-0000701A0000}"/>
    <cellStyle name="Normal 5 3 5 2 4 2 2 2" xfId="16653" xr:uid="{5CBBE416-897B-4D40-92C5-2D9AAD451BDF}"/>
    <cellStyle name="Normal 5 3 5 2 4 2 3" xfId="12435" xr:uid="{D2F23FD8-29B7-45C0-AE2D-93884EF2E3A6}"/>
    <cellStyle name="Normal 5 3 5 2 4 3" xfId="6066" xr:uid="{00000000-0005-0000-0000-0000711A0000}"/>
    <cellStyle name="Normal 5 3 5 2 4 3 2" xfId="14508" xr:uid="{9DD9C905-7A73-474C-8445-8F63E1AD0928}"/>
    <cellStyle name="Normal 5 3 5 2 4 4" xfId="10290" xr:uid="{D230A274-323F-4E9F-93DB-AEE9AA1EF1E0}"/>
    <cellStyle name="Normal 5 3 5 2 5" xfId="2172" xr:uid="{00000000-0005-0000-0000-0000721A0000}"/>
    <cellStyle name="Normal 5 3 5 2 5 2" xfId="4401" xr:uid="{00000000-0005-0000-0000-0000731A0000}"/>
    <cellStyle name="Normal 5 3 5 2 5 2 2" xfId="8624" xr:uid="{00000000-0005-0000-0000-0000741A0000}"/>
    <cellStyle name="Normal 5 3 5 2 5 2 2 2" xfId="17066" xr:uid="{E7187B89-2ABE-4068-8CDC-3FE2B5F0B881}"/>
    <cellStyle name="Normal 5 3 5 2 5 2 3" xfId="12848" xr:uid="{6F14009D-9732-4309-9C6D-A15E42DD7F8A}"/>
    <cellStyle name="Normal 5 3 5 2 5 3" xfId="6479" xr:uid="{00000000-0005-0000-0000-0000751A0000}"/>
    <cellStyle name="Normal 5 3 5 2 5 3 2" xfId="14921" xr:uid="{86D46B04-A7F3-469F-BDDD-DADEBF56EEE4}"/>
    <cellStyle name="Normal 5 3 5 2 5 4" xfId="10703" xr:uid="{2D191B39-9196-4DEC-BB5B-63E17D29A3B1}"/>
    <cellStyle name="Normal 5 3 5 2 6" xfId="2608" xr:uid="{00000000-0005-0000-0000-0000761A0000}"/>
    <cellStyle name="Normal 5 3 5 2 6 2" xfId="6892" xr:uid="{00000000-0005-0000-0000-0000771A0000}"/>
    <cellStyle name="Normal 5 3 5 2 6 2 2" xfId="15334" xr:uid="{95766A6C-E8A3-4BD9-95C3-98EB383ADE44}"/>
    <cellStyle name="Normal 5 3 5 2 6 3" xfId="11116" xr:uid="{602A6943-B3D9-45BA-84B5-D51B0FFEAB69}"/>
    <cellStyle name="Normal 5 3 5 2 7" xfId="4827" xr:uid="{00000000-0005-0000-0000-0000781A0000}"/>
    <cellStyle name="Normal 5 3 5 2 7 2" xfId="13269" xr:uid="{684C3976-062D-49DF-9533-CD05696C5CA2}"/>
    <cellStyle name="Normal 5 3 5 2 8" xfId="9051" xr:uid="{8F475200-E448-4DF7-8B45-C36E923D6A92}"/>
    <cellStyle name="Normal 5 3 5 3" xfId="927" xr:uid="{00000000-0005-0000-0000-0000791A0000}"/>
    <cellStyle name="Normal 5 3 5 3 2" xfId="3161" xr:uid="{00000000-0005-0000-0000-00007A1A0000}"/>
    <cellStyle name="Normal 5 3 5 3 2 2" xfId="7384" xr:uid="{00000000-0005-0000-0000-00007B1A0000}"/>
    <cellStyle name="Normal 5 3 5 3 2 2 2" xfId="15826" xr:uid="{A604579F-4E03-4039-9646-617A411EE176}"/>
    <cellStyle name="Normal 5 3 5 3 2 3" xfId="11608" xr:uid="{3AD4F168-D720-43C6-960A-1F729147E68C}"/>
    <cellStyle name="Normal 5 3 5 3 3" xfId="5239" xr:uid="{00000000-0005-0000-0000-00007C1A0000}"/>
    <cellStyle name="Normal 5 3 5 3 3 2" xfId="13681" xr:uid="{A31CCEE2-CFC4-44BA-96F5-9C2BA3B79D80}"/>
    <cellStyle name="Normal 5 3 5 3 4" xfId="9463" xr:uid="{AA42CEA4-135F-433E-8EC0-67CBF21247A4}"/>
    <cellStyle name="Normal 5 3 5 4" xfId="1344" xr:uid="{00000000-0005-0000-0000-00007D1A0000}"/>
    <cellStyle name="Normal 5 3 5 4 2" xfId="3574" xr:uid="{00000000-0005-0000-0000-00007E1A0000}"/>
    <cellStyle name="Normal 5 3 5 4 2 2" xfId="7797" xr:uid="{00000000-0005-0000-0000-00007F1A0000}"/>
    <cellStyle name="Normal 5 3 5 4 2 2 2" xfId="16239" xr:uid="{73F23CA1-3B27-4C1E-A052-C7394BE6279A}"/>
    <cellStyle name="Normal 5 3 5 4 2 3" xfId="12021" xr:uid="{6256934F-7338-4C91-9774-842A6F239633}"/>
    <cellStyle name="Normal 5 3 5 4 3" xfId="5652" xr:uid="{00000000-0005-0000-0000-0000801A0000}"/>
    <cellStyle name="Normal 5 3 5 4 3 2" xfId="14094" xr:uid="{9BAC6349-DE79-4156-818D-B32348AF8E66}"/>
    <cellStyle name="Normal 5 3 5 4 4" xfId="9876" xr:uid="{E4CB6C9C-6AF7-4053-A08D-E628AB0A578E}"/>
    <cellStyle name="Normal 5 3 5 5" xfId="1757" xr:uid="{00000000-0005-0000-0000-0000811A0000}"/>
    <cellStyle name="Normal 5 3 5 5 2" xfId="3987" xr:uid="{00000000-0005-0000-0000-0000821A0000}"/>
    <cellStyle name="Normal 5 3 5 5 2 2" xfId="8210" xr:uid="{00000000-0005-0000-0000-0000831A0000}"/>
    <cellStyle name="Normal 5 3 5 5 2 2 2" xfId="16652" xr:uid="{20549C97-6F1B-4843-8951-9B191BBE0D31}"/>
    <cellStyle name="Normal 5 3 5 5 2 3" xfId="12434" xr:uid="{AA5D38F5-3483-4397-9CE9-B51583D47E60}"/>
    <cellStyle name="Normal 5 3 5 5 3" xfId="6065" xr:uid="{00000000-0005-0000-0000-0000841A0000}"/>
    <cellStyle name="Normal 5 3 5 5 3 2" xfId="14507" xr:uid="{434E7AC0-29CD-4016-8A93-C20A62AD00A7}"/>
    <cellStyle name="Normal 5 3 5 5 4" xfId="10289" xr:uid="{DE0AB39F-8F09-41B9-BA53-DBE91F2A881A}"/>
    <cellStyle name="Normal 5 3 5 6" xfId="2171" xr:uid="{00000000-0005-0000-0000-0000851A0000}"/>
    <cellStyle name="Normal 5 3 5 6 2" xfId="4400" xr:uid="{00000000-0005-0000-0000-0000861A0000}"/>
    <cellStyle name="Normal 5 3 5 6 2 2" xfId="8623" xr:uid="{00000000-0005-0000-0000-0000871A0000}"/>
    <cellStyle name="Normal 5 3 5 6 2 2 2" xfId="17065" xr:uid="{AB0FD653-C6F9-4B3A-9458-675FEBB82FF5}"/>
    <cellStyle name="Normal 5 3 5 6 2 3" xfId="12847" xr:uid="{7AE70C33-1B63-4020-97E6-9DCB70F23A00}"/>
    <cellStyle name="Normal 5 3 5 6 3" xfId="6478" xr:uid="{00000000-0005-0000-0000-0000881A0000}"/>
    <cellStyle name="Normal 5 3 5 6 3 2" xfId="14920" xr:uid="{C41FE0EA-D758-4251-BF85-00C0F7BE2373}"/>
    <cellStyle name="Normal 5 3 5 6 4" xfId="10702" xr:uid="{4E82D576-AB62-49E5-9591-78F6EAD12AEA}"/>
    <cellStyle name="Normal 5 3 5 7" xfId="2607" xr:uid="{00000000-0005-0000-0000-0000891A0000}"/>
    <cellStyle name="Normal 5 3 5 7 2" xfId="6891" xr:uid="{00000000-0005-0000-0000-00008A1A0000}"/>
    <cellStyle name="Normal 5 3 5 7 2 2" xfId="15333" xr:uid="{A35F0A23-3B45-402D-B485-0B0F105125AE}"/>
    <cellStyle name="Normal 5 3 5 7 3" xfId="11115" xr:uid="{CF572EC7-2CA2-4E07-9678-899F00FC2BB8}"/>
    <cellStyle name="Normal 5 3 5 8" xfId="4826" xr:uid="{00000000-0005-0000-0000-00008B1A0000}"/>
    <cellStyle name="Normal 5 3 5 8 2" xfId="13268" xr:uid="{C620A3ED-7A62-4C00-A682-FCF7E747F6D7}"/>
    <cellStyle name="Normal 5 3 5 9" xfId="9050" xr:uid="{51456184-550A-414B-A7C8-F24143353C31}"/>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2 2 2" xfId="15828" xr:uid="{B5598801-C8DE-46CD-965A-96CFB2A41345}"/>
    <cellStyle name="Normal 5 3 6 2 2 3" xfId="11610" xr:uid="{C1A3832A-6738-4E82-A73A-67F3EF02C1FC}"/>
    <cellStyle name="Normal 5 3 6 2 3" xfId="5241" xr:uid="{00000000-0005-0000-0000-0000901A0000}"/>
    <cellStyle name="Normal 5 3 6 2 3 2" xfId="13683" xr:uid="{CDD7391E-CC74-4B35-8E78-90B9CFFA4FF0}"/>
    <cellStyle name="Normal 5 3 6 2 4" xfId="9465" xr:uid="{60EF0316-DAAC-4115-B052-192831195063}"/>
    <cellStyle name="Normal 5 3 6 3" xfId="1346" xr:uid="{00000000-0005-0000-0000-0000911A0000}"/>
    <cellStyle name="Normal 5 3 6 3 2" xfId="3576" xr:uid="{00000000-0005-0000-0000-0000921A0000}"/>
    <cellStyle name="Normal 5 3 6 3 2 2" xfId="7799" xr:uid="{00000000-0005-0000-0000-0000931A0000}"/>
    <cellStyle name="Normal 5 3 6 3 2 2 2" xfId="16241" xr:uid="{DC1D2559-AAC6-46FD-8262-BE9E6A03744F}"/>
    <cellStyle name="Normal 5 3 6 3 2 3" xfId="12023" xr:uid="{93D179B1-008F-4931-851E-5190A7A47D02}"/>
    <cellStyle name="Normal 5 3 6 3 3" xfId="5654" xr:uid="{00000000-0005-0000-0000-0000941A0000}"/>
    <cellStyle name="Normal 5 3 6 3 3 2" xfId="14096" xr:uid="{48095980-2E89-44B3-A8BC-478F6A856948}"/>
    <cellStyle name="Normal 5 3 6 3 4" xfId="9878" xr:uid="{F3D9AF29-6AB8-4214-A3C6-73808084BCCB}"/>
    <cellStyle name="Normal 5 3 6 4" xfId="1759" xr:uid="{00000000-0005-0000-0000-0000951A0000}"/>
    <cellStyle name="Normal 5 3 6 4 2" xfId="3989" xr:uid="{00000000-0005-0000-0000-0000961A0000}"/>
    <cellStyle name="Normal 5 3 6 4 2 2" xfId="8212" xr:uid="{00000000-0005-0000-0000-0000971A0000}"/>
    <cellStyle name="Normal 5 3 6 4 2 2 2" xfId="16654" xr:uid="{4C41514E-4FBD-4FCC-B876-5DB2A79C9D2A}"/>
    <cellStyle name="Normal 5 3 6 4 2 3" xfId="12436" xr:uid="{54EC0AB8-34F7-438D-96A2-DCFBA762DDB1}"/>
    <cellStyle name="Normal 5 3 6 4 3" xfId="6067" xr:uid="{00000000-0005-0000-0000-0000981A0000}"/>
    <cellStyle name="Normal 5 3 6 4 3 2" xfId="14509" xr:uid="{AF07CA4B-D082-411A-846E-EA8443746D30}"/>
    <cellStyle name="Normal 5 3 6 4 4" xfId="10291" xr:uid="{8DA19860-CC81-44E7-B047-F53426D638A7}"/>
    <cellStyle name="Normal 5 3 6 5" xfId="2173" xr:uid="{00000000-0005-0000-0000-0000991A0000}"/>
    <cellStyle name="Normal 5 3 6 5 2" xfId="4402" xr:uid="{00000000-0005-0000-0000-00009A1A0000}"/>
    <cellStyle name="Normal 5 3 6 5 2 2" xfId="8625" xr:uid="{00000000-0005-0000-0000-00009B1A0000}"/>
    <cellStyle name="Normal 5 3 6 5 2 2 2" xfId="17067" xr:uid="{4CE45896-188B-426A-A2BB-0F975D6D3FEF}"/>
    <cellStyle name="Normal 5 3 6 5 2 3" xfId="12849" xr:uid="{C3346876-5A55-4D88-B3A0-13489150C4CB}"/>
    <cellStyle name="Normal 5 3 6 5 3" xfId="6480" xr:uid="{00000000-0005-0000-0000-00009C1A0000}"/>
    <cellStyle name="Normal 5 3 6 5 3 2" xfId="14922" xr:uid="{98124DD2-19CE-45BB-B5D0-8062FA44BB75}"/>
    <cellStyle name="Normal 5 3 6 5 4" xfId="10704" xr:uid="{DAD72348-FFFA-4964-B610-7F9D4EF8B6E4}"/>
    <cellStyle name="Normal 5 3 6 6" xfId="2609" xr:uid="{00000000-0005-0000-0000-00009D1A0000}"/>
    <cellStyle name="Normal 5 3 6 6 2" xfId="6893" xr:uid="{00000000-0005-0000-0000-00009E1A0000}"/>
    <cellStyle name="Normal 5 3 6 6 2 2" xfId="15335" xr:uid="{B69AF1CF-5C9C-41E5-8D79-B390294B70C2}"/>
    <cellStyle name="Normal 5 3 6 6 3" xfId="11117" xr:uid="{33ED3691-A3A7-46ED-97A7-4CFA9261D646}"/>
    <cellStyle name="Normal 5 3 6 7" xfId="4828" xr:uid="{00000000-0005-0000-0000-00009F1A0000}"/>
    <cellStyle name="Normal 5 3 6 7 2" xfId="13270" xr:uid="{12BE7D63-2718-4AFC-B356-8DC773322478}"/>
    <cellStyle name="Normal 5 3 6 8" xfId="9052" xr:uid="{A49FF0AC-D929-4223-A3A0-E976F33FE3E7}"/>
    <cellStyle name="Normal 5 3 7" xfId="913" xr:uid="{00000000-0005-0000-0000-0000A01A0000}"/>
    <cellStyle name="Normal 5 3 7 2" xfId="3148" xr:uid="{00000000-0005-0000-0000-0000A11A0000}"/>
    <cellStyle name="Normal 5 3 7 2 2" xfId="7371" xr:uid="{00000000-0005-0000-0000-0000A21A0000}"/>
    <cellStyle name="Normal 5 3 7 2 2 2" xfId="15813" xr:uid="{567DE15F-A152-4E39-B43D-0F6E5CCB612F}"/>
    <cellStyle name="Normal 5 3 7 2 3" xfId="11595" xr:uid="{58AE2A5C-66F7-42E1-B9A4-69429F2178C0}"/>
    <cellStyle name="Normal 5 3 7 3" xfId="5226" xr:uid="{00000000-0005-0000-0000-0000A31A0000}"/>
    <cellStyle name="Normal 5 3 7 3 2" xfId="13668" xr:uid="{00CAF742-390F-4C21-BFC3-EC3F71202D2C}"/>
    <cellStyle name="Normal 5 3 7 4" xfId="9450" xr:uid="{E41453B3-CB2D-40B0-A3BE-FB9D49B9D94D}"/>
    <cellStyle name="Normal 5 3 8" xfId="1331" xr:uid="{00000000-0005-0000-0000-0000A41A0000}"/>
    <cellStyle name="Normal 5 3 8 2" xfId="3561" xr:uid="{00000000-0005-0000-0000-0000A51A0000}"/>
    <cellStyle name="Normal 5 3 8 2 2" xfId="7784" xr:uid="{00000000-0005-0000-0000-0000A61A0000}"/>
    <cellStyle name="Normal 5 3 8 2 2 2" xfId="16226" xr:uid="{ED48F006-EB2E-475A-98DA-B536378DC1A3}"/>
    <cellStyle name="Normal 5 3 8 2 3" xfId="12008" xr:uid="{14ADF3F9-99F1-4089-8DAC-0A35919F800B}"/>
    <cellStyle name="Normal 5 3 8 3" xfId="5639" xr:uid="{00000000-0005-0000-0000-0000A71A0000}"/>
    <cellStyle name="Normal 5 3 8 3 2" xfId="14081" xr:uid="{FAFCE887-B782-4BA2-9AC5-8DEE2346B825}"/>
    <cellStyle name="Normal 5 3 8 4" xfId="9863" xr:uid="{546D4B2B-7710-4739-BAEB-647008A180D8}"/>
    <cellStyle name="Normal 5 3 9" xfId="1744" xr:uid="{00000000-0005-0000-0000-0000A81A0000}"/>
    <cellStyle name="Normal 5 3 9 2" xfId="3974" xr:uid="{00000000-0005-0000-0000-0000A91A0000}"/>
    <cellStyle name="Normal 5 3 9 2 2" xfId="8197" xr:uid="{00000000-0005-0000-0000-0000AA1A0000}"/>
    <cellStyle name="Normal 5 3 9 2 2 2" xfId="16639" xr:uid="{4033BE9A-2666-4402-AF5F-1EB7E6AC4A31}"/>
    <cellStyle name="Normal 5 3 9 2 3" xfId="12421" xr:uid="{52E6A5D8-57BC-4198-B222-6A38082776A1}"/>
    <cellStyle name="Normal 5 3 9 3" xfId="6052" xr:uid="{00000000-0005-0000-0000-0000AB1A0000}"/>
    <cellStyle name="Normal 5 3 9 3 2" xfId="14494" xr:uid="{D2555EDE-60E9-4982-AE33-3CEEB0B47386}"/>
    <cellStyle name="Normal 5 3 9 4" xfId="10276" xr:uid="{E64AF8AC-A473-4938-BF03-A8277F21145D}"/>
    <cellStyle name="Normal 5 4" xfId="456" xr:uid="{00000000-0005-0000-0000-0000AC1A0000}"/>
    <cellStyle name="Normal 5 4 10" xfId="4829" xr:uid="{00000000-0005-0000-0000-0000AD1A0000}"/>
    <cellStyle name="Normal 5 4 10 2" xfId="13271" xr:uid="{A5A2981E-5204-4DC6-B52C-84A1FA514810}"/>
    <cellStyle name="Normal 5 4 11" xfId="9053" xr:uid="{417CD7F4-BD6A-41E8-9803-1D28C887741D}"/>
    <cellStyle name="Normal 5 4 2" xfId="457" xr:uid="{00000000-0005-0000-0000-0000AE1A0000}"/>
    <cellStyle name="Normal 5 4 2 10" xfId="9054" xr:uid="{00924763-5450-4FFC-B58A-682DD3AD1A7E}"/>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15832" xr:uid="{6B1807B6-D989-4B73-8E23-3D2EF3842E3F}"/>
    <cellStyle name="Normal 5 4 2 2 2 2 2 3" xfId="11614" xr:uid="{2D610C4D-78B9-4A16-BFEC-A7BD37821930}"/>
    <cellStyle name="Normal 5 4 2 2 2 2 3" xfId="5245" xr:uid="{00000000-0005-0000-0000-0000B41A0000}"/>
    <cellStyle name="Normal 5 4 2 2 2 2 3 2" xfId="13687" xr:uid="{7B2DF3C8-DE72-4DBB-B5EB-1C913EE636E2}"/>
    <cellStyle name="Normal 5 4 2 2 2 2 4" xfId="9469" xr:uid="{0D084816-5DC5-48BB-9949-E953E0FE8491}"/>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2 2" xfId="16245" xr:uid="{14326841-DDFC-4631-84F7-3E0976ACAE11}"/>
    <cellStyle name="Normal 5 4 2 2 2 3 2 3" xfId="12027" xr:uid="{3A223F31-4D3F-4DEC-8FF6-AEFE4CC347A8}"/>
    <cellStyle name="Normal 5 4 2 2 2 3 3" xfId="5658" xr:uid="{00000000-0005-0000-0000-0000B81A0000}"/>
    <cellStyle name="Normal 5 4 2 2 2 3 3 2" xfId="14100" xr:uid="{55C79DE8-71CB-4A6F-8079-F109795B758E}"/>
    <cellStyle name="Normal 5 4 2 2 2 3 4" xfId="9882" xr:uid="{6A9FCE76-6D0C-4752-AD2B-7644EBF7687D}"/>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2 2 2" xfId="16658" xr:uid="{9666920B-106F-4C29-95A2-3B9B1FB12299}"/>
    <cellStyle name="Normal 5 4 2 2 2 4 2 3" xfId="12440" xr:uid="{5A70FDF3-89CD-47B4-8D1F-672BFB453EBB}"/>
    <cellStyle name="Normal 5 4 2 2 2 4 3" xfId="6071" xr:uid="{00000000-0005-0000-0000-0000BC1A0000}"/>
    <cellStyle name="Normal 5 4 2 2 2 4 3 2" xfId="14513" xr:uid="{37C9B961-1B73-4D25-B03F-A45A8BEBB651}"/>
    <cellStyle name="Normal 5 4 2 2 2 4 4" xfId="10295" xr:uid="{04C9CAFF-EDEE-42D1-9DDF-DB3C2DFD14D2}"/>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2 2 2" xfId="17071" xr:uid="{A3847C8F-E886-4B7F-AE3E-F675A556F375}"/>
    <cellStyle name="Normal 5 4 2 2 2 5 2 3" xfId="12853" xr:uid="{F4E03EAF-CC75-4796-8D2C-577AD55B3D51}"/>
    <cellStyle name="Normal 5 4 2 2 2 5 3" xfId="6484" xr:uid="{00000000-0005-0000-0000-0000C01A0000}"/>
    <cellStyle name="Normal 5 4 2 2 2 5 3 2" xfId="14926" xr:uid="{B3E23516-7C7A-4EB3-9878-59E660AD1821}"/>
    <cellStyle name="Normal 5 4 2 2 2 5 4" xfId="10708" xr:uid="{24AABF84-F7D7-4DA9-AA59-A7716BB63CC9}"/>
    <cellStyle name="Normal 5 4 2 2 2 6" xfId="2613" xr:uid="{00000000-0005-0000-0000-0000C11A0000}"/>
    <cellStyle name="Normal 5 4 2 2 2 6 2" xfId="6897" xr:uid="{00000000-0005-0000-0000-0000C21A0000}"/>
    <cellStyle name="Normal 5 4 2 2 2 6 2 2" xfId="15339" xr:uid="{7ADA5CFB-EE9C-4F9E-96EF-EF3D44DA6A9B}"/>
    <cellStyle name="Normal 5 4 2 2 2 6 3" xfId="11121" xr:uid="{1EBF3177-B783-4ED6-AAF1-278850280882}"/>
    <cellStyle name="Normal 5 4 2 2 2 7" xfId="4832" xr:uid="{00000000-0005-0000-0000-0000C31A0000}"/>
    <cellStyle name="Normal 5 4 2 2 2 7 2" xfId="13274" xr:uid="{2F27F3D8-4C93-4A4A-9ACF-DCA1A9586177}"/>
    <cellStyle name="Normal 5 4 2 2 2 8" xfId="9056" xr:uid="{3DED730C-569E-4C72-B078-8FF7403B6D00}"/>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15831" xr:uid="{6D225FE6-41A5-4E06-A176-3EEB3C7CE271}"/>
    <cellStyle name="Normal 5 4 2 2 3 2 3" xfId="11613" xr:uid="{B87D42DC-5A22-4866-9B3F-CF89CD42BB60}"/>
    <cellStyle name="Normal 5 4 2 2 3 3" xfId="5244" xr:uid="{00000000-0005-0000-0000-0000C71A0000}"/>
    <cellStyle name="Normal 5 4 2 2 3 3 2" xfId="13686" xr:uid="{03BE6423-6304-41CD-BD5A-25FB550D3DC8}"/>
    <cellStyle name="Normal 5 4 2 2 3 4" xfId="9468" xr:uid="{08D3D93C-BB10-425F-B6C8-58FCDE7E29F2}"/>
    <cellStyle name="Normal 5 4 2 2 4" xfId="1349" xr:uid="{00000000-0005-0000-0000-0000C81A0000}"/>
    <cellStyle name="Normal 5 4 2 2 4 2" xfId="3579" xr:uid="{00000000-0005-0000-0000-0000C91A0000}"/>
    <cellStyle name="Normal 5 4 2 2 4 2 2" xfId="7802" xr:uid="{00000000-0005-0000-0000-0000CA1A0000}"/>
    <cellStyle name="Normal 5 4 2 2 4 2 2 2" xfId="16244" xr:uid="{796750F4-2336-467A-9BA8-AE3654F40E95}"/>
    <cellStyle name="Normal 5 4 2 2 4 2 3" xfId="12026" xr:uid="{414C98D7-2AAD-4CEB-B166-5F2F0F16E0A6}"/>
    <cellStyle name="Normal 5 4 2 2 4 3" xfId="5657" xr:uid="{00000000-0005-0000-0000-0000CB1A0000}"/>
    <cellStyle name="Normal 5 4 2 2 4 3 2" xfId="14099" xr:uid="{C73746B6-1D90-48B4-A03D-6D6C6CD148F4}"/>
    <cellStyle name="Normal 5 4 2 2 4 4" xfId="9881" xr:uid="{16CC3902-A6CD-430E-846C-2B79A19C1264}"/>
    <cellStyle name="Normal 5 4 2 2 5" xfId="1762" xr:uid="{00000000-0005-0000-0000-0000CC1A0000}"/>
    <cellStyle name="Normal 5 4 2 2 5 2" xfId="3992" xr:uid="{00000000-0005-0000-0000-0000CD1A0000}"/>
    <cellStyle name="Normal 5 4 2 2 5 2 2" xfId="8215" xr:uid="{00000000-0005-0000-0000-0000CE1A0000}"/>
    <cellStyle name="Normal 5 4 2 2 5 2 2 2" xfId="16657" xr:uid="{BECB4952-B213-473C-9146-953C554CB7AE}"/>
    <cellStyle name="Normal 5 4 2 2 5 2 3" xfId="12439" xr:uid="{2809DE42-06E0-4309-8B92-4FBD32C19045}"/>
    <cellStyle name="Normal 5 4 2 2 5 3" xfId="6070" xr:uid="{00000000-0005-0000-0000-0000CF1A0000}"/>
    <cellStyle name="Normal 5 4 2 2 5 3 2" xfId="14512" xr:uid="{0C8F0F85-FEAC-49AF-8DC7-C46D74B726D9}"/>
    <cellStyle name="Normal 5 4 2 2 5 4" xfId="10294" xr:uid="{6EE81A22-D867-4503-83C6-EFE5C772AE3C}"/>
    <cellStyle name="Normal 5 4 2 2 6" xfId="2176" xr:uid="{00000000-0005-0000-0000-0000D01A0000}"/>
    <cellStyle name="Normal 5 4 2 2 6 2" xfId="4405" xr:uid="{00000000-0005-0000-0000-0000D11A0000}"/>
    <cellStyle name="Normal 5 4 2 2 6 2 2" xfId="8628" xr:uid="{00000000-0005-0000-0000-0000D21A0000}"/>
    <cellStyle name="Normal 5 4 2 2 6 2 2 2" xfId="17070" xr:uid="{07811D8C-B383-4167-AC06-FF79C00F0051}"/>
    <cellStyle name="Normal 5 4 2 2 6 2 3" xfId="12852" xr:uid="{A9756C87-4775-4418-A363-AABDDFBD1211}"/>
    <cellStyle name="Normal 5 4 2 2 6 3" xfId="6483" xr:uid="{00000000-0005-0000-0000-0000D31A0000}"/>
    <cellStyle name="Normal 5 4 2 2 6 3 2" xfId="14925" xr:uid="{44D183ED-C771-4F28-9AEA-A82FFABEB5C3}"/>
    <cellStyle name="Normal 5 4 2 2 6 4" xfId="10707" xr:uid="{27D71294-F51F-4DFB-884F-DA6CF5EF2A21}"/>
    <cellStyle name="Normal 5 4 2 2 7" xfId="2612" xr:uid="{00000000-0005-0000-0000-0000D41A0000}"/>
    <cellStyle name="Normal 5 4 2 2 7 2" xfId="6896" xr:uid="{00000000-0005-0000-0000-0000D51A0000}"/>
    <cellStyle name="Normal 5 4 2 2 7 2 2" xfId="15338" xr:uid="{802E7261-6B88-42C4-9CDA-48E3FEB1788E}"/>
    <cellStyle name="Normal 5 4 2 2 7 3" xfId="11120" xr:uid="{B0749219-D5CA-4B4C-917D-118167B84D75}"/>
    <cellStyle name="Normal 5 4 2 2 8" xfId="4831" xr:uid="{00000000-0005-0000-0000-0000D61A0000}"/>
    <cellStyle name="Normal 5 4 2 2 8 2" xfId="13273" xr:uid="{55BFCA81-850B-4B41-B645-0B92F2C17ABE}"/>
    <cellStyle name="Normal 5 4 2 2 9" xfId="9055" xr:uid="{F8E997D7-FD70-4583-B670-2FB92C7053C7}"/>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15833" xr:uid="{B5C64E20-DEA5-4976-9358-AE29C5CCAEFC}"/>
    <cellStyle name="Normal 5 4 2 3 2 2 3" xfId="11615" xr:uid="{A1A7A112-C602-419D-814A-30929FC50E99}"/>
    <cellStyle name="Normal 5 4 2 3 2 3" xfId="5246" xr:uid="{00000000-0005-0000-0000-0000DB1A0000}"/>
    <cellStyle name="Normal 5 4 2 3 2 3 2" xfId="13688" xr:uid="{E5C71AA9-D8C6-489F-ACA3-C3C321480478}"/>
    <cellStyle name="Normal 5 4 2 3 2 4" xfId="9470" xr:uid="{02BF467E-AFC7-45A9-972F-270E5D18C9F2}"/>
    <cellStyle name="Normal 5 4 2 3 3" xfId="1351" xr:uid="{00000000-0005-0000-0000-0000DC1A0000}"/>
    <cellStyle name="Normal 5 4 2 3 3 2" xfId="3581" xr:uid="{00000000-0005-0000-0000-0000DD1A0000}"/>
    <cellStyle name="Normal 5 4 2 3 3 2 2" xfId="7804" xr:uid="{00000000-0005-0000-0000-0000DE1A0000}"/>
    <cellStyle name="Normal 5 4 2 3 3 2 2 2" xfId="16246" xr:uid="{21A00E98-964A-418B-83C0-E56A85651B81}"/>
    <cellStyle name="Normal 5 4 2 3 3 2 3" xfId="12028" xr:uid="{A98495E3-382B-4D59-B6A0-B89CCA65421C}"/>
    <cellStyle name="Normal 5 4 2 3 3 3" xfId="5659" xr:uid="{00000000-0005-0000-0000-0000DF1A0000}"/>
    <cellStyle name="Normal 5 4 2 3 3 3 2" xfId="14101" xr:uid="{25EF3BC2-B7E1-427C-948A-BF1761926D68}"/>
    <cellStyle name="Normal 5 4 2 3 3 4" xfId="9883" xr:uid="{A5BE92A0-49EE-45F5-A4FF-142AF862DE76}"/>
    <cellStyle name="Normal 5 4 2 3 4" xfId="1764" xr:uid="{00000000-0005-0000-0000-0000E01A0000}"/>
    <cellStyle name="Normal 5 4 2 3 4 2" xfId="3994" xr:uid="{00000000-0005-0000-0000-0000E11A0000}"/>
    <cellStyle name="Normal 5 4 2 3 4 2 2" xfId="8217" xr:uid="{00000000-0005-0000-0000-0000E21A0000}"/>
    <cellStyle name="Normal 5 4 2 3 4 2 2 2" xfId="16659" xr:uid="{2C48D300-BBED-4A93-B6F7-0A7C2C6B1B1C}"/>
    <cellStyle name="Normal 5 4 2 3 4 2 3" xfId="12441" xr:uid="{59F7E946-0A17-4B4C-BDBB-2CB8DBA67E60}"/>
    <cellStyle name="Normal 5 4 2 3 4 3" xfId="6072" xr:uid="{00000000-0005-0000-0000-0000E31A0000}"/>
    <cellStyle name="Normal 5 4 2 3 4 3 2" xfId="14514" xr:uid="{3418F8EB-F81B-488B-B187-E016689D34A6}"/>
    <cellStyle name="Normal 5 4 2 3 4 4" xfId="10296" xr:uid="{8D7BC882-4E01-4A4C-8946-07784F7EB38E}"/>
    <cellStyle name="Normal 5 4 2 3 5" xfId="2178" xr:uid="{00000000-0005-0000-0000-0000E41A0000}"/>
    <cellStyle name="Normal 5 4 2 3 5 2" xfId="4407" xr:uid="{00000000-0005-0000-0000-0000E51A0000}"/>
    <cellStyle name="Normal 5 4 2 3 5 2 2" xfId="8630" xr:uid="{00000000-0005-0000-0000-0000E61A0000}"/>
    <cellStyle name="Normal 5 4 2 3 5 2 2 2" xfId="17072" xr:uid="{BDB44906-78EB-4B8E-B3D4-524EDCD79B83}"/>
    <cellStyle name="Normal 5 4 2 3 5 2 3" xfId="12854" xr:uid="{71DF17CD-19A9-4DA8-A7C1-D149323DBA4C}"/>
    <cellStyle name="Normal 5 4 2 3 5 3" xfId="6485" xr:uid="{00000000-0005-0000-0000-0000E71A0000}"/>
    <cellStyle name="Normal 5 4 2 3 5 3 2" xfId="14927" xr:uid="{56CA26AD-138D-4BE1-AFBE-A6706572E4A2}"/>
    <cellStyle name="Normal 5 4 2 3 5 4" xfId="10709" xr:uid="{D72E29B6-D531-484D-881D-84B80EC0EBA0}"/>
    <cellStyle name="Normal 5 4 2 3 6" xfId="2614" xr:uid="{00000000-0005-0000-0000-0000E81A0000}"/>
    <cellStyle name="Normal 5 4 2 3 6 2" xfId="6898" xr:uid="{00000000-0005-0000-0000-0000E91A0000}"/>
    <cellStyle name="Normal 5 4 2 3 6 2 2" xfId="15340" xr:uid="{42B73E4A-4CCC-4E44-92B2-DF4EF48A5609}"/>
    <cellStyle name="Normal 5 4 2 3 6 3" xfId="11122" xr:uid="{9A2FE230-A3A3-4B45-8761-93A67471D9E6}"/>
    <cellStyle name="Normal 5 4 2 3 7" xfId="4833" xr:uid="{00000000-0005-0000-0000-0000EA1A0000}"/>
    <cellStyle name="Normal 5 4 2 3 7 2" xfId="13275" xr:uid="{F337047F-045E-4FA2-938F-DC78E582ABCC}"/>
    <cellStyle name="Normal 5 4 2 3 8" xfId="9057" xr:uid="{5AFA74CB-AA81-4781-A04A-8D40C39855A1}"/>
    <cellStyle name="Normal 5 4 2 4" xfId="931" xr:uid="{00000000-0005-0000-0000-0000EB1A0000}"/>
    <cellStyle name="Normal 5 4 2 4 2" xfId="3165" xr:uid="{00000000-0005-0000-0000-0000EC1A0000}"/>
    <cellStyle name="Normal 5 4 2 4 2 2" xfId="7388" xr:uid="{00000000-0005-0000-0000-0000ED1A0000}"/>
    <cellStyle name="Normal 5 4 2 4 2 2 2" xfId="15830" xr:uid="{584B94C1-C5DE-4A54-8A9E-0C351303DA55}"/>
    <cellStyle name="Normal 5 4 2 4 2 3" xfId="11612" xr:uid="{94B75254-74AD-4CA7-BCC7-C5781262FE23}"/>
    <cellStyle name="Normal 5 4 2 4 3" xfId="5243" xr:uid="{00000000-0005-0000-0000-0000EE1A0000}"/>
    <cellStyle name="Normal 5 4 2 4 3 2" xfId="13685" xr:uid="{688A4FC4-1687-447F-AFDE-79AE1DC36986}"/>
    <cellStyle name="Normal 5 4 2 4 4" xfId="9467" xr:uid="{6AEF5A05-51D4-44E5-AA46-075C65E3A899}"/>
    <cellStyle name="Normal 5 4 2 5" xfId="1348" xr:uid="{00000000-0005-0000-0000-0000EF1A0000}"/>
    <cellStyle name="Normal 5 4 2 5 2" xfId="3578" xr:uid="{00000000-0005-0000-0000-0000F01A0000}"/>
    <cellStyle name="Normal 5 4 2 5 2 2" xfId="7801" xr:uid="{00000000-0005-0000-0000-0000F11A0000}"/>
    <cellStyle name="Normal 5 4 2 5 2 2 2" xfId="16243" xr:uid="{661150D2-38C7-42E3-8C07-62A77E318494}"/>
    <cellStyle name="Normal 5 4 2 5 2 3" xfId="12025" xr:uid="{E7223D01-2DC5-4FAE-A113-6502AD2494C8}"/>
    <cellStyle name="Normal 5 4 2 5 3" xfId="5656" xr:uid="{00000000-0005-0000-0000-0000F21A0000}"/>
    <cellStyle name="Normal 5 4 2 5 3 2" xfId="14098" xr:uid="{62682D98-3B3D-4EF5-B014-D61D1D5D8B50}"/>
    <cellStyle name="Normal 5 4 2 5 4" xfId="9880" xr:uid="{ADD8F45E-7934-4EDA-A6D2-41D373D944F9}"/>
    <cellStyle name="Normal 5 4 2 6" xfId="1761" xr:uid="{00000000-0005-0000-0000-0000F31A0000}"/>
    <cellStyle name="Normal 5 4 2 6 2" xfId="3991" xr:uid="{00000000-0005-0000-0000-0000F41A0000}"/>
    <cellStyle name="Normal 5 4 2 6 2 2" xfId="8214" xr:uid="{00000000-0005-0000-0000-0000F51A0000}"/>
    <cellStyle name="Normal 5 4 2 6 2 2 2" xfId="16656" xr:uid="{E2046B8F-7207-45B9-B974-4D366D6285A4}"/>
    <cellStyle name="Normal 5 4 2 6 2 3" xfId="12438" xr:uid="{50512B2B-C227-47DE-9911-684C6522F894}"/>
    <cellStyle name="Normal 5 4 2 6 3" xfId="6069" xr:uid="{00000000-0005-0000-0000-0000F61A0000}"/>
    <cellStyle name="Normal 5 4 2 6 3 2" xfId="14511" xr:uid="{18A8EA2A-8950-4B6E-9871-8459427DA984}"/>
    <cellStyle name="Normal 5 4 2 6 4" xfId="10293" xr:uid="{B6924538-1C4C-4AD2-93DC-25B67AE1F94A}"/>
    <cellStyle name="Normal 5 4 2 7" xfId="2175" xr:uid="{00000000-0005-0000-0000-0000F71A0000}"/>
    <cellStyle name="Normal 5 4 2 7 2" xfId="4404" xr:uid="{00000000-0005-0000-0000-0000F81A0000}"/>
    <cellStyle name="Normal 5 4 2 7 2 2" xfId="8627" xr:uid="{00000000-0005-0000-0000-0000F91A0000}"/>
    <cellStyle name="Normal 5 4 2 7 2 2 2" xfId="17069" xr:uid="{2186F36D-E726-44EF-BA93-0ABCA404FD4C}"/>
    <cellStyle name="Normal 5 4 2 7 2 3" xfId="12851" xr:uid="{CFE498CB-15A0-4353-91D0-B8B9CAF16747}"/>
    <cellStyle name="Normal 5 4 2 7 3" xfId="6482" xr:uid="{00000000-0005-0000-0000-0000FA1A0000}"/>
    <cellStyle name="Normal 5 4 2 7 3 2" xfId="14924" xr:uid="{EFF64699-5716-4F9D-AD37-A48E37CA454C}"/>
    <cellStyle name="Normal 5 4 2 7 4" xfId="10706" xr:uid="{D4A78F7D-72A0-4085-AEFA-983A3DA96227}"/>
    <cellStyle name="Normal 5 4 2 8" xfId="2611" xr:uid="{00000000-0005-0000-0000-0000FB1A0000}"/>
    <cellStyle name="Normal 5 4 2 8 2" xfId="6895" xr:uid="{00000000-0005-0000-0000-0000FC1A0000}"/>
    <cellStyle name="Normal 5 4 2 8 2 2" xfId="15337" xr:uid="{2C55F212-0218-47F8-8DD4-4B2877A91F1D}"/>
    <cellStyle name="Normal 5 4 2 8 3" xfId="11119" xr:uid="{058B7921-9781-409A-95D3-217647BAA6FB}"/>
    <cellStyle name="Normal 5 4 2 9" xfId="4830" xr:uid="{00000000-0005-0000-0000-0000FD1A0000}"/>
    <cellStyle name="Normal 5 4 2 9 2" xfId="13272" xr:uid="{8971CBA2-B9D1-464B-833C-E784271EDFAB}"/>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15835" xr:uid="{DFD4A27F-01C4-4A80-BD2A-1747672450C8}"/>
    <cellStyle name="Normal 5 4 3 2 2 2 3" xfId="11617" xr:uid="{DDD21692-36B0-4296-B474-A8424DAF446C}"/>
    <cellStyle name="Normal 5 4 3 2 2 3" xfId="5248" xr:uid="{00000000-0005-0000-0000-0000031B0000}"/>
    <cellStyle name="Normal 5 4 3 2 2 3 2" xfId="13690" xr:uid="{7918AA82-DC67-46D6-90CE-1BF400F87614}"/>
    <cellStyle name="Normal 5 4 3 2 2 4" xfId="9472" xr:uid="{F17F2C27-F743-40D3-9340-87E97ABF1DB8}"/>
    <cellStyle name="Normal 5 4 3 2 3" xfId="1353" xr:uid="{00000000-0005-0000-0000-0000041B0000}"/>
    <cellStyle name="Normal 5 4 3 2 3 2" xfId="3583" xr:uid="{00000000-0005-0000-0000-0000051B0000}"/>
    <cellStyle name="Normal 5 4 3 2 3 2 2" xfId="7806" xr:uid="{00000000-0005-0000-0000-0000061B0000}"/>
    <cellStyle name="Normal 5 4 3 2 3 2 2 2" xfId="16248" xr:uid="{8466650D-478E-4F35-A265-50176CE438D9}"/>
    <cellStyle name="Normal 5 4 3 2 3 2 3" xfId="12030" xr:uid="{9A5DD024-0B56-400F-B1DF-D155F9BF7ED3}"/>
    <cellStyle name="Normal 5 4 3 2 3 3" xfId="5661" xr:uid="{00000000-0005-0000-0000-0000071B0000}"/>
    <cellStyle name="Normal 5 4 3 2 3 3 2" xfId="14103" xr:uid="{33DC929E-820A-4088-A898-6FD91A5D7B67}"/>
    <cellStyle name="Normal 5 4 3 2 3 4" xfId="9885" xr:uid="{4118E697-F7F0-4F71-A9C7-DED0C67FC4BA}"/>
    <cellStyle name="Normal 5 4 3 2 4" xfId="1766" xr:uid="{00000000-0005-0000-0000-0000081B0000}"/>
    <cellStyle name="Normal 5 4 3 2 4 2" xfId="3996" xr:uid="{00000000-0005-0000-0000-0000091B0000}"/>
    <cellStyle name="Normal 5 4 3 2 4 2 2" xfId="8219" xr:uid="{00000000-0005-0000-0000-00000A1B0000}"/>
    <cellStyle name="Normal 5 4 3 2 4 2 2 2" xfId="16661" xr:uid="{3B8F15A9-9867-4901-B6BE-4CAAE6B27F5E}"/>
    <cellStyle name="Normal 5 4 3 2 4 2 3" xfId="12443" xr:uid="{6FA098D1-8EE0-4B8D-A033-1E711144F376}"/>
    <cellStyle name="Normal 5 4 3 2 4 3" xfId="6074" xr:uid="{00000000-0005-0000-0000-00000B1B0000}"/>
    <cellStyle name="Normal 5 4 3 2 4 3 2" xfId="14516" xr:uid="{F5E5DDBE-46DB-4475-97C0-2240B860CCDF}"/>
    <cellStyle name="Normal 5 4 3 2 4 4" xfId="10298" xr:uid="{DA91FCC1-FB20-4419-9338-0D83B0B5B083}"/>
    <cellStyle name="Normal 5 4 3 2 5" xfId="2180" xr:uid="{00000000-0005-0000-0000-00000C1B0000}"/>
    <cellStyle name="Normal 5 4 3 2 5 2" xfId="4409" xr:uid="{00000000-0005-0000-0000-00000D1B0000}"/>
    <cellStyle name="Normal 5 4 3 2 5 2 2" xfId="8632" xr:uid="{00000000-0005-0000-0000-00000E1B0000}"/>
    <cellStyle name="Normal 5 4 3 2 5 2 2 2" xfId="17074" xr:uid="{DF8F6140-0293-466A-B494-FC9961EF069C}"/>
    <cellStyle name="Normal 5 4 3 2 5 2 3" xfId="12856" xr:uid="{389E1B93-86F8-4694-91E9-974C05FA8737}"/>
    <cellStyle name="Normal 5 4 3 2 5 3" xfId="6487" xr:uid="{00000000-0005-0000-0000-00000F1B0000}"/>
    <cellStyle name="Normal 5 4 3 2 5 3 2" xfId="14929" xr:uid="{79E6BB65-EA85-4284-B4A4-AD9F4AFE6386}"/>
    <cellStyle name="Normal 5 4 3 2 5 4" xfId="10711" xr:uid="{7A3EFB07-EB7F-4972-B7C6-6C83F0CD4E98}"/>
    <cellStyle name="Normal 5 4 3 2 6" xfId="2616" xr:uid="{00000000-0005-0000-0000-0000101B0000}"/>
    <cellStyle name="Normal 5 4 3 2 6 2" xfId="6900" xr:uid="{00000000-0005-0000-0000-0000111B0000}"/>
    <cellStyle name="Normal 5 4 3 2 6 2 2" xfId="15342" xr:uid="{89F038CF-DA8A-4D71-816B-F3602D1FD5D7}"/>
    <cellStyle name="Normal 5 4 3 2 6 3" xfId="11124" xr:uid="{4CE0BE77-1D64-4F28-9490-E8AB70A78DD4}"/>
    <cellStyle name="Normal 5 4 3 2 7" xfId="4835" xr:uid="{00000000-0005-0000-0000-0000121B0000}"/>
    <cellStyle name="Normal 5 4 3 2 7 2" xfId="13277" xr:uid="{414E0E07-3A2D-4CBD-A7BC-77A84BC9259F}"/>
    <cellStyle name="Normal 5 4 3 2 8" xfId="9059" xr:uid="{DD9923FA-73B8-4BF3-AA0B-8429D824BDF1}"/>
    <cellStyle name="Normal 5 4 3 3" xfId="935" xr:uid="{00000000-0005-0000-0000-0000131B0000}"/>
    <cellStyle name="Normal 5 4 3 3 2" xfId="3169" xr:uid="{00000000-0005-0000-0000-0000141B0000}"/>
    <cellStyle name="Normal 5 4 3 3 2 2" xfId="7392" xr:uid="{00000000-0005-0000-0000-0000151B0000}"/>
    <cellStyle name="Normal 5 4 3 3 2 2 2" xfId="15834" xr:uid="{1A7F302C-317F-4D4B-97B7-D490ED88D7E3}"/>
    <cellStyle name="Normal 5 4 3 3 2 3" xfId="11616" xr:uid="{DBBA4A82-5FB9-414D-B7D2-DA8B25647264}"/>
    <cellStyle name="Normal 5 4 3 3 3" xfId="5247" xr:uid="{00000000-0005-0000-0000-0000161B0000}"/>
    <cellStyle name="Normal 5 4 3 3 3 2" xfId="13689" xr:uid="{92E6AECA-1AFC-4A06-A1AA-24DD0A2305A1}"/>
    <cellStyle name="Normal 5 4 3 3 4" xfId="9471" xr:uid="{B3293DED-90AF-4DB9-8D1C-A8E736148FD3}"/>
    <cellStyle name="Normal 5 4 3 4" xfId="1352" xr:uid="{00000000-0005-0000-0000-0000171B0000}"/>
    <cellStyle name="Normal 5 4 3 4 2" xfId="3582" xr:uid="{00000000-0005-0000-0000-0000181B0000}"/>
    <cellStyle name="Normal 5 4 3 4 2 2" xfId="7805" xr:uid="{00000000-0005-0000-0000-0000191B0000}"/>
    <cellStyle name="Normal 5 4 3 4 2 2 2" xfId="16247" xr:uid="{A7852F97-9E52-4349-B792-6D69EE4CCB1E}"/>
    <cellStyle name="Normal 5 4 3 4 2 3" xfId="12029" xr:uid="{EAD859F5-6B17-430F-BD2F-5E7DE2507D59}"/>
    <cellStyle name="Normal 5 4 3 4 3" xfId="5660" xr:uid="{00000000-0005-0000-0000-00001A1B0000}"/>
    <cellStyle name="Normal 5 4 3 4 3 2" xfId="14102" xr:uid="{AC780706-588C-4DC4-A5B4-79E8839FCEFA}"/>
    <cellStyle name="Normal 5 4 3 4 4" xfId="9884" xr:uid="{E1E34C72-28EE-46EB-AD04-DD9FCF36FC27}"/>
    <cellStyle name="Normal 5 4 3 5" xfId="1765" xr:uid="{00000000-0005-0000-0000-00001B1B0000}"/>
    <cellStyle name="Normal 5 4 3 5 2" xfId="3995" xr:uid="{00000000-0005-0000-0000-00001C1B0000}"/>
    <cellStyle name="Normal 5 4 3 5 2 2" xfId="8218" xr:uid="{00000000-0005-0000-0000-00001D1B0000}"/>
    <cellStyle name="Normal 5 4 3 5 2 2 2" xfId="16660" xr:uid="{572F8FB0-01DD-4AEE-ACA2-A31DE90F2EC1}"/>
    <cellStyle name="Normal 5 4 3 5 2 3" xfId="12442" xr:uid="{8EFFFE60-B3AD-4A98-82DC-CD94AC89BDD6}"/>
    <cellStyle name="Normal 5 4 3 5 3" xfId="6073" xr:uid="{00000000-0005-0000-0000-00001E1B0000}"/>
    <cellStyle name="Normal 5 4 3 5 3 2" xfId="14515" xr:uid="{CE27D603-7BE8-47A6-961D-ED2399A92DA4}"/>
    <cellStyle name="Normal 5 4 3 5 4" xfId="10297" xr:uid="{E5D9743F-0981-49E3-83CC-DFB727FF7C79}"/>
    <cellStyle name="Normal 5 4 3 6" xfId="2179" xr:uid="{00000000-0005-0000-0000-00001F1B0000}"/>
    <cellStyle name="Normal 5 4 3 6 2" xfId="4408" xr:uid="{00000000-0005-0000-0000-0000201B0000}"/>
    <cellStyle name="Normal 5 4 3 6 2 2" xfId="8631" xr:uid="{00000000-0005-0000-0000-0000211B0000}"/>
    <cellStyle name="Normal 5 4 3 6 2 2 2" xfId="17073" xr:uid="{EC71200C-95A6-459D-8C3C-97F8291A2B21}"/>
    <cellStyle name="Normal 5 4 3 6 2 3" xfId="12855" xr:uid="{A6188EAE-7013-46CF-904C-4CB18581C79B}"/>
    <cellStyle name="Normal 5 4 3 6 3" xfId="6486" xr:uid="{00000000-0005-0000-0000-0000221B0000}"/>
    <cellStyle name="Normal 5 4 3 6 3 2" xfId="14928" xr:uid="{C4220470-39EF-437E-9900-9C81D127DECB}"/>
    <cellStyle name="Normal 5 4 3 6 4" xfId="10710" xr:uid="{3F2A11D4-FB82-41BF-9810-2BD964D14DD6}"/>
    <cellStyle name="Normal 5 4 3 7" xfId="2615" xr:uid="{00000000-0005-0000-0000-0000231B0000}"/>
    <cellStyle name="Normal 5 4 3 7 2" xfId="6899" xr:uid="{00000000-0005-0000-0000-0000241B0000}"/>
    <cellStyle name="Normal 5 4 3 7 2 2" xfId="15341" xr:uid="{D1F4D1DA-F03D-4083-BA40-AB4C242615FB}"/>
    <cellStyle name="Normal 5 4 3 7 3" xfId="11123" xr:uid="{C3488C1D-BFC9-4639-88FA-3B4A2DCA7D46}"/>
    <cellStyle name="Normal 5 4 3 8" xfId="4834" xr:uid="{00000000-0005-0000-0000-0000251B0000}"/>
    <cellStyle name="Normal 5 4 3 8 2" xfId="13276" xr:uid="{076FAD44-3945-4920-B5F0-750D885F5A52}"/>
    <cellStyle name="Normal 5 4 3 9" xfId="9058" xr:uid="{C3EBE2CE-932D-410B-B674-5A05213733CB}"/>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2 2 2" xfId="15836" xr:uid="{70F4066A-E889-4714-844E-A5970C94547F}"/>
    <cellStyle name="Normal 5 4 4 2 2 3" xfId="11618" xr:uid="{FD5FDD23-9D44-4B0C-972B-4FDAEC15499D}"/>
    <cellStyle name="Normal 5 4 4 2 3" xfId="5249" xr:uid="{00000000-0005-0000-0000-00002A1B0000}"/>
    <cellStyle name="Normal 5 4 4 2 3 2" xfId="13691" xr:uid="{54CE3A19-40B8-493A-B676-67F45790883E}"/>
    <cellStyle name="Normal 5 4 4 2 4" xfId="9473" xr:uid="{3D81ED36-62D4-4843-A4C9-B6C2D12F4431}"/>
    <cellStyle name="Normal 5 4 4 3" xfId="1354" xr:uid="{00000000-0005-0000-0000-00002B1B0000}"/>
    <cellStyle name="Normal 5 4 4 3 2" xfId="3584" xr:uid="{00000000-0005-0000-0000-00002C1B0000}"/>
    <cellStyle name="Normal 5 4 4 3 2 2" xfId="7807" xr:uid="{00000000-0005-0000-0000-00002D1B0000}"/>
    <cellStyle name="Normal 5 4 4 3 2 2 2" xfId="16249" xr:uid="{09B601F4-550A-4B4C-A8EC-BE6D216382B1}"/>
    <cellStyle name="Normal 5 4 4 3 2 3" xfId="12031" xr:uid="{30112457-2BEC-4E0D-A6EB-9CDF2446F844}"/>
    <cellStyle name="Normal 5 4 4 3 3" xfId="5662" xr:uid="{00000000-0005-0000-0000-00002E1B0000}"/>
    <cellStyle name="Normal 5 4 4 3 3 2" xfId="14104" xr:uid="{5C537791-B773-45B0-8BD0-BB0A89F17061}"/>
    <cellStyle name="Normal 5 4 4 3 4" xfId="9886" xr:uid="{DC15B7DA-24E5-42B3-95EB-17B07AF20FC1}"/>
    <cellStyle name="Normal 5 4 4 4" xfId="1767" xr:uid="{00000000-0005-0000-0000-00002F1B0000}"/>
    <cellStyle name="Normal 5 4 4 4 2" xfId="3997" xr:uid="{00000000-0005-0000-0000-0000301B0000}"/>
    <cellStyle name="Normal 5 4 4 4 2 2" xfId="8220" xr:uid="{00000000-0005-0000-0000-0000311B0000}"/>
    <cellStyle name="Normal 5 4 4 4 2 2 2" xfId="16662" xr:uid="{4667FB36-66C9-4AE6-881F-EF6A71EEE864}"/>
    <cellStyle name="Normal 5 4 4 4 2 3" xfId="12444" xr:uid="{238B9EB0-26F2-4B71-BA67-E934EA0AAB3F}"/>
    <cellStyle name="Normal 5 4 4 4 3" xfId="6075" xr:uid="{00000000-0005-0000-0000-0000321B0000}"/>
    <cellStyle name="Normal 5 4 4 4 3 2" xfId="14517" xr:uid="{59074E00-EE4A-46A6-A8A1-0202C25542C7}"/>
    <cellStyle name="Normal 5 4 4 4 4" xfId="10299" xr:uid="{623BF53E-3BB2-4ABA-BE17-951C4C4F6690}"/>
    <cellStyle name="Normal 5 4 4 5" xfId="2181" xr:uid="{00000000-0005-0000-0000-0000331B0000}"/>
    <cellStyle name="Normal 5 4 4 5 2" xfId="4410" xr:uid="{00000000-0005-0000-0000-0000341B0000}"/>
    <cellStyle name="Normal 5 4 4 5 2 2" xfId="8633" xr:uid="{00000000-0005-0000-0000-0000351B0000}"/>
    <cellStyle name="Normal 5 4 4 5 2 2 2" xfId="17075" xr:uid="{E1FABD48-EC81-495A-8884-114B6FDE37AB}"/>
    <cellStyle name="Normal 5 4 4 5 2 3" xfId="12857" xr:uid="{5F886739-914B-4F9D-B446-8FBAB09B028E}"/>
    <cellStyle name="Normal 5 4 4 5 3" xfId="6488" xr:uid="{00000000-0005-0000-0000-0000361B0000}"/>
    <cellStyle name="Normal 5 4 4 5 3 2" xfId="14930" xr:uid="{A2692993-2438-46C4-94C1-162317137EAD}"/>
    <cellStyle name="Normal 5 4 4 5 4" xfId="10712" xr:uid="{A0788588-A501-4D9E-AB47-7F0466458F01}"/>
    <cellStyle name="Normal 5 4 4 6" xfId="2617" xr:uid="{00000000-0005-0000-0000-0000371B0000}"/>
    <cellStyle name="Normal 5 4 4 6 2" xfId="6901" xr:uid="{00000000-0005-0000-0000-0000381B0000}"/>
    <cellStyle name="Normal 5 4 4 6 2 2" xfId="15343" xr:uid="{38C73C43-2B42-481F-AE46-34E745EBAE79}"/>
    <cellStyle name="Normal 5 4 4 6 3" xfId="11125" xr:uid="{7ECAFCAB-ED22-488E-88E8-1160E020C09A}"/>
    <cellStyle name="Normal 5 4 4 7" xfId="4836" xr:uid="{00000000-0005-0000-0000-0000391B0000}"/>
    <cellStyle name="Normal 5 4 4 7 2" xfId="13278" xr:uid="{BE238477-8586-4B35-B728-54341104232A}"/>
    <cellStyle name="Normal 5 4 4 8" xfId="9060" xr:uid="{C12D9C0C-ADE3-4A51-8862-AE4E92E7A95A}"/>
    <cellStyle name="Normal 5 4 5" xfId="930" xr:uid="{00000000-0005-0000-0000-00003A1B0000}"/>
    <cellStyle name="Normal 5 4 5 2" xfId="3164" xr:uid="{00000000-0005-0000-0000-00003B1B0000}"/>
    <cellStyle name="Normal 5 4 5 2 2" xfId="7387" xr:uid="{00000000-0005-0000-0000-00003C1B0000}"/>
    <cellStyle name="Normal 5 4 5 2 2 2" xfId="15829" xr:uid="{899ACD75-4422-4D3B-9B56-A62ED2E9FAFC}"/>
    <cellStyle name="Normal 5 4 5 2 3" xfId="11611" xr:uid="{E556D0D5-D541-4C35-8E05-ECC9CB6AB764}"/>
    <cellStyle name="Normal 5 4 5 3" xfId="5242" xr:uid="{00000000-0005-0000-0000-00003D1B0000}"/>
    <cellStyle name="Normal 5 4 5 3 2" xfId="13684" xr:uid="{B6871481-81A5-4308-9BBD-63132C6F2937}"/>
    <cellStyle name="Normal 5 4 5 4" xfId="9466" xr:uid="{5230670C-0706-45A1-9C49-7AA9C57448D4}"/>
    <cellStyle name="Normal 5 4 6" xfId="1347" xr:uid="{00000000-0005-0000-0000-00003E1B0000}"/>
    <cellStyle name="Normal 5 4 6 2" xfId="3577" xr:uid="{00000000-0005-0000-0000-00003F1B0000}"/>
    <cellStyle name="Normal 5 4 6 2 2" xfId="7800" xr:uid="{00000000-0005-0000-0000-0000401B0000}"/>
    <cellStyle name="Normal 5 4 6 2 2 2" xfId="16242" xr:uid="{2A7E38C8-ED32-4D3D-A054-778A73579357}"/>
    <cellStyle name="Normal 5 4 6 2 3" xfId="12024" xr:uid="{224355E3-8F94-49D7-B598-DB98C9E84BD5}"/>
    <cellStyle name="Normal 5 4 6 3" xfId="5655" xr:uid="{00000000-0005-0000-0000-0000411B0000}"/>
    <cellStyle name="Normal 5 4 6 3 2" xfId="14097" xr:uid="{0D3B82DB-EFF0-4A46-89AB-712CE2A4430A}"/>
    <cellStyle name="Normal 5 4 6 4" xfId="9879" xr:uid="{FAED7D45-67C7-4D8F-8C07-50286C755833}"/>
    <cellStyle name="Normal 5 4 7" xfId="1760" xr:uid="{00000000-0005-0000-0000-0000421B0000}"/>
    <cellStyle name="Normal 5 4 7 2" xfId="3990" xr:uid="{00000000-0005-0000-0000-0000431B0000}"/>
    <cellStyle name="Normal 5 4 7 2 2" xfId="8213" xr:uid="{00000000-0005-0000-0000-0000441B0000}"/>
    <cellStyle name="Normal 5 4 7 2 2 2" xfId="16655" xr:uid="{628DBF7B-D0DD-4660-B245-2129BCE27D9D}"/>
    <cellStyle name="Normal 5 4 7 2 3" xfId="12437" xr:uid="{69F09603-D8AE-46D4-997A-ED9ECDDD3B1B}"/>
    <cellStyle name="Normal 5 4 7 3" xfId="6068" xr:uid="{00000000-0005-0000-0000-0000451B0000}"/>
    <cellStyle name="Normal 5 4 7 3 2" xfId="14510" xr:uid="{1A714E78-F4CA-4B40-A93A-0B28A984D5C8}"/>
    <cellStyle name="Normal 5 4 7 4" xfId="10292" xr:uid="{5CF69250-7099-449D-987E-286B1B2B4B13}"/>
    <cellStyle name="Normal 5 4 8" xfId="2174" xr:uid="{00000000-0005-0000-0000-0000461B0000}"/>
    <cellStyle name="Normal 5 4 8 2" xfId="4403" xr:uid="{00000000-0005-0000-0000-0000471B0000}"/>
    <cellStyle name="Normal 5 4 8 2 2" xfId="8626" xr:uid="{00000000-0005-0000-0000-0000481B0000}"/>
    <cellStyle name="Normal 5 4 8 2 2 2" xfId="17068" xr:uid="{0AE765C0-7463-4EB0-9C92-4A9EFBAF2381}"/>
    <cellStyle name="Normal 5 4 8 2 3" xfId="12850" xr:uid="{B60CF68A-5F3F-446A-BB1E-AACC62AF87D6}"/>
    <cellStyle name="Normal 5 4 8 3" xfId="6481" xr:uid="{00000000-0005-0000-0000-0000491B0000}"/>
    <cellStyle name="Normal 5 4 8 3 2" xfId="14923" xr:uid="{7D0F4906-2721-4006-A01B-277228FB97DA}"/>
    <cellStyle name="Normal 5 4 8 4" xfId="10705" xr:uid="{A5592901-2DF8-4ED9-9477-16CE4E98258D}"/>
    <cellStyle name="Normal 5 4 9" xfId="2610" xr:uid="{00000000-0005-0000-0000-00004A1B0000}"/>
    <cellStyle name="Normal 5 4 9 2" xfId="6894" xr:uid="{00000000-0005-0000-0000-00004B1B0000}"/>
    <cellStyle name="Normal 5 4 9 2 2" xfId="15336" xr:uid="{BCE37CB5-5FD9-4439-9986-0CBDBAA4DFA6}"/>
    <cellStyle name="Normal 5 4 9 3" xfId="11118" xr:uid="{DAA2EED1-01F4-483F-A300-E5684482A53C}"/>
    <cellStyle name="Normal 5 5" xfId="464" xr:uid="{00000000-0005-0000-0000-00004C1B0000}"/>
    <cellStyle name="Normal 5 5 10" xfId="9061" xr:uid="{97669BA5-19A1-4B54-873F-225709178B2D}"/>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15839" xr:uid="{6280C92D-56D2-4984-BDB5-34A0D8BB5A2E}"/>
    <cellStyle name="Normal 5 5 2 2 2 2 3" xfId="11621" xr:uid="{F1D5F847-595F-4029-B774-E9D719BA51E5}"/>
    <cellStyle name="Normal 5 5 2 2 2 3" xfId="5252" xr:uid="{00000000-0005-0000-0000-0000521B0000}"/>
    <cellStyle name="Normal 5 5 2 2 2 3 2" xfId="13694" xr:uid="{E857430F-F2CE-4277-8BF9-BDEE67B139D2}"/>
    <cellStyle name="Normal 5 5 2 2 2 4" xfId="9476" xr:uid="{9F69FD23-0769-4D11-960D-4F75AED01A9A}"/>
    <cellStyle name="Normal 5 5 2 2 3" xfId="1357" xr:uid="{00000000-0005-0000-0000-0000531B0000}"/>
    <cellStyle name="Normal 5 5 2 2 3 2" xfId="3587" xr:uid="{00000000-0005-0000-0000-0000541B0000}"/>
    <cellStyle name="Normal 5 5 2 2 3 2 2" xfId="7810" xr:uid="{00000000-0005-0000-0000-0000551B0000}"/>
    <cellStyle name="Normal 5 5 2 2 3 2 2 2" xfId="16252" xr:uid="{F4335A8D-5BD5-40FA-85A3-15317732B269}"/>
    <cellStyle name="Normal 5 5 2 2 3 2 3" xfId="12034" xr:uid="{3B793891-B244-4A26-A6A8-A46FB560012B}"/>
    <cellStyle name="Normal 5 5 2 2 3 3" xfId="5665" xr:uid="{00000000-0005-0000-0000-0000561B0000}"/>
    <cellStyle name="Normal 5 5 2 2 3 3 2" xfId="14107" xr:uid="{8C2218B7-17DC-4E4B-952A-38B87B53F491}"/>
    <cellStyle name="Normal 5 5 2 2 3 4" xfId="9889" xr:uid="{86F5A9C5-64A4-458D-92CE-02DDDF109BBF}"/>
    <cellStyle name="Normal 5 5 2 2 4" xfId="1770" xr:uid="{00000000-0005-0000-0000-0000571B0000}"/>
    <cellStyle name="Normal 5 5 2 2 4 2" xfId="4000" xr:uid="{00000000-0005-0000-0000-0000581B0000}"/>
    <cellStyle name="Normal 5 5 2 2 4 2 2" xfId="8223" xr:uid="{00000000-0005-0000-0000-0000591B0000}"/>
    <cellStyle name="Normal 5 5 2 2 4 2 2 2" xfId="16665" xr:uid="{22B47332-DDC0-4B20-B17A-C125402B9FEF}"/>
    <cellStyle name="Normal 5 5 2 2 4 2 3" xfId="12447" xr:uid="{DBCAF23E-5788-436C-87F8-558348856E51}"/>
    <cellStyle name="Normal 5 5 2 2 4 3" xfId="6078" xr:uid="{00000000-0005-0000-0000-00005A1B0000}"/>
    <cellStyle name="Normal 5 5 2 2 4 3 2" xfId="14520" xr:uid="{E5EF4ED6-62A6-4A69-88F9-E445345C6F60}"/>
    <cellStyle name="Normal 5 5 2 2 4 4" xfId="10302" xr:uid="{56C54350-5F20-4E31-898F-F2BC5C2F9017}"/>
    <cellStyle name="Normal 5 5 2 2 5" xfId="2184" xr:uid="{00000000-0005-0000-0000-00005B1B0000}"/>
    <cellStyle name="Normal 5 5 2 2 5 2" xfId="4413" xr:uid="{00000000-0005-0000-0000-00005C1B0000}"/>
    <cellStyle name="Normal 5 5 2 2 5 2 2" xfId="8636" xr:uid="{00000000-0005-0000-0000-00005D1B0000}"/>
    <cellStyle name="Normal 5 5 2 2 5 2 2 2" xfId="17078" xr:uid="{71E5EA1C-B6CF-4973-9BC5-0D9BD0E7AD9C}"/>
    <cellStyle name="Normal 5 5 2 2 5 2 3" xfId="12860" xr:uid="{0163B56E-6588-466E-A1CA-CB15E5711276}"/>
    <cellStyle name="Normal 5 5 2 2 5 3" xfId="6491" xr:uid="{00000000-0005-0000-0000-00005E1B0000}"/>
    <cellStyle name="Normal 5 5 2 2 5 3 2" xfId="14933" xr:uid="{0F6ED62C-4CDC-4A97-8F9A-9D41A139501C}"/>
    <cellStyle name="Normal 5 5 2 2 5 4" xfId="10715" xr:uid="{979F5EB0-6CBA-4C27-8E9F-7C448765164A}"/>
    <cellStyle name="Normal 5 5 2 2 6" xfId="2620" xr:uid="{00000000-0005-0000-0000-00005F1B0000}"/>
    <cellStyle name="Normal 5 5 2 2 6 2" xfId="6904" xr:uid="{00000000-0005-0000-0000-0000601B0000}"/>
    <cellStyle name="Normal 5 5 2 2 6 2 2" xfId="15346" xr:uid="{BE1E389E-A737-4628-993A-03870B3894C0}"/>
    <cellStyle name="Normal 5 5 2 2 6 3" xfId="11128" xr:uid="{3DF44B10-7BFE-4DBD-81A6-55656DAA46D5}"/>
    <cellStyle name="Normal 5 5 2 2 7" xfId="4839" xr:uid="{00000000-0005-0000-0000-0000611B0000}"/>
    <cellStyle name="Normal 5 5 2 2 7 2" xfId="13281" xr:uid="{8990384F-9BDC-4987-A11E-73006B04ED25}"/>
    <cellStyle name="Normal 5 5 2 2 8" xfId="9063" xr:uid="{7C0E1368-142E-4A67-8B00-C7CDBACF00C6}"/>
    <cellStyle name="Normal 5 5 2 3" xfId="939" xr:uid="{00000000-0005-0000-0000-0000621B0000}"/>
    <cellStyle name="Normal 5 5 2 3 2" xfId="3173" xr:uid="{00000000-0005-0000-0000-0000631B0000}"/>
    <cellStyle name="Normal 5 5 2 3 2 2" xfId="7396" xr:uid="{00000000-0005-0000-0000-0000641B0000}"/>
    <cellStyle name="Normal 5 5 2 3 2 2 2" xfId="15838" xr:uid="{D2C19160-7014-434C-804F-A9B5BC5B6354}"/>
    <cellStyle name="Normal 5 5 2 3 2 3" xfId="11620" xr:uid="{FBB9E54E-2F08-4647-9FC4-E3D0B4F0122F}"/>
    <cellStyle name="Normal 5 5 2 3 3" xfId="5251" xr:uid="{00000000-0005-0000-0000-0000651B0000}"/>
    <cellStyle name="Normal 5 5 2 3 3 2" xfId="13693" xr:uid="{C81DA405-10E1-44A4-9826-9DD4EF134FB0}"/>
    <cellStyle name="Normal 5 5 2 3 4" xfId="9475" xr:uid="{8A98C0A8-7B78-4B9A-BCDA-E90D4968CE64}"/>
    <cellStyle name="Normal 5 5 2 4" xfId="1356" xr:uid="{00000000-0005-0000-0000-0000661B0000}"/>
    <cellStyle name="Normal 5 5 2 4 2" xfId="3586" xr:uid="{00000000-0005-0000-0000-0000671B0000}"/>
    <cellStyle name="Normal 5 5 2 4 2 2" xfId="7809" xr:uid="{00000000-0005-0000-0000-0000681B0000}"/>
    <cellStyle name="Normal 5 5 2 4 2 2 2" xfId="16251" xr:uid="{E0F4E68B-6EC8-4445-BE45-82D77B6861B0}"/>
    <cellStyle name="Normal 5 5 2 4 2 3" xfId="12033" xr:uid="{11CCEAE6-9B3A-4840-8A01-9899C5CB47F3}"/>
    <cellStyle name="Normal 5 5 2 4 3" xfId="5664" xr:uid="{00000000-0005-0000-0000-0000691B0000}"/>
    <cellStyle name="Normal 5 5 2 4 3 2" xfId="14106" xr:uid="{05DA2942-C202-461F-B8BF-C1D39FE7E64C}"/>
    <cellStyle name="Normal 5 5 2 4 4" xfId="9888" xr:uid="{6F21E70B-1FE2-49D2-9043-704904C78AE7}"/>
    <cellStyle name="Normal 5 5 2 5" xfId="1769" xr:uid="{00000000-0005-0000-0000-00006A1B0000}"/>
    <cellStyle name="Normal 5 5 2 5 2" xfId="3999" xr:uid="{00000000-0005-0000-0000-00006B1B0000}"/>
    <cellStyle name="Normal 5 5 2 5 2 2" xfId="8222" xr:uid="{00000000-0005-0000-0000-00006C1B0000}"/>
    <cellStyle name="Normal 5 5 2 5 2 2 2" xfId="16664" xr:uid="{F3A6E15A-13F0-4DAB-B7C4-B08E0A0D07BB}"/>
    <cellStyle name="Normal 5 5 2 5 2 3" xfId="12446" xr:uid="{88588880-B9A4-4C69-81ED-96BC119BE1E0}"/>
    <cellStyle name="Normal 5 5 2 5 3" xfId="6077" xr:uid="{00000000-0005-0000-0000-00006D1B0000}"/>
    <cellStyle name="Normal 5 5 2 5 3 2" xfId="14519" xr:uid="{856E06DB-2644-48A7-9E2A-0A7FF342CFC5}"/>
    <cellStyle name="Normal 5 5 2 5 4" xfId="10301" xr:uid="{12CD42BC-60A6-4B94-B38E-672217ED2FB5}"/>
    <cellStyle name="Normal 5 5 2 6" xfId="2183" xr:uid="{00000000-0005-0000-0000-00006E1B0000}"/>
    <cellStyle name="Normal 5 5 2 6 2" xfId="4412" xr:uid="{00000000-0005-0000-0000-00006F1B0000}"/>
    <cellStyle name="Normal 5 5 2 6 2 2" xfId="8635" xr:uid="{00000000-0005-0000-0000-0000701B0000}"/>
    <cellStyle name="Normal 5 5 2 6 2 2 2" xfId="17077" xr:uid="{B7DFCE55-7028-495B-AC38-B1D576060558}"/>
    <cellStyle name="Normal 5 5 2 6 2 3" xfId="12859" xr:uid="{56A54FF4-234C-49BF-BAF1-2A47C5E83042}"/>
    <cellStyle name="Normal 5 5 2 6 3" xfId="6490" xr:uid="{00000000-0005-0000-0000-0000711B0000}"/>
    <cellStyle name="Normal 5 5 2 6 3 2" xfId="14932" xr:uid="{BA4CE3BB-D1CB-443D-927B-346E7C3C0A9D}"/>
    <cellStyle name="Normal 5 5 2 6 4" xfId="10714" xr:uid="{E5C04B0F-D935-4B29-87CF-3A25768F42B6}"/>
    <cellStyle name="Normal 5 5 2 7" xfId="2619" xr:uid="{00000000-0005-0000-0000-0000721B0000}"/>
    <cellStyle name="Normal 5 5 2 7 2" xfId="6903" xr:uid="{00000000-0005-0000-0000-0000731B0000}"/>
    <cellStyle name="Normal 5 5 2 7 2 2" xfId="15345" xr:uid="{63960E94-773C-4962-AA36-FBE65A281B04}"/>
    <cellStyle name="Normal 5 5 2 7 3" xfId="11127" xr:uid="{0AFCB7D4-5FD0-49C1-9A15-97287082EDBB}"/>
    <cellStyle name="Normal 5 5 2 8" xfId="4838" xr:uid="{00000000-0005-0000-0000-0000741B0000}"/>
    <cellStyle name="Normal 5 5 2 8 2" xfId="13280" xr:uid="{7C5115E7-206A-46AE-A4F4-9EC600668FC3}"/>
    <cellStyle name="Normal 5 5 2 9" xfId="9062" xr:uid="{BB93E827-8F05-4FBE-B25B-AB59635E882D}"/>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2 2 2" xfId="15840" xr:uid="{AAA4D2A9-85FF-4B57-B1D1-DF7C629B1A95}"/>
    <cellStyle name="Normal 5 5 3 2 2 3" xfId="11622" xr:uid="{519878AB-52E9-4D7E-884F-28115A94A2BC}"/>
    <cellStyle name="Normal 5 5 3 2 3" xfId="5253" xr:uid="{00000000-0005-0000-0000-0000791B0000}"/>
    <cellStyle name="Normal 5 5 3 2 3 2" xfId="13695" xr:uid="{1E6263D0-F05D-4FE7-884C-D0DEC3ACA53C}"/>
    <cellStyle name="Normal 5 5 3 2 4" xfId="9477" xr:uid="{4A5B008C-66B5-4397-BBCA-49004F9266FE}"/>
    <cellStyle name="Normal 5 5 3 3" xfId="1358" xr:uid="{00000000-0005-0000-0000-00007A1B0000}"/>
    <cellStyle name="Normal 5 5 3 3 2" xfId="3588" xr:uid="{00000000-0005-0000-0000-00007B1B0000}"/>
    <cellStyle name="Normal 5 5 3 3 2 2" xfId="7811" xr:uid="{00000000-0005-0000-0000-00007C1B0000}"/>
    <cellStyle name="Normal 5 5 3 3 2 2 2" xfId="16253" xr:uid="{CC5CB35B-7262-4C4A-8222-0FCEAA9016E1}"/>
    <cellStyle name="Normal 5 5 3 3 2 3" xfId="12035" xr:uid="{4FAA7FBC-0E4C-45EF-9B35-152B57977800}"/>
    <cellStyle name="Normal 5 5 3 3 3" xfId="5666" xr:uid="{00000000-0005-0000-0000-00007D1B0000}"/>
    <cellStyle name="Normal 5 5 3 3 3 2" xfId="14108" xr:uid="{EF0D64BC-FCC5-4221-AE7E-6225B8ED27B4}"/>
    <cellStyle name="Normal 5 5 3 3 4" xfId="9890" xr:uid="{923BFC71-72F5-4233-871D-26E4695E5FF9}"/>
    <cellStyle name="Normal 5 5 3 4" xfId="1771" xr:uid="{00000000-0005-0000-0000-00007E1B0000}"/>
    <cellStyle name="Normal 5 5 3 4 2" xfId="4001" xr:uid="{00000000-0005-0000-0000-00007F1B0000}"/>
    <cellStyle name="Normal 5 5 3 4 2 2" xfId="8224" xr:uid="{00000000-0005-0000-0000-0000801B0000}"/>
    <cellStyle name="Normal 5 5 3 4 2 2 2" xfId="16666" xr:uid="{886A9513-658A-4F08-8D4E-EB1A00A1CD84}"/>
    <cellStyle name="Normal 5 5 3 4 2 3" xfId="12448" xr:uid="{981B0696-CE81-4777-A6E3-3A9573C72552}"/>
    <cellStyle name="Normal 5 5 3 4 3" xfId="6079" xr:uid="{00000000-0005-0000-0000-0000811B0000}"/>
    <cellStyle name="Normal 5 5 3 4 3 2" xfId="14521" xr:uid="{0E524A0E-1272-46F3-AC12-6A337EE149E9}"/>
    <cellStyle name="Normal 5 5 3 4 4" xfId="10303" xr:uid="{ABE5AAD2-28A9-4DF7-804E-3AC96EA4D0A0}"/>
    <cellStyle name="Normal 5 5 3 5" xfId="2185" xr:uid="{00000000-0005-0000-0000-0000821B0000}"/>
    <cellStyle name="Normal 5 5 3 5 2" xfId="4414" xr:uid="{00000000-0005-0000-0000-0000831B0000}"/>
    <cellStyle name="Normal 5 5 3 5 2 2" xfId="8637" xr:uid="{00000000-0005-0000-0000-0000841B0000}"/>
    <cellStyle name="Normal 5 5 3 5 2 2 2" xfId="17079" xr:uid="{74A26553-E91B-4AE9-95F6-A4034915B9B9}"/>
    <cellStyle name="Normal 5 5 3 5 2 3" xfId="12861" xr:uid="{1CF03317-E8CF-4E54-B529-F0A4C924FEBA}"/>
    <cellStyle name="Normal 5 5 3 5 3" xfId="6492" xr:uid="{00000000-0005-0000-0000-0000851B0000}"/>
    <cellStyle name="Normal 5 5 3 5 3 2" xfId="14934" xr:uid="{BFC3A3E0-95A7-4887-B0C9-F0E2F106919C}"/>
    <cellStyle name="Normal 5 5 3 5 4" xfId="10716" xr:uid="{9B008C2A-3616-4521-A455-DDC1068CC0CC}"/>
    <cellStyle name="Normal 5 5 3 6" xfId="2621" xr:uid="{00000000-0005-0000-0000-0000861B0000}"/>
    <cellStyle name="Normal 5 5 3 6 2" xfId="6905" xr:uid="{00000000-0005-0000-0000-0000871B0000}"/>
    <cellStyle name="Normal 5 5 3 6 2 2" xfId="15347" xr:uid="{1D082077-3803-4264-8731-CF86FB251678}"/>
    <cellStyle name="Normal 5 5 3 6 3" xfId="11129" xr:uid="{30589F33-D9E0-4C30-8D05-1336401BC800}"/>
    <cellStyle name="Normal 5 5 3 7" xfId="4840" xr:uid="{00000000-0005-0000-0000-0000881B0000}"/>
    <cellStyle name="Normal 5 5 3 7 2" xfId="13282" xr:uid="{BEE95CEA-3A56-4010-B063-646CF84656DF}"/>
    <cellStyle name="Normal 5 5 3 8" xfId="9064" xr:uid="{6A18205C-585B-4F64-8357-6AA7A221BAA0}"/>
    <cellStyle name="Normal 5 5 4" xfId="938" xr:uid="{00000000-0005-0000-0000-0000891B0000}"/>
    <cellStyle name="Normal 5 5 4 2" xfId="3172" xr:uid="{00000000-0005-0000-0000-00008A1B0000}"/>
    <cellStyle name="Normal 5 5 4 2 2" xfId="7395" xr:uid="{00000000-0005-0000-0000-00008B1B0000}"/>
    <cellStyle name="Normal 5 5 4 2 2 2" xfId="15837" xr:uid="{B669D695-A43F-4C50-BBCC-081777803D89}"/>
    <cellStyle name="Normal 5 5 4 2 3" xfId="11619" xr:uid="{3A6E7680-1D15-4ABD-9EE9-7A337BAD476C}"/>
    <cellStyle name="Normal 5 5 4 3" xfId="5250" xr:uid="{00000000-0005-0000-0000-00008C1B0000}"/>
    <cellStyle name="Normal 5 5 4 3 2" xfId="13692" xr:uid="{8DC88181-3BA5-46AE-AF63-D81B5FC56852}"/>
    <cellStyle name="Normal 5 5 4 4" xfId="9474" xr:uid="{459641C6-1654-4C94-8C09-CEE477D0B06C}"/>
    <cellStyle name="Normal 5 5 5" xfId="1355" xr:uid="{00000000-0005-0000-0000-00008D1B0000}"/>
    <cellStyle name="Normal 5 5 5 2" xfId="3585" xr:uid="{00000000-0005-0000-0000-00008E1B0000}"/>
    <cellStyle name="Normal 5 5 5 2 2" xfId="7808" xr:uid="{00000000-0005-0000-0000-00008F1B0000}"/>
    <cellStyle name="Normal 5 5 5 2 2 2" xfId="16250" xr:uid="{6D3726CF-3D47-4406-9FA6-7C90690724B4}"/>
    <cellStyle name="Normal 5 5 5 2 3" xfId="12032" xr:uid="{DE8B020F-026B-4045-A969-545A800C053D}"/>
    <cellStyle name="Normal 5 5 5 3" xfId="5663" xr:uid="{00000000-0005-0000-0000-0000901B0000}"/>
    <cellStyle name="Normal 5 5 5 3 2" xfId="14105" xr:uid="{636F08BE-0D08-4DE8-94EF-EF4C6BD2C5AF}"/>
    <cellStyle name="Normal 5 5 5 4" xfId="9887" xr:uid="{497A81C2-E132-4CF7-AE35-41DC69784996}"/>
    <cellStyle name="Normal 5 5 6" xfId="1768" xr:uid="{00000000-0005-0000-0000-0000911B0000}"/>
    <cellStyle name="Normal 5 5 6 2" xfId="3998" xr:uid="{00000000-0005-0000-0000-0000921B0000}"/>
    <cellStyle name="Normal 5 5 6 2 2" xfId="8221" xr:uid="{00000000-0005-0000-0000-0000931B0000}"/>
    <cellStyle name="Normal 5 5 6 2 2 2" xfId="16663" xr:uid="{531921C7-3453-44FC-AFDA-A2004EC6C005}"/>
    <cellStyle name="Normal 5 5 6 2 3" xfId="12445" xr:uid="{77FDC0C8-FD41-48E5-B167-8888C3F89E65}"/>
    <cellStyle name="Normal 5 5 6 3" xfId="6076" xr:uid="{00000000-0005-0000-0000-0000941B0000}"/>
    <cellStyle name="Normal 5 5 6 3 2" xfId="14518" xr:uid="{9D2F7E6C-0469-4405-95E6-D3C82C1E075A}"/>
    <cellStyle name="Normal 5 5 6 4" xfId="10300" xr:uid="{FCCAC5EC-FFC0-4EF8-91EA-BC0B571D6A7D}"/>
    <cellStyle name="Normal 5 5 7" xfId="2182" xr:uid="{00000000-0005-0000-0000-0000951B0000}"/>
    <cellStyle name="Normal 5 5 7 2" xfId="4411" xr:uid="{00000000-0005-0000-0000-0000961B0000}"/>
    <cellStyle name="Normal 5 5 7 2 2" xfId="8634" xr:uid="{00000000-0005-0000-0000-0000971B0000}"/>
    <cellStyle name="Normal 5 5 7 2 2 2" xfId="17076" xr:uid="{51F83179-2882-4010-B0D0-3EC804EB75C5}"/>
    <cellStyle name="Normal 5 5 7 2 3" xfId="12858" xr:uid="{203D0FDC-AC9C-4500-9ED1-B3AC5B38CF76}"/>
    <cellStyle name="Normal 5 5 7 3" xfId="6489" xr:uid="{00000000-0005-0000-0000-0000981B0000}"/>
    <cellStyle name="Normal 5 5 7 3 2" xfId="14931" xr:uid="{644DFC80-DA3B-4B40-A76E-129F3498B901}"/>
    <cellStyle name="Normal 5 5 7 4" xfId="10713" xr:uid="{7FE94A97-1F94-4394-A2C0-22DE01A42B10}"/>
    <cellStyle name="Normal 5 5 8" xfId="2618" xr:uid="{00000000-0005-0000-0000-0000991B0000}"/>
    <cellStyle name="Normal 5 5 8 2" xfId="6902" xr:uid="{00000000-0005-0000-0000-00009A1B0000}"/>
    <cellStyle name="Normal 5 5 8 2 2" xfId="15344" xr:uid="{DB04D74E-9D64-4F27-BE8C-C1EE6A98F57E}"/>
    <cellStyle name="Normal 5 5 8 3" xfId="11126" xr:uid="{79C8B0FA-DB0C-44C9-9EEB-D191F7D6E98B}"/>
    <cellStyle name="Normal 5 5 9" xfId="4837" xr:uid="{00000000-0005-0000-0000-00009B1B0000}"/>
    <cellStyle name="Normal 5 5 9 2" xfId="13279" xr:uid="{0715A06C-D4B4-4DEE-B650-6E00559F0D9F}"/>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2 2 2" xfId="15842" xr:uid="{D095E962-3E7A-4E6D-A926-27389A089504}"/>
    <cellStyle name="Normal 5 6 2 2 2 3" xfId="11624" xr:uid="{A0FB2E66-0AB9-48E7-A342-05AF817A0F57}"/>
    <cellStyle name="Normal 5 6 2 2 3" xfId="5255" xr:uid="{00000000-0005-0000-0000-0000A11B0000}"/>
    <cellStyle name="Normal 5 6 2 2 3 2" xfId="13697" xr:uid="{DD3283D5-225D-4B18-ABEA-2DCF5B310ADF}"/>
    <cellStyle name="Normal 5 6 2 2 4" xfId="9479" xr:uid="{0C5A73CE-5100-4097-BDD5-DD0306A2FB23}"/>
    <cellStyle name="Normal 5 6 2 3" xfId="1360" xr:uid="{00000000-0005-0000-0000-0000A21B0000}"/>
    <cellStyle name="Normal 5 6 2 3 2" xfId="3590" xr:uid="{00000000-0005-0000-0000-0000A31B0000}"/>
    <cellStyle name="Normal 5 6 2 3 2 2" xfId="7813" xr:uid="{00000000-0005-0000-0000-0000A41B0000}"/>
    <cellStyle name="Normal 5 6 2 3 2 2 2" xfId="16255" xr:uid="{C81614C3-B456-4C10-ADF3-8078564CC933}"/>
    <cellStyle name="Normal 5 6 2 3 2 3" xfId="12037" xr:uid="{94C263C9-86A9-4CDC-A155-F0259A09B7CE}"/>
    <cellStyle name="Normal 5 6 2 3 3" xfId="5668" xr:uid="{00000000-0005-0000-0000-0000A51B0000}"/>
    <cellStyle name="Normal 5 6 2 3 3 2" xfId="14110" xr:uid="{E16AB0F4-3719-42A1-BA0C-ECD28446BEAB}"/>
    <cellStyle name="Normal 5 6 2 3 4" xfId="9892" xr:uid="{CAD32420-6EFB-4D23-A405-D054F4DEF5AF}"/>
    <cellStyle name="Normal 5 6 2 4" xfId="1773" xr:uid="{00000000-0005-0000-0000-0000A61B0000}"/>
    <cellStyle name="Normal 5 6 2 4 2" xfId="4003" xr:uid="{00000000-0005-0000-0000-0000A71B0000}"/>
    <cellStyle name="Normal 5 6 2 4 2 2" xfId="8226" xr:uid="{00000000-0005-0000-0000-0000A81B0000}"/>
    <cellStyle name="Normal 5 6 2 4 2 2 2" xfId="16668" xr:uid="{960001FE-F31D-40CC-B25F-FD442BED36CD}"/>
    <cellStyle name="Normal 5 6 2 4 2 3" xfId="12450" xr:uid="{23D29361-2209-4EB1-9921-96F3523D0B89}"/>
    <cellStyle name="Normal 5 6 2 4 3" xfId="6081" xr:uid="{00000000-0005-0000-0000-0000A91B0000}"/>
    <cellStyle name="Normal 5 6 2 4 3 2" xfId="14523" xr:uid="{0BE2EE52-2A50-449B-996B-7489010DEF2B}"/>
    <cellStyle name="Normal 5 6 2 4 4" xfId="10305" xr:uid="{45460459-DE5C-462A-8680-20B668A5F87B}"/>
    <cellStyle name="Normal 5 6 2 5" xfId="2187" xr:uid="{00000000-0005-0000-0000-0000AA1B0000}"/>
    <cellStyle name="Normal 5 6 2 5 2" xfId="4416" xr:uid="{00000000-0005-0000-0000-0000AB1B0000}"/>
    <cellStyle name="Normal 5 6 2 5 2 2" xfId="8639" xr:uid="{00000000-0005-0000-0000-0000AC1B0000}"/>
    <cellStyle name="Normal 5 6 2 5 2 2 2" xfId="17081" xr:uid="{BCA4A1E4-D65F-43D0-AA08-EC1323A49657}"/>
    <cellStyle name="Normal 5 6 2 5 2 3" xfId="12863" xr:uid="{D8B9A6F6-7658-48AD-8B5E-66A8370299C0}"/>
    <cellStyle name="Normal 5 6 2 5 3" xfId="6494" xr:uid="{00000000-0005-0000-0000-0000AD1B0000}"/>
    <cellStyle name="Normal 5 6 2 5 3 2" xfId="14936" xr:uid="{ED680A80-96FF-4266-AA97-E487CC91C8C5}"/>
    <cellStyle name="Normal 5 6 2 5 4" xfId="10718" xr:uid="{A4D92687-7B44-405D-9C0D-156075237FB5}"/>
    <cellStyle name="Normal 5 6 2 6" xfId="2623" xr:uid="{00000000-0005-0000-0000-0000AE1B0000}"/>
    <cellStyle name="Normal 5 6 2 6 2" xfId="6907" xr:uid="{00000000-0005-0000-0000-0000AF1B0000}"/>
    <cellStyle name="Normal 5 6 2 6 2 2" xfId="15349" xr:uid="{A51C81FE-1ED1-410A-B0FF-798BFEFEAFBA}"/>
    <cellStyle name="Normal 5 6 2 6 3" xfId="11131" xr:uid="{379666F1-E756-4F41-9AB4-220B67E33D9D}"/>
    <cellStyle name="Normal 5 6 2 7" xfId="4842" xr:uid="{00000000-0005-0000-0000-0000B01B0000}"/>
    <cellStyle name="Normal 5 6 2 7 2" xfId="13284" xr:uid="{36346C98-ED09-46C8-8E17-EE893C656DA8}"/>
    <cellStyle name="Normal 5 6 2 8" xfId="9066" xr:uid="{FF9840AC-0C8D-46A8-B8DD-846DCF54441A}"/>
    <cellStyle name="Normal 5 6 3" xfId="942" xr:uid="{00000000-0005-0000-0000-0000B11B0000}"/>
    <cellStyle name="Normal 5 6 3 2" xfId="3176" xr:uid="{00000000-0005-0000-0000-0000B21B0000}"/>
    <cellStyle name="Normal 5 6 3 2 2" xfId="7399" xr:uid="{00000000-0005-0000-0000-0000B31B0000}"/>
    <cellStyle name="Normal 5 6 3 2 2 2" xfId="15841" xr:uid="{F083D276-3B53-413D-A887-E07EC4A43366}"/>
    <cellStyle name="Normal 5 6 3 2 3" xfId="11623" xr:uid="{4136281A-9479-400B-8E19-4A20E92AAD2C}"/>
    <cellStyle name="Normal 5 6 3 3" xfId="5254" xr:uid="{00000000-0005-0000-0000-0000B41B0000}"/>
    <cellStyle name="Normal 5 6 3 3 2" xfId="13696" xr:uid="{9D189176-EC34-420F-AE72-6D278ADD8CFD}"/>
    <cellStyle name="Normal 5 6 3 4" xfId="9478" xr:uid="{A3467885-01E1-402B-A2E5-6E6FDD574C49}"/>
    <cellStyle name="Normal 5 6 4" xfId="1359" xr:uid="{00000000-0005-0000-0000-0000B51B0000}"/>
    <cellStyle name="Normal 5 6 4 2" xfId="3589" xr:uid="{00000000-0005-0000-0000-0000B61B0000}"/>
    <cellStyle name="Normal 5 6 4 2 2" xfId="7812" xr:uid="{00000000-0005-0000-0000-0000B71B0000}"/>
    <cellStyle name="Normal 5 6 4 2 2 2" xfId="16254" xr:uid="{5CD105B9-7F5A-4A0C-99E5-6DFBB1FFB9A0}"/>
    <cellStyle name="Normal 5 6 4 2 3" xfId="12036" xr:uid="{A49B8787-4DF9-49A2-A203-1D7AE586003B}"/>
    <cellStyle name="Normal 5 6 4 3" xfId="5667" xr:uid="{00000000-0005-0000-0000-0000B81B0000}"/>
    <cellStyle name="Normal 5 6 4 3 2" xfId="14109" xr:uid="{75C86A90-EEE5-47B2-8243-B5E7F6F371B1}"/>
    <cellStyle name="Normal 5 6 4 4" xfId="9891" xr:uid="{7C094815-8687-419D-A142-D55550EE8AD7}"/>
    <cellStyle name="Normal 5 6 5" xfId="1772" xr:uid="{00000000-0005-0000-0000-0000B91B0000}"/>
    <cellStyle name="Normal 5 6 5 2" xfId="4002" xr:uid="{00000000-0005-0000-0000-0000BA1B0000}"/>
    <cellStyle name="Normal 5 6 5 2 2" xfId="8225" xr:uid="{00000000-0005-0000-0000-0000BB1B0000}"/>
    <cellStyle name="Normal 5 6 5 2 2 2" xfId="16667" xr:uid="{A4CF8FA9-786B-4A0C-8A04-0CAEE5F56557}"/>
    <cellStyle name="Normal 5 6 5 2 3" xfId="12449" xr:uid="{343AE883-6A67-45E2-8291-046ACBD5DF50}"/>
    <cellStyle name="Normal 5 6 5 3" xfId="6080" xr:uid="{00000000-0005-0000-0000-0000BC1B0000}"/>
    <cellStyle name="Normal 5 6 5 3 2" xfId="14522" xr:uid="{2E2F4C0A-7367-4353-94AF-1CFAED9A2478}"/>
    <cellStyle name="Normal 5 6 5 4" xfId="10304" xr:uid="{0A32498F-4677-46CC-A94E-56152153D32B}"/>
    <cellStyle name="Normal 5 6 6" xfId="2186" xr:uid="{00000000-0005-0000-0000-0000BD1B0000}"/>
    <cellStyle name="Normal 5 6 6 2" xfId="4415" xr:uid="{00000000-0005-0000-0000-0000BE1B0000}"/>
    <cellStyle name="Normal 5 6 6 2 2" xfId="8638" xr:uid="{00000000-0005-0000-0000-0000BF1B0000}"/>
    <cellStyle name="Normal 5 6 6 2 2 2" xfId="17080" xr:uid="{46109437-8EFE-4798-A762-0D011A552384}"/>
    <cellStyle name="Normal 5 6 6 2 3" xfId="12862" xr:uid="{D357A112-1C44-4303-B69D-C96E5907955E}"/>
    <cellStyle name="Normal 5 6 6 3" xfId="6493" xr:uid="{00000000-0005-0000-0000-0000C01B0000}"/>
    <cellStyle name="Normal 5 6 6 3 2" xfId="14935" xr:uid="{F0418DBB-E992-4173-A057-FCB8674B3040}"/>
    <cellStyle name="Normal 5 6 6 4" xfId="10717" xr:uid="{6BBC7651-35B9-4B70-8DC8-FCF69BAD7477}"/>
    <cellStyle name="Normal 5 6 7" xfId="2622" xr:uid="{00000000-0005-0000-0000-0000C11B0000}"/>
    <cellStyle name="Normal 5 6 7 2" xfId="6906" xr:uid="{00000000-0005-0000-0000-0000C21B0000}"/>
    <cellStyle name="Normal 5 6 7 2 2" xfId="15348" xr:uid="{AA322B94-B696-49A0-BF4A-A49610285A44}"/>
    <cellStyle name="Normal 5 6 7 3" xfId="11130" xr:uid="{1D9491B4-8394-48C4-8DC7-D11B10FF0F7A}"/>
    <cellStyle name="Normal 5 6 8" xfId="4841" xr:uid="{00000000-0005-0000-0000-0000C31B0000}"/>
    <cellStyle name="Normal 5 6 8 2" xfId="13283" xr:uid="{82F6A97A-FC5B-44A9-81BD-483FDD39B55A}"/>
    <cellStyle name="Normal 5 6 9" xfId="9065" xr:uid="{D8F5D2A2-3727-410A-8C88-8203D90E1735}"/>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2 2 2" xfId="15843" xr:uid="{BFA12FCF-7ADD-4476-92A6-7ACE0090E79A}"/>
    <cellStyle name="Normal 5 7 2 2 3" xfId="11625" xr:uid="{4B54B54C-E575-4BD8-929C-8FE0533803A3}"/>
    <cellStyle name="Normal 5 7 2 3" xfId="5256" xr:uid="{00000000-0005-0000-0000-0000C81B0000}"/>
    <cellStyle name="Normal 5 7 2 3 2" xfId="13698" xr:uid="{4A866F48-4C1D-4F9D-A35F-CBD65C4D7DC4}"/>
    <cellStyle name="Normal 5 7 2 4" xfId="9480" xr:uid="{7A1FC745-1FC2-4F36-A82A-39CD448BE139}"/>
    <cellStyle name="Normal 5 7 3" xfId="1361" xr:uid="{00000000-0005-0000-0000-0000C91B0000}"/>
    <cellStyle name="Normal 5 7 3 2" xfId="3591" xr:uid="{00000000-0005-0000-0000-0000CA1B0000}"/>
    <cellStyle name="Normal 5 7 3 2 2" xfId="7814" xr:uid="{00000000-0005-0000-0000-0000CB1B0000}"/>
    <cellStyle name="Normal 5 7 3 2 2 2" xfId="16256" xr:uid="{1A50CC11-671E-43A6-8C1D-118F6D5E586E}"/>
    <cellStyle name="Normal 5 7 3 2 3" xfId="12038" xr:uid="{0AC18033-0A1C-405A-8A7B-BC472A89F5F5}"/>
    <cellStyle name="Normal 5 7 3 3" xfId="5669" xr:uid="{00000000-0005-0000-0000-0000CC1B0000}"/>
    <cellStyle name="Normal 5 7 3 3 2" xfId="14111" xr:uid="{495FF1D2-43CE-49E6-9CEE-D7B5A00529BA}"/>
    <cellStyle name="Normal 5 7 3 4" xfId="9893" xr:uid="{1107F0B2-8ED6-4768-9A9D-31683A617771}"/>
    <cellStyle name="Normal 5 7 4" xfId="1774" xr:uid="{00000000-0005-0000-0000-0000CD1B0000}"/>
    <cellStyle name="Normal 5 7 4 2" xfId="4004" xr:uid="{00000000-0005-0000-0000-0000CE1B0000}"/>
    <cellStyle name="Normal 5 7 4 2 2" xfId="8227" xr:uid="{00000000-0005-0000-0000-0000CF1B0000}"/>
    <cellStyle name="Normal 5 7 4 2 2 2" xfId="16669" xr:uid="{AE03D1CD-A874-40EA-B59C-880E49D74387}"/>
    <cellStyle name="Normal 5 7 4 2 3" xfId="12451" xr:uid="{BBCFE547-30D9-426E-8626-416B3ACA1750}"/>
    <cellStyle name="Normal 5 7 4 3" xfId="6082" xr:uid="{00000000-0005-0000-0000-0000D01B0000}"/>
    <cellStyle name="Normal 5 7 4 3 2" xfId="14524" xr:uid="{D7877966-2CDF-41F5-9293-C130E53F85C2}"/>
    <cellStyle name="Normal 5 7 4 4" xfId="10306" xr:uid="{029446C1-BB92-4891-803F-E27E2BA32345}"/>
    <cellStyle name="Normal 5 7 5" xfId="2188" xr:uid="{00000000-0005-0000-0000-0000D11B0000}"/>
    <cellStyle name="Normal 5 7 5 2" xfId="4417" xr:uid="{00000000-0005-0000-0000-0000D21B0000}"/>
    <cellStyle name="Normal 5 7 5 2 2" xfId="8640" xr:uid="{00000000-0005-0000-0000-0000D31B0000}"/>
    <cellStyle name="Normal 5 7 5 2 2 2" xfId="17082" xr:uid="{AE09F179-DD43-4D86-B357-C18BC17F2E18}"/>
    <cellStyle name="Normal 5 7 5 2 3" xfId="12864" xr:uid="{94A0F88A-F4DB-4BE1-8679-AE5A1ACC7167}"/>
    <cellStyle name="Normal 5 7 5 3" xfId="6495" xr:uid="{00000000-0005-0000-0000-0000D41B0000}"/>
    <cellStyle name="Normal 5 7 5 3 2" xfId="14937" xr:uid="{52B2D6B4-39EE-4239-A2E5-0A07C5863018}"/>
    <cellStyle name="Normal 5 7 5 4" xfId="10719" xr:uid="{11A3A833-3366-45A4-87E5-AD2C01E48452}"/>
    <cellStyle name="Normal 5 7 6" xfId="2624" xr:uid="{00000000-0005-0000-0000-0000D51B0000}"/>
    <cellStyle name="Normal 5 7 6 2" xfId="6908" xr:uid="{00000000-0005-0000-0000-0000D61B0000}"/>
    <cellStyle name="Normal 5 7 6 2 2" xfId="15350" xr:uid="{7452A1D7-5D7C-44A5-9EC8-BB05623E4384}"/>
    <cellStyle name="Normal 5 7 6 3" xfId="11132" xr:uid="{2393BCA1-AED9-4E0F-914C-13369FF49653}"/>
    <cellStyle name="Normal 5 7 7" xfId="4843" xr:uid="{00000000-0005-0000-0000-0000D71B0000}"/>
    <cellStyle name="Normal 5 7 7 2" xfId="13285" xr:uid="{F07F7A8C-7E2F-46EB-85F9-FEEE36A4ACF8}"/>
    <cellStyle name="Normal 5 7 8" xfId="9067" xr:uid="{231980D3-8C69-467E-B365-2946408CA4C4}"/>
    <cellStyle name="Normal 5 8" xfId="880" xr:uid="{00000000-0005-0000-0000-0000D81B0000}"/>
    <cellStyle name="Normal 5 8 2" xfId="3115" xr:uid="{00000000-0005-0000-0000-0000D91B0000}"/>
    <cellStyle name="Normal 5 8 2 2" xfId="7338" xr:uid="{00000000-0005-0000-0000-0000DA1B0000}"/>
    <cellStyle name="Normal 5 8 2 2 2" xfId="15780" xr:uid="{92F33F23-E15C-49EF-B3FB-5D5AEE5455BE}"/>
    <cellStyle name="Normal 5 8 2 3" xfId="11562" xr:uid="{9386ADB6-03D0-4A2C-851D-D2970AE76388}"/>
    <cellStyle name="Normal 5 8 3" xfId="5193" xr:uid="{00000000-0005-0000-0000-0000DB1B0000}"/>
    <cellStyle name="Normal 5 8 3 2" xfId="13635" xr:uid="{996FE5B3-99DC-4731-8336-54E8C40DBDA4}"/>
    <cellStyle name="Normal 5 8 4" xfId="9417" xr:uid="{426373CB-E727-468C-B84E-04571993B827}"/>
    <cellStyle name="Normal 5 9" xfId="1298" xr:uid="{00000000-0005-0000-0000-0000DC1B0000}"/>
    <cellStyle name="Normal 5 9 2" xfId="3528" xr:uid="{00000000-0005-0000-0000-0000DD1B0000}"/>
    <cellStyle name="Normal 5 9 2 2" xfId="7751" xr:uid="{00000000-0005-0000-0000-0000DE1B0000}"/>
    <cellStyle name="Normal 5 9 2 2 2" xfId="16193" xr:uid="{829B4E17-782E-40E3-9E2E-A8FCEC70882E}"/>
    <cellStyle name="Normal 5 9 2 3" xfId="11975" xr:uid="{60093974-C6C4-4357-9347-3D0882DA192A}"/>
    <cellStyle name="Normal 5 9 3" xfId="5606" xr:uid="{00000000-0005-0000-0000-0000DF1B0000}"/>
    <cellStyle name="Normal 5 9 3 2" xfId="14048" xr:uid="{E379198D-ADD1-4ED3-B40D-314B41F886AD}"/>
    <cellStyle name="Normal 5 9 4" xfId="9830" xr:uid="{7EB256AE-C4E8-4BF0-9594-272A1E9DB614}"/>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2 2 2" xfId="17083" xr:uid="{2E8644C6-49ED-40D6-AA11-0A52F9E2CB9C}"/>
    <cellStyle name="Normal 8 10 2 3" xfId="12865" xr:uid="{456764F2-61A1-4774-A480-4824B4049A2F}"/>
    <cellStyle name="Normal 8 10 3" xfId="6496" xr:uid="{00000000-0005-0000-0000-0000EB1B0000}"/>
    <cellStyle name="Normal 8 10 3 2" xfId="14938" xr:uid="{8BB57FDF-D169-44EE-9ED5-970CCD3B881D}"/>
    <cellStyle name="Normal 8 10 4" xfId="10720" xr:uid="{81E15A02-7D0D-4B87-BCC4-0BA991031FEA}"/>
    <cellStyle name="Normal 8 11" xfId="2625" xr:uid="{00000000-0005-0000-0000-0000EC1B0000}"/>
    <cellStyle name="Normal 8 11 2" xfId="6909" xr:uid="{00000000-0005-0000-0000-0000ED1B0000}"/>
    <cellStyle name="Normal 8 11 2 2" xfId="15351" xr:uid="{AE675DD2-C035-4F09-925B-949AB2A0020C}"/>
    <cellStyle name="Normal 8 11 3" xfId="11133" xr:uid="{08D8D9F3-37A9-4379-A6F2-9004E6ECD834}"/>
    <cellStyle name="Normal 8 12" xfId="4844" xr:uid="{00000000-0005-0000-0000-0000EE1B0000}"/>
    <cellStyle name="Normal 8 12 2" xfId="13286" xr:uid="{71B8B233-A87A-42FA-91AA-06B9AD55B806}"/>
    <cellStyle name="Normal 8 13" xfId="9068" xr:uid="{33DBA26B-6B59-4FF8-9579-548E9408FE07}"/>
    <cellStyle name="Normal 8 2" xfId="479" xr:uid="{00000000-0005-0000-0000-0000EF1B0000}"/>
    <cellStyle name="Normal 8 2 10" xfId="2626" xr:uid="{00000000-0005-0000-0000-0000F01B0000}"/>
    <cellStyle name="Normal 8 2 10 2" xfId="6910" xr:uid="{00000000-0005-0000-0000-0000F11B0000}"/>
    <cellStyle name="Normal 8 2 10 2 2" xfId="15352" xr:uid="{79E53077-009F-41E9-BEAA-D3292A41AE77}"/>
    <cellStyle name="Normal 8 2 10 3" xfId="11134" xr:uid="{4A0CEE2B-6D91-4500-945A-54FD17DCFB8C}"/>
    <cellStyle name="Normal 8 2 11" xfId="4845" xr:uid="{00000000-0005-0000-0000-0000F21B0000}"/>
    <cellStyle name="Normal 8 2 11 2" xfId="13287" xr:uid="{212250A4-ECA0-4C89-8342-A638BC117FF1}"/>
    <cellStyle name="Normal 8 2 12" xfId="9069" xr:uid="{B0380665-3853-4E16-B902-34FF6291C128}"/>
    <cellStyle name="Normal 8 2 2" xfId="480" xr:uid="{00000000-0005-0000-0000-0000F31B0000}"/>
    <cellStyle name="Normal 8 2 2 10" xfId="4846" xr:uid="{00000000-0005-0000-0000-0000F41B0000}"/>
    <cellStyle name="Normal 8 2 2 10 2" xfId="13288" xr:uid="{5A3BF674-EDEB-4591-B07C-ECEF27B99226}"/>
    <cellStyle name="Normal 8 2 2 11" xfId="9070" xr:uid="{4E164ACD-445C-40F1-B8CF-2FA466ECBDF1}"/>
    <cellStyle name="Normal 8 2 2 2" xfId="481" xr:uid="{00000000-0005-0000-0000-0000F51B0000}"/>
    <cellStyle name="Normal 8 2 2 2 10" xfId="9071" xr:uid="{BE23A231-1ABC-4790-9969-3CEFEA4D6CF5}"/>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15849" xr:uid="{94E0E426-E016-47EF-A566-A824474587DC}"/>
    <cellStyle name="Normal 8 2 2 2 2 2 2 2 3" xfId="11631" xr:uid="{05F84C5E-8FF4-49CD-9214-C5253F8A4EEB}"/>
    <cellStyle name="Normal 8 2 2 2 2 2 2 3" xfId="5262" xr:uid="{00000000-0005-0000-0000-0000FB1B0000}"/>
    <cellStyle name="Normal 8 2 2 2 2 2 2 3 2" xfId="13704" xr:uid="{E105270E-5609-4DD9-81B0-5A143DB27935}"/>
    <cellStyle name="Normal 8 2 2 2 2 2 2 4" xfId="9486" xr:uid="{9E54F88E-14F4-40C5-B96A-F6FC4B82C7A2}"/>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2 2" xfId="16262" xr:uid="{A28C554B-2E43-431E-8BF7-EE202024890B}"/>
    <cellStyle name="Normal 8 2 2 2 2 2 3 2 3" xfId="12044" xr:uid="{329980C1-B8E6-428C-951D-295E53C90984}"/>
    <cellStyle name="Normal 8 2 2 2 2 2 3 3" xfId="5675" xr:uid="{00000000-0005-0000-0000-0000FF1B0000}"/>
    <cellStyle name="Normal 8 2 2 2 2 2 3 3 2" xfId="14117" xr:uid="{BE608E7D-ABFF-42F3-A8C0-3220E7924EC0}"/>
    <cellStyle name="Normal 8 2 2 2 2 2 3 4" xfId="9899" xr:uid="{A68AECBE-5DFB-4F90-9789-08846EF83F94}"/>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2 2 2" xfId="16675" xr:uid="{D9CC224E-6512-4E93-BC40-3EC6A4505652}"/>
    <cellStyle name="Normal 8 2 2 2 2 2 4 2 3" xfId="12457" xr:uid="{B76635EF-7C96-40FB-81C0-C0FB6828B14F}"/>
    <cellStyle name="Normal 8 2 2 2 2 2 4 3" xfId="6088" xr:uid="{00000000-0005-0000-0000-0000031C0000}"/>
    <cellStyle name="Normal 8 2 2 2 2 2 4 3 2" xfId="14530" xr:uid="{B704DF60-D8FD-42AE-A509-B7C1E9DC9E57}"/>
    <cellStyle name="Normal 8 2 2 2 2 2 4 4" xfId="10312" xr:uid="{1C0A17F4-B96F-4D60-BF20-C9F96C79E488}"/>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2 2 2" xfId="17088" xr:uid="{9425752A-D009-4CB0-B8D2-9F2055E7FF96}"/>
    <cellStyle name="Normal 8 2 2 2 2 2 5 2 3" xfId="12870" xr:uid="{F4B20F14-A5F4-43E9-90B0-6D107D95F8DC}"/>
    <cellStyle name="Normal 8 2 2 2 2 2 5 3" xfId="6501" xr:uid="{00000000-0005-0000-0000-0000071C0000}"/>
    <cellStyle name="Normal 8 2 2 2 2 2 5 3 2" xfId="14943" xr:uid="{EFA496B6-6400-46FD-9D15-1A39B02CD351}"/>
    <cellStyle name="Normal 8 2 2 2 2 2 5 4" xfId="10725" xr:uid="{4D502788-F97A-4D87-8F1C-70C8FBC9129E}"/>
    <cellStyle name="Normal 8 2 2 2 2 2 6" xfId="2630" xr:uid="{00000000-0005-0000-0000-0000081C0000}"/>
    <cellStyle name="Normal 8 2 2 2 2 2 6 2" xfId="6914" xr:uid="{00000000-0005-0000-0000-0000091C0000}"/>
    <cellStyle name="Normal 8 2 2 2 2 2 6 2 2" xfId="15356" xr:uid="{EA5549C5-E88C-462B-9355-9BF30BD920FD}"/>
    <cellStyle name="Normal 8 2 2 2 2 2 6 3" xfId="11138" xr:uid="{F2263E63-08E1-4FD9-9132-874BE3AFBA2A}"/>
    <cellStyle name="Normal 8 2 2 2 2 2 7" xfId="4849" xr:uid="{00000000-0005-0000-0000-00000A1C0000}"/>
    <cellStyle name="Normal 8 2 2 2 2 2 7 2" xfId="13291" xr:uid="{EFFA965C-55FE-4781-8D12-CF083437E6E9}"/>
    <cellStyle name="Normal 8 2 2 2 2 2 8" xfId="9073" xr:uid="{A6FC1B81-CA81-41E8-B125-C25BA026140F}"/>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15848" xr:uid="{2EAC6FE8-FCB3-4394-96BF-E887B5EF388E}"/>
    <cellStyle name="Normal 8 2 2 2 2 3 2 3" xfId="11630" xr:uid="{FE72EE78-45F1-4DED-BEB3-9521F82D926C}"/>
    <cellStyle name="Normal 8 2 2 2 2 3 3" xfId="5261" xr:uid="{00000000-0005-0000-0000-00000E1C0000}"/>
    <cellStyle name="Normal 8 2 2 2 2 3 3 2" xfId="13703" xr:uid="{6CE6D84A-A1D3-44EF-8126-1E163E7E1075}"/>
    <cellStyle name="Normal 8 2 2 2 2 3 4" xfId="9485" xr:uid="{44BEB4B2-A86B-4F93-9C53-616BF22CC6D4}"/>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2 2" xfId="16261" xr:uid="{3CF71E3F-E8DB-47BD-9F64-9F565FEF4381}"/>
    <cellStyle name="Normal 8 2 2 2 2 4 2 3" xfId="12043" xr:uid="{27AB2F61-7E61-4ECF-9CC9-8E36FCEA39DB}"/>
    <cellStyle name="Normal 8 2 2 2 2 4 3" xfId="5674" xr:uid="{00000000-0005-0000-0000-0000121C0000}"/>
    <cellStyle name="Normal 8 2 2 2 2 4 3 2" xfId="14116" xr:uid="{74ADE733-43EE-47B1-8C16-E98843D23C0D}"/>
    <cellStyle name="Normal 8 2 2 2 2 4 4" xfId="9898" xr:uid="{2D28B57E-34FB-47D4-8B35-4E328FDFF203}"/>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2 2 2" xfId="16674" xr:uid="{CA2572BF-9435-468B-A213-DD81CDD18D1A}"/>
    <cellStyle name="Normal 8 2 2 2 2 5 2 3" xfId="12456" xr:uid="{A8E0D638-DA2A-44A9-89E7-1654AC5A370D}"/>
    <cellStyle name="Normal 8 2 2 2 2 5 3" xfId="6087" xr:uid="{00000000-0005-0000-0000-0000161C0000}"/>
    <cellStyle name="Normal 8 2 2 2 2 5 3 2" xfId="14529" xr:uid="{1985D77A-45D9-4B8A-90AD-8BFEEE8E76D0}"/>
    <cellStyle name="Normal 8 2 2 2 2 5 4" xfId="10311" xr:uid="{467221BB-74B1-433E-9B45-B578D36FCF96}"/>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2 2 2" xfId="17087" xr:uid="{B2371821-83EC-4FDD-93C9-47393299DF0A}"/>
    <cellStyle name="Normal 8 2 2 2 2 6 2 3" xfId="12869" xr:uid="{FFF846FD-F11F-4149-A36D-8ABE27D69E98}"/>
    <cellStyle name="Normal 8 2 2 2 2 6 3" xfId="6500" xr:uid="{00000000-0005-0000-0000-00001A1C0000}"/>
    <cellStyle name="Normal 8 2 2 2 2 6 3 2" xfId="14942" xr:uid="{99FA79A2-43AD-491F-9B38-F5F70A5FE579}"/>
    <cellStyle name="Normal 8 2 2 2 2 6 4" xfId="10724" xr:uid="{7D839472-9773-4D58-9F34-3085A0ABC592}"/>
    <cellStyle name="Normal 8 2 2 2 2 7" xfId="2629" xr:uid="{00000000-0005-0000-0000-00001B1C0000}"/>
    <cellStyle name="Normal 8 2 2 2 2 7 2" xfId="6913" xr:uid="{00000000-0005-0000-0000-00001C1C0000}"/>
    <cellStyle name="Normal 8 2 2 2 2 7 2 2" xfId="15355" xr:uid="{C33F34D3-8501-4FA0-B2BF-9C1327E26946}"/>
    <cellStyle name="Normal 8 2 2 2 2 7 3" xfId="11137" xr:uid="{E42E0573-ABCF-4CCF-90C8-817D3A21727A}"/>
    <cellStyle name="Normal 8 2 2 2 2 8" xfId="4848" xr:uid="{00000000-0005-0000-0000-00001D1C0000}"/>
    <cellStyle name="Normal 8 2 2 2 2 8 2" xfId="13290" xr:uid="{185DA2AA-7335-4C9C-8C27-CD8447801A98}"/>
    <cellStyle name="Normal 8 2 2 2 2 9" xfId="9072" xr:uid="{0BD55BD0-2F04-4A27-A0F5-9A13C81819FF}"/>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15850" xr:uid="{CD2100C6-4A0E-4B9B-9627-D2EF4C5A9879}"/>
    <cellStyle name="Normal 8 2 2 2 3 2 2 3" xfId="11632" xr:uid="{3121CD5A-584C-42C7-9EFF-EC6DFFAD4F90}"/>
    <cellStyle name="Normal 8 2 2 2 3 2 3" xfId="5263" xr:uid="{00000000-0005-0000-0000-0000221C0000}"/>
    <cellStyle name="Normal 8 2 2 2 3 2 3 2" xfId="13705" xr:uid="{4138CFA3-4250-4D6A-9C6A-B996A88E1165}"/>
    <cellStyle name="Normal 8 2 2 2 3 2 4" xfId="9487" xr:uid="{22BB7DE4-90F3-4613-8023-B88B58C06AF1}"/>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2 2" xfId="16263" xr:uid="{BD0638F9-033B-41F8-A5CA-9B16CA63D73F}"/>
    <cellStyle name="Normal 8 2 2 2 3 3 2 3" xfId="12045" xr:uid="{D30E4C0A-06E4-45AE-BC28-2AB9DD741407}"/>
    <cellStyle name="Normal 8 2 2 2 3 3 3" xfId="5676" xr:uid="{00000000-0005-0000-0000-0000261C0000}"/>
    <cellStyle name="Normal 8 2 2 2 3 3 3 2" xfId="14118" xr:uid="{810658DE-DF24-466F-B7A6-9A55F8EB063A}"/>
    <cellStyle name="Normal 8 2 2 2 3 3 4" xfId="9900" xr:uid="{67503602-A56F-41A0-9652-76EB02091B92}"/>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2 2 2" xfId="16676" xr:uid="{3889B2EC-818A-499B-9296-EC9E05B250FB}"/>
    <cellStyle name="Normal 8 2 2 2 3 4 2 3" xfId="12458" xr:uid="{537132B9-AB17-43DE-9334-B0EFCC316389}"/>
    <cellStyle name="Normal 8 2 2 2 3 4 3" xfId="6089" xr:uid="{00000000-0005-0000-0000-00002A1C0000}"/>
    <cellStyle name="Normal 8 2 2 2 3 4 3 2" xfId="14531" xr:uid="{CED9F0FB-29DB-4120-9105-03F548C7FACB}"/>
    <cellStyle name="Normal 8 2 2 2 3 4 4" xfId="10313" xr:uid="{D4FBDBFC-C630-4F08-8B87-6564F8A69274}"/>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2 2 2" xfId="17089" xr:uid="{A2D8A7E4-0042-4F4D-8EF0-C21CDDD0F53C}"/>
    <cellStyle name="Normal 8 2 2 2 3 5 2 3" xfId="12871" xr:uid="{0B74A206-152C-4684-8E8F-22B5151D13E9}"/>
    <cellStyle name="Normal 8 2 2 2 3 5 3" xfId="6502" xr:uid="{00000000-0005-0000-0000-00002E1C0000}"/>
    <cellStyle name="Normal 8 2 2 2 3 5 3 2" xfId="14944" xr:uid="{A44A0A72-C78B-4C20-8FE8-1B80D0891CE7}"/>
    <cellStyle name="Normal 8 2 2 2 3 5 4" xfId="10726" xr:uid="{8810533A-DBCB-4285-BCFC-1EBA9ABAC2B7}"/>
    <cellStyle name="Normal 8 2 2 2 3 6" xfId="2631" xr:uid="{00000000-0005-0000-0000-00002F1C0000}"/>
    <cellStyle name="Normal 8 2 2 2 3 6 2" xfId="6915" xr:uid="{00000000-0005-0000-0000-0000301C0000}"/>
    <cellStyle name="Normal 8 2 2 2 3 6 2 2" xfId="15357" xr:uid="{235847B9-814A-47CD-8E6B-2CC9F28B362C}"/>
    <cellStyle name="Normal 8 2 2 2 3 6 3" xfId="11139" xr:uid="{EB61E21A-793B-4974-996A-969AEF39FBF3}"/>
    <cellStyle name="Normal 8 2 2 2 3 7" xfId="4850" xr:uid="{00000000-0005-0000-0000-0000311C0000}"/>
    <cellStyle name="Normal 8 2 2 2 3 7 2" xfId="13292" xr:uid="{FE7D14BA-1758-4DE5-8937-A2C391085B6F}"/>
    <cellStyle name="Normal 8 2 2 2 3 8" xfId="9074" xr:uid="{B8F5D6A9-426A-43F8-8CB7-819CEC6AD84C}"/>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15847" xr:uid="{74B09715-B92D-46BA-9836-935FC90F4C5A}"/>
    <cellStyle name="Normal 8 2 2 2 4 2 3" xfId="11629" xr:uid="{99740D22-B166-42D7-8811-293E3E08F773}"/>
    <cellStyle name="Normal 8 2 2 2 4 3" xfId="5260" xr:uid="{00000000-0005-0000-0000-0000351C0000}"/>
    <cellStyle name="Normal 8 2 2 2 4 3 2" xfId="13702" xr:uid="{B2188EE5-383F-4EAF-9A8C-1323504D5B66}"/>
    <cellStyle name="Normal 8 2 2 2 4 4" xfId="9484" xr:uid="{535E2B19-BF3A-437E-88CA-EACED6ABF2A4}"/>
    <cellStyle name="Normal 8 2 2 2 5" xfId="1365" xr:uid="{00000000-0005-0000-0000-0000361C0000}"/>
    <cellStyle name="Normal 8 2 2 2 5 2" xfId="3595" xr:uid="{00000000-0005-0000-0000-0000371C0000}"/>
    <cellStyle name="Normal 8 2 2 2 5 2 2" xfId="7818" xr:uid="{00000000-0005-0000-0000-0000381C0000}"/>
    <cellStyle name="Normal 8 2 2 2 5 2 2 2" xfId="16260" xr:uid="{227D294A-D400-4AC5-A00B-704F8499CD2D}"/>
    <cellStyle name="Normal 8 2 2 2 5 2 3" xfId="12042" xr:uid="{9D7F00E0-E28B-4F56-B397-8E9F6943401A}"/>
    <cellStyle name="Normal 8 2 2 2 5 3" xfId="5673" xr:uid="{00000000-0005-0000-0000-0000391C0000}"/>
    <cellStyle name="Normal 8 2 2 2 5 3 2" xfId="14115" xr:uid="{55354CFD-D343-44A0-A91D-1D65F5F7D938}"/>
    <cellStyle name="Normal 8 2 2 2 5 4" xfId="9897" xr:uid="{20126B72-3BA9-4F89-8D96-33189EC030E6}"/>
    <cellStyle name="Normal 8 2 2 2 6" xfId="1778" xr:uid="{00000000-0005-0000-0000-00003A1C0000}"/>
    <cellStyle name="Normal 8 2 2 2 6 2" xfId="4008" xr:uid="{00000000-0005-0000-0000-00003B1C0000}"/>
    <cellStyle name="Normal 8 2 2 2 6 2 2" xfId="8231" xr:uid="{00000000-0005-0000-0000-00003C1C0000}"/>
    <cellStyle name="Normal 8 2 2 2 6 2 2 2" xfId="16673" xr:uid="{BECA39B5-ABDE-4607-8F8B-CA8A131FF5DE}"/>
    <cellStyle name="Normal 8 2 2 2 6 2 3" xfId="12455" xr:uid="{881DB884-6C74-4531-9A6F-A8B73F58E9B8}"/>
    <cellStyle name="Normal 8 2 2 2 6 3" xfId="6086" xr:uid="{00000000-0005-0000-0000-00003D1C0000}"/>
    <cellStyle name="Normal 8 2 2 2 6 3 2" xfId="14528" xr:uid="{50B958DA-455F-490F-AF45-906B1ED413C4}"/>
    <cellStyle name="Normal 8 2 2 2 6 4" xfId="10310" xr:uid="{2514DF78-F280-420B-8CD6-C35B4D3D688A}"/>
    <cellStyle name="Normal 8 2 2 2 7" xfId="2192" xr:uid="{00000000-0005-0000-0000-00003E1C0000}"/>
    <cellStyle name="Normal 8 2 2 2 7 2" xfId="4421" xr:uid="{00000000-0005-0000-0000-00003F1C0000}"/>
    <cellStyle name="Normal 8 2 2 2 7 2 2" xfId="8644" xr:uid="{00000000-0005-0000-0000-0000401C0000}"/>
    <cellStyle name="Normal 8 2 2 2 7 2 2 2" xfId="17086" xr:uid="{FAC9FCEB-D73C-44B2-8876-163F9CD730D7}"/>
    <cellStyle name="Normal 8 2 2 2 7 2 3" xfId="12868" xr:uid="{933527D7-0C8D-4E5B-8644-7AA0ADCEDC2F}"/>
    <cellStyle name="Normal 8 2 2 2 7 3" xfId="6499" xr:uid="{00000000-0005-0000-0000-0000411C0000}"/>
    <cellStyle name="Normal 8 2 2 2 7 3 2" xfId="14941" xr:uid="{8331E555-E4AE-4FB2-A15C-85448E8A0DD8}"/>
    <cellStyle name="Normal 8 2 2 2 7 4" xfId="10723" xr:uid="{C65D196D-F03C-4C6C-8CCD-A82342A565EC}"/>
    <cellStyle name="Normal 8 2 2 2 8" xfId="2628" xr:uid="{00000000-0005-0000-0000-0000421C0000}"/>
    <cellStyle name="Normal 8 2 2 2 8 2" xfId="6912" xr:uid="{00000000-0005-0000-0000-0000431C0000}"/>
    <cellStyle name="Normal 8 2 2 2 8 2 2" xfId="15354" xr:uid="{518D351D-1D23-4BC7-BEBA-2CDDE27E8203}"/>
    <cellStyle name="Normal 8 2 2 2 8 3" xfId="11136" xr:uid="{E74DDF1C-F12C-4B67-9E81-638877757A22}"/>
    <cellStyle name="Normal 8 2 2 2 9" xfId="4847" xr:uid="{00000000-0005-0000-0000-0000441C0000}"/>
    <cellStyle name="Normal 8 2 2 2 9 2" xfId="13289" xr:uid="{B503F5E4-027E-40EB-B510-7642D968A2CF}"/>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15852" xr:uid="{D3D865F1-10EA-4671-8683-2D8E45AE0377}"/>
    <cellStyle name="Normal 8 2 2 3 2 2 2 3" xfId="11634" xr:uid="{2FC1D759-08F9-4747-8675-E027A1D23210}"/>
    <cellStyle name="Normal 8 2 2 3 2 2 3" xfId="5265" xr:uid="{00000000-0005-0000-0000-00004A1C0000}"/>
    <cellStyle name="Normal 8 2 2 3 2 2 3 2" xfId="13707" xr:uid="{AC07CC68-2B6E-46EA-8732-BA121B1AB9B7}"/>
    <cellStyle name="Normal 8 2 2 3 2 2 4" xfId="9489" xr:uid="{B5136FB6-0521-4DBB-997F-DB2707D80099}"/>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2 2" xfId="16265" xr:uid="{8A9D1EA6-5478-42AD-AE68-8CAFD185508C}"/>
    <cellStyle name="Normal 8 2 2 3 2 3 2 3" xfId="12047" xr:uid="{50527030-A73B-4D55-B3B1-CFEA7F419239}"/>
    <cellStyle name="Normal 8 2 2 3 2 3 3" xfId="5678" xr:uid="{00000000-0005-0000-0000-00004E1C0000}"/>
    <cellStyle name="Normal 8 2 2 3 2 3 3 2" xfId="14120" xr:uid="{0372FE09-D584-4147-8E93-530ACE0FFC59}"/>
    <cellStyle name="Normal 8 2 2 3 2 3 4" xfId="9902" xr:uid="{21B72035-BE6B-45BE-8CBC-04581EE48453}"/>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2 2 2" xfId="16678" xr:uid="{C0AC236C-EE45-4F37-AD46-36F6B5D427D8}"/>
    <cellStyle name="Normal 8 2 2 3 2 4 2 3" xfId="12460" xr:uid="{76EAB80F-EC4B-4D1B-AA6D-D6C23B5FBA63}"/>
    <cellStyle name="Normal 8 2 2 3 2 4 3" xfId="6091" xr:uid="{00000000-0005-0000-0000-0000521C0000}"/>
    <cellStyle name="Normal 8 2 2 3 2 4 3 2" xfId="14533" xr:uid="{DD111EB5-7EA4-448D-97DE-94D8D38D7D94}"/>
    <cellStyle name="Normal 8 2 2 3 2 4 4" xfId="10315" xr:uid="{ABEE66C6-34EE-4F68-A6B3-64F832B8E3D1}"/>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2 2 2" xfId="17091" xr:uid="{BB3562E3-CDB2-4060-92E1-312FA1208EEA}"/>
    <cellStyle name="Normal 8 2 2 3 2 5 2 3" xfId="12873" xr:uid="{547FC559-CB7D-49A8-93C6-336BCFA41911}"/>
    <cellStyle name="Normal 8 2 2 3 2 5 3" xfId="6504" xr:uid="{00000000-0005-0000-0000-0000561C0000}"/>
    <cellStyle name="Normal 8 2 2 3 2 5 3 2" xfId="14946" xr:uid="{47ADBE5F-474D-4372-B22D-CAFFD4C73053}"/>
    <cellStyle name="Normal 8 2 2 3 2 5 4" xfId="10728" xr:uid="{C69D921B-10AE-41EE-9C0A-CFAB3DD5EEFA}"/>
    <cellStyle name="Normal 8 2 2 3 2 6" xfId="2633" xr:uid="{00000000-0005-0000-0000-0000571C0000}"/>
    <cellStyle name="Normal 8 2 2 3 2 6 2" xfId="6917" xr:uid="{00000000-0005-0000-0000-0000581C0000}"/>
    <cellStyle name="Normal 8 2 2 3 2 6 2 2" xfId="15359" xr:uid="{1C644CA7-49AD-4892-A161-AF4088EA1480}"/>
    <cellStyle name="Normal 8 2 2 3 2 6 3" xfId="11141" xr:uid="{AFE173A8-D970-45A3-A6C5-087E6E86F12E}"/>
    <cellStyle name="Normal 8 2 2 3 2 7" xfId="4852" xr:uid="{00000000-0005-0000-0000-0000591C0000}"/>
    <cellStyle name="Normal 8 2 2 3 2 7 2" xfId="13294" xr:uid="{D1D2253B-4518-4254-8108-190079894EFD}"/>
    <cellStyle name="Normal 8 2 2 3 2 8" xfId="9076" xr:uid="{4380283D-393A-486E-A4DE-31BE4D6A8E36}"/>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15851" xr:uid="{26CF3D84-D9A6-4806-831F-81E3311B8C48}"/>
    <cellStyle name="Normal 8 2 2 3 3 2 3" xfId="11633" xr:uid="{DDD07B8F-679B-4A68-87E4-50A08A0F9147}"/>
    <cellStyle name="Normal 8 2 2 3 3 3" xfId="5264" xr:uid="{00000000-0005-0000-0000-00005D1C0000}"/>
    <cellStyle name="Normal 8 2 2 3 3 3 2" xfId="13706" xr:uid="{09CD8F81-65A5-4770-9D69-C4E9B133A71A}"/>
    <cellStyle name="Normal 8 2 2 3 3 4" xfId="9488" xr:uid="{B89E884C-365F-4A4F-AEB0-8689DEE3C8C7}"/>
    <cellStyle name="Normal 8 2 2 3 4" xfId="1369" xr:uid="{00000000-0005-0000-0000-00005E1C0000}"/>
    <cellStyle name="Normal 8 2 2 3 4 2" xfId="3599" xr:uid="{00000000-0005-0000-0000-00005F1C0000}"/>
    <cellStyle name="Normal 8 2 2 3 4 2 2" xfId="7822" xr:uid="{00000000-0005-0000-0000-0000601C0000}"/>
    <cellStyle name="Normal 8 2 2 3 4 2 2 2" xfId="16264" xr:uid="{0F857F90-1460-44FA-8AFB-F807416CDA2B}"/>
    <cellStyle name="Normal 8 2 2 3 4 2 3" xfId="12046" xr:uid="{8FEC5AEE-935A-4C66-90E7-BF816A0B4A13}"/>
    <cellStyle name="Normal 8 2 2 3 4 3" xfId="5677" xr:uid="{00000000-0005-0000-0000-0000611C0000}"/>
    <cellStyle name="Normal 8 2 2 3 4 3 2" xfId="14119" xr:uid="{2A96AA2D-50D7-4105-94DA-A756491E0002}"/>
    <cellStyle name="Normal 8 2 2 3 4 4" xfId="9901" xr:uid="{78C54770-1D06-48C2-9300-1E3AE8B33C77}"/>
    <cellStyle name="Normal 8 2 2 3 5" xfId="1782" xr:uid="{00000000-0005-0000-0000-0000621C0000}"/>
    <cellStyle name="Normal 8 2 2 3 5 2" xfId="4012" xr:uid="{00000000-0005-0000-0000-0000631C0000}"/>
    <cellStyle name="Normal 8 2 2 3 5 2 2" xfId="8235" xr:uid="{00000000-0005-0000-0000-0000641C0000}"/>
    <cellStyle name="Normal 8 2 2 3 5 2 2 2" xfId="16677" xr:uid="{81B2497B-B21F-43BF-890F-51A20C143294}"/>
    <cellStyle name="Normal 8 2 2 3 5 2 3" xfId="12459" xr:uid="{40FE3FA8-7DEF-4DE4-8C37-F4962A4FE679}"/>
    <cellStyle name="Normal 8 2 2 3 5 3" xfId="6090" xr:uid="{00000000-0005-0000-0000-0000651C0000}"/>
    <cellStyle name="Normal 8 2 2 3 5 3 2" xfId="14532" xr:uid="{FAE58E7D-AA59-4292-A740-2CEE3DCCD986}"/>
    <cellStyle name="Normal 8 2 2 3 5 4" xfId="10314" xr:uid="{2B4F5F6F-EE9C-4102-B181-DC8A8D7FA574}"/>
    <cellStyle name="Normal 8 2 2 3 6" xfId="2196" xr:uid="{00000000-0005-0000-0000-0000661C0000}"/>
    <cellStyle name="Normal 8 2 2 3 6 2" xfId="4425" xr:uid="{00000000-0005-0000-0000-0000671C0000}"/>
    <cellStyle name="Normal 8 2 2 3 6 2 2" xfId="8648" xr:uid="{00000000-0005-0000-0000-0000681C0000}"/>
    <cellStyle name="Normal 8 2 2 3 6 2 2 2" xfId="17090" xr:uid="{42EB44AA-E0B9-4DA5-A7CA-347011C937A3}"/>
    <cellStyle name="Normal 8 2 2 3 6 2 3" xfId="12872" xr:uid="{A3073BE3-6D07-4455-8895-99D0F69A4020}"/>
    <cellStyle name="Normal 8 2 2 3 6 3" xfId="6503" xr:uid="{00000000-0005-0000-0000-0000691C0000}"/>
    <cellStyle name="Normal 8 2 2 3 6 3 2" xfId="14945" xr:uid="{4D6E3B72-DB78-4EE4-A57D-80C9AF0B0990}"/>
    <cellStyle name="Normal 8 2 2 3 6 4" xfId="10727" xr:uid="{08254DDA-1F66-4BBB-996F-C547D4966595}"/>
    <cellStyle name="Normal 8 2 2 3 7" xfId="2632" xr:uid="{00000000-0005-0000-0000-00006A1C0000}"/>
    <cellStyle name="Normal 8 2 2 3 7 2" xfId="6916" xr:uid="{00000000-0005-0000-0000-00006B1C0000}"/>
    <cellStyle name="Normal 8 2 2 3 7 2 2" xfId="15358" xr:uid="{2B797C4F-E6E7-40B0-8D96-70129A0EA74A}"/>
    <cellStyle name="Normal 8 2 2 3 7 3" xfId="11140" xr:uid="{ACAABE57-58D7-4937-BF42-942C741D60E3}"/>
    <cellStyle name="Normal 8 2 2 3 8" xfId="4851" xr:uid="{00000000-0005-0000-0000-00006C1C0000}"/>
    <cellStyle name="Normal 8 2 2 3 8 2" xfId="13293" xr:uid="{60DA6BA9-21B6-4262-ABE3-1B8F4DB5DDDA}"/>
    <cellStyle name="Normal 8 2 2 3 9" xfId="9075" xr:uid="{32269565-A99F-4C20-BE6E-F8BF7E0157F7}"/>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15853" xr:uid="{5A1D8BB4-18A5-42B0-B4CB-DF6482FA40FA}"/>
    <cellStyle name="Normal 8 2 2 4 2 2 3" xfId="11635" xr:uid="{32252867-DB4C-4872-BADA-92BA3E76BEEB}"/>
    <cellStyle name="Normal 8 2 2 4 2 3" xfId="5266" xr:uid="{00000000-0005-0000-0000-0000711C0000}"/>
    <cellStyle name="Normal 8 2 2 4 2 3 2" xfId="13708" xr:uid="{CB3945E1-3EC8-4364-9563-3463D51890D5}"/>
    <cellStyle name="Normal 8 2 2 4 2 4" xfId="9490" xr:uid="{21ADC75B-4A4B-4DEE-8A7D-B3D927250B16}"/>
    <cellStyle name="Normal 8 2 2 4 3" xfId="1371" xr:uid="{00000000-0005-0000-0000-0000721C0000}"/>
    <cellStyle name="Normal 8 2 2 4 3 2" xfId="3601" xr:uid="{00000000-0005-0000-0000-0000731C0000}"/>
    <cellStyle name="Normal 8 2 2 4 3 2 2" xfId="7824" xr:uid="{00000000-0005-0000-0000-0000741C0000}"/>
    <cellStyle name="Normal 8 2 2 4 3 2 2 2" xfId="16266" xr:uid="{59623BC4-6178-4E83-867A-A7EF6E5B69D3}"/>
    <cellStyle name="Normal 8 2 2 4 3 2 3" xfId="12048" xr:uid="{CC111085-7F5C-492D-89CF-AB5E164EE47A}"/>
    <cellStyle name="Normal 8 2 2 4 3 3" xfId="5679" xr:uid="{00000000-0005-0000-0000-0000751C0000}"/>
    <cellStyle name="Normal 8 2 2 4 3 3 2" xfId="14121" xr:uid="{0E6125AC-56FA-4E97-8CE8-1C4490006176}"/>
    <cellStyle name="Normal 8 2 2 4 3 4" xfId="9903" xr:uid="{64EC834D-33DD-4290-8A99-BEB5B89FEB7C}"/>
    <cellStyle name="Normal 8 2 2 4 4" xfId="1784" xr:uid="{00000000-0005-0000-0000-0000761C0000}"/>
    <cellStyle name="Normal 8 2 2 4 4 2" xfId="4014" xr:uid="{00000000-0005-0000-0000-0000771C0000}"/>
    <cellStyle name="Normal 8 2 2 4 4 2 2" xfId="8237" xr:uid="{00000000-0005-0000-0000-0000781C0000}"/>
    <cellStyle name="Normal 8 2 2 4 4 2 2 2" xfId="16679" xr:uid="{8CB89FAF-804B-42E4-953A-C9571B2E75AD}"/>
    <cellStyle name="Normal 8 2 2 4 4 2 3" xfId="12461" xr:uid="{CAA923A1-3330-44DB-A8EA-66175F46BC82}"/>
    <cellStyle name="Normal 8 2 2 4 4 3" xfId="6092" xr:uid="{00000000-0005-0000-0000-0000791C0000}"/>
    <cellStyle name="Normal 8 2 2 4 4 3 2" xfId="14534" xr:uid="{A255D51E-01A7-4859-9CF0-6FBCA55D84A4}"/>
    <cellStyle name="Normal 8 2 2 4 4 4" xfId="10316" xr:uid="{C88974F8-A05C-4D0C-A43B-DC64E8DB60F4}"/>
    <cellStyle name="Normal 8 2 2 4 5" xfId="2198" xr:uid="{00000000-0005-0000-0000-00007A1C0000}"/>
    <cellStyle name="Normal 8 2 2 4 5 2" xfId="4427" xr:uid="{00000000-0005-0000-0000-00007B1C0000}"/>
    <cellStyle name="Normal 8 2 2 4 5 2 2" xfId="8650" xr:uid="{00000000-0005-0000-0000-00007C1C0000}"/>
    <cellStyle name="Normal 8 2 2 4 5 2 2 2" xfId="17092" xr:uid="{255FD87B-2989-4165-8A0B-07DFD5CB6B7E}"/>
    <cellStyle name="Normal 8 2 2 4 5 2 3" xfId="12874" xr:uid="{C63416F1-8F82-41D8-A423-CAA48A677C8A}"/>
    <cellStyle name="Normal 8 2 2 4 5 3" xfId="6505" xr:uid="{00000000-0005-0000-0000-00007D1C0000}"/>
    <cellStyle name="Normal 8 2 2 4 5 3 2" xfId="14947" xr:uid="{506E663B-336A-4469-A4E2-040D75F47E9B}"/>
    <cellStyle name="Normal 8 2 2 4 5 4" xfId="10729" xr:uid="{01564944-C3FC-48B2-913E-D7065D7C2184}"/>
    <cellStyle name="Normal 8 2 2 4 6" xfId="2634" xr:uid="{00000000-0005-0000-0000-00007E1C0000}"/>
    <cellStyle name="Normal 8 2 2 4 6 2" xfId="6918" xr:uid="{00000000-0005-0000-0000-00007F1C0000}"/>
    <cellStyle name="Normal 8 2 2 4 6 2 2" xfId="15360" xr:uid="{5DCFDAF4-13B0-4822-AC8B-92B40F7CB69E}"/>
    <cellStyle name="Normal 8 2 2 4 6 3" xfId="11142" xr:uid="{2847AC54-D46B-430E-B14A-0E9562EDE176}"/>
    <cellStyle name="Normal 8 2 2 4 7" xfId="4853" xr:uid="{00000000-0005-0000-0000-0000801C0000}"/>
    <cellStyle name="Normal 8 2 2 4 7 2" xfId="13295" xr:uid="{2E1CC339-3D66-4D86-BF3F-E8B22C3EBAD8}"/>
    <cellStyle name="Normal 8 2 2 4 8" xfId="9077" xr:uid="{4F70FD57-F221-431A-A246-4894AACAB401}"/>
    <cellStyle name="Normal 8 2 2 5" xfId="947" xr:uid="{00000000-0005-0000-0000-0000811C0000}"/>
    <cellStyle name="Normal 8 2 2 5 2" xfId="3181" xr:uid="{00000000-0005-0000-0000-0000821C0000}"/>
    <cellStyle name="Normal 8 2 2 5 2 2" xfId="7404" xr:uid="{00000000-0005-0000-0000-0000831C0000}"/>
    <cellStyle name="Normal 8 2 2 5 2 2 2" xfId="15846" xr:uid="{AE3E8E8E-6057-49FF-91F2-E9029FD660B6}"/>
    <cellStyle name="Normal 8 2 2 5 2 3" xfId="11628" xr:uid="{912F0459-1DEC-4570-93A1-6E4EDF9E00EC}"/>
    <cellStyle name="Normal 8 2 2 5 3" xfId="5259" xr:uid="{00000000-0005-0000-0000-0000841C0000}"/>
    <cellStyle name="Normal 8 2 2 5 3 2" xfId="13701" xr:uid="{87DC43F6-DA59-454C-86CC-8B2FA0F25378}"/>
    <cellStyle name="Normal 8 2 2 5 4" xfId="9483" xr:uid="{4C12FC5C-BF54-4FE9-A33C-961D62C77C30}"/>
    <cellStyle name="Normal 8 2 2 6" xfId="1364" xr:uid="{00000000-0005-0000-0000-0000851C0000}"/>
    <cellStyle name="Normal 8 2 2 6 2" xfId="3594" xr:uid="{00000000-0005-0000-0000-0000861C0000}"/>
    <cellStyle name="Normal 8 2 2 6 2 2" xfId="7817" xr:uid="{00000000-0005-0000-0000-0000871C0000}"/>
    <cellStyle name="Normal 8 2 2 6 2 2 2" xfId="16259" xr:uid="{6811A5BB-1ED0-4E51-9860-B0EF1D181E1A}"/>
    <cellStyle name="Normal 8 2 2 6 2 3" xfId="12041" xr:uid="{F184ED24-8697-49E2-A143-BB12E21D1821}"/>
    <cellStyle name="Normal 8 2 2 6 3" xfId="5672" xr:uid="{00000000-0005-0000-0000-0000881C0000}"/>
    <cellStyle name="Normal 8 2 2 6 3 2" xfId="14114" xr:uid="{B7353E47-FF26-4ECA-940A-9992AEED4B7B}"/>
    <cellStyle name="Normal 8 2 2 6 4" xfId="9896" xr:uid="{23D774D0-F2FF-4114-905E-7B886C15E75C}"/>
    <cellStyle name="Normal 8 2 2 7" xfId="1777" xr:uid="{00000000-0005-0000-0000-0000891C0000}"/>
    <cellStyle name="Normal 8 2 2 7 2" xfId="4007" xr:uid="{00000000-0005-0000-0000-00008A1C0000}"/>
    <cellStyle name="Normal 8 2 2 7 2 2" xfId="8230" xr:uid="{00000000-0005-0000-0000-00008B1C0000}"/>
    <cellStyle name="Normal 8 2 2 7 2 2 2" xfId="16672" xr:uid="{64D4D35A-7EB4-4361-82B0-49843CF48A89}"/>
    <cellStyle name="Normal 8 2 2 7 2 3" xfId="12454" xr:uid="{18D9914E-01CA-48DE-8264-A23BEB83D631}"/>
    <cellStyle name="Normal 8 2 2 7 3" xfId="6085" xr:uid="{00000000-0005-0000-0000-00008C1C0000}"/>
    <cellStyle name="Normal 8 2 2 7 3 2" xfId="14527" xr:uid="{0FA9BFCE-373D-400C-8684-A72B4789F9DF}"/>
    <cellStyle name="Normal 8 2 2 7 4" xfId="10309" xr:uid="{6A49348A-DA3C-43FB-9457-CDFF1C72CE33}"/>
    <cellStyle name="Normal 8 2 2 8" xfId="2191" xr:uid="{00000000-0005-0000-0000-00008D1C0000}"/>
    <cellStyle name="Normal 8 2 2 8 2" xfId="4420" xr:uid="{00000000-0005-0000-0000-00008E1C0000}"/>
    <cellStyle name="Normal 8 2 2 8 2 2" xfId="8643" xr:uid="{00000000-0005-0000-0000-00008F1C0000}"/>
    <cellStyle name="Normal 8 2 2 8 2 2 2" xfId="17085" xr:uid="{7F13C7BD-BC12-448E-A860-2E4D9DEC7B36}"/>
    <cellStyle name="Normal 8 2 2 8 2 3" xfId="12867" xr:uid="{3067FFF0-DDCC-4E51-9787-0A5AD4823BA0}"/>
    <cellStyle name="Normal 8 2 2 8 3" xfId="6498" xr:uid="{00000000-0005-0000-0000-0000901C0000}"/>
    <cellStyle name="Normal 8 2 2 8 3 2" xfId="14940" xr:uid="{9B2BEF97-4091-40B6-8F6B-64A231B672C3}"/>
    <cellStyle name="Normal 8 2 2 8 4" xfId="10722" xr:uid="{46496CCD-FCE1-4786-B934-6F56F2C8B52A}"/>
    <cellStyle name="Normal 8 2 2 9" xfId="2627" xr:uid="{00000000-0005-0000-0000-0000911C0000}"/>
    <cellStyle name="Normal 8 2 2 9 2" xfId="6911" xr:uid="{00000000-0005-0000-0000-0000921C0000}"/>
    <cellStyle name="Normal 8 2 2 9 2 2" xfId="15353" xr:uid="{33765DFB-9212-46BE-8833-8B7181FA0699}"/>
    <cellStyle name="Normal 8 2 2 9 3" xfId="11135" xr:uid="{E70C5A72-DE60-4D19-8753-B942AD328EB5}"/>
    <cellStyle name="Normal 8 2 3" xfId="488" xr:uid="{00000000-0005-0000-0000-0000931C0000}"/>
    <cellStyle name="Normal 8 2 3 10" xfId="9078" xr:uid="{86830345-456B-4CFB-A3D3-29EE171BB68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15856" xr:uid="{AF03F24C-83DA-452A-BC51-E0522F06965A}"/>
    <cellStyle name="Normal 8 2 3 2 2 2 2 3" xfId="11638" xr:uid="{D18A05C7-9DFB-4F40-954B-B2EC3F10A124}"/>
    <cellStyle name="Normal 8 2 3 2 2 2 3" xfId="5269" xr:uid="{00000000-0005-0000-0000-0000991C0000}"/>
    <cellStyle name="Normal 8 2 3 2 2 2 3 2" xfId="13711" xr:uid="{319B270A-7342-4741-8BFB-2963D2CE3604}"/>
    <cellStyle name="Normal 8 2 3 2 2 2 4" xfId="9493" xr:uid="{E8F25DE7-917E-4586-B3F2-B0F5F924D20F}"/>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2 2" xfId="16269" xr:uid="{BE354DFC-28C5-41E5-8FBA-720EF522D8FC}"/>
    <cellStyle name="Normal 8 2 3 2 2 3 2 3" xfId="12051" xr:uid="{34AE19A4-66DC-4FEF-900C-C9B7FF1DECC0}"/>
    <cellStyle name="Normal 8 2 3 2 2 3 3" xfId="5682" xr:uid="{00000000-0005-0000-0000-00009D1C0000}"/>
    <cellStyle name="Normal 8 2 3 2 2 3 3 2" xfId="14124" xr:uid="{E895FAE4-FF6A-4B0D-9F0E-46F15290AA51}"/>
    <cellStyle name="Normal 8 2 3 2 2 3 4" xfId="9906" xr:uid="{1DB6B19B-7546-4AE1-ABCE-B59CA8477877}"/>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2 2 2" xfId="16682" xr:uid="{431E7BAF-F7C5-4481-8607-6A82CF02C38E}"/>
    <cellStyle name="Normal 8 2 3 2 2 4 2 3" xfId="12464" xr:uid="{6B0F7EA5-3A13-4DB5-91CF-D954F927D73D}"/>
    <cellStyle name="Normal 8 2 3 2 2 4 3" xfId="6095" xr:uid="{00000000-0005-0000-0000-0000A11C0000}"/>
    <cellStyle name="Normal 8 2 3 2 2 4 3 2" xfId="14537" xr:uid="{5514E4CF-59D6-4121-BAEC-995E1D446DFB}"/>
    <cellStyle name="Normal 8 2 3 2 2 4 4" xfId="10319" xr:uid="{2224CAA5-81BA-4733-BBF3-6956F6F380AA}"/>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2 2 2" xfId="17095" xr:uid="{1B3072EE-647A-46E1-B2BE-046D59259814}"/>
    <cellStyle name="Normal 8 2 3 2 2 5 2 3" xfId="12877" xr:uid="{846D50F2-462E-449C-944D-588B572A9D0F}"/>
    <cellStyle name="Normal 8 2 3 2 2 5 3" xfId="6508" xr:uid="{00000000-0005-0000-0000-0000A51C0000}"/>
    <cellStyle name="Normal 8 2 3 2 2 5 3 2" xfId="14950" xr:uid="{D731165B-580D-4DDE-87C6-93C9ABCCB0C3}"/>
    <cellStyle name="Normal 8 2 3 2 2 5 4" xfId="10732" xr:uid="{8BE81D74-629D-480A-B8D7-1F99A4783368}"/>
    <cellStyle name="Normal 8 2 3 2 2 6" xfId="2637" xr:uid="{00000000-0005-0000-0000-0000A61C0000}"/>
    <cellStyle name="Normal 8 2 3 2 2 6 2" xfId="6921" xr:uid="{00000000-0005-0000-0000-0000A71C0000}"/>
    <cellStyle name="Normal 8 2 3 2 2 6 2 2" xfId="15363" xr:uid="{05AE6F87-DEBF-4979-B91D-ABFDC055BD3B}"/>
    <cellStyle name="Normal 8 2 3 2 2 6 3" xfId="11145" xr:uid="{9AB4552A-F339-48C0-A3C6-9CA3726972FE}"/>
    <cellStyle name="Normal 8 2 3 2 2 7" xfId="4856" xr:uid="{00000000-0005-0000-0000-0000A81C0000}"/>
    <cellStyle name="Normal 8 2 3 2 2 7 2" xfId="13298" xr:uid="{C0728A93-30F1-45DC-8652-56F827A73791}"/>
    <cellStyle name="Normal 8 2 3 2 2 8" xfId="9080" xr:uid="{94DB8168-649E-4805-9B62-8553E2500B65}"/>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15855" xr:uid="{8270CDAC-A074-49EB-83BE-6E296D643D19}"/>
    <cellStyle name="Normal 8 2 3 2 3 2 3" xfId="11637" xr:uid="{C0AC95B8-9987-4657-ABAA-621B1F8DF7F9}"/>
    <cellStyle name="Normal 8 2 3 2 3 3" xfId="5268" xr:uid="{00000000-0005-0000-0000-0000AC1C0000}"/>
    <cellStyle name="Normal 8 2 3 2 3 3 2" xfId="13710" xr:uid="{A18CE568-6D94-464D-AB45-56F0FB876934}"/>
    <cellStyle name="Normal 8 2 3 2 3 4" xfId="9492" xr:uid="{4A90FD8D-54F6-4507-B56D-7E00D416F827}"/>
    <cellStyle name="Normal 8 2 3 2 4" xfId="1373" xr:uid="{00000000-0005-0000-0000-0000AD1C0000}"/>
    <cellStyle name="Normal 8 2 3 2 4 2" xfId="3603" xr:uid="{00000000-0005-0000-0000-0000AE1C0000}"/>
    <cellStyle name="Normal 8 2 3 2 4 2 2" xfId="7826" xr:uid="{00000000-0005-0000-0000-0000AF1C0000}"/>
    <cellStyle name="Normal 8 2 3 2 4 2 2 2" xfId="16268" xr:uid="{F19790A9-D1D7-40D8-886D-6782EED87F4F}"/>
    <cellStyle name="Normal 8 2 3 2 4 2 3" xfId="12050" xr:uid="{20A1E803-89FD-4BB7-91C0-7035FE5DF8D6}"/>
    <cellStyle name="Normal 8 2 3 2 4 3" xfId="5681" xr:uid="{00000000-0005-0000-0000-0000B01C0000}"/>
    <cellStyle name="Normal 8 2 3 2 4 3 2" xfId="14123" xr:uid="{FB3C3B7D-BF7D-4AEA-BC7F-C23142D38626}"/>
    <cellStyle name="Normal 8 2 3 2 4 4" xfId="9905" xr:uid="{1B9A2832-5E5D-4882-9A4A-3B761C164ABF}"/>
    <cellStyle name="Normal 8 2 3 2 5" xfId="1786" xr:uid="{00000000-0005-0000-0000-0000B11C0000}"/>
    <cellStyle name="Normal 8 2 3 2 5 2" xfId="4016" xr:uid="{00000000-0005-0000-0000-0000B21C0000}"/>
    <cellStyle name="Normal 8 2 3 2 5 2 2" xfId="8239" xr:uid="{00000000-0005-0000-0000-0000B31C0000}"/>
    <cellStyle name="Normal 8 2 3 2 5 2 2 2" xfId="16681" xr:uid="{D6F7AC7D-26E6-4CD1-A4AC-4DE2F65C3184}"/>
    <cellStyle name="Normal 8 2 3 2 5 2 3" xfId="12463" xr:uid="{3EB32BEF-D2AE-4A23-955A-85E138B74F96}"/>
    <cellStyle name="Normal 8 2 3 2 5 3" xfId="6094" xr:uid="{00000000-0005-0000-0000-0000B41C0000}"/>
    <cellStyle name="Normal 8 2 3 2 5 3 2" xfId="14536" xr:uid="{30810039-6A8E-4FE8-A28D-B14BAA240FD0}"/>
    <cellStyle name="Normal 8 2 3 2 5 4" xfId="10318" xr:uid="{85339938-E4D6-461D-A7F8-8040A1E92296}"/>
    <cellStyle name="Normal 8 2 3 2 6" xfId="2200" xr:uid="{00000000-0005-0000-0000-0000B51C0000}"/>
    <cellStyle name="Normal 8 2 3 2 6 2" xfId="4429" xr:uid="{00000000-0005-0000-0000-0000B61C0000}"/>
    <cellStyle name="Normal 8 2 3 2 6 2 2" xfId="8652" xr:uid="{00000000-0005-0000-0000-0000B71C0000}"/>
    <cellStyle name="Normal 8 2 3 2 6 2 2 2" xfId="17094" xr:uid="{26F8818E-9BC5-42F2-B93C-6A5C28E11F77}"/>
    <cellStyle name="Normal 8 2 3 2 6 2 3" xfId="12876" xr:uid="{1F9F7E0E-1150-4A04-BAFB-7DFFFE1C4940}"/>
    <cellStyle name="Normal 8 2 3 2 6 3" xfId="6507" xr:uid="{00000000-0005-0000-0000-0000B81C0000}"/>
    <cellStyle name="Normal 8 2 3 2 6 3 2" xfId="14949" xr:uid="{75973479-3A9F-49B4-B4C0-2835904E6A55}"/>
    <cellStyle name="Normal 8 2 3 2 6 4" xfId="10731" xr:uid="{7596E3B3-FDF0-4B8D-85C4-AE5B41F98668}"/>
    <cellStyle name="Normal 8 2 3 2 7" xfId="2636" xr:uid="{00000000-0005-0000-0000-0000B91C0000}"/>
    <cellStyle name="Normal 8 2 3 2 7 2" xfId="6920" xr:uid="{00000000-0005-0000-0000-0000BA1C0000}"/>
    <cellStyle name="Normal 8 2 3 2 7 2 2" xfId="15362" xr:uid="{F6EE11B2-C352-4681-8B02-C24B6888A520}"/>
    <cellStyle name="Normal 8 2 3 2 7 3" xfId="11144" xr:uid="{15D3713A-7EE3-44B6-A3F5-EB8D01C9AD87}"/>
    <cellStyle name="Normal 8 2 3 2 8" xfId="4855" xr:uid="{00000000-0005-0000-0000-0000BB1C0000}"/>
    <cellStyle name="Normal 8 2 3 2 8 2" xfId="13297" xr:uid="{7250EE2C-D0B4-45FC-B2E5-2EAC827D9F78}"/>
    <cellStyle name="Normal 8 2 3 2 9" xfId="9079" xr:uid="{7F79F47D-5341-4CBD-82E8-B57D9AAA9305}"/>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15857" xr:uid="{0C36DA3A-DA6F-47EF-88A1-AEC70E73BF96}"/>
    <cellStyle name="Normal 8 2 3 3 2 2 3" xfId="11639" xr:uid="{AAEBA8F3-5F5B-4942-85CF-718AAA72BC91}"/>
    <cellStyle name="Normal 8 2 3 3 2 3" xfId="5270" xr:uid="{00000000-0005-0000-0000-0000C01C0000}"/>
    <cellStyle name="Normal 8 2 3 3 2 3 2" xfId="13712" xr:uid="{2F3C5D43-81B6-4E32-8112-101FE1D4E784}"/>
    <cellStyle name="Normal 8 2 3 3 2 4" xfId="9494" xr:uid="{844FE7EA-876B-42ED-980B-B7FC8B0B708B}"/>
    <cellStyle name="Normal 8 2 3 3 3" xfId="1375" xr:uid="{00000000-0005-0000-0000-0000C11C0000}"/>
    <cellStyle name="Normal 8 2 3 3 3 2" xfId="3605" xr:uid="{00000000-0005-0000-0000-0000C21C0000}"/>
    <cellStyle name="Normal 8 2 3 3 3 2 2" xfId="7828" xr:uid="{00000000-0005-0000-0000-0000C31C0000}"/>
    <cellStyle name="Normal 8 2 3 3 3 2 2 2" xfId="16270" xr:uid="{3752522C-7020-40AD-933E-68D84DFF2952}"/>
    <cellStyle name="Normal 8 2 3 3 3 2 3" xfId="12052" xr:uid="{FF7F6CA0-11E8-4272-99A1-0083CC13D99E}"/>
    <cellStyle name="Normal 8 2 3 3 3 3" xfId="5683" xr:uid="{00000000-0005-0000-0000-0000C41C0000}"/>
    <cellStyle name="Normal 8 2 3 3 3 3 2" xfId="14125" xr:uid="{FAFBBF51-C736-4A4C-9959-B3BC55F44546}"/>
    <cellStyle name="Normal 8 2 3 3 3 4" xfId="9907" xr:uid="{47BD93CA-B758-40A5-AE79-A3F9848B7F50}"/>
    <cellStyle name="Normal 8 2 3 3 4" xfId="1788" xr:uid="{00000000-0005-0000-0000-0000C51C0000}"/>
    <cellStyle name="Normal 8 2 3 3 4 2" xfId="4018" xr:uid="{00000000-0005-0000-0000-0000C61C0000}"/>
    <cellStyle name="Normal 8 2 3 3 4 2 2" xfId="8241" xr:uid="{00000000-0005-0000-0000-0000C71C0000}"/>
    <cellStyle name="Normal 8 2 3 3 4 2 2 2" xfId="16683" xr:uid="{570D3CD5-56A3-45D2-AFDF-870D64BC55DF}"/>
    <cellStyle name="Normal 8 2 3 3 4 2 3" xfId="12465" xr:uid="{B06DBFBE-EF0D-4C2A-86F4-88D926360427}"/>
    <cellStyle name="Normal 8 2 3 3 4 3" xfId="6096" xr:uid="{00000000-0005-0000-0000-0000C81C0000}"/>
    <cellStyle name="Normal 8 2 3 3 4 3 2" xfId="14538" xr:uid="{F5E3DBF7-FEDA-4522-94F3-0E721542113F}"/>
    <cellStyle name="Normal 8 2 3 3 4 4" xfId="10320" xr:uid="{80E5375C-8CC8-4D6A-A1B3-26A8CE9AE0C6}"/>
    <cellStyle name="Normal 8 2 3 3 5" xfId="2202" xr:uid="{00000000-0005-0000-0000-0000C91C0000}"/>
    <cellStyle name="Normal 8 2 3 3 5 2" xfId="4431" xr:uid="{00000000-0005-0000-0000-0000CA1C0000}"/>
    <cellStyle name="Normal 8 2 3 3 5 2 2" xfId="8654" xr:uid="{00000000-0005-0000-0000-0000CB1C0000}"/>
    <cellStyle name="Normal 8 2 3 3 5 2 2 2" xfId="17096" xr:uid="{1E9705CF-93A1-46FE-8503-689443DFB285}"/>
    <cellStyle name="Normal 8 2 3 3 5 2 3" xfId="12878" xr:uid="{5DD42BDB-1452-4A08-B3DA-6B9B07132FB4}"/>
    <cellStyle name="Normal 8 2 3 3 5 3" xfId="6509" xr:uid="{00000000-0005-0000-0000-0000CC1C0000}"/>
    <cellStyle name="Normal 8 2 3 3 5 3 2" xfId="14951" xr:uid="{3FE4652E-5279-43AD-96C0-2161A0C99F33}"/>
    <cellStyle name="Normal 8 2 3 3 5 4" xfId="10733" xr:uid="{52802C98-5C03-426D-8BE4-F0F085979020}"/>
    <cellStyle name="Normal 8 2 3 3 6" xfId="2638" xr:uid="{00000000-0005-0000-0000-0000CD1C0000}"/>
    <cellStyle name="Normal 8 2 3 3 6 2" xfId="6922" xr:uid="{00000000-0005-0000-0000-0000CE1C0000}"/>
    <cellStyle name="Normal 8 2 3 3 6 2 2" xfId="15364" xr:uid="{3F613B0D-3E87-4F72-B820-4FDF700CE45D}"/>
    <cellStyle name="Normal 8 2 3 3 6 3" xfId="11146" xr:uid="{BE775F31-DD14-4F52-93D0-640A616771F6}"/>
    <cellStyle name="Normal 8 2 3 3 7" xfId="4857" xr:uid="{00000000-0005-0000-0000-0000CF1C0000}"/>
    <cellStyle name="Normal 8 2 3 3 7 2" xfId="13299" xr:uid="{EE645FBC-C9B4-49E2-A2AB-40FE67E3D7FA}"/>
    <cellStyle name="Normal 8 2 3 3 8" xfId="9081" xr:uid="{55BBE0C2-D6B8-4CB6-8DD7-41E0937762A6}"/>
    <cellStyle name="Normal 8 2 3 4" xfId="955" xr:uid="{00000000-0005-0000-0000-0000D01C0000}"/>
    <cellStyle name="Normal 8 2 3 4 2" xfId="3189" xr:uid="{00000000-0005-0000-0000-0000D11C0000}"/>
    <cellStyle name="Normal 8 2 3 4 2 2" xfId="7412" xr:uid="{00000000-0005-0000-0000-0000D21C0000}"/>
    <cellStyle name="Normal 8 2 3 4 2 2 2" xfId="15854" xr:uid="{37C4922A-C8EA-4B9A-B1B9-26A5191AA78F}"/>
    <cellStyle name="Normal 8 2 3 4 2 3" xfId="11636" xr:uid="{1DC2515B-8FDA-4319-ADAF-67A50A3F36C5}"/>
    <cellStyle name="Normal 8 2 3 4 3" xfId="5267" xr:uid="{00000000-0005-0000-0000-0000D31C0000}"/>
    <cellStyle name="Normal 8 2 3 4 3 2" xfId="13709" xr:uid="{E7198418-8A93-4E8A-99A3-E7B6C15557BE}"/>
    <cellStyle name="Normal 8 2 3 4 4" xfId="9491" xr:uid="{0D8C49E2-93BC-4990-BB2B-4B009F578EC4}"/>
    <cellStyle name="Normal 8 2 3 5" xfId="1372" xr:uid="{00000000-0005-0000-0000-0000D41C0000}"/>
    <cellStyle name="Normal 8 2 3 5 2" xfId="3602" xr:uid="{00000000-0005-0000-0000-0000D51C0000}"/>
    <cellStyle name="Normal 8 2 3 5 2 2" xfId="7825" xr:uid="{00000000-0005-0000-0000-0000D61C0000}"/>
    <cellStyle name="Normal 8 2 3 5 2 2 2" xfId="16267" xr:uid="{F9F6EBC6-3207-4082-B20D-493723249A8B}"/>
    <cellStyle name="Normal 8 2 3 5 2 3" xfId="12049" xr:uid="{6C9C4103-1613-4813-8165-C20528590607}"/>
    <cellStyle name="Normal 8 2 3 5 3" xfId="5680" xr:uid="{00000000-0005-0000-0000-0000D71C0000}"/>
    <cellStyle name="Normal 8 2 3 5 3 2" xfId="14122" xr:uid="{9A0EE10E-F008-4580-96BB-6EF35898118D}"/>
    <cellStyle name="Normal 8 2 3 5 4" xfId="9904" xr:uid="{D34FA3EF-B4C3-44F9-9604-E7CFB6DC5A02}"/>
    <cellStyle name="Normal 8 2 3 6" xfId="1785" xr:uid="{00000000-0005-0000-0000-0000D81C0000}"/>
    <cellStyle name="Normal 8 2 3 6 2" xfId="4015" xr:uid="{00000000-0005-0000-0000-0000D91C0000}"/>
    <cellStyle name="Normal 8 2 3 6 2 2" xfId="8238" xr:uid="{00000000-0005-0000-0000-0000DA1C0000}"/>
    <cellStyle name="Normal 8 2 3 6 2 2 2" xfId="16680" xr:uid="{D75AEA95-2045-42D9-9CDF-301C8FFC6BB6}"/>
    <cellStyle name="Normal 8 2 3 6 2 3" xfId="12462" xr:uid="{8900C7FB-EEEA-43A7-A51B-E98BFB0A01AA}"/>
    <cellStyle name="Normal 8 2 3 6 3" xfId="6093" xr:uid="{00000000-0005-0000-0000-0000DB1C0000}"/>
    <cellStyle name="Normal 8 2 3 6 3 2" xfId="14535" xr:uid="{4934820B-DD9A-4296-A0A8-A2A1A951FD2F}"/>
    <cellStyle name="Normal 8 2 3 6 4" xfId="10317" xr:uid="{B1B0E51C-36FC-4FA7-B076-67CAC8BD4725}"/>
    <cellStyle name="Normal 8 2 3 7" xfId="2199" xr:uid="{00000000-0005-0000-0000-0000DC1C0000}"/>
    <cellStyle name="Normal 8 2 3 7 2" xfId="4428" xr:uid="{00000000-0005-0000-0000-0000DD1C0000}"/>
    <cellStyle name="Normal 8 2 3 7 2 2" xfId="8651" xr:uid="{00000000-0005-0000-0000-0000DE1C0000}"/>
    <cellStyle name="Normal 8 2 3 7 2 2 2" xfId="17093" xr:uid="{7CF19285-E31E-49AA-95D1-B5B330FC7437}"/>
    <cellStyle name="Normal 8 2 3 7 2 3" xfId="12875" xr:uid="{05B1B8F9-1B3F-4AD2-8738-68E245E62A84}"/>
    <cellStyle name="Normal 8 2 3 7 3" xfId="6506" xr:uid="{00000000-0005-0000-0000-0000DF1C0000}"/>
    <cellStyle name="Normal 8 2 3 7 3 2" xfId="14948" xr:uid="{ED17D89C-85D6-485B-9B47-C77D582D4B04}"/>
    <cellStyle name="Normal 8 2 3 7 4" xfId="10730" xr:uid="{E245C394-FCE5-4C97-80BA-F73CBF54DB50}"/>
    <cellStyle name="Normal 8 2 3 8" xfId="2635" xr:uid="{00000000-0005-0000-0000-0000E01C0000}"/>
    <cellStyle name="Normal 8 2 3 8 2" xfId="6919" xr:uid="{00000000-0005-0000-0000-0000E11C0000}"/>
    <cellStyle name="Normal 8 2 3 8 2 2" xfId="15361" xr:uid="{FF79BA4E-AE78-4D53-9ECE-97A7FA19B32B}"/>
    <cellStyle name="Normal 8 2 3 8 3" xfId="11143" xr:uid="{E11146D8-4011-4634-B122-2C1F5BE2C370}"/>
    <cellStyle name="Normal 8 2 3 9" xfId="4854" xr:uid="{00000000-0005-0000-0000-0000E21C0000}"/>
    <cellStyle name="Normal 8 2 3 9 2" xfId="13296" xr:uid="{70671E5E-E0FA-4DA9-8DFF-3E27B7D8D178}"/>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15859" xr:uid="{98FCE5E5-02ED-439E-9978-B155C8D1C897}"/>
    <cellStyle name="Normal 8 2 4 2 2 2 3" xfId="11641" xr:uid="{88E9DA44-6FD1-486B-A2AF-06CB5EE484FA}"/>
    <cellStyle name="Normal 8 2 4 2 2 3" xfId="5272" xr:uid="{00000000-0005-0000-0000-0000E81C0000}"/>
    <cellStyle name="Normal 8 2 4 2 2 3 2" xfId="13714" xr:uid="{60708CF9-5BE5-4B70-BAF3-601C86552174}"/>
    <cellStyle name="Normal 8 2 4 2 2 4" xfId="9496" xr:uid="{6C1CD2D7-20CB-420D-B552-80D7C014D93F}"/>
    <cellStyle name="Normal 8 2 4 2 3" xfId="1377" xr:uid="{00000000-0005-0000-0000-0000E91C0000}"/>
    <cellStyle name="Normal 8 2 4 2 3 2" xfId="3607" xr:uid="{00000000-0005-0000-0000-0000EA1C0000}"/>
    <cellStyle name="Normal 8 2 4 2 3 2 2" xfId="7830" xr:uid="{00000000-0005-0000-0000-0000EB1C0000}"/>
    <cellStyle name="Normal 8 2 4 2 3 2 2 2" xfId="16272" xr:uid="{4B93FDD0-A577-41F2-89BC-36C4C7BE7B1E}"/>
    <cellStyle name="Normal 8 2 4 2 3 2 3" xfId="12054" xr:uid="{649D6662-8C5C-47C3-B465-5FCFA39694DD}"/>
    <cellStyle name="Normal 8 2 4 2 3 3" xfId="5685" xr:uid="{00000000-0005-0000-0000-0000EC1C0000}"/>
    <cellStyle name="Normal 8 2 4 2 3 3 2" xfId="14127" xr:uid="{C80071E8-EBCB-4B4E-B04C-29A091ED339A}"/>
    <cellStyle name="Normal 8 2 4 2 3 4" xfId="9909" xr:uid="{35818D8B-6179-44C4-BB13-DAEBB2BA7243}"/>
    <cellStyle name="Normal 8 2 4 2 4" xfId="1790" xr:uid="{00000000-0005-0000-0000-0000ED1C0000}"/>
    <cellStyle name="Normal 8 2 4 2 4 2" xfId="4020" xr:uid="{00000000-0005-0000-0000-0000EE1C0000}"/>
    <cellStyle name="Normal 8 2 4 2 4 2 2" xfId="8243" xr:uid="{00000000-0005-0000-0000-0000EF1C0000}"/>
    <cellStyle name="Normal 8 2 4 2 4 2 2 2" xfId="16685" xr:uid="{4B9C360E-9398-48BE-973A-C7C363037037}"/>
    <cellStyle name="Normal 8 2 4 2 4 2 3" xfId="12467" xr:uid="{C94DD5E3-5177-45EC-8B04-5ED8FEC75151}"/>
    <cellStyle name="Normal 8 2 4 2 4 3" xfId="6098" xr:uid="{00000000-0005-0000-0000-0000F01C0000}"/>
    <cellStyle name="Normal 8 2 4 2 4 3 2" xfId="14540" xr:uid="{7E2F5CD3-5E4E-42AC-B910-EAEF7735A376}"/>
    <cellStyle name="Normal 8 2 4 2 4 4" xfId="10322" xr:uid="{137965B1-B51D-41A9-AA29-96B816622D84}"/>
    <cellStyle name="Normal 8 2 4 2 5" xfId="2204" xr:uid="{00000000-0005-0000-0000-0000F11C0000}"/>
    <cellStyle name="Normal 8 2 4 2 5 2" xfId="4433" xr:uid="{00000000-0005-0000-0000-0000F21C0000}"/>
    <cellStyle name="Normal 8 2 4 2 5 2 2" xfId="8656" xr:uid="{00000000-0005-0000-0000-0000F31C0000}"/>
    <cellStyle name="Normal 8 2 4 2 5 2 2 2" xfId="17098" xr:uid="{40A229A4-38F5-4968-8F7F-0FA459683F41}"/>
    <cellStyle name="Normal 8 2 4 2 5 2 3" xfId="12880" xr:uid="{13EF0DA8-F9E8-4C5F-BDA1-375FF7FDB688}"/>
    <cellStyle name="Normal 8 2 4 2 5 3" xfId="6511" xr:uid="{00000000-0005-0000-0000-0000F41C0000}"/>
    <cellStyle name="Normal 8 2 4 2 5 3 2" xfId="14953" xr:uid="{D89C075D-27AF-4B3D-850D-78C9D3F0BA79}"/>
    <cellStyle name="Normal 8 2 4 2 5 4" xfId="10735" xr:uid="{127D955F-CEE2-4022-A9DA-EBFF7402C3C2}"/>
    <cellStyle name="Normal 8 2 4 2 6" xfId="2640" xr:uid="{00000000-0005-0000-0000-0000F51C0000}"/>
    <cellStyle name="Normal 8 2 4 2 6 2" xfId="6924" xr:uid="{00000000-0005-0000-0000-0000F61C0000}"/>
    <cellStyle name="Normal 8 2 4 2 6 2 2" xfId="15366" xr:uid="{8E63AE85-690B-47BA-A550-F7EF6977BC00}"/>
    <cellStyle name="Normal 8 2 4 2 6 3" xfId="11148" xr:uid="{6B40C22C-99FB-4F01-80E3-80EFC929451D}"/>
    <cellStyle name="Normal 8 2 4 2 7" xfId="4859" xr:uid="{00000000-0005-0000-0000-0000F71C0000}"/>
    <cellStyle name="Normal 8 2 4 2 7 2" xfId="13301" xr:uid="{16ABD150-FDDB-4170-B3F6-145404DC274D}"/>
    <cellStyle name="Normal 8 2 4 2 8" xfId="9083" xr:uid="{0EEA2229-AE0A-4235-B54D-AAFFC8B1EAF1}"/>
    <cellStyle name="Normal 8 2 4 3" xfId="959" xr:uid="{00000000-0005-0000-0000-0000F81C0000}"/>
    <cellStyle name="Normal 8 2 4 3 2" xfId="3193" xr:uid="{00000000-0005-0000-0000-0000F91C0000}"/>
    <cellStyle name="Normal 8 2 4 3 2 2" xfId="7416" xr:uid="{00000000-0005-0000-0000-0000FA1C0000}"/>
    <cellStyle name="Normal 8 2 4 3 2 2 2" xfId="15858" xr:uid="{E90C2ACC-23FD-4E4F-B2A3-BCE2E9940CD4}"/>
    <cellStyle name="Normal 8 2 4 3 2 3" xfId="11640" xr:uid="{2B09E34C-2677-43DD-9A08-E26FA5933DDC}"/>
    <cellStyle name="Normal 8 2 4 3 3" xfId="5271" xr:uid="{00000000-0005-0000-0000-0000FB1C0000}"/>
    <cellStyle name="Normal 8 2 4 3 3 2" xfId="13713" xr:uid="{83CA9D09-39E9-40FB-A5F2-61284DFAB3A3}"/>
    <cellStyle name="Normal 8 2 4 3 4" xfId="9495" xr:uid="{442E860A-8432-4E7F-AEEB-E8476EE17E39}"/>
    <cellStyle name="Normal 8 2 4 4" xfId="1376" xr:uid="{00000000-0005-0000-0000-0000FC1C0000}"/>
    <cellStyle name="Normal 8 2 4 4 2" xfId="3606" xr:uid="{00000000-0005-0000-0000-0000FD1C0000}"/>
    <cellStyle name="Normal 8 2 4 4 2 2" xfId="7829" xr:uid="{00000000-0005-0000-0000-0000FE1C0000}"/>
    <cellStyle name="Normal 8 2 4 4 2 2 2" xfId="16271" xr:uid="{B67EADE1-A5AE-4FD0-B2E6-60C62AA412D4}"/>
    <cellStyle name="Normal 8 2 4 4 2 3" xfId="12053" xr:uid="{CF80E06D-8C93-413B-BF4D-ED82B19E6C0B}"/>
    <cellStyle name="Normal 8 2 4 4 3" xfId="5684" xr:uid="{00000000-0005-0000-0000-0000FF1C0000}"/>
    <cellStyle name="Normal 8 2 4 4 3 2" xfId="14126" xr:uid="{86386968-E5D0-4DC4-9157-1423A6560EDF}"/>
    <cellStyle name="Normal 8 2 4 4 4" xfId="9908" xr:uid="{938B476B-3F8D-41C9-9C39-C1EFBCA2E646}"/>
    <cellStyle name="Normal 8 2 4 5" xfId="1789" xr:uid="{00000000-0005-0000-0000-0000001D0000}"/>
    <cellStyle name="Normal 8 2 4 5 2" xfId="4019" xr:uid="{00000000-0005-0000-0000-0000011D0000}"/>
    <cellStyle name="Normal 8 2 4 5 2 2" xfId="8242" xr:uid="{00000000-0005-0000-0000-0000021D0000}"/>
    <cellStyle name="Normal 8 2 4 5 2 2 2" xfId="16684" xr:uid="{09DE93B1-45C3-4BF5-BB5D-BF4F5E10DE16}"/>
    <cellStyle name="Normal 8 2 4 5 2 3" xfId="12466" xr:uid="{968E913D-450F-4B6E-984B-1A274828C59B}"/>
    <cellStyle name="Normal 8 2 4 5 3" xfId="6097" xr:uid="{00000000-0005-0000-0000-0000031D0000}"/>
    <cellStyle name="Normal 8 2 4 5 3 2" xfId="14539" xr:uid="{481BCD20-B508-471F-9E9F-BD23A381E76F}"/>
    <cellStyle name="Normal 8 2 4 5 4" xfId="10321" xr:uid="{957EEE58-56A4-4330-867C-CDC4B994C482}"/>
    <cellStyle name="Normal 8 2 4 6" xfId="2203" xr:uid="{00000000-0005-0000-0000-0000041D0000}"/>
    <cellStyle name="Normal 8 2 4 6 2" xfId="4432" xr:uid="{00000000-0005-0000-0000-0000051D0000}"/>
    <cellStyle name="Normal 8 2 4 6 2 2" xfId="8655" xr:uid="{00000000-0005-0000-0000-0000061D0000}"/>
    <cellStyle name="Normal 8 2 4 6 2 2 2" xfId="17097" xr:uid="{3DFD9904-AA1B-45E2-B1EC-9B7EE9CFAB3B}"/>
    <cellStyle name="Normal 8 2 4 6 2 3" xfId="12879" xr:uid="{1F03A62B-BD05-41FB-A535-109637B25466}"/>
    <cellStyle name="Normal 8 2 4 6 3" xfId="6510" xr:uid="{00000000-0005-0000-0000-0000071D0000}"/>
    <cellStyle name="Normal 8 2 4 6 3 2" xfId="14952" xr:uid="{EC8C3AE4-30AF-41B9-BA3E-3A25B7C115A0}"/>
    <cellStyle name="Normal 8 2 4 6 4" xfId="10734" xr:uid="{DD69DC92-8F44-4881-B591-9049746DF41C}"/>
    <cellStyle name="Normal 8 2 4 7" xfId="2639" xr:uid="{00000000-0005-0000-0000-0000081D0000}"/>
    <cellStyle name="Normal 8 2 4 7 2" xfId="6923" xr:uid="{00000000-0005-0000-0000-0000091D0000}"/>
    <cellStyle name="Normal 8 2 4 7 2 2" xfId="15365" xr:uid="{36AFE270-C3D7-4022-B99B-7DBC84512FA9}"/>
    <cellStyle name="Normal 8 2 4 7 3" xfId="11147" xr:uid="{47B3A60D-E577-4E48-AD8E-8C75A8709261}"/>
    <cellStyle name="Normal 8 2 4 8" xfId="4858" xr:uid="{00000000-0005-0000-0000-00000A1D0000}"/>
    <cellStyle name="Normal 8 2 4 8 2" xfId="13300" xr:uid="{77801DFF-49CA-474A-A8FB-61D30478790E}"/>
    <cellStyle name="Normal 8 2 4 9" xfId="9082" xr:uid="{96CE5C86-65FE-4F2A-91E2-3D40971E430E}"/>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2 2 2" xfId="15860" xr:uid="{D56DC86E-5703-46ED-B076-77A1C28B3863}"/>
    <cellStyle name="Normal 8 2 5 2 2 3" xfId="11642" xr:uid="{87C5EF93-84D6-4B9C-A787-6573485FE9E9}"/>
    <cellStyle name="Normal 8 2 5 2 3" xfId="5273" xr:uid="{00000000-0005-0000-0000-00000F1D0000}"/>
    <cellStyle name="Normal 8 2 5 2 3 2" xfId="13715" xr:uid="{D185A5E8-C879-4E6B-AB57-35309621B2C3}"/>
    <cellStyle name="Normal 8 2 5 2 4" xfId="9497" xr:uid="{EC86576F-B3FA-437A-B272-40D6615C7909}"/>
    <cellStyle name="Normal 8 2 5 3" xfId="1378" xr:uid="{00000000-0005-0000-0000-0000101D0000}"/>
    <cellStyle name="Normal 8 2 5 3 2" xfId="3608" xr:uid="{00000000-0005-0000-0000-0000111D0000}"/>
    <cellStyle name="Normal 8 2 5 3 2 2" xfId="7831" xr:uid="{00000000-0005-0000-0000-0000121D0000}"/>
    <cellStyle name="Normal 8 2 5 3 2 2 2" xfId="16273" xr:uid="{61F5BC78-389A-4414-B29C-BD090B030173}"/>
    <cellStyle name="Normal 8 2 5 3 2 3" xfId="12055" xr:uid="{BAB62133-AB39-4B16-AA7B-4A608486D9BD}"/>
    <cellStyle name="Normal 8 2 5 3 3" xfId="5686" xr:uid="{00000000-0005-0000-0000-0000131D0000}"/>
    <cellStyle name="Normal 8 2 5 3 3 2" xfId="14128" xr:uid="{F7D3A345-AE5B-4014-9199-1906633F8150}"/>
    <cellStyle name="Normal 8 2 5 3 4" xfId="9910" xr:uid="{C093D244-9AC9-48E8-956C-30B9F8099B85}"/>
    <cellStyle name="Normal 8 2 5 4" xfId="1791" xr:uid="{00000000-0005-0000-0000-0000141D0000}"/>
    <cellStyle name="Normal 8 2 5 4 2" xfId="4021" xr:uid="{00000000-0005-0000-0000-0000151D0000}"/>
    <cellStyle name="Normal 8 2 5 4 2 2" xfId="8244" xr:uid="{00000000-0005-0000-0000-0000161D0000}"/>
    <cellStyle name="Normal 8 2 5 4 2 2 2" xfId="16686" xr:uid="{788AF777-05B6-4F65-92AC-1FF737B89F40}"/>
    <cellStyle name="Normal 8 2 5 4 2 3" xfId="12468" xr:uid="{F59B96D7-DBEC-4788-AB6C-BEEBAB787319}"/>
    <cellStyle name="Normal 8 2 5 4 3" xfId="6099" xr:uid="{00000000-0005-0000-0000-0000171D0000}"/>
    <cellStyle name="Normal 8 2 5 4 3 2" xfId="14541" xr:uid="{5111AEBC-A40F-44F5-83BD-3AC0479328C0}"/>
    <cellStyle name="Normal 8 2 5 4 4" xfId="10323" xr:uid="{1419EFF5-EDB2-4347-A95E-7E0AEBDB0881}"/>
    <cellStyle name="Normal 8 2 5 5" xfId="2205" xr:uid="{00000000-0005-0000-0000-0000181D0000}"/>
    <cellStyle name="Normal 8 2 5 5 2" xfId="4434" xr:uid="{00000000-0005-0000-0000-0000191D0000}"/>
    <cellStyle name="Normal 8 2 5 5 2 2" xfId="8657" xr:uid="{00000000-0005-0000-0000-00001A1D0000}"/>
    <cellStyle name="Normal 8 2 5 5 2 2 2" xfId="17099" xr:uid="{71BCEF95-C666-4B6A-A74B-DAD45D877EDF}"/>
    <cellStyle name="Normal 8 2 5 5 2 3" xfId="12881" xr:uid="{642B0133-B80E-49D9-9C7E-217E98DF3670}"/>
    <cellStyle name="Normal 8 2 5 5 3" xfId="6512" xr:uid="{00000000-0005-0000-0000-00001B1D0000}"/>
    <cellStyle name="Normal 8 2 5 5 3 2" xfId="14954" xr:uid="{C28DD927-A64A-4945-844B-874F28518B7A}"/>
    <cellStyle name="Normal 8 2 5 5 4" xfId="10736" xr:uid="{03F72CA4-591F-40DF-AD19-2BF1E633FFC4}"/>
    <cellStyle name="Normal 8 2 5 6" xfId="2641" xr:uid="{00000000-0005-0000-0000-00001C1D0000}"/>
    <cellStyle name="Normal 8 2 5 6 2" xfId="6925" xr:uid="{00000000-0005-0000-0000-00001D1D0000}"/>
    <cellStyle name="Normal 8 2 5 6 2 2" xfId="15367" xr:uid="{1652E64B-DF11-4481-B23B-CB1C0E942CA7}"/>
    <cellStyle name="Normal 8 2 5 6 3" xfId="11149" xr:uid="{5B34ABDA-96C0-4583-8E31-1AC7621BF958}"/>
    <cellStyle name="Normal 8 2 5 7" xfId="4860" xr:uid="{00000000-0005-0000-0000-00001E1D0000}"/>
    <cellStyle name="Normal 8 2 5 7 2" xfId="13302" xr:uid="{E184BFC1-B4A8-4E3C-8338-38CB4616CE47}"/>
    <cellStyle name="Normal 8 2 5 8" xfId="9084" xr:uid="{6CA56CB9-ADEB-4CD5-B8A1-C1387D971F8F}"/>
    <cellStyle name="Normal 8 2 6" xfId="946" xr:uid="{00000000-0005-0000-0000-00001F1D0000}"/>
    <cellStyle name="Normal 8 2 6 2" xfId="3180" xr:uid="{00000000-0005-0000-0000-0000201D0000}"/>
    <cellStyle name="Normal 8 2 6 2 2" xfId="7403" xr:uid="{00000000-0005-0000-0000-0000211D0000}"/>
    <cellStyle name="Normal 8 2 6 2 2 2" xfId="15845" xr:uid="{DEC47031-3234-46D6-B9A4-3465492974F3}"/>
    <cellStyle name="Normal 8 2 6 2 3" xfId="11627" xr:uid="{9AB24B0B-2CC2-4EC1-B408-3B15DB9E9152}"/>
    <cellStyle name="Normal 8 2 6 3" xfId="5258" xr:uid="{00000000-0005-0000-0000-0000221D0000}"/>
    <cellStyle name="Normal 8 2 6 3 2" xfId="13700" xr:uid="{DFA964EB-A1F7-4C1B-80DA-D5404E53EF21}"/>
    <cellStyle name="Normal 8 2 6 4" xfId="9482" xr:uid="{F5C229E5-32C6-441D-9FF1-6E7092B06DD2}"/>
    <cellStyle name="Normal 8 2 7" xfId="1363" xr:uid="{00000000-0005-0000-0000-0000231D0000}"/>
    <cellStyle name="Normal 8 2 7 2" xfId="3593" xr:uid="{00000000-0005-0000-0000-0000241D0000}"/>
    <cellStyle name="Normal 8 2 7 2 2" xfId="7816" xr:uid="{00000000-0005-0000-0000-0000251D0000}"/>
    <cellStyle name="Normal 8 2 7 2 2 2" xfId="16258" xr:uid="{555584BF-420E-4721-965C-658A55877E08}"/>
    <cellStyle name="Normal 8 2 7 2 3" xfId="12040" xr:uid="{F45D64AA-21A8-409B-A3E6-9608DAF70702}"/>
    <cellStyle name="Normal 8 2 7 3" xfId="5671" xr:uid="{00000000-0005-0000-0000-0000261D0000}"/>
    <cellStyle name="Normal 8 2 7 3 2" xfId="14113" xr:uid="{E82C3E5C-9C88-4FEA-8748-38B48B39C0F3}"/>
    <cellStyle name="Normal 8 2 7 4" xfId="9895" xr:uid="{E4F24AB1-8FB5-4807-B800-3653108A5C4C}"/>
    <cellStyle name="Normal 8 2 8" xfId="1776" xr:uid="{00000000-0005-0000-0000-0000271D0000}"/>
    <cellStyle name="Normal 8 2 8 2" xfId="4006" xr:uid="{00000000-0005-0000-0000-0000281D0000}"/>
    <cellStyle name="Normal 8 2 8 2 2" xfId="8229" xr:uid="{00000000-0005-0000-0000-0000291D0000}"/>
    <cellStyle name="Normal 8 2 8 2 2 2" xfId="16671" xr:uid="{E8E77620-F184-4E19-8C07-43E406C52EEE}"/>
    <cellStyle name="Normal 8 2 8 2 3" xfId="12453" xr:uid="{42EE659B-7ACF-424B-877F-CFDBD3DAB557}"/>
    <cellStyle name="Normal 8 2 8 3" xfId="6084" xr:uid="{00000000-0005-0000-0000-00002A1D0000}"/>
    <cellStyle name="Normal 8 2 8 3 2" xfId="14526" xr:uid="{263AA5DD-652C-4942-890D-146A8363A832}"/>
    <cellStyle name="Normal 8 2 8 4" xfId="10308" xr:uid="{0F88DD92-B2FA-473A-A14F-78A9701F3E45}"/>
    <cellStyle name="Normal 8 2 9" xfId="2190" xr:uid="{00000000-0005-0000-0000-00002B1D0000}"/>
    <cellStyle name="Normal 8 2 9 2" xfId="4419" xr:uid="{00000000-0005-0000-0000-00002C1D0000}"/>
    <cellStyle name="Normal 8 2 9 2 2" xfId="8642" xr:uid="{00000000-0005-0000-0000-00002D1D0000}"/>
    <cellStyle name="Normal 8 2 9 2 2 2" xfId="17084" xr:uid="{2EA9C3D4-2E10-40A9-8DA6-2654A05C8E0B}"/>
    <cellStyle name="Normal 8 2 9 2 3" xfId="12866" xr:uid="{8F71BE8E-46B3-4311-A0BD-B12AA501F955}"/>
    <cellStyle name="Normal 8 2 9 3" xfId="6497" xr:uid="{00000000-0005-0000-0000-00002E1D0000}"/>
    <cellStyle name="Normal 8 2 9 3 2" xfId="14939" xr:uid="{09FFB9F9-A5C0-485B-83B1-E5E873631FE8}"/>
    <cellStyle name="Normal 8 2 9 4" xfId="10721" xr:uid="{11EAF7A9-AC27-4613-9738-1BDA61EB92E5}"/>
    <cellStyle name="Normal 8 3" xfId="495" xr:uid="{00000000-0005-0000-0000-00002F1D0000}"/>
    <cellStyle name="Normal 8 3 10" xfId="4861" xr:uid="{00000000-0005-0000-0000-0000301D0000}"/>
    <cellStyle name="Normal 8 3 10 2" xfId="13303" xr:uid="{CFB99DD7-09BF-4D89-B550-DF75E45F7D9A}"/>
    <cellStyle name="Normal 8 3 11" xfId="9085" xr:uid="{E5BBDE61-E401-41BC-8464-AC15F44B1B6C}"/>
    <cellStyle name="Normal 8 3 2" xfId="496" xr:uid="{00000000-0005-0000-0000-0000311D0000}"/>
    <cellStyle name="Normal 8 3 2 10" xfId="9086" xr:uid="{51EB650B-9F0A-4C53-9D28-AFD0E4A9A9F8}"/>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15864" xr:uid="{5E174F94-B4DD-4BFB-930A-8C1D7C3DD195}"/>
    <cellStyle name="Normal 8 3 2 2 2 2 2 3" xfId="11646" xr:uid="{E12D93E6-F9F6-45E7-8576-052317244E0F}"/>
    <cellStyle name="Normal 8 3 2 2 2 2 3" xfId="5277" xr:uid="{00000000-0005-0000-0000-0000371D0000}"/>
    <cellStyle name="Normal 8 3 2 2 2 2 3 2" xfId="13719" xr:uid="{286AE7C3-6615-4107-AFEE-E64120E95A0F}"/>
    <cellStyle name="Normal 8 3 2 2 2 2 4" xfId="9501" xr:uid="{11BCC674-8564-417C-996E-9BEB67E44235}"/>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2 2" xfId="16277" xr:uid="{62DEACF9-D5DF-4C69-ADC6-1AA7130D80BF}"/>
    <cellStyle name="Normal 8 3 2 2 2 3 2 3" xfId="12059" xr:uid="{1A1A69B8-396E-400D-8F6E-23B050BFF907}"/>
    <cellStyle name="Normal 8 3 2 2 2 3 3" xfId="5690" xr:uid="{00000000-0005-0000-0000-00003B1D0000}"/>
    <cellStyle name="Normal 8 3 2 2 2 3 3 2" xfId="14132" xr:uid="{40704388-E635-4870-BE8D-7ECCC5CD9619}"/>
    <cellStyle name="Normal 8 3 2 2 2 3 4" xfId="9914" xr:uid="{6E2A66CB-B3AA-42AA-B708-4E81DC6F541C}"/>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2 2 2" xfId="16690" xr:uid="{5AD8314B-9A2F-4353-9BCE-EEBB1B9CFFD9}"/>
    <cellStyle name="Normal 8 3 2 2 2 4 2 3" xfId="12472" xr:uid="{C7E442F7-3B1C-4D60-8D2E-330C6F7C5CE2}"/>
    <cellStyle name="Normal 8 3 2 2 2 4 3" xfId="6103" xr:uid="{00000000-0005-0000-0000-00003F1D0000}"/>
    <cellStyle name="Normal 8 3 2 2 2 4 3 2" xfId="14545" xr:uid="{C388E347-123C-45D6-9CE5-95AF051BBA75}"/>
    <cellStyle name="Normal 8 3 2 2 2 4 4" xfId="10327" xr:uid="{E255CBD8-A6F4-4922-9FAF-B3D90137949A}"/>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2 2 2" xfId="17103" xr:uid="{C2F75F9D-57EC-496A-AE95-C41EAB669377}"/>
    <cellStyle name="Normal 8 3 2 2 2 5 2 3" xfId="12885" xr:uid="{687817CF-12D5-4CD8-9B74-50EB90230689}"/>
    <cellStyle name="Normal 8 3 2 2 2 5 3" xfId="6516" xr:uid="{00000000-0005-0000-0000-0000431D0000}"/>
    <cellStyle name="Normal 8 3 2 2 2 5 3 2" xfId="14958" xr:uid="{2942A564-E308-4E03-A770-CF7BED09DE1A}"/>
    <cellStyle name="Normal 8 3 2 2 2 5 4" xfId="10740" xr:uid="{CCABF509-46E1-4257-B468-A95FA395EA68}"/>
    <cellStyle name="Normal 8 3 2 2 2 6" xfId="2645" xr:uid="{00000000-0005-0000-0000-0000441D0000}"/>
    <cellStyle name="Normal 8 3 2 2 2 6 2" xfId="6929" xr:uid="{00000000-0005-0000-0000-0000451D0000}"/>
    <cellStyle name="Normal 8 3 2 2 2 6 2 2" xfId="15371" xr:uid="{AA6930F9-E566-48AE-BE9C-0FE29689F035}"/>
    <cellStyle name="Normal 8 3 2 2 2 6 3" xfId="11153" xr:uid="{51E148AC-9300-4069-A1AA-21A7F85E384E}"/>
    <cellStyle name="Normal 8 3 2 2 2 7" xfId="4864" xr:uid="{00000000-0005-0000-0000-0000461D0000}"/>
    <cellStyle name="Normal 8 3 2 2 2 7 2" xfId="13306" xr:uid="{3F3A218B-113E-4E7E-A9FA-92C0B8D67A34}"/>
    <cellStyle name="Normal 8 3 2 2 2 8" xfId="9088" xr:uid="{D124D302-BE28-4ABE-9CEB-625497908E86}"/>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15863" xr:uid="{2D7039E0-11AC-4E43-90C0-469F68326AB6}"/>
    <cellStyle name="Normal 8 3 2 2 3 2 3" xfId="11645" xr:uid="{673B7E7A-BB20-4F28-95D2-93D26FEC0B36}"/>
    <cellStyle name="Normal 8 3 2 2 3 3" xfId="5276" xr:uid="{00000000-0005-0000-0000-00004A1D0000}"/>
    <cellStyle name="Normal 8 3 2 2 3 3 2" xfId="13718" xr:uid="{7FEA9B11-79A0-4457-A8AC-02F2CC13FE0F}"/>
    <cellStyle name="Normal 8 3 2 2 3 4" xfId="9500" xr:uid="{E8389520-A03F-4536-A5D5-99A1D42A4CF7}"/>
    <cellStyle name="Normal 8 3 2 2 4" xfId="1381" xr:uid="{00000000-0005-0000-0000-00004B1D0000}"/>
    <cellStyle name="Normal 8 3 2 2 4 2" xfId="3611" xr:uid="{00000000-0005-0000-0000-00004C1D0000}"/>
    <cellStyle name="Normal 8 3 2 2 4 2 2" xfId="7834" xr:uid="{00000000-0005-0000-0000-00004D1D0000}"/>
    <cellStyle name="Normal 8 3 2 2 4 2 2 2" xfId="16276" xr:uid="{4FC2A82D-6B3B-4B71-96F9-6890DEA70F80}"/>
    <cellStyle name="Normal 8 3 2 2 4 2 3" xfId="12058" xr:uid="{1796AD34-3D13-440D-AE1C-9BEABF58C1A3}"/>
    <cellStyle name="Normal 8 3 2 2 4 3" xfId="5689" xr:uid="{00000000-0005-0000-0000-00004E1D0000}"/>
    <cellStyle name="Normal 8 3 2 2 4 3 2" xfId="14131" xr:uid="{0F4FC7E8-9DC7-4AAF-9FBE-0C094D6397DD}"/>
    <cellStyle name="Normal 8 3 2 2 4 4" xfId="9913" xr:uid="{9F757DA8-C451-48C1-BD87-3B50DF806803}"/>
    <cellStyle name="Normal 8 3 2 2 5" xfId="1794" xr:uid="{00000000-0005-0000-0000-00004F1D0000}"/>
    <cellStyle name="Normal 8 3 2 2 5 2" xfId="4024" xr:uid="{00000000-0005-0000-0000-0000501D0000}"/>
    <cellStyle name="Normal 8 3 2 2 5 2 2" xfId="8247" xr:uid="{00000000-0005-0000-0000-0000511D0000}"/>
    <cellStyle name="Normal 8 3 2 2 5 2 2 2" xfId="16689" xr:uid="{134CE80B-7E50-494B-A3E4-10C214218977}"/>
    <cellStyle name="Normal 8 3 2 2 5 2 3" xfId="12471" xr:uid="{826C5D7D-299C-48D4-99BD-4B9461D34A56}"/>
    <cellStyle name="Normal 8 3 2 2 5 3" xfId="6102" xr:uid="{00000000-0005-0000-0000-0000521D0000}"/>
    <cellStyle name="Normal 8 3 2 2 5 3 2" xfId="14544" xr:uid="{400B3DD3-99D3-4930-8123-66129FD96938}"/>
    <cellStyle name="Normal 8 3 2 2 5 4" xfId="10326" xr:uid="{738F3BEC-FCFF-44D2-B9A6-0E9EC0B64870}"/>
    <cellStyle name="Normal 8 3 2 2 6" xfId="2208" xr:uid="{00000000-0005-0000-0000-0000531D0000}"/>
    <cellStyle name="Normal 8 3 2 2 6 2" xfId="4437" xr:uid="{00000000-0005-0000-0000-0000541D0000}"/>
    <cellStyle name="Normal 8 3 2 2 6 2 2" xfId="8660" xr:uid="{00000000-0005-0000-0000-0000551D0000}"/>
    <cellStyle name="Normal 8 3 2 2 6 2 2 2" xfId="17102" xr:uid="{7511B93F-D54F-4001-8976-42905EFA35D4}"/>
    <cellStyle name="Normal 8 3 2 2 6 2 3" xfId="12884" xr:uid="{F6ED16CB-99BA-497A-9194-DF66F4227B7C}"/>
    <cellStyle name="Normal 8 3 2 2 6 3" xfId="6515" xr:uid="{00000000-0005-0000-0000-0000561D0000}"/>
    <cellStyle name="Normal 8 3 2 2 6 3 2" xfId="14957" xr:uid="{E43D2192-E326-47AB-A19D-117DEA7274E9}"/>
    <cellStyle name="Normal 8 3 2 2 6 4" xfId="10739" xr:uid="{853D2218-9BF8-4885-AD15-8E11E3B4AB02}"/>
    <cellStyle name="Normal 8 3 2 2 7" xfId="2644" xr:uid="{00000000-0005-0000-0000-0000571D0000}"/>
    <cellStyle name="Normal 8 3 2 2 7 2" xfId="6928" xr:uid="{00000000-0005-0000-0000-0000581D0000}"/>
    <cellStyle name="Normal 8 3 2 2 7 2 2" xfId="15370" xr:uid="{4F0CD715-EE6A-4C4B-960C-AE46D0CB62BC}"/>
    <cellStyle name="Normal 8 3 2 2 7 3" xfId="11152" xr:uid="{96D051AC-E801-4FFD-BFEB-FB1B46920DF5}"/>
    <cellStyle name="Normal 8 3 2 2 8" xfId="4863" xr:uid="{00000000-0005-0000-0000-0000591D0000}"/>
    <cellStyle name="Normal 8 3 2 2 8 2" xfId="13305" xr:uid="{6017E1FF-BFB5-456F-AF25-3AD3376C2AFE}"/>
    <cellStyle name="Normal 8 3 2 2 9" xfId="9087" xr:uid="{2F87D872-1065-4723-866E-0EE4A3636ED3}"/>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15865" xr:uid="{B531D21D-AC44-44B7-A7D5-9DD00C73E9E4}"/>
    <cellStyle name="Normal 8 3 2 3 2 2 3" xfId="11647" xr:uid="{E3B47484-D024-48F3-AD73-6FA116728F84}"/>
    <cellStyle name="Normal 8 3 2 3 2 3" xfId="5278" xr:uid="{00000000-0005-0000-0000-00005E1D0000}"/>
    <cellStyle name="Normal 8 3 2 3 2 3 2" xfId="13720" xr:uid="{14C85445-A23B-450B-A19E-5434635A72F8}"/>
    <cellStyle name="Normal 8 3 2 3 2 4" xfId="9502" xr:uid="{96A5053F-0120-4937-8063-B0452F6BC01D}"/>
    <cellStyle name="Normal 8 3 2 3 3" xfId="1383" xr:uid="{00000000-0005-0000-0000-00005F1D0000}"/>
    <cellStyle name="Normal 8 3 2 3 3 2" xfId="3613" xr:uid="{00000000-0005-0000-0000-0000601D0000}"/>
    <cellStyle name="Normal 8 3 2 3 3 2 2" xfId="7836" xr:uid="{00000000-0005-0000-0000-0000611D0000}"/>
    <cellStyle name="Normal 8 3 2 3 3 2 2 2" xfId="16278" xr:uid="{661DD102-335B-4A42-9BAE-EE7A063F99B6}"/>
    <cellStyle name="Normal 8 3 2 3 3 2 3" xfId="12060" xr:uid="{06C05ED0-2090-4315-A9E0-C34EA0E411A3}"/>
    <cellStyle name="Normal 8 3 2 3 3 3" xfId="5691" xr:uid="{00000000-0005-0000-0000-0000621D0000}"/>
    <cellStyle name="Normal 8 3 2 3 3 3 2" xfId="14133" xr:uid="{4181784E-2257-4E8F-873C-D4ABA125AFA4}"/>
    <cellStyle name="Normal 8 3 2 3 3 4" xfId="9915" xr:uid="{CDC0CBE2-DEA8-43BE-A55A-36BBFDB7155E}"/>
    <cellStyle name="Normal 8 3 2 3 4" xfId="1796" xr:uid="{00000000-0005-0000-0000-0000631D0000}"/>
    <cellStyle name="Normal 8 3 2 3 4 2" xfId="4026" xr:uid="{00000000-0005-0000-0000-0000641D0000}"/>
    <cellStyle name="Normal 8 3 2 3 4 2 2" xfId="8249" xr:uid="{00000000-0005-0000-0000-0000651D0000}"/>
    <cellStyle name="Normal 8 3 2 3 4 2 2 2" xfId="16691" xr:uid="{6CFDF4EA-1692-48EF-8340-9AA646CF72D7}"/>
    <cellStyle name="Normal 8 3 2 3 4 2 3" xfId="12473" xr:uid="{09FA23EE-981E-413C-B4AF-D848C4724EAF}"/>
    <cellStyle name="Normal 8 3 2 3 4 3" xfId="6104" xr:uid="{00000000-0005-0000-0000-0000661D0000}"/>
    <cellStyle name="Normal 8 3 2 3 4 3 2" xfId="14546" xr:uid="{92194DAC-2D42-43C0-A715-BDA5DFD77D23}"/>
    <cellStyle name="Normal 8 3 2 3 4 4" xfId="10328" xr:uid="{D79CD3AD-4962-4689-9471-B19580D7C4EA}"/>
    <cellStyle name="Normal 8 3 2 3 5" xfId="2210" xr:uid="{00000000-0005-0000-0000-0000671D0000}"/>
    <cellStyle name="Normal 8 3 2 3 5 2" xfId="4439" xr:uid="{00000000-0005-0000-0000-0000681D0000}"/>
    <cellStyle name="Normal 8 3 2 3 5 2 2" xfId="8662" xr:uid="{00000000-0005-0000-0000-0000691D0000}"/>
    <cellStyle name="Normal 8 3 2 3 5 2 2 2" xfId="17104" xr:uid="{F7F6AA44-003B-43E5-8FC1-8A3B6E5CEAEA}"/>
    <cellStyle name="Normal 8 3 2 3 5 2 3" xfId="12886" xr:uid="{69C26ECC-BC6F-49C3-8961-756451C9E0CA}"/>
    <cellStyle name="Normal 8 3 2 3 5 3" xfId="6517" xr:uid="{00000000-0005-0000-0000-00006A1D0000}"/>
    <cellStyle name="Normal 8 3 2 3 5 3 2" xfId="14959" xr:uid="{EBAA42FE-6656-478A-BDC5-AFCA6DDF7D93}"/>
    <cellStyle name="Normal 8 3 2 3 5 4" xfId="10741" xr:uid="{51F3DB0F-0E6B-4BED-88B3-0C9BEB8FC3CA}"/>
    <cellStyle name="Normal 8 3 2 3 6" xfId="2646" xr:uid="{00000000-0005-0000-0000-00006B1D0000}"/>
    <cellStyle name="Normal 8 3 2 3 6 2" xfId="6930" xr:uid="{00000000-0005-0000-0000-00006C1D0000}"/>
    <cellStyle name="Normal 8 3 2 3 6 2 2" xfId="15372" xr:uid="{3385CD59-1E0C-4F55-BE75-4FBB8A1FDAB0}"/>
    <cellStyle name="Normal 8 3 2 3 6 3" xfId="11154" xr:uid="{A9A7BA36-3B48-47E4-BA67-50C9EF88E8C2}"/>
    <cellStyle name="Normal 8 3 2 3 7" xfId="4865" xr:uid="{00000000-0005-0000-0000-00006D1D0000}"/>
    <cellStyle name="Normal 8 3 2 3 7 2" xfId="13307" xr:uid="{61DC24F7-0A55-444B-B44F-50184D59E0B0}"/>
    <cellStyle name="Normal 8 3 2 3 8" xfId="9089" xr:uid="{918F2F3F-EBCB-48FB-95C0-26A332EE0448}"/>
    <cellStyle name="Normal 8 3 2 4" xfId="963" xr:uid="{00000000-0005-0000-0000-00006E1D0000}"/>
    <cellStyle name="Normal 8 3 2 4 2" xfId="3197" xr:uid="{00000000-0005-0000-0000-00006F1D0000}"/>
    <cellStyle name="Normal 8 3 2 4 2 2" xfId="7420" xr:uid="{00000000-0005-0000-0000-0000701D0000}"/>
    <cellStyle name="Normal 8 3 2 4 2 2 2" xfId="15862" xr:uid="{87ED1250-1F1E-4589-8308-88ABCFEF58D8}"/>
    <cellStyle name="Normal 8 3 2 4 2 3" xfId="11644" xr:uid="{71C78E18-9C67-4FF3-B784-54FFE588CEC4}"/>
    <cellStyle name="Normal 8 3 2 4 3" xfId="5275" xr:uid="{00000000-0005-0000-0000-0000711D0000}"/>
    <cellStyle name="Normal 8 3 2 4 3 2" xfId="13717" xr:uid="{D2006F16-DBBF-4F52-8304-81DF55DD06B8}"/>
    <cellStyle name="Normal 8 3 2 4 4" xfId="9499" xr:uid="{96F00847-0E24-44F1-BC4F-C598D6E8F1B0}"/>
    <cellStyle name="Normal 8 3 2 5" xfId="1380" xr:uid="{00000000-0005-0000-0000-0000721D0000}"/>
    <cellStyle name="Normal 8 3 2 5 2" xfId="3610" xr:uid="{00000000-0005-0000-0000-0000731D0000}"/>
    <cellStyle name="Normal 8 3 2 5 2 2" xfId="7833" xr:uid="{00000000-0005-0000-0000-0000741D0000}"/>
    <cellStyle name="Normal 8 3 2 5 2 2 2" xfId="16275" xr:uid="{87FA5A0D-67D4-478A-8F05-6E2E0B193104}"/>
    <cellStyle name="Normal 8 3 2 5 2 3" xfId="12057" xr:uid="{F3393774-A31F-488D-9520-1A288B995958}"/>
    <cellStyle name="Normal 8 3 2 5 3" xfId="5688" xr:uid="{00000000-0005-0000-0000-0000751D0000}"/>
    <cellStyle name="Normal 8 3 2 5 3 2" xfId="14130" xr:uid="{D45157F7-9897-4171-B204-C506451D9F7D}"/>
    <cellStyle name="Normal 8 3 2 5 4" xfId="9912" xr:uid="{28477EB9-6900-4A90-B2D6-12065551FA76}"/>
    <cellStyle name="Normal 8 3 2 6" xfId="1793" xr:uid="{00000000-0005-0000-0000-0000761D0000}"/>
    <cellStyle name="Normal 8 3 2 6 2" xfId="4023" xr:uid="{00000000-0005-0000-0000-0000771D0000}"/>
    <cellStyle name="Normal 8 3 2 6 2 2" xfId="8246" xr:uid="{00000000-0005-0000-0000-0000781D0000}"/>
    <cellStyle name="Normal 8 3 2 6 2 2 2" xfId="16688" xr:uid="{C2D75D11-859F-484D-994A-C9144FEB4B00}"/>
    <cellStyle name="Normal 8 3 2 6 2 3" xfId="12470" xr:uid="{2C0B1DBD-E3BC-49E8-9D9C-CBC1432C91D5}"/>
    <cellStyle name="Normal 8 3 2 6 3" xfId="6101" xr:uid="{00000000-0005-0000-0000-0000791D0000}"/>
    <cellStyle name="Normal 8 3 2 6 3 2" xfId="14543" xr:uid="{51F03706-2301-4A60-B154-12D73C8D2663}"/>
    <cellStyle name="Normal 8 3 2 6 4" xfId="10325" xr:uid="{8DEA0490-2B85-4FD4-AA1C-36B6EAA6BE09}"/>
    <cellStyle name="Normal 8 3 2 7" xfId="2207" xr:uid="{00000000-0005-0000-0000-00007A1D0000}"/>
    <cellStyle name="Normal 8 3 2 7 2" xfId="4436" xr:uid="{00000000-0005-0000-0000-00007B1D0000}"/>
    <cellStyle name="Normal 8 3 2 7 2 2" xfId="8659" xr:uid="{00000000-0005-0000-0000-00007C1D0000}"/>
    <cellStyle name="Normal 8 3 2 7 2 2 2" xfId="17101" xr:uid="{CD20725F-0CEC-431C-A578-67EC8339B8F1}"/>
    <cellStyle name="Normal 8 3 2 7 2 3" xfId="12883" xr:uid="{00C8D081-46F6-48A1-8C06-AA94AC3AC219}"/>
    <cellStyle name="Normal 8 3 2 7 3" xfId="6514" xr:uid="{00000000-0005-0000-0000-00007D1D0000}"/>
    <cellStyle name="Normal 8 3 2 7 3 2" xfId="14956" xr:uid="{6FF36C3D-35EC-4C73-BD09-0275DC8F37D0}"/>
    <cellStyle name="Normal 8 3 2 7 4" xfId="10738" xr:uid="{5207887C-D025-45A6-80B0-2D6BCD81B1A9}"/>
    <cellStyle name="Normal 8 3 2 8" xfId="2643" xr:uid="{00000000-0005-0000-0000-00007E1D0000}"/>
    <cellStyle name="Normal 8 3 2 8 2" xfId="6927" xr:uid="{00000000-0005-0000-0000-00007F1D0000}"/>
    <cellStyle name="Normal 8 3 2 8 2 2" xfId="15369" xr:uid="{6BB45A45-1309-483C-9F43-AA906B783869}"/>
    <cellStyle name="Normal 8 3 2 8 3" xfId="11151" xr:uid="{FF42E96B-34AB-4E52-B369-C08AD8DD5185}"/>
    <cellStyle name="Normal 8 3 2 9" xfId="4862" xr:uid="{00000000-0005-0000-0000-0000801D0000}"/>
    <cellStyle name="Normal 8 3 2 9 2" xfId="13304" xr:uid="{6FEF6FA0-E512-4327-82CE-36695B9610CE}"/>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15867" xr:uid="{D3B2E4E3-D9DB-414E-A2C3-7EC62EEC5E84}"/>
    <cellStyle name="Normal 8 3 3 2 2 2 3" xfId="11649" xr:uid="{9275169E-B2C9-47B6-AAA0-93098EBB57C9}"/>
    <cellStyle name="Normal 8 3 3 2 2 3" xfId="5280" xr:uid="{00000000-0005-0000-0000-0000861D0000}"/>
    <cellStyle name="Normal 8 3 3 2 2 3 2" xfId="13722" xr:uid="{0F0C2AB3-880E-422F-9FB7-DA1B21B71853}"/>
    <cellStyle name="Normal 8 3 3 2 2 4" xfId="9504" xr:uid="{2F8DBD72-5163-473C-BE21-ACF903990987}"/>
    <cellStyle name="Normal 8 3 3 2 3" xfId="1385" xr:uid="{00000000-0005-0000-0000-0000871D0000}"/>
    <cellStyle name="Normal 8 3 3 2 3 2" xfId="3615" xr:uid="{00000000-0005-0000-0000-0000881D0000}"/>
    <cellStyle name="Normal 8 3 3 2 3 2 2" xfId="7838" xr:uid="{00000000-0005-0000-0000-0000891D0000}"/>
    <cellStyle name="Normal 8 3 3 2 3 2 2 2" xfId="16280" xr:uid="{C28448FF-CD5B-49C7-AC13-D4B19F7D7AE2}"/>
    <cellStyle name="Normal 8 3 3 2 3 2 3" xfId="12062" xr:uid="{43FE9E55-CB89-41ED-9F7D-0D8D914421E3}"/>
    <cellStyle name="Normal 8 3 3 2 3 3" xfId="5693" xr:uid="{00000000-0005-0000-0000-00008A1D0000}"/>
    <cellStyle name="Normal 8 3 3 2 3 3 2" xfId="14135" xr:uid="{694643F6-A1BB-4130-BF63-A5B9235F3CB2}"/>
    <cellStyle name="Normal 8 3 3 2 3 4" xfId="9917" xr:uid="{8AFFB85E-5BE9-4AB1-891A-0DF53C70BA5B}"/>
    <cellStyle name="Normal 8 3 3 2 4" xfId="1798" xr:uid="{00000000-0005-0000-0000-00008B1D0000}"/>
    <cellStyle name="Normal 8 3 3 2 4 2" xfId="4028" xr:uid="{00000000-0005-0000-0000-00008C1D0000}"/>
    <cellStyle name="Normal 8 3 3 2 4 2 2" xfId="8251" xr:uid="{00000000-0005-0000-0000-00008D1D0000}"/>
    <cellStyle name="Normal 8 3 3 2 4 2 2 2" xfId="16693" xr:uid="{41D6FDB5-D27E-4DD2-8E4A-7FCA2B3A7FDA}"/>
    <cellStyle name="Normal 8 3 3 2 4 2 3" xfId="12475" xr:uid="{98A2503D-919D-4D23-8A74-B190B0F37AEF}"/>
    <cellStyle name="Normal 8 3 3 2 4 3" xfId="6106" xr:uid="{00000000-0005-0000-0000-00008E1D0000}"/>
    <cellStyle name="Normal 8 3 3 2 4 3 2" xfId="14548" xr:uid="{9184C2E9-7750-45A5-8603-1864296257AB}"/>
    <cellStyle name="Normal 8 3 3 2 4 4" xfId="10330" xr:uid="{FE80661B-296B-4F12-85D1-38DA8E5CB655}"/>
    <cellStyle name="Normal 8 3 3 2 5" xfId="2212" xr:uid="{00000000-0005-0000-0000-00008F1D0000}"/>
    <cellStyle name="Normal 8 3 3 2 5 2" xfId="4441" xr:uid="{00000000-0005-0000-0000-0000901D0000}"/>
    <cellStyle name="Normal 8 3 3 2 5 2 2" xfId="8664" xr:uid="{00000000-0005-0000-0000-0000911D0000}"/>
    <cellStyle name="Normal 8 3 3 2 5 2 2 2" xfId="17106" xr:uid="{12459429-05DC-48B4-A56F-3EEFFAA7FDD0}"/>
    <cellStyle name="Normal 8 3 3 2 5 2 3" xfId="12888" xr:uid="{F49EBAA3-FE90-4529-8095-DB6D3216C0F1}"/>
    <cellStyle name="Normal 8 3 3 2 5 3" xfId="6519" xr:uid="{00000000-0005-0000-0000-0000921D0000}"/>
    <cellStyle name="Normal 8 3 3 2 5 3 2" xfId="14961" xr:uid="{6F44B33B-CD41-49FE-A0D9-D99589940B66}"/>
    <cellStyle name="Normal 8 3 3 2 5 4" xfId="10743" xr:uid="{E652B603-4CC2-49B3-93A0-1B1010D6190B}"/>
    <cellStyle name="Normal 8 3 3 2 6" xfId="2648" xr:uid="{00000000-0005-0000-0000-0000931D0000}"/>
    <cellStyle name="Normal 8 3 3 2 6 2" xfId="6932" xr:uid="{00000000-0005-0000-0000-0000941D0000}"/>
    <cellStyle name="Normal 8 3 3 2 6 2 2" xfId="15374" xr:uid="{205EF393-F191-4C9E-8F19-69EDB1CB2ED1}"/>
    <cellStyle name="Normal 8 3 3 2 6 3" xfId="11156" xr:uid="{0B77AE0B-DDE4-46BE-B587-BE4DBF25F801}"/>
    <cellStyle name="Normal 8 3 3 2 7" xfId="4867" xr:uid="{00000000-0005-0000-0000-0000951D0000}"/>
    <cellStyle name="Normal 8 3 3 2 7 2" xfId="13309" xr:uid="{69403F7E-212D-4FFF-852C-A42396A27C38}"/>
    <cellStyle name="Normal 8 3 3 2 8" xfId="9091" xr:uid="{B6E442DD-67D5-4F20-901B-DF57219186FB}"/>
    <cellStyle name="Normal 8 3 3 3" xfId="967" xr:uid="{00000000-0005-0000-0000-0000961D0000}"/>
    <cellStyle name="Normal 8 3 3 3 2" xfId="3201" xr:uid="{00000000-0005-0000-0000-0000971D0000}"/>
    <cellStyle name="Normal 8 3 3 3 2 2" xfId="7424" xr:uid="{00000000-0005-0000-0000-0000981D0000}"/>
    <cellStyle name="Normal 8 3 3 3 2 2 2" xfId="15866" xr:uid="{3E12051C-489E-4785-96F5-E3671EF4B628}"/>
    <cellStyle name="Normal 8 3 3 3 2 3" xfId="11648" xr:uid="{832B03CB-CDF0-4E14-9856-D0F2A1495B20}"/>
    <cellStyle name="Normal 8 3 3 3 3" xfId="5279" xr:uid="{00000000-0005-0000-0000-0000991D0000}"/>
    <cellStyle name="Normal 8 3 3 3 3 2" xfId="13721" xr:uid="{EBC36699-8A1C-4ADE-A8D8-2B839516B8B9}"/>
    <cellStyle name="Normal 8 3 3 3 4" xfId="9503" xr:uid="{174F0BCE-4BA7-4FE8-A6FB-16A3DAA2DB85}"/>
    <cellStyle name="Normal 8 3 3 4" xfId="1384" xr:uid="{00000000-0005-0000-0000-00009A1D0000}"/>
    <cellStyle name="Normal 8 3 3 4 2" xfId="3614" xr:uid="{00000000-0005-0000-0000-00009B1D0000}"/>
    <cellStyle name="Normal 8 3 3 4 2 2" xfId="7837" xr:uid="{00000000-0005-0000-0000-00009C1D0000}"/>
    <cellStyle name="Normal 8 3 3 4 2 2 2" xfId="16279" xr:uid="{F2EE31B3-5604-4E1C-BCE9-213FDAE8F170}"/>
    <cellStyle name="Normal 8 3 3 4 2 3" xfId="12061" xr:uid="{49BFC877-DA1B-4CEC-977F-11CE9725E795}"/>
    <cellStyle name="Normal 8 3 3 4 3" xfId="5692" xr:uid="{00000000-0005-0000-0000-00009D1D0000}"/>
    <cellStyle name="Normal 8 3 3 4 3 2" xfId="14134" xr:uid="{528B32FF-B2C0-4F14-9C22-A7CDAC4CF06B}"/>
    <cellStyle name="Normal 8 3 3 4 4" xfId="9916" xr:uid="{C63A4A21-1470-4D41-B3FC-B4F757A3FE35}"/>
    <cellStyle name="Normal 8 3 3 5" xfId="1797" xr:uid="{00000000-0005-0000-0000-00009E1D0000}"/>
    <cellStyle name="Normal 8 3 3 5 2" xfId="4027" xr:uid="{00000000-0005-0000-0000-00009F1D0000}"/>
    <cellStyle name="Normal 8 3 3 5 2 2" xfId="8250" xr:uid="{00000000-0005-0000-0000-0000A01D0000}"/>
    <cellStyle name="Normal 8 3 3 5 2 2 2" xfId="16692" xr:uid="{365FD6BF-DD81-4B5F-84B7-8AB4450B9EF0}"/>
    <cellStyle name="Normal 8 3 3 5 2 3" xfId="12474" xr:uid="{AA9ABCDC-5200-4B73-B400-106A7C9C3D53}"/>
    <cellStyle name="Normal 8 3 3 5 3" xfId="6105" xr:uid="{00000000-0005-0000-0000-0000A11D0000}"/>
    <cellStyle name="Normal 8 3 3 5 3 2" xfId="14547" xr:uid="{19C2B979-C8EF-445A-A355-AA1DDEB88671}"/>
    <cellStyle name="Normal 8 3 3 5 4" xfId="10329" xr:uid="{3C19791A-16DD-4AA9-AA43-A3B36E50FCCC}"/>
    <cellStyle name="Normal 8 3 3 6" xfId="2211" xr:uid="{00000000-0005-0000-0000-0000A21D0000}"/>
    <cellStyle name="Normal 8 3 3 6 2" xfId="4440" xr:uid="{00000000-0005-0000-0000-0000A31D0000}"/>
    <cellStyle name="Normal 8 3 3 6 2 2" xfId="8663" xr:uid="{00000000-0005-0000-0000-0000A41D0000}"/>
    <cellStyle name="Normal 8 3 3 6 2 2 2" xfId="17105" xr:uid="{0A1203C9-9911-4BE6-B70C-710AF70C26AF}"/>
    <cellStyle name="Normal 8 3 3 6 2 3" xfId="12887" xr:uid="{82B212EB-8E1B-4169-8892-50C62A554DDD}"/>
    <cellStyle name="Normal 8 3 3 6 3" xfId="6518" xr:uid="{00000000-0005-0000-0000-0000A51D0000}"/>
    <cellStyle name="Normal 8 3 3 6 3 2" xfId="14960" xr:uid="{E0E35D1A-674D-47AD-BDE5-92B8F6AD1D6E}"/>
    <cellStyle name="Normal 8 3 3 6 4" xfId="10742" xr:uid="{623FED6A-F10F-4090-B96C-6468BE30FD71}"/>
    <cellStyle name="Normal 8 3 3 7" xfId="2647" xr:uid="{00000000-0005-0000-0000-0000A61D0000}"/>
    <cellStyle name="Normal 8 3 3 7 2" xfId="6931" xr:uid="{00000000-0005-0000-0000-0000A71D0000}"/>
    <cellStyle name="Normal 8 3 3 7 2 2" xfId="15373" xr:uid="{F69056B9-C4DD-4B98-80CC-4AF8DB830BCB}"/>
    <cellStyle name="Normal 8 3 3 7 3" xfId="11155" xr:uid="{4296304F-80AA-4E03-B025-CCD84F4B0F20}"/>
    <cellStyle name="Normal 8 3 3 8" xfId="4866" xr:uid="{00000000-0005-0000-0000-0000A81D0000}"/>
    <cellStyle name="Normal 8 3 3 8 2" xfId="13308" xr:uid="{C1C3D84B-E52E-4A42-A0BA-A9501E318860}"/>
    <cellStyle name="Normal 8 3 3 9" xfId="9090" xr:uid="{37DC6FB3-BF3C-492E-8FAD-F6FED0645267}"/>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2 2 2" xfId="15868" xr:uid="{89B152E4-E32C-4B98-BC30-A69C21BFECD4}"/>
    <cellStyle name="Normal 8 3 4 2 2 3" xfId="11650" xr:uid="{D4CE7F3D-BDB0-42BF-AA7D-DB0FA5A5BE31}"/>
    <cellStyle name="Normal 8 3 4 2 3" xfId="5281" xr:uid="{00000000-0005-0000-0000-0000AD1D0000}"/>
    <cellStyle name="Normal 8 3 4 2 3 2" xfId="13723" xr:uid="{82A09792-79CE-48C7-A82E-DDACEAF357F4}"/>
    <cellStyle name="Normal 8 3 4 2 4" xfId="9505" xr:uid="{B45421FF-E475-4671-9EEA-1FCCAADC0CDA}"/>
    <cellStyle name="Normal 8 3 4 3" xfId="1386" xr:uid="{00000000-0005-0000-0000-0000AE1D0000}"/>
    <cellStyle name="Normal 8 3 4 3 2" xfId="3616" xr:uid="{00000000-0005-0000-0000-0000AF1D0000}"/>
    <cellStyle name="Normal 8 3 4 3 2 2" xfId="7839" xr:uid="{00000000-0005-0000-0000-0000B01D0000}"/>
    <cellStyle name="Normal 8 3 4 3 2 2 2" xfId="16281" xr:uid="{01D73C56-77E5-4FC6-B412-F3C0C933162C}"/>
    <cellStyle name="Normal 8 3 4 3 2 3" xfId="12063" xr:uid="{AF20E7A3-5B23-49A8-AF26-C7C2CE051E03}"/>
    <cellStyle name="Normal 8 3 4 3 3" xfId="5694" xr:uid="{00000000-0005-0000-0000-0000B11D0000}"/>
    <cellStyle name="Normal 8 3 4 3 3 2" xfId="14136" xr:uid="{4C2C31CA-18E9-42E4-A083-AE01F3384373}"/>
    <cellStyle name="Normal 8 3 4 3 4" xfId="9918" xr:uid="{2BFBAB5A-25B9-46BD-BB2B-778DE5D7E5AC}"/>
    <cellStyle name="Normal 8 3 4 4" xfId="1799" xr:uid="{00000000-0005-0000-0000-0000B21D0000}"/>
    <cellStyle name="Normal 8 3 4 4 2" xfId="4029" xr:uid="{00000000-0005-0000-0000-0000B31D0000}"/>
    <cellStyle name="Normal 8 3 4 4 2 2" xfId="8252" xr:uid="{00000000-0005-0000-0000-0000B41D0000}"/>
    <cellStyle name="Normal 8 3 4 4 2 2 2" xfId="16694" xr:uid="{F829832D-B082-4DD1-B0CC-F83EA252C787}"/>
    <cellStyle name="Normal 8 3 4 4 2 3" xfId="12476" xr:uid="{F3958C6F-E576-4CDE-9793-F88C119A14CB}"/>
    <cellStyle name="Normal 8 3 4 4 3" xfId="6107" xr:uid="{00000000-0005-0000-0000-0000B51D0000}"/>
    <cellStyle name="Normal 8 3 4 4 3 2" xfId="14549" xr:uid="{62702135-5577-4E49-A63E-A51C4D834625}"/>
    <cellStyle name="Normal 8 3 4 4 4" xfId="10331" xr:uid="{8429552C-C2BE-4F26-8F50-9ED1D3EB24A5}"/>
    <cellStyle name="Normal 8 3 4 5" xfId="2213" xr:uid="{00000000-0005-0000-0000-0000B61D0000}"/>
    <cellStyle name="Normal 8 3 4 5 2" xfId="4442" xr:uid="{00000000-0005-0000-0000-0000B71D0000}"/>
    <cellStyle name="Normal 8 3 4 5 2 2" xfId="8665" xr:uid="{00000000-0005-0000-0000-0000B81D0000}"/>
    <cellStyle name="Normal 8 3 4 5 2 2 2" xfId="17107" xr:uid="{B5B28AB9-5AE7-48AD-8BC8-DF869A8CE6FF}"/>
    <cellStyle name="Normal 8 3 4 5 2 3" xfId="12889" xr:uid="{FEF92830-BD9D-4A55-9492-A34E4DC8A30D}"/>
    <cellStyle name="Normal 8 3 4 5 3" xfId="6520" xr:uid="{00000000-0005-0000-0000-0000B91D0000}"/>
    <cellStyle name="Normal 8 3 4 5 3 2" xfId="14962" xr:uid="{DE1699B6-4A22-4DCF-A2E5-5B3B6068447B}"/>
    <cellStyle name="Normal 8 3 4 5 4" xfId="10744" xr:uid="{0A471553-6165-4C20-A7BB-0470103F56F2}"/>
    <cellStyle name="Normal 8 3 4 6" xfId="2649" xr:uid="{00000000-0005-0000-0000-0000BA1D0000}"/>
    <cellStyle name="Normal 8 3 4 6 2" xfId="6933" xr:uid="{00000000-0005-0000-0000-0000BB1D0000}"/>
    <cellStyle name="Normal 8 3 4 6 2 2" xfId="15375" xr:uid="{7A93D83D-04E7-4448-A786-640E0563F74A}"/>
    <cellStyle name="Normal 8 3 4 6 3" xfId="11157" xr:uid="{CAC05D4B-096C-4F02-9F36-A0D5A28B7138}"/>
    <cellStyle name="Normal 8 3 4 7" xfId="4868" xr:uid="{00000000-0005-0000-0000-0000BC1D0000}"/>
    <cellStyle name="Normal 8 3 4 7 2" xfId="13310" xr:uid="{7271ACD8-F405-4522-BC9B-F726FDB3BD40}"/>
    <cellStyle name="Normal 8 3 4 8" xfId="9092" xr:uid="{BA1FBC56-F3C0-475C-A203-064698E1F546}"/>
    <cellStyle name="Normal 8 3 5" xfId="962" xr:uid="{00000000-0005-0000-0000-0000BD1D0000}"/>
    <cellStyle name="Normal 8 3 5 2" xfId="3196" xr:uid="{00000000-0005-0000-0000-0000BE1D0000}"/>
    <cellStyle name="Normal 8 3 5 2 2" xfId="7419" xr:uid="{00000000-0005-0000-0000-0000BF1D0000}"/>
    <cellStyle name="Normal 8 3 5 2 2 2" xfId="15861" xr:uid="{360B5D64-D21E-41CC-8DE3-D4042E37B540}"/>
    <cellStyle name="Normal 8 3 5 2 3" xfId="11643" xr:uid="{7CF39E2C-00D2-4818-A6AB-96161E8D116D}"/>
    <cellStyle name="Normal 8 3 5 3" xfId="5274" xr:uid="{00000000-0005-0000-0000-0000C01D0000}"/>
    <cellStyle name="Normal 8 3 5 3 2" xfId="13716" xr:uid="{0ABD8B95-254C-4DA6-9ED3-478FEAB47048}"/>
    <cellStyle name="Normal 8 3 5 4" xfId="9498" xr:uid="{7FC3369B-DE2D-413B-A9C6-10072412EDE1}"/>
    <cellStyle name="Normal 8 3 6" xfId="1379" xr:uid="{00000000-0005-0000-0000-0000C11D0000}"/>
    <cellStyle name="Normal 8 3 6 2" xfId="3609" xr:uid="{00000000-0005-0000-0000-0000C21D0000}"/>
    <cellStyle name="Normal 8 3 6 2 2" xfId="7832" xr:uid="{00000000-0005-0000-0000-0000C31D0000}"/>
    <cellStyle name="Normal 8 3 6 2 2 2" xfId="16274" xr:uid="{3D04C877-837C-4DFB-9409-8E9142AED85C}"/>
    <cellStyle name="Normal 8 3 6 2 3" xfId="12056" xr:uid="{55ED581D-9CEA-4DC1-9549-D6ED4A8E5960}"/>
    <cellStyle name="Normal 8 3 6 3" xfId="5687" xr:uid="{00000000-0005-0000-0000-0000C41D0000}"/>
    <cellStyle name="Normal 8 3 6 3 2" xfId="14129" xr:uid="{48F35529-019F-4965-B1F9-23308443257F}"/>
    <cellStyle name="Normal 8 3 6 4" xfId="9911" xr:uid="{B7E93F1E-6751-4D93-98B3-DE20A9B78FF0}"/>
    <cellStyle name="Normal 8 3 7" xfId="1792" xr:uid="{00000000-0005-0000-0000-0000C51D0000}"/>
    <cellStyle name="Normal 8 3 7 2" xfId="4022" xr:uid="{00000000-0005-0000-0000-0000C61D0000}"/>
    <cellStyle name="Normal 8 3 7 2 2" xfId="8245" xr:uid="{00000000-0005-0000-0000-0000C71D0000}"/>
    <cellStyle name="Normal 8 3 7 2 2 2" xfId="16687" xr:uid="{F9503E6D-E4E1-495B-AE9D-2776BB6E4D74}"/>
    <cellStyle name="Normal 8 3 7 2 3" xfId="12469" xr:uid="{AD2D9C33-4AEC-4869-AF88-E23535A68383}"/>
    <cellStyle name="Normal 8 3 7 3" xfId="6100" xr:uid="{00000000-0005-0000-0000-0000C81D0000}"/>
    <cellStyle name="Normal 8 3 7 3 2" xfId="14542" xr:uid="{752B00D0-5819-41E9-A680-5A7272769DA2}"/>
    <cellStyle name="Normal 8 3 7 4" xfId="10324" xr:uid="{550B9C34-CB4C-4111-80D5-82B08DD1E77F}"/>
    <cellStyle name="Normal 8 3 8" xfId="2206" xr:uid="{00000000-0005-0000-0000-0000C91D0000}"/>
    <cellStyle name="Normal 8 3 8 2" xfId="4435" xr:uid="{00000000-0005-0000-0000-0000CA1D0000}"/>
    <cellStyle name="Normal 8 3 8 2 2" xfId="8658" xr:uid="{00000000-0005-0000-0000-0000CB1D0000}"/>
    <cellStyle name="Normal 8 3 8 2 2 2" xfId="17100" xr:uid="{D61BA77C-29A2-424F-BD99-E46F73510C1B}"/>
    <cellStyle name="Normal 8 3 8 2 3" xfId="12882" xr:uid="{31AF5892-C38F-4CBF-949B-49672B741262}"/>
    <cellStyle name="Normal 8 3 8 3" xfId="6513" xr:uid="{00000000-0005-0000-0000-0000CC1D0000}"/>
    <cellStyle name="Normal 8 3 8 3 2" xfId="14955" xr:uid="{35DE995C-2E4B-4865-92F4-8CFEB43CB396}"/>
    <cellStyle name="Normal 8 3 8 4" xfId="10737" xr:uid="{ED69960F-3BDE-4645-A456-774243239C85}"/>
    <cellStyle name="Normal 8 3 9" xfId="2642" xr:uid="{00000000-0005-0000-0000-0000CD1D0000}"/>
    <cellStyle name="Normal 8 3 9 2" xfId="6926" xr:uid="{00000000-0005-0000-0000-0000CE1D0000}"/>
    <cellStyle name="Normal 8 3 9 2 2" xfId="15368" xr:uid="{0C2745E8-EFDE-46B2-956A-51A90C7ACA92}"/>
    <cellStyle name="Normal 8 3 9 3" xfId="11150" xr:uid="{A9385374-2DEE-4609-BB09-0D2F338EB12B}"/>
    <cellStyle name="Normal 8 4" xfId="503" xr:uid="{00000000-0005-0000-0000-0000CF1D0000}"/>
    <cellStyle name="Normal 8 4 10" xfId="9093" xr:uid="{2AF8DB66-3351-4179-A350-873278599E8B}"/>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15871" xr:uid="{43A40DA9-8545-4C98-A7BD-50A871C19BDE}"/>
    <cellStyle name="Normal 8 4 2 2 2 2 3" xfId="11653" xr:uid="{06109669-B2A4-4F65-88C9-67B23C771C04}"/>
    <cellStyle name="Normal 8 4 2 2 2 3" xfId="5284" xr:uid="{00000000-0005-0000-0000-0000D51D0000}"/>
    <cellStyle name="Normal 8 4 2 2 2 3 2" xfId="13726" xr:uid="{9807B600-9424-40DE-867A-F95110B8BFD2}"/>
    <cellStyle name="Normal 8 4 2 2 2 4" xfId="9508" xr:uid="{872F127F-CB48-4B5D-9561-FAD285ECEF0F}"/>
    <cellStyle name="Normal 8 4 2 2 3" xfId="1389" xr:uid="{00000000-0005-0000-0000-0000D61D0000}"/>
    <cellStyle name="Normal 8 4 2 2 3 2" xfId="3619" xr:uid="{00000000-0005-0000-0000-0000D71D0000}"/>
    <cellStyle name="Normal 8 4 2 2 3 2 2" xfId="7842" xr:uid="{00000000-0005-0000-0000-0000D81D0000}"/>
    <cellStyle name="Normal 8 4 2 2 3 2 2 2" xfId="16284" xr:uid="{AE7E2AD6-EFB9-4E4A-BEA6-12C487BDA409}"/>
    <cellStyle name="Normal 8 4 2 2 3 2 3" xfId="12066" xr:uid="{2BFC7D92-6CA3-4458-AAD7-9584EDBEF439}"/>
    <cellStyle name="Normal 8 4 2 2 3 3" xfId="5697" xr:uid="{00000000-0005-0000-0000-0000D91D0000}"/>
    <cellStyle name="Normal 8 4 2 2 3 3 2" xfId="14139" xr:uid="{2A07E6D6-A3A0-40F4-A1C0-F706D07E3251}"/>
    <cellStyle name="Normal 8 4 2 2 3 4" xfId="9921" xr:uid="{D21B1AAF-4804-41E4-87A7-C90BA2FF2E32}"/>
    <cellStyle name="Normal 8 4 2 2 4" xfId="1802" xr:uid="{00000000-0005-0000-0000-0000DA1D0000}"/>
    <cellStyle name="Normal 8 4 2 2 4 2" xfId="4032" xr:uid="{00000000-0005-0000-0000-0000DB1D0000}"/>
    <cellStyle name="Normal 8 4 2 2 4 2 2" xfId="8255" xr:uid="{00000000-0005-0000-0000-0000DC1D0000}"/>
    <cellStyle name="Normal 8 4 2 2 4 2 2 2" xfId="16697" xr:uid="{13BE26FA-1711-44A8-B67A-5FFBD22D5A24}"/>
    <cellStyle name="Normal 8 4 2 2 4 2 3" xfId="12479" xr:uid="{F7479EC8-C7FF-41D5-AEE0-F543B6308345}"/>
    <cellStyle name="Normal 8 4 2 2 4 3" xfId="6110" xr:uid="{00000000-0005-0000-0000-0000DD1D0000}"/>
    <cellStyle name="Normal 8 4 2 2 4 3 2" xfId="14552" xr:uid="{399CFF24-3333-44E0-8A7C-10C4976D70D0}"/>
    <cellStyle name="Normal 8 4 2 2 4 4" xfId="10334" xr:uid="{498216B2-F2B6-43AC-AFB3-C31719CB708C}"/>
    <cellStyle name="Normal 8 4 2 2 5" xfId="2216" xr:uid="{00000000-0005-0000-0000-0000DE1D0000}"/>
    <cellStyle name="Normal 8 4 2 2 5 2" xfId="4445" xr:uid="{00000000-0005-0000-0000-0000DF1D0000}"/>
    <cellStyle name="Normal 8 4 2 2 5 2 2" xfId="8668" xr:uid="{00000000-0005-0000-0000-0000E01D0000}"/>
    <cellStyle name="Normal 8 4 2 2 5 2 2 2" xfId="17110" xr:uid="{BAA7D614-FE6B-4155-B6F9-BF27262F999C}"/>
    <cellStyle name="Normal 8 4 2 2 5 2 3" xfId="12892" xr:uid="{69741C07-6E8A-4B68-AB31-230AE4088BB2}"/>
    <cellStyle name="Normal 8 4 2 2 5 3" xfId="6523" xr:uid="{00000000-0005-0000-0000-0000E11D0000}"/>
    <cellStyle name="Normal 8 4 2 2 5 3 2" xfId="14965" xr:uid="{8B734E0C-FCB1-4122-9DEB-56A53346DB9F}"/>
    <cellStyle name="Normal 8 4 2 2 5 4" xfId="10747" xr:uid="{1ADE8288-272B-481F-A24A-0774167D1710}"/>
    <cellStyle name="Normal 8 4 2 2 6" xfId="2652" xr:uid="{00000000-0005-0000-0000-0000E21D0000}"/>
    <cellStyle name="Normal 8 4 2 2 6 2" xfId="6936" xr:uid="{00000000-0005-0000-0000-0000E31D0000}"/>
    <cellStyle name="Normal 8 4 2 2 6 2 2" xfId="15378" xr:uid="{BC483C6A-AFE6-4616-852B-69872820F6BD}"/>
    <cellStyle name="Normal 8 4 2 2 6 3" xfId="11160" xr:uid="{A1F23610-6289-45CB-B848-B889A7515666}"/>
    <cellStyle name="Normal 8 4 2 2 7" xfId="4871" xr:uid="{00000000-0005-0000-0000-0000E41D0000}"/>
    <cellStyle name="Normal 8 4 2 2 7 2" xfId="13313" xr:uid="{4D288E47-4CDD-4467-B235-ED457E65E245}"/>
    <cellStyle name="Normal 8 4 2 2 8" xfId="9095" xr:uid="{70DB6973-C77A-4C29-B6E5-3A162B2EEDCE}"/>
    <cellStyle name="Normal 8 4 2 3" xfId="971" xr:uid="{00000000-0005-0000-0000-0000E51D0000}"/>
    <cellStyle name="Normal 8 4 2 3 2" xfId="3205" xr:uid="{00000000-0005-0000-0000-0000E61D0000}"/>
    <cellStyle name="Normal 8 4 2 3 2 2" xfId="7428" xr:uid="{00000000-0005-0000-0000-0000E71D0000}"/>
    <cellStyle name="Normal 8 4 2 3 2 2 2" xfId="15870" xr:uid="{EDCB06A7-DD3F-4DC3-9162-34AFAB00B72A}"/>
    <cellStyle name="Normal 8 4 2 3 2 3" xfId="11652" xr:uid="{4A753846-A381-4CE6-A3E4-58AC3EB13F4D}"/>
    <cellStyle name="Normal 8 4 2 3 3" xfId="5283" xr:uid="{00000000-0005-0000-0000-0000E81D0000}"/>
    <cellStyle name="Normal 8 4 2 3 3 2" xfId="13725" xr:uid="{A98DC937-9FB7-4EAB-9417-C930D650A934}"/>
    <cellStyle name="Normal 8 4 2 3 4" xfId="9507" xr:uid="{710B7BD6-6D11-4BBB-B85A-3C50167C2E76}"/>
    <cellStyle name="Normal 8 4 2 4" xfId="1388" xr:uid="{00000000-0005-0000-0000-0000E91D0000}"/>
    <cellStyle name="Normal 8 4 2 4 2" xfId="3618" xr:uid="{00000000-0005-0000-0000-0000EA1D0000}"/>
    <cellStyle name="Normal 8 4 2 4 2 2" xfId="7841" xr:uid="{00000000-0005-0000-0000-0000EB1D0000}"/>
    <cellStyle name="Normal 8 4 2 4 2 2 2" xfId="16283" xr:uid="{5825A47F-9BEE-4EC9-AAC9-334FC35A72BF}"/>
    <cellStyle name="Normal 8 4 2 4 2 3" xfId="12065" xr:uid="{D0B04D80-2E2F-4FB7-B100-80F3A991362E}"/>
    <cellStyle name="Normal 8 4 2 4 3" xfId="5696" xr:uid="{00000000-0005-0000-0000-0000EC1D0000}"/>
    <cellStyle name="Normal 8 4 2 4 3 2" xfId="14138" xr:uid="{1DBC5E77-CDC2-4775-B521-B6FD24A72750}"/>
    <cellStyle name="Normal 8 4 2 4 4" xfId="9920" xr:uid="{F15393B3-4873-4209-BC97-A212981F9643}"/>
    <cellStyle name="Normal 8 4 2 5" xfId="1801" xr:uid="{00000000-0005-0000-0000-0000ED1D0000}"/>
    <cellStyle name="Normal 8 4 2 5 2" xfId="4031" xr:uid="{00000000-0005-0000-0000-0000EE1D0000}"/>
    <cellStyle name="Normal 8 4 2 5 2 2" xfId="8254" xr:uid="{00000000-0005-0000-0000-0000EF1D0000}"/>
    <cellStyle name="Normal 8 4 2 5 2 2 2" xfId="16696" xr:uid="{68724377-EC8B-46AD-9B92-6A1EC2A5C073}"/>
    <cellStyle name="Normal 8 4 2 5 2 3" xfId="12478" xr:uid="{E16EBF0D-7203-455E-BF99-02B0E6D2499A}"/>
    <cellStyle name="Normal 8 4 2 5 3" xfId="6109" xr:uid="{00000000-0005-0000-0000-0000F01D0000}"/>
    <cellStyle name="Normal 8 4 2 5 3 2" xfId="14551" xr:uid="{38E53DA7-85AF-475E-95AC-EFC95B59777B}"/>
    <cellStyle name="Normal 8 4 2 5 4" xfId="10333" xr:uid="{DD1A0949-3781-45C6-9E32-637AD90C0903}"/>
    <cellStyle name="Normal 8 4 2 6" xfId="2215" xr:uid="{00000000-0005-0000-0000-0000F11D0000}"/>
    <cellStyle name="Normal 8 4 2 6 2" xfId="4444" xr:uid="{00000000-0005-0000-0000-0000F21D0000}"/>
    <cellStyle name="Normal 8 4 2 6 2 2" xfId="8667" xr:uid="{00000000-0005-0000-0000-0000F31D0000}"/>
    <cellStyle name="Normal 8 4 2 6 2 2 2" xfId="17109" xr:uid="{A9B21A04-B3FE-4669-A878-EB8548610FA8}"/>
    <cellStyle name="Normal 8 4 2 6 2 3" xfId="12891" xr:uid="{768A25F2-15CE-4933-B0F0-AAB8699C0872}"/>
    <cellStyle name="Normal 8 4 2 6 3" xfId="6522" xr:uid="{00000000-0005-0000-0000-0000F41D0000}"/>
    <cellStyle name="Normal 8 4 2 6 3 2" xfId="14964" xr:uid="{C2ABE43B-CB67-40FE-B164-157CD955ED13}"/>
    <cellStyle name="Normal 8 4 2 6 4" xfId="10746" xr:uid="{8E00393D-E966-4990-937D-F28CAD2D03DE}"/>
    <cellStyle name="Normal 8 4 2 7" xfId="2651" xr:uid="{00000000-0005-0000-0000-0000F51D0000}"/>
    <cellStyle name="Normal 8 4 2 7 2" xfId="6935" xr:uid="{00000000-0005-0000-0000-0000F61D0000}"/>
    <cellStyle name="Normal 8 4 2 7 2 2" xfId="15377" xr:uid="{7850BABC-C431-432A-8A93-1EF5A443E3FB}"/>
    <cellStyle name="Normal 8 4 2 7 3" xfId="11159" xr:uid="{8DC34DAA-C089-4FDE-8E8B-0A8EE0269C78}"/>
    <cellStyle name="Normal 8 4 2 8" xfId="4870" xr:uid="{00000000-0005-0000-0000-0000F71D0000}"/>
    <cellStyle name="Normal 8 4 2 8 2" xfId="13312" xr:uid="{2A6FF325-5F5D-45FE-8791-0E710029F33C}"/>
    <cellStyle name="Normal 8 4 2 9" xfId="9094" xr:uid="{637EB535-2CC5-4D4E-8CC1-A0018FAA59A1}"/>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2 2 2" xfId="15872" xr:uid="{A535B262-F493-4D8E-B5A5-03740FE6865A}"/>
    <cellStyle name="Normal 8 4 3 2 2 3" xfId="11654" xr:uid="{246877AE-9C10-4F27-B31B-2541D2FB9AC0}"/>
    <cellStyle name="Normal 8 4 3 2 3" xfId="5285" xr:uid="{00000000-0005-0000-0000-0000FC1D0000}"/>
    <cellStyle name="Normal 8 4 3 2 3 2" xfId="13727" xr:uid="{D8ED2474-A080-4B22-AA6D-5CED4C4CA925}"/>
    <cellStyle name="Normal 8 4 3 2 4" xfId="9509" xr:uid="{674E81E8-2C96-4E89-98E0-45A767FEAEE6}"/>
    <cellStyle name="Normal 8 4 3 3" xfId="1390" xr:uid="{00000000-0005-0000-0000-0000FD1D0000}"/>
    <cellStyle name="Normal 8 4 3 3 2" xfId="3620" xr:uid="{00000000-0005-0000-0000-0000FE1D0000}"/>
    <cellStyle name="Normal 8 4 3 3 2 2" xfId="7843" xr:uid="{00000000-0005-0000-0000-0000FF1D0000}"/>
    <cellStyle name="Normal 8 4 3 3 2 2 2" xfId="16285" xr:uid="{EBF09E8D-F6B5-488A-8D78-70B2305AFA8A}"/>
    <cellStyle name="Normal 8 4 3 3 2 3" xfId="12067" xr:uid="{8EEDCA28-6BD8-4659-84B8-33712AAAAF5F}"/>
    <cellStyle name="Normal 8 4 3 3 3" xfId="5698" xr:uid="{00000000-0005-0000-0000-0000001E0000}"/>
    <cellStyle name="Normal 8 4 3 3 3 2" xfId="14140" xr:uid="{E88D1429-CA7A-4C27-9120-ADD29FA2FD40}"/>
    <cellStyle name="Normal 8 4 3 3 4" xfId="9922" xr:uid="{9DEF78CC-B904-4C99-A02B-3BDF149C3803}"/>
    <cellStyle name="Normal 8 4 3 4" xfId="1803" xr:uid="{00000000-0005-0000-0000-0000011E0000}"/>
    <cellStyle name="Normal 8 4 3 4 2" xfId="4033" xr:uid="{00000000-0005-0000-0000-0000021E0000}"/>
    <cellStyle name="Normal 8 4 3 4 2 2" xfId="8256" xr:uid="{00000000-0005-0000-0000-0000031E0000}"/>
    <cellStyle name="Normal 8 4 3 4 2 2 2" xfId="16698" xr:uid="{87340AE6-CFE7-47ED-ACA2-81EF33F8CFD8}"/>
    <cellStyle name="Normal 8 4 3 4 2 3" xfId="12480" xr:uid="{B1DBD813-59FA-42D4-8B80-EB5F798E9C37}"/>
    <cellStyle name="Normal 8 4 3 4 3" xfId="6111" xr:uid="{00000000-0005-0000-0000-0000041E0000}"/>
    <cellStyle name="Normal 8 4 3 4 3 2" xfId="14553" xr:uid="{2C1F4ED4-89D1-4DB1-97FB-FABFC4CBFF3A}"/>
    <cellStyle name="Normal 8 4 3 4 4" xfId="10335" xr:uid="{98E455F6-F7FA-4678-904A-C9A58BD2A36B}"/>
    <cellStyle name="Normal 8 4 3 5" xfId="2217" xr:uid="{00000000-0005-0000-0000-0000051E0000}"/>
    <cellStyle name="Normal 8 4 3 5 2" xfId="4446" xr:uid="{00000000-0005-0000-0000-0000061E0000}"/>
    <cellStyle name="Normal 8 4 3 5 2 2" xfId="8669" xr:uid="{00000000-0005-0000-0000-0000071E0000}"/>
    <cellStyle name="Normal 8 4 3 5 2 2 2" xfId="17111" xr:uid="{391A13C7-4395-449D-AE1D-8C4F87EB26BC}"/>
    <cellStyle name="Normal 8 4 3 5 2 3" xfId="12893" xr:uid="{37959EAE-8066-41AE-9FA8-017F9CD9900A}"/>
    <cellStyle name="Normal 8 4 3 5 3" xfId="6524" xr:uid="{00000000-0005-0000-0000-0000081E0000}"/>
    <cellStyle name="Normal 8 4 3 5 3 2" xfId="14966" xr:uid="{BA15BD78-56BC-49B7-9522-88747F71B288}"/>
    <cellStyle name="Normal 8 4 3 5 4" xfId="10748" xr:uid="{9A50D0D6-3FCA-44D8-BDCA-CD0BD643C494}"/>
    <cellStyle name="Normal 8 4 3 6" xfId="2653" xr:uid="{00000000-0005-0000-0000-0000091E0000}"/>
    <cellStyle name="Normal 8 4 3 6 2" xfId="6937" xr:uid="{00000000-0005-0000-0000-00000A1E0000}"/>
    <cellStyle name="Normal 8 4 3 6 2 2" xfId="15379" xr:uid="{F0A76E52-4C4A-4C6C-8CE3-939E04C482E6}"/>
    <cellStyle name="Normal 8 4 3 6 3" xfId="11161" xr:uid="{A38D56DF-1E41-473C-8B14-E29EFDBE0C00}"/>
    <cellStyle name="Normal 8 4 3 7" xfId="4872" xr:uid="{00000000-0005-0000-0000-00000B1E0000}"/>
    <cellStyle name="Normal 8 4 3 7 2" xfId="13314" xr:uid="{4DBD2B17-B491-4906-A6E4-1A04201FA184}"/>
    <cellStyle name="Normal 8 4 3 8" xfId="9096" xr:uid="{E8BCDD9F-C752-4978-A40A-7662081AB9A2}"/>
    <cellStyle name="Normal 8 4 4" xfId="970" xr:uid="{00000000-0005-0000-0000-00000C1E0000}"/>
    <cellStyle name="Normal 8 4 4 2" xfId="3204" xr:uid="{00000000-0005-0000-0000-00000D1E0000}"/>
    <cellStyle name="Normal 8 4 4 2 2" xfId="7427" xr:uid="{00000000-0005-0000-0000-00000E1E0000}"/>
    <cellStyle name="Normal 8 4 4 2 2 2" xfId="15869" xr:uid="{3E96E490-7805-417E-876D-7BEE597AD33D}"/>
    <cellStyle name="Normal 8 4 4 2 3" xfId="11651" xr:uid="{9AB3001A-D35C-41AB-A857-D314C1A3BF55}"/>
    <cellStyle name="Normal 8 4 4 3" xfId="5282" xr:uid="{00000000-0005-0000-0000-00000F1E0000}"/>
    <cellStyle name="Normal 8 4 4 3 2" xfId="13724" xr:uid="{EBEC81FF-40DC-4D32-B801-FA070BC42390}"/>
    <cellStyle name="Normal 8 4 4 4" xfId="9506" xr:uid="{F2890011-C4BF-451E-8B48-5A521A7912E0}"/>
    <cellStyle name="Normal 8 4 5" xfId="1387" xr:uid="{00000000-0005-0000-0000-0000101E0000}"/>
    <cellStyle name="Normal 8 4 5 2" xfId="3617" xr:uid="{00000000-0005-0000-0000-0000111E0000}"/>
    <cellStyle name="Normal 8 4 5 2 2" xfId="7840" xr:uid="{00000000-0005-0000-0000-0000121E0000}"/>
    <cellStyle name="Normal 8 4 5 2 2 2" xfId="16282" xr:uid="{C8BB8BB7-0CD6-4433-87DE-7A00CF8A638F}"/>
    <cellStyle name="Normal 8 4 5 2 3" xfId="12064" xr:uid="{8BDEB3C4-EA18-41BB-A7B7-6F3E57348A99}"/>
    <cellStyle name="Normal 8 4 5 3" xfId="5695" xr:uid="{00000000-0005-0000-0000-0000131E0000}"/>
    <cellStyle name="Normal 8 4 5 3 2" xfId="14137" xr:uid="{5AC9F845-6212-4D67-9A1D-55441324055A}"/>
    <cellStyle name="Normal 8 4 5 4" xfId="9919" xr:uid="{11DE33F4-1E09-4B77-8A4D-E935CED4B945}"/>
    <cellStyle name="Normal 8 4 6" xfId="1800" xr:uid="{00000000-0005-0000-0000-0000141E0000}"/>
    <cellStyle name="Normal 8 4 6 2" xfId="4030" xr:uid="{00000000-0005-0000-0000-0000151E0000}"/>
    <cellStyle name="Normal 8 4 6 2 2" xfId="8253" xr:uid="{00000000-0005-0000-0000-0000161E0000}"/>
    <cellStyle name="Normal 8 4 6 2 2 2" xfId="16695" xr:uid="{8EB0BE89-6532-4E4C-B3AD-7D9A270BBC93}"/>
    <cellStyle name="Normal 8 4 6 2 3" xfId="12477" xr:uid="{DD8BA63A-4ECB-484B-888C-0D2EECB60336}"/>
    <cellStyle name="Normal 8 4 6 3" xfId="6108" xr:uid="{00000000-0005-0000-0000-0000171E0000}"/>
    <cellStyle name="Normal 8 4 6 3 2" xfId="14550" xr:uid="{84633E85-C6FC-4BB9-B60F-E1693CDAB995}"/>
    <cellStyle name="Normal 8 4 6 4" xfId="10332" xr:uid="{0EB4958F-2F63-463D-A4F5-5E2100B687A4}"/>
    <cellStyle name="Normal 8 4 7" xfId="2214" xr:uid="{00000000-0005-0000-0000-0000181E0000}"/>
    <cellStyle name="Normal 8 4 7 2" xfId="4443" xr:uid="{00000000-0005-0000-0000-0000191E0000}"/>
    <cellStyle name="Normal 8 4 7 2 2" xfId="8666" xr:uid="{00000000-0005-0000-0000-00001A1E0000}"/>
    <cellStyle name="Normal 8 4 7 2 2 2" xfId="17108" xr:uid="{4636B4C0-1F99-44CC-8ECB-BD13003F0EC8}"/>
    <cellStyle name="Normal 8 4 7 2 3" xfId="12890" xr:uid="{83D5BA49-032D-4498-90F4-9F74938B331D}"/>
    <cellStyle name="Normal 8 4 7 3" xfId="6521" xr:uid="{00000000-0005-0000-0000-00001B1E0000}"/>
    <cellStyle name="Normal 8 4 7 3 2" xfId="14963" xr:uid="{34A3A7F2-73CF-4E45-859B-DFCA4CFD8875}"/>
    <cellStyle name="Normal 8 4 7 4" xfId="10745" xr:uid="{BC2FE31A-D2E6-4768-843F-5C1FC7B244B2}"/>
    <cellStyle name="Normal 8 4 8" xfId="2650" xr:uid="{00000000-0005-0000-0000-00001C1E0000}"/>
    <cellStyle name="Normal 8 4 8 2" xfId="6934" xr:uid="{00000000-0005-0000-0000-00001D1E0000}"/>
    <cellStyle name="Normal 8 4 8 2 2" xfId="15376" xr:uid="{1C0F6141-42B1-46D9-AA7A-2BDFD44FC626}"/>
    <cellStyle name="Normal 8 4 8 3" xfId="11158" xr:uid="{60F96EF7-9D9F-4679-8E7C-5A12D44DA408}"/>
    <cellStyle name="Normal 8 4 9" xfId="4869" xr:uid="{00000000-0005-0000-0000-00001E1E0000}"/>
    <cellStyle name="Normal 8 4 9 2" xfId="13311" xr:uid="{454A601F-CA19-4E31-82DE-F4CF8B97DA62}"/>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2 2 2" xfId="15874" xr:uid="{8AE6FE8B-83A3-4084-80E0-EB91D1975D97}"/>
    <cellStyle name="Normal 8 5 2 2 2 3" xfId="11656" xr:uid="{C4E8DE62-9ED7-41F0-811B-2311AB7A37AE}"/>
    <cellStyle name="Normal 8 5 2 2 3" xfId="5287" xr:uid="{00000000-0005-0000-0000-0000241E0000}"/>
    <cellStyle name="Normal 8 5 2 2 3 2" xfId="13729" xr:uid="{B57602E7-4A3D-4144-BDD5-59D6BFC1F25F}"/>
    <cellStyle name="Normal 8 5 2 2 4" xfId="9511" xr:uid="{62FC3111-4949-4F5D-BE85-F6B5BCD6D050}"/>
    <cellStyle name="Normal 8 5 2 3" xfId="1392" xr:uid="{00000000-0005-0000-0000-0000251E0000}"/>
    <cellStyle name="Normal 8 5 2 3 2" xfId="3622" xr:uid="{00000000-0005-0000-0000-0000261E0000}"/>
    <cellStyle name="Normal 8 5 2 3 2 2" xfId="7845" xr:uid="{00000000-0005-0000-0000-0000271E0000}"/>
    <cellStyle name="Normal 8 5 2 3 2 2 2" xfId="16287" xr:uid="{696D0B96-9D6B-4EE2-9660-18A53D50320D}"/>
    <cellStyle name="Normal 8 5 2 3 2 3" xfId="12069" xr:uid="{84BD1E9B-7F9C-473C-A0AC-F06F9AC38CEF}"/>
    <cellStyle name="Normal 8 5 2 3 3" xfId="5700" xr:uid="{00000000-0005-0000-0000-0000281E0000}"/>
    <cellStyle name="Normal 8 5 2 3 3 2" xfId="14142" xr:uid="{20AF88FB-71E0-40E8-B6F5-CBC18418FE91}"/>
    <cellStyle name="Normal 8 5 2 3 4" xfId="9924" xr:uid="{FA15A424-6223-4C12-B3D9-BF9E431D01CD}"/>
    <cellStyle name="Normal 8 5 2 4" xfId="1805" xr:uid="{00000000-0005-0000-0000-0000291E0000}"/>
    <cellStyle name="Normal 8 5 2 4 2" xfId="4035" xr:uid="{00000000-0005-0000-0000-00002A1E0000}"/>
    <cellStyle name="Normal 8 5 2 4 2 2" xfId="8258" xr:uid="{00000000-0005-0000-0000-00002B1E0000}"/>
    <cellStyle name="Normal 8 5 2 4 2 2 2" xfId="16700" xr:uid="{67A05F53-AA02-48D8-B8FA-C3E346A9EC25}"/>
    <cellStyle name="Normal 8 5 2 4 2 3" xfId="12482" xr:uid="{50888F3B-17C1-4D13-9412-DFBE01D675B4}"/>
    <cellStyle name="Normal 8 5 2 4 3" xfId="6113" xr:uid="{00000000-0005-0000-0000-00002C1E0000}"/>
    <cellStyle name="Normal 8 5 2 4 3 2" xfId="14555" xr:uid="{67B4D8EA-80F3-4852-A467-5FE64ACF9B60}"/>
    <cellStyle name="Normal 8 5 2 4 4" xfId="10337" xr:uid="{8015E7BD-0419-456C-A09B-DF007CB5613B}"/>
    <cellStyle name="Normal 8 5 2 5" xfId="2219" xr:uid="{00000000-0005-0000-0000-00002D1E0000}"/>
    <cellStyle name="Normal 8 5 2 5 2" xfId="4448" xr:uid="{00000000-0005-0000-0000-00002E1E0000}"/>
    <cellStyle name="Normal 8 5 2 5 2 2" xfId="8671" xr:uid="{00000000-0005-0000-0000-00002F1E0000}"/>
    <cellStyle name="Normal 8 5 2 5 2 2 2" xfId="17113" xr:uid="{67C689BF-F39E-4E6B-B465-BF3C8DFFE3B0}"/>
    <cellStyle name="Normal 8 5 2 5 2 3" xfId="12895" xr:uid="{9CA56917-31CA-4B67-9A35-5DCB06CA2DC8}"/>
    <cellStyle name="Normal 8 5 2 5 3" xfId="6526" xr:uid="{00000000-0005-0000-0000-0000301E0000}"/>
    <cellStyle name="Normal 8 5 2 5 3 2" xfId="14968" xr:uid="{5F9AD77F-DE5E-468E-963E-D910B5ADCEEA}"/>
    <cellStyle name="Normal 8 5 2 5 4" xfId="10750" xr:uid="{D48571D6-DE41-410A-92DD-DC0D1356DA84}"/>
    <cellStyle name="Normal 8 5 2 6" xfId="2655" xr:uid="{00000000-0005-0000-0000-0000311E0000}"/>
    <cellStyle name="Normal 8 5 2 6 2" xfId="6939" xr:uid="{00000000-0005-0000-0000-0000321E0000}"/>
    <cellStyle name="Normal 8 5 2 6 2 2" xfId="15381" xr:uid="{0DF7BA9E-F987-4FAC-878B-BB301DF9F7E9}"/>
    <cellStyle name="Normal 8 5 2 6 3" xfId="11163" xr:uid="{0EC166F4-52DA-43F2-BCE9-C5959A729651}"/>
    <cellStyle name="Normal 8 5 2 7" xfId="4874" xr:uid="{00000000-0005-0000-0000-0000331E0000}"/>
    <cellStyle name="Normal 8 5 2 7 2" xfId="13316" xr:uid="{430B9D9C-95AE-4AE3-AC66-A50929FE2AE2}"/>
    <cellStyle name="Normal 8 5 2 8" xfId="9098" xr:uid="{A2CBC023-E0C4-402D-9C94-6E90CDBDF5ED}"/>
    <cellStyle name="Normal 8 5 3" xfId="974" xr:uid="{00000000-0005-0000-0000-0000341E0000}"/>
    <cellStyle name="Normal 8 5 3 2" xfId="3208" xr:uid="{00000000-0005-0000-0000-0000351E0000}"/>
    <cellStyle name="Normal 8 5 3 2 2" xfId="7431" xr:uid="{00000000-0005-0000-0000-0000361E0000}"/>
    <cellStyle name="Normal 8 5 3 2 2 2" xfId="15873" xr:uid="{626154BF-D1BB-4A6F-B377-540BB1D82D18}"/>
    <cellStyle name="Normal 8 5 3 2 3" xfId="11655" xr:uid="{8F13D9D5-4F77-4E74-821B-DEFAEE432311}"/>
    <cellStyle name="Normal 8 5 3 3" xfId="5286" xr:uid="{00000000-0005-0000-0000-0000371E0000}"/>
    <cellStyle name="Normal 8 5 3 3 2" xfId="13728" xr:uid="{2EC51941-9A02-4BD7-9B7B-9963C10668CA}"/>
    <cellStyle name="Normal 8 5 3 4" xfId="9510" xr:uid="{B84F7384-8B84-485F-9840-8E96855123DF}"/>
    <cellStyle name="Normal 8 5 4" xfId="1391" xr:uid="{00000000-0005-0000-0000-0000381E0000}"/>
    <cellStyle name="Normal 8 5 4 2" xfId="3621" xr:uid="{00000000-0005-0000-0000-0000391E0000}"/>
    <cellStyle name="Normal 8 5 4 2 2" xfId="7844" xr:uid="{00000000-0005-0000-0000-00003A1E0000}"/>
    <cellStyle name="Normal 8 5 4 2 2 2" xfId="16286" xr:uid="{BC3161E8-EC61-4A89-8F85-FD2F0B250589}"/>
    <cellStyle name="Normal 8 5 4 2 3" xfId="12068" xr:uid="{82B0B8D5-E5E3-4577-B828-9902A127EF2B}"/>
    <cellStyle name="Normal 8 5 4 3" xfId="5699" xr:uid="{00000000-0005-0000-0000-00003B1E0000}"/>
    <cellStyle name="Normal 8 5 4 3 2" xfId="14141" xr:uid="{6EA7FD5C-613C-4D34-B67F-AFDAB822563B}"/>
    <cellStyle name="Normal 8 5 4 4" xfId="9923" xr:uid="{745829B1-5129-4ED6-A634-1E8F9AE92FDE}"/>
    <cellStyle name="Normal 8 5 5" xfId="1804" xr:uid="{00000000-0005-0000-0000-00003C1E0000}"/>
    <cellStyle name="Normal 8 5 5 2" xfId="4034" xr:uid="{00000000-0005-0000-0000-00003D1E0000}"/>
    <cellStyle name="Normal 8 5 5 2 2" xfId="8257" xr:uid="{00000000-0005-0000-0000-00003E1E0000}"/>
    <cellStyle name="Normal 8 5 5 2 2 2" xfId="16699" xr:uid="{970C8183-5F43-4D64-B2A2-69A01EEA11BD}"/>
    <cellStyle name="Normal 8 5 5 2 3" xfId="12481" xr:uid="{6645A8D1-41D8-49FE-8234-137C8DD1FBC1}"/>
    <cellStyle name="Normal 8 5 5 3" xfId="6112" xr:uid="{00000000-0005-0000-0000-00003F1E0000}"/>
    <cellStyle name="Normal 8 5 5 3 2" xfId="14554" xr:uid="{37E88F68-45BD-4DB0-BB11-E0259CCD08FF}"/>
    <cellStyle name="Normal 8 5 5 4" xfId="10336" xr:uid="{2517B613-E994-449D-A4B5-3DD38B77232E}"/>
    <cellStyle name="Normal 8 5 6" xfId="2218" xr:uid="{00000000-0005-0000-0000-0000401E0000}"/>
    <cellStyle name="Normal 8 5 6 2" xfId="4447" xr:uid="{00000000-0005-0000-0000-0000411E0000}"/>
    <cellStyle name="Normal 8 5 6 2 2" xfId="8670" xr:uid="{00000000-0005-0000-0000-0000421E0000}"/>
    <cellStyle name="Normal 8 5 6 2 2 2" xfId="17112" xr:uid="{6BA0CC86-1DA7-483F-9B62-B9B83A39D2B2}"/>
    <cellStyle name="Normal 8 5 6 2 3" xfId="12894" xr:uid="{BB4C22CE-E16F-4784-B853-4148FF6A0022}"/>
    <cellStyle name="Normal 8 5 6 3" xfId="6525" xr:uid="{00000000-0005-0000-0000-0000431E0000}"/>
    <cellStyle name="Normal 8 5 6 3 2" xfId="14967" xr:uid="{E6C8514B-A47B-4FCA-A0E1-A7874381C61C}"/>
    <cellStyle name="Normal 8 5 6 4" xfId="10749" xr:uid="{ED41DA29-5D85-4D11-BA0D-C230051BF652}"/>
    <cellStyle name="Normal 8 5 7" xfId="2654" xr:uid="{00000000-0005-0000-0000-0000441E0000}"/>
    <cellStyle name="Normal 8 5 7 2" xfId="6938" xr:uid="{00000000-0005-0000-0000-0000451E0000}"/>
    <cellStyle name="Normal 8 5 7 2 2" xfId="15380" xr:uid="{DB19C9CD-2568-4014-8C05-A598F48C686C}"/>
    <cellStyle name="Normal 8 5 7 3" xfId="11162" xr:uid="{5C3997D5-52B4-4E2D-A754-0E2B89F258DA}"/>
    <cellStyle name="Normal 8 5 8" xfId="4873" xr:uid="{00000000-0005-0000-0000-0000461E0000}"/>
    <cellStyle name="Normal 8 5 8 2" xfId="13315" xr:uid="{0FDEC86B-3F78-4FC0-8309-F91A7CF4FE90}"/>
    <cellStyle name="Normal 8 5 9" xfId="9097" xr:uid="{0529D121-35CF-476E-B331-17D53B788068}"/>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2 2 2" xfId="15875" xr:uid="{005E2DCD-8B52-4480-BC5A-454769E40021}"/>
    <cellStyle name="Normal 8 6 2 2 3" xfId="11657" xr:uid="{D089702F-2CB6-4C8C-B171-96ABDBD67DCB}"/>
    <cellStyle name="Normal 8 6 2 3" xfId="5288" xr:uid="{00000000-0005-0000-0000-00004B1E0000}"/>
    <cellStyle name="Normal 8 6 2 3 2" xfId="13730" xr:uid="{4090D08B-E05C-4281-8C2E-6D70CF4DD458}"/>
    <cellStyle name="Normal 8 6 2 4" xfId="9512" xr:uid="{662B22F3-C873-4852-8351-0BDDDDE404DD}"/>
    <cellStyle name="Normal 8 6 3" xfId="1393" xr:uid="{00000000-0005-0000-0000-00004C1E0000}"/>
    <cellStyle name="Normal 8 6 3 2" xfId="3623" xr:uid="{00000000-0005-0000-0000-00004D1E0000}"/>
    <cellStyle name="Normal 8 6 3 2 2" xfId="7846" xr:uid="{00000000-0005-0000-0000-00004E1E0000}"/>
    <cellStyle name="Normal 8 6 3 2 2 2" xfId="16288" xr:uid="{9D637C7E-AE82-4BE8-A2E0-D3416C8F89AF}"/>
    <cellStyle name="Normal 8 6 3 2 3" xfId="12070" xr:uid="{37D49F7B-86BA-48AB-93A0-E4DDA4524451}"/>
    <cellStyle name="Normal 8 6 3 3" xfId="5701" xr:uid="{00000000-0005-0000-0000-00004F1E0000}"/>
    <cellStyle name="Normal 8 6 3 3 2" xfId="14143" xr:uid="{31827853-5655-4A44-929D-92A345C09422}"/>
    <cellStyle name="Normal 8 6 3 4" xfId="9925" xr:uid="{471E0B19-B0E4-479F-B921-88ACDCEE18B7}"/>
    <cellStyle name="Normal 8 6 4" xfId="1806" xr:uid="{00000000-0005-0000-0000-0000501E0000}"/>
    <cellStyle name="Normal 8 6 4 2" xfId="4036" xr:uid="{00000000-0005-0000-0000-0000511E0000}"/>
    <cellStyle name="Normal 8 6 4 2 2" xfId="8259" xr:uid="{00000000-0005-0000-0000-0000521E0000}"/>
    <cellStyle name="Normal 8 6 4 2 2 2" xfId="16701" xr:uid="{EEFD1273-4DAE-45E9-85EF-09ED686E359A}"/>
    <cellStyle name="Normal 8 6 4 2 3" xfId="12483" xr:uid="{9C0BF14F-7B47-44EC-836D-CFCCBEE451DE}"/>
    <cellStyle name="Normal 8 6 4 3" xfId="6114" xr:uid="{00000000-0005-0000-0000-0000531E0000}"/>
    <cellStyle name="Normal 8 6 4 3 2" xfId="14556" xr:uid="{AA509B61-6542-4C37-89AA-F1E481095738}"/>
    <cellStyle name="Normal 8 6 4 4" xfId="10338" xr:uid="{C03223E1-B471-48E0-8A57-8DCB245678D8}"/>
    <cellStyle name="Normal 8 6 5" xfId="2220" xr:uid="{00000000-0005-0000-0000-0000541E0000}"/>
    <cellStyle name="Normal 8 6 5 2" xfId="4449" xr:uid="{00000000-0005-0000-0000-0000551E0000}"/>
    <cellStyle name="Normal 8 6 5 2 2" xfId="8672" xr:uid="{00000000-0005-0000-0000-0000561E0000}"/>
    <cellStyle name="Normal 8 6 5 2 2 2" xfId="17114" xr:uid="{D32B10D8-6ED2-4FC4-9C85-B91186198541}"/>
    <cellStyle name="Normal 8 6 5 2 3" xfId="12896" xr:uid="{C0CDC131-F776-4CEE-9882-749B3A48AF4B}"/>
    <cellStyle name="Normal 8 6 5 3" xfId="6527" xr:uid="{00000000-0005-0000-0000-0000571E0000}"/>
    <cellStyle name="Normal 8 6 5 3 2" xfId="14969" xr:uid="{F33154A0-A035-4052-87EA-2C7DA15AA446}"/>
    <cellStyle name="Normal 8 6 5 4" xfId="10751" xr:uid="{028D524A-8CBF-41BF-B24C-0B3A4EAA16A1}"/>
    <cellStyle name="Normal 8 6 6" xfId="2656" xr:uid="{00000000-0005-0000-0000-0000581E0000}"/>
    <cellStyle name="Normal 8 6 6 2" xfId="6940" xr:uid="{00000000-0005-0000-0000-0000591E0000}"/>
    <cellStyle name="Normal 8 6 6 2 2" xfId="15382" xr:uid="{3078DB93-54F1-431D-ABEB-ED3B81532577}"/>
    <cellStyle name="Normal 8 6 6 3" xfId="11164" xr:uid="{A9192740-871D-409E-AEC0-85A020080F6F}"/>
    <cellStyle name="Normal 8 6 7" xfId="4875" xr:uid="{00000000-0005-0000-0000-00005A1E0000}"/>
    <cellStyle name="Normal 8 6 7 2" xfId="13317" xr:uid="{A5FB6915-2404-4C0C-85B2-E00842C800E7}"/>
    <cellStyle name="Normal 8 6 8" xfId="9099" xr:uid="{DD5B504B-870C-45AB-A9E8-B29239AB2129}"/>
    <cellStyle name="Normal 8 7" xfId="945" xr:uid="{00000000-0005-0000-0000-00005B1E0000}"/>
    <cellStyle name="Normal 8 7 2" xfId="3179" xr:uid="{00000000-0005-0000-0000-00005C1E0000}"/>
    <cellStyle name="Normal 8 7 2 2" xfId="7402" xr:uid="{00000000-0005-0000-0000-00005D1E0000}"/>
    <cellStyle name="Normal 8 7 2 2 2" xfId="15844" xr:uid="{AE56B5FF-7ED7-4500-BA13-6D59C78445CE}"/>
    <cellStyle name="Normal 8 7 2 3" xfId="11626" xr:uid="{51A47D45-E680-4289-A921-38B825BD1C8D}"/>
    <cellStyle name="Normal 8 7 3" xfId="5257" xr:uid="{00000000-0005-0000-0000-00005E1E0000}"/>
    <cellStyle name="Normal 8 7 3 2" xfId="13699" xr:uid="{550C0DE3-9BB5-4646-9540-0AFACF5D3750}"/>
    <cellStyle name="Normal 8 7 4" xfId="9481" xr:uid="{C0879757-8F47-4AA3-BC78-5E5C96287E0F}"/>
    <cellStyle name="Normal 8 8" xfId="1362" xr:uid="{00000000-0005-0000-0000-00005F1E0000}"/>
    <cellStyle name="Normal 8 8 2" xfId="3592" xr:uid="{00000000-0005-0000-0000-0000601E0000}"/>
    <cellStyle name="Normal 8 8 2 2" xfId="7815" xr:uid="{00000000-0005-0000-0000-0000611E0000}"/>
    <cellStyle name="Normal 8 8 2 2 2" xfId="16257" xr:uid="{E5862456-8F91-426A-A635-52307E9D4183}"/>
    <cellStyle name="Normal 8 8 2 3" xfId="12039" xr:uid="{46D18C9C-FD6F-4353-8C4D-9CD81F58DC3B}"/>
    <cellStyle name="Normal 8 8 3" xfId="5670" xr:uid="{00000000-0005-0000-0000-0000621E0000}"/>
    <cellStyle name="Normal 8 8 3 2" xfId="14112" xr:uid="{A47B5E72-0477-4E80-B2AF-24C5786F9F81}"/>
    <cellStyle name="Normal 8 8 4" xfId="9894" xr:uid="{ACBC92FE-775C-40FC-95E4-CB61C3ABF2EF}"/>
    <cellStyle name="Normal 8 9" xfId="1775" xr:uid="{00000000-0005-0000-0000-0000631E0000}"/>
    <cellStyle name="Normal 8 9 2" xfId="4005" xr:uid="{00000000-0005-0000-0000-0000641E0000}"/>
    <cellStyle name="Normal 8 9 2 2" xfId="8228" xr:uid="{00000000-0005-0000-0000-0000651E0000}"/>
    <cellStyle name="Normal 8 9 2 2 2" xfId="16670" xr:uid="{5EB61121-8953-4A06-B49F-6C87FB1B9977}"/>
    <cellStyle name="Normal 8 9 2 3" xfId="12452" xr:uid="{157F09D2-34C1-47CE-BD2B-72E7F620F6AD}"/>
    <cellStyle name="Normal 8 9 3" xfId="6083" xr:uid="{00000000-0005-0000-0000-0000661E0000}"/>
    <cellStyle name="Normal 8 9 3 2" xfId="14525" xr:uid="{9CA67898-8C5D-431A-AEA8-92226BE295B7}"/>
    <cellStyle name="Normal 8 9 4" xfId="10307" xr:uid="{0D365911-6A7D-414A-A072-87A109DCBE36}"/>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0 2 2" xfId="15383" xr:uid="{EB89CC64-8AA9-45CC-A34F-F9E345A9355A}"/>
    <cellStyle name="Normal 9 2 10 3" xfId="11165" xr:uid="{E7AEB6F2-3FEE-47C4-9D4C-366887A69318}"/>
    <cellStyle name="Normal 9 2 11" xfId="4876" xr:uid="{00000000-0005-0000-0000-00006B1E0000}"/>
    <cellStyle name="Normal 9 2 11 2" xfId="13318" xr:uid="{ED54022F-2A8A-443D-83EC-56E4F98E3C48}"/>
    <cellStyle name="Normal 9 2 12" xfId="9100" xr:uid="{16C5B4BD-8F76-478A-B198-1F276A4FA1CF}"/>
    <cellStyle name="Normal 9 2 2" xfId="512" xr:uid="{00000000-0005-0000-0000-00006C1E0000}"/>
    <cellStyle name="Normal 9 2 2 10" xfId="4877" xr:uid="{00000000-0005-0000-0000-00006D1E0000}"/>
    <cellStyle name="Normal 9 2 2 10 2" xfId="13319" xr:uid="{CACFF485-5347-4527-8C87-E591119B520D}"/>
    <cellStyle name="Normal 9 2 2 11" xfId="9101" xr:uid="{852AD64B-88E4-4C7F-88D1-40A3A33202E9}"/>
    <cellStyle name="Normal 9 2 2 2" xfId="513" xr:uid="{00000000-0005-0000-0000-00006E1E0000}"/>
    <cellStyle name="Normal 9 2 2 2 10" xfId="9102" xr:uid="{E369AE99-9348-4899-93D8-5BA3284E22EE}"/>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15880" xr:uid="{57697BB7-C69E-454F-9CA9-FBB8080B089A}"/>
    <cellStyle name="Normal 9 2 2 2 2 2 2 2 3" xfId="11662" xr:uid="{C302914B-8E2D-4A5C-A559-4643917067BE}"/>
    <cellStyle name="Normal 9 2 2 2 2 2 2 3" xfId="5293" xr:uid="{00000000-0005-0000-0000-0000741E0000}"/>
    <cellStyle name="Normal 9 2 2 2 2 2 2 3 2" xfId="13735" xr:uid="{D29300EF-FDF6-4159-AE9E-72C7BEFC9AE8}"/>
    <cellStyle name="Normal 9 2 2 2 2 2 2 4" xfId="9517" xr:uid="{8CE58739-AEEC-4B39-897D-924CA6921985}"/>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2 2" xfId="16293" xr:uid="{C65B5153-6263-405F-B780-89711000B82B}"/>
    <cellStyle name="Normal 9 2 2 2 2 2 3 2 3" xfId="12075" xr:uid="{D015260B-E57E-4F2D-826A-C67F7A63C5EF}"/>
    <cellStyle name="Normal 9 2 2 2 2 2 3 3" xfId="5706" xr:uid="{00000000-0005-0000-0000-0000781E0000}"/>
    <cellStyle name="Normal 9 2 2 2 2 2 3 3 2" xfId="14148" xr:uid="{A9517AA0-5368-4067-BDB2-1059AC719602}"/>
    <cellStyle name="Normal 9 2 2 2 2 2 3 4" xfId="9930" xr:uid="{2CD343EF-0E21-4579-9193-20372E14B001}"/>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2 2 2" xfId="16706" xr:uid="{0781491B-F6DE-48AE-BE45-EF374D5719CB}"/>
    <cellStyle name="Normal 9 2 2 2 2 2 4 2 3" xfId="12488" xr:uid="{F0DC3D2C-0E47-421A-BF45-1186651345A5}"/>
    <cellStyle name="Normal 9 2 2 2 2 2 4 3" xfId="6119" xr:uid="{00000000-0005-0000-0000-00007C1E0000}"/>
    <cellStyle name="Normal 9 2 2 2 2 2 4 3 2" xfId="14561" xr:uid="{2C194705-66B2-4241-BAC7-F6C10027AFDA}"/>
    <cellStyle name="Normal 9 2 2 2 2 2 4 4" xfId="10343" xr:uid="{CF5DDE79-1B38-4F7F-AE79-FA2EC58F8F44}"/>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2 2 2" xfId="17119" xr:uid="{D627A838-6D79-4705-B237-39A35EF6B347}"/>
    <cellStyle name="Normal 9 2 2 2 2 2 5 2 3" xfId="12901" xr:uid="{8FDCB6EF-CA2B-4D84-B7C0-C32B42E407CF}"/>
    <cellStyle name="Normal 9 2 2 2 2 2 5 3" xfId="6532" xr:uid="{00000000-0005-0000-0000-0000801E0000}"/>
    <cellStyle name="Normal 9 2 2 2 2 2 5 3 2" xfId="14974" xr:uid="{97A71D4B-FC4A-4FC1-A2B8-28404CA55655}"/>
    <cellStyle name="Normal 9 2 2 2 2 2 5 4" xfId="10756" xr:uid="{0EDF74BE-6C8E-4D79-B62B-FBF04688A3AD}"/>
    <cellStyle name="Normal 9 2 2 2 2 2 6" xfId="2661" xr:uid="{00000000-0005-0000-0000-0000811E0000}"/>
    <cellStyle name="Normal 9 2 2 2 2 2 6 2" xfId="6945" xr:uid="{00000000-0005-0000-0000-0000821E0000}"/>
    <cellStyle name="Normal 9 2 2 2 2 2 6 2 2" xfId="15387" xr:uid="{B6049FF6-1F43-4D52-A1FC-78858B4DCC88}"/>
    <cellStyle name="Normal 9 2 2 2 2 2 6 3" xfId="11169" xr:uid="{463D8D22-2686-42C4-A737-6DFEEEF68C49}"/>
    <cellStyle name="Normal 9 2 2 2 2 2 7" xfId="4880" xr:uid="{00000000-0005-0000-0000-0000831E0000}"/>
    <cellStyle name="Normal 9 2 2 2 2 2 7 2" xfId="13322" xr:uid="{E656EB29-E3E2-4788-9147-72AAB22546CE}"/>
    <cellStyle name="Normal 9 2 2 2 2 2 8" xfId="9104" xr:uid="{678E4C32-E29A-40C3-87A9-39825175482C}"/>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15879" xr:uid="{1A1EDEDF-529F-4CCB-B1B2-2C7AE71C4407}"/>
    <cellStyle name="Normal 9 2 2 2 2 3 2 3" xfId="11661" xr:uid="{14B1C96A-B59E-409C-BD7A-A4D5E7F5C543}"/>
    <cellStyle name="Normal 9 2 2 2 2 3 3" xfId="5292" xr:uid="{00000000-0005-0000-0000-0000871E0000}"/>
    <cellStyle name="Normal 9 2 2 2 2 3 3 2" xfId="13734" xr:uid="{D19937A1-7218-4D9B-A949-D481E6DCAAE2}"/>
    <cellStyle name="Normal 9 2 2 2 2 3 4" xfId="9516" xr:uid="{14E6A85D-794F-4A69-B97A-09257466EEA3}"/>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2 2" xfId="16292" xr:uid="{8FD2D395-5636-4228-A2F2-EB19E70DC487}"/>
    <cellStyle name="Normal 9 2 2 2 2 4 2 3" xfId="12074" xr:uid="{BC0BE07A-5C51-40AF-915B-80F5CBC5684E}"/>
    <cellStyle name="Normal 9 2 2 2 2 4 3" xfId="5705" xr:uid="{00000000-0005-0000-0000-00008B1E0000}"/>
    <cellStyle name="Normal 9 2 2 2 2 4 3 2" xfId="14147" xr:uid="{F3883FBA-7E74-4AC9-B800-F9007D5B187C}"/>
    <cellStyle name="Normal 9 2 2 2 2 4 4" xfId="9929" xr:uid="{62742E59-82ED-4052-A202-60AE46C24494}"/>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2 2 2" xfId="16705" xr:uid="{C8E95154-7F1D-477F-BBE2-82134C94C1ED}"/>
    <cellStyle name="Normal 9 2 2 2 2 5 2 3" xfId="12487" xr:uid="{34C5AA22-55AB-48D5-8773-E69687CF49FA}"/>
    <cellStyle name="Normal 9 2 2 2 2 5 3" xfId="6118" xr:uid="{00000000-0005-0000-0000-00008F1E0000}"/>
    <cellStyle name="Normal 9 2 2 2 2 5 3 2" xfId="14560" xr:uid="{13534CE0-97F4-4408-AF3A-73895C691C43}"/>
    <cellStyle name="Normal 9 2 2 2 2 5 4" xfId="10342" xr:uid="{A1344BF5-881A-4ED2-B648-905800DBD106}"/>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2 2 2" xfId="17118" xr:uid="{AF6A6424-3AEC-48D7-8F22-17258A089262}"/>
    <cellStyle name="Normal 9 2 2 2 2 6 2 3" xfId="12900" xr:uid="{C276199C-C4D0-4E50-92DE-8CE7DBD55B00}"/>
    <cellStyle name="Normal 9 2 2 2 2 6 3" xfId="6531" xr:uid="{00000000-0005-0000-0000-0000931E0000}"/>
    <cellStyle name="Normal 9 2 2 2 2 6 3 2" xfId="14973" xr:uid="{CE8CA9C8-689C-4B02-872C-53E7688B235D}"/>
    <cellStyle name="Normal 9 2 2 2 2 6 4" xfId="10755" xr:uid="{BED8C0C5-434D-438D-95B5-B55DC185FA2D}"/>
    <cellStyle name="Normal 9 2 2 2 2 7" xfId="2660" xr:uid="{00000000-0005-0000-0000-0000941E0000}"/>
    <cellStyle name="Normal 9 2 2 2 2 7 2" xfId="6944" xr:uid="{00000000-0005-0000-0000-0000951E0000}"/>
    <cellStyle name="Normal 9 2 2 2 2 7 2 2" xfId="15386" xr:uid="{A4474E38-DFE7-4538-81BB-FCC2A02D69B1}"/>
    <cellStyle name="Normal 9 2 2 2 2 7 3" xfId="11168" xr:uid="{5BE3323E-5B00-4F4B-8AD6-B6EF0658C28E}"/>
    <cellStyle name="Normal 9 2 2 2 2 8" xfId="4879" xr:uid="{00000000-0005-0000-0000-0000961E0000}"/>
    <cellStyle name="Normal 9 2 2 2 2 8 2" xfId="13321" xr:uid="{06915F9E-3B24-40B5-AE25-07AF24E0D928}"/>
    <cellStyle name="Normal 9 2 2 2 2 9" xfId="9103" xr:uid="{676BB0FA-DE8E-404B-8DA7-4A015C81D8A1}"/>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15881" xr:uid="{F9B99F7C-18AA-4A8E-AA4F-2A48EE4B948C}"/>
    <cellStyle name="Normal 9 2 2 2 3 2 2 3" xfId="11663" xr:uid="{05909DC3-06E5-4B50-891A-999D4ABD31B6}"/>
    <cellStyle name="Normal 9 2 2 2 3 2 3" xfId="5294" xr:uid="{00000000-0005-0000-0000-00009B1E0000}"/>
    <cellStyle name="Normal 9 2 2 2 3 2 3 2" xfId="13736" xr:uid="{AE63739D-9FFC-4636-B6EE-B7E9516F824B}"/>
    <cellStyle name="Normal 9 2 2 2 3 2 4" xfId="9518" xr:uid="{92C60944-64E5-4EAC-8921-1C1406B7CC5C}"/>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2 2" xfId="16294" xr:uid="{FDE68E1F-83F0-49FC-A18F-E5FC3C55053B}"/>
    <cellStyle name="Normal 9 2 2 2 3 3 2 3" xfId="12076" xr:uid="{B163F944-7E51-407E-860C-FA812E285D6B}"/>
    <cellStyle name="Normal 9 2 2 2 3 3 3" xfId="5707" xr:uid="{00000000-0005-0000-0000-00009F1E0000}"/>
    <cellStyle name="Normal 9 2 2 2 3 3 3 2" xfId="14149" xr:uid="{BDA6FCAD-E179-4096-B5BB-E7507E0D95A0}"/>
    <cellStyle name="Normal 9 2 2 2 3 3 4" xfId="9931" xr:uid="{B009D410-FB1C-41FF-B1B7-DA9DE38539D3}"/>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2 2 2" xfId="16707" xr:uid="{96B591F5-FC56-4C0A-AE7E-2E3DACE3DE15}"/>
    <cellStyle name="Normal 9 2 2 2 3 4 2 3" xfId="12489" xr:uid="{42BEA373-4881-4A71-8D5C-B5D32FF76188}"/>
    <cellStyle name="Normal 9 2 2 2 3 4 3" xfId="6120" xr:uid="{00000000-0005-0000-0000-0000A31E0000}"/>
    <cellStyle name="Normal 9 2 2 2 3 4 3 2" xfId="14562" xr:uid="{774553DC-7D09-452C-AE07-2DD5429C050A}"/>
    <cellStyle name="Normal 9 2 2 2 3 4 4" xfId="10344" xr:uid="{26000026-0BBF-4DFD-A7FF-8E5792C83E8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2 2 2" xfId="17120" xr:uid="{D65159CD-0875-416E-A67A-E06138F0E341}"/>
    <cellStyle name="Normal 9 2 2 2 3 5 2 3" xfId="12902" xr:uid="{94B33FCA-2A7D-4552-A8C2-DDCDE60A2CC4}"/>
    <cellStyle name="Normal 9 2 2 2 3 5 3" xfId="6533" xr:uid="{00000000-0005-0000-0000-0000A71E0000}"/>
    <cellStyle name="Normal 9 2 2 2 3 5 3 2" xfId="14975" xr:uid="{D879B1D2-E100-4450-9057-90D3FDB14E31}"/>
    <cellStyle name="Normal 9 2 2 2 3 5 4" xfId="10757" xr:uid="{FAAA4CE7-0107-4A56-A7FA-4375AD3BDC2E}"/>
    <cellStyle name="Normal 9 2 2 2 3 6" xfId="2662" xr:uid="{00000000-0005-0000-0000-0000A81E0000}"/>
    <cellStyle name="Normal 9 2 2 2 3 6 2" xfId="6946" xr:uid="{00000000-0005-0000-0000-0000A91E0000}"/>
    <cellStyle name="Normal 9 2 2 2 3 6 2 2" xfId="15388" xr:uid="{1B120AFC-EF00-461B-A03E-FB9F9A2DC581}"/>
    <cellStyle name="Normal 9 2 2 2 3 6 3" xfId="11170" xr:uid="{C76E88E8-97B9-4D27-8D42-8FD326128C4E}"/>
    <cellStyle name="Normal 9 2 2 2 3 7" xfId="4881" xr:uid="{00000000-0005-0000-0000-0000AA1E0000}"/>
    <cellStyle name="Normal 9 2 2 2 3 7 2" xfId="13323" xr:uid="{73A46BC8-1A94-4FF5-8B76-6CB61A2A05D8}"/>
    <cellStyle name="Normal 9 2 2 2 3 8" xfId="9105" xr:uid="{865C5BDF-37AE-40D6-8B83-966FA98DAB87}"/>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15878" xr:uid="{61A973D5-AC53-4BA8-9B6C-AC0C0D86E8B8}"/>
    <cellStyle name="Normal 9 2 2 2 4 2 3" xfId="11660" xr:uid="{FE8D0E53-4D03-4988-AE21-DF86AE0C7C89}"/>
    <cellStyle name="Normal 9 2 2 2 4 3" xfId="5291" xr:uid="{00000000-0005-0000-0000-0000AE1E0000}"/>
    <cellStyle name="Normal 9 2 2 2 4 3 2" xfId="13733" xr:uid="{01D7ABD9-8F11-418D-839E-2C813BE87DDE}"/>
    <cellStyle name="Normal 9 2 2 2 4 4" xfId="9515" xr:uid="{1266712B-2970-476B-B69F-3B383BC2FE49}"/>
    <cellStyle name="Normal 9 2 2 2 5" xfId="1396" xr:uid="{00000000-0005-0000-0000-0000AF1E0000}"/>
    <cellStyle name="Normal 9 2 2 2 5 2" xfId="3626" xr:uid="{00000000-0005-0000-0000-0000B01E0000}"/>
    <cellStyle name="Normal 9 2 2 2 5 2 2" xfId="7849" xr:uid="{00000000-0005-0000-0000-0000B11E0000}"/>
    <cellStyle name="Normal 9 2 2 2 5 2 2 2" xfId="16291" xr:uid="{59ED6FDC-74A5-4984-AA9D-EA0E5538D174}"/>
    <cellStyle name="Normal 9 2 2 2 5 2 3" xfId="12073" xr:uid="{2E7A598A-5577-4917-A3D9-6E9CAE7EE3EE}"/>
    <cellStyle name="Normal 9 2 2 2 5 3" xfId="5704" xr:uid="{00000000-0005-0000-0000-0000B21E0000}"/>
    <cellStyle name="Normal 9 2 2 2 5 3 2" xfId="14146" xr:uid="{5B693B66-7BFE-42D2-8728-37354B4E3842}"/>
    <cellStyle name="Normal 9 2 2 2 5 4" xfId="9928" xr:uid="{5E471EB4-94F3-438B-ACC5-41DA84DA4C26}"/>
    <cellStyle name="Normal 9 2 2 2 6" xfId="1809" xr:uid="{00000000-0005-0000-0000-0000B31E0000}"/>
    <cellStyle name="Normal 9 2 2 2 6 2" xfId="4039" xr:uid="{00000000-0005-0000-0000-0000B41E0000}"/>
    <cellStyle name="Normal 9 2 2 2 6 2 2" xfId="8262" xr:uid="{00000000-0005-0000-0000-0000B51E0000}"/>
    <cellStyle name="Normal 9 2 2 2 6 2 2 2" xfId="16704" xr:uid="{3818465A-9E00-4D06-9B39-AA85B8DAD73A}"/>
    <cellStyle name="Normal 9 2 2 2 6 2 3" xfId="12486" xr:uid="{85A9488A-AFA5-477A-82DC-FAA9ED700AEB}"/>
    <cellStyle name="Normal 9 2 2 2 6 3" xfId="6117" xr:uid="{00000000-0005-0000-0000-0000B61E0000}"/>
    <cellStyle name="Normal 9 2 2 2 6 3 2" xfId="14559" xr:uid="{8DD1BB22-D028-46A2-97F0-F74AD49D9DF5}"/>
    <cellStyle name="Normal 9 2 2 2 6 4" xfId="10341" xr:uid="{C3DC6142-CC5D-4DD9-B468-8FEDE5CA661A}"/>
    <cellStyle name="Normal 9 2 2 2 7" xfId="2223" xr:uid="{00000000-0005-0000-0000-0000B71E0000}"/>
    <cellStyle name="Normal 9 2 2 2 7 2" xfId="4452" xr:uid="{00000000-0005-0000-0000-0000B81E0000}"/>
    <cellStyle name="Normal 9 2 2 2 7 2 2" xfId="8675" xr:uid="{00000000-0005-0000-0000-0000B91E0000}"/>
    <cellStyle name="Normal 9 2 2 2 7 2 2 2" xfId="17117" xr:uid="{3A75ACE4-4BE4-42A5-9A69-406F7345030D}"/>
    <cellStyle name="Normal 9 2 2 2 7 2 3" xfId="12899" xr:uid="{B5A1F19C-2E80-45CF-A852-1B53F93CA425}"/>
    <cellStyle name="Normal 9 2 2 2 7 3" xfId="6530" xr:uid="{00000000-0005-0000-0000-0000BA1E0000}"/>
    <cellStyle name="Normal 9 2 2 2 7 3 2" xfId="14972" xr:uid="{3CFEC782-7CBD-49AD-9334-FABFBB03E1CD}"/>
    <cellStyle name="Normal 9 2 2 2 7 4" xfId="10754" xr:uid="{A69A68E7-4140-48E6-9AF0-40224821C632}"/>
    <cellStyle name="Normal 9 2 2 2 8" xfId="2659" xr:uid="{00000000-0005-0000-0000-0000BB1E0000}"/>
    <cellStyle name="Normal 9 2 2 2 8 2" xfId="6943" xr:uid="{00000000-0005-0000-0000-0000BC1E0000}"/>
    <cellStyle name="Normal 9 2 2 2 8 2 2" xfId="15385" xr:uid="{81F6DE23-9669-4532-BB63-9F5B671096C7}"/>
    <cellStyle name="Normal 9 2 2 2 8 3" xfId="11167" xr:uid="{94264F8D-5B54-425C-A92F-4764B5E70021}"/>
    <cellStyle name="Normal 9 2 2 2 9" xfId="4878" xr:uid="{00000000-0005-0000-0000-0000BD1E0000}"/>
    <cellStyle name="Normal 9 2 2 2 9 2" xfId="13320" xr:uid="{E9B5AB61-371A-4192-AADC-5D36AEA5148E}"/>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15883" xr:uid="{F3C8BE62-E311-4687-8713-D339C9E3C3EB}"/>
    <cellStyle name="Normal 9 2 2 3 2 2 2 3" xfId="11665" xr:uid="{BAF519D7-8B92-4B9F-AC07-B203B48A938A}"/>
    <cellStyle name="Normal 9 2 2 3 2 2 3" xfId="5296" xr:uid="{00000000-0005-0000-0000-0000C31E0000}"/>
    <cellStyle name="Normal 9 2 2 3 2 2 3 2" xfId="13738" xr:uid="{44D88A40-FFF1-49FC-9BAE-A48CA8CB4C34}"/>
    <cellStyle name="Normal 9 2 2 3 2 2 4" xfId="9520" xr:uid="{39B92F48-8D0E-4EA4-952A-308E5F537831}"/>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2 2" xfId="16296" xr:uid="{09EBB5F6-5589-4585-9075-A66FC3BC1160}"/>
    <cellStyle name="Normal 9 2 2 3 2 3 2 3" xfId="12078" xr:uid="{70EAE4A7-1D49-47AB-941B-3C62ED48B9E3}"/>
    <cellStyle name="Normal 9 2 2 3 2 3 3" xfId="5709" xr:uid="{00000000-0005-0000-0000-0000C71E0000}"/>
    <cellStyle name="Normal 9 2 2 3 2 3 3 2" xfId="14151" xr:uid="{C2DA3A12-ABE1-46BC-9397-1856E7D0B8BD}"/>
    <cellStyle name="Normal 9 2 2 3 2 3 4" xfId="9933" xr:uid="{48B47660-4880-4597-B926-1F373B798EC1}"/>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2 2 2" xfId="16709" xr:uid="{49D8ED43-38FD-402B-88DA-086FC23FAA1C}"/>
    <cellStyle name="Normal 9 2 2 3 2 4 2 3" xfId="12491" xr:uid="{756FF45E-1A6B-4FF9-9EEF-612B6A036AD0}"/>
    <cellStyle name="Normal 9 2 2 3 2 4 3" xfId="6122" xr:uid="{00000000-0005-0000-0000-0000CB1E0000}"/>
    <cellStyle name="Normal 9 2 2 3 2 4 3 2" xfId="14564" xr:uid="{1FA5E72B-3687-4770-9DED-73351EE3BC63}"/>
    <cellStyle name="Normal 9 2 2 3 2 4 4" xfId="10346" xr:uid="{2FCD7D9F-0B6E-415E-9DFD-83C574C81F64}"/>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2 2 2" xfId="17122" xr:uid="{1175B4ED-FC64-4BFA-B638-8262E60D74BB}"/>
    <cellStyle name="Normal 9 2 2 3 2 5 2 3" xfId="12904" xr:uid="{FC9E19D4-8DC9-4CF1-9EF9-3F2E83964181}"/>
    <cellStyle name="Normal 9 2 2 3 2 5 3" xfId="6535" xr:uid="{00000000-0005-0000-0000-0000CF1E0000}"/>
    <cellStyle name="Normal 9 2 2 3 2 5 3 2" xfId="14977" xr:uid="{80E7A5AE-0543-43D3-91B1-E8B9B5E99390}"/>
    <cellStyle name="Normal 9 2 2 3 2 5 4" xfId="10759" xr:uid="{9FC96D66-32D7-4355-A8EC-D542A562E64B}"/>
    <cellStyle name="Normal 9 2 2 3 2 6" xfId="2664" xr:uid="{00000000-0005-0000-0000-0000D01E0000}"/>
    <cellStyle name="Normal 9 2 2 3 2 6 2" xfId="6948" xr:uid="{00000000-0005-0000-0000-0000D11E0000}"/>
    <cellStyle name="Normal 9 2 2 3 2 6 2 2" xfId="15390" xr:uid="{84F0FF97-5113-4F58-98E9-16B642C82BCB}"/>
    <cellStyle name="Normal 9 2 2 3 2 6 3" xfId="11172" xr:uid="{68D8644D-2931-4970-B6EC-958E9923C576}"/>
    <cellStyle name="Normal 9 2 2 3 2 7" xfId="4883" xr:uid="{00000000-0005-0000-0000-0000D21E0000}"/>
    <cellStyle name="Normal 9 2 2 3 2 7 2" xfId="13325" xr:uid="{C00848E9-2F32-4DCA-94AD-582ACC8D353E}"/>
    <cellStyle name="Normal 9 2 2 3 2 8" xfId="9107" xr:uid="{E297E6B7-E06E-4A7F-876B-041246185969}"/>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15882" xr:uid="{27A61DCB-9B22-4CB8-840F-9EC9A3D2B4E2}"/>
    <cellStyle name="Normal 9 2 2 3 3 2 3" xfId="11664" xr:uid="{061E3420-9029-4646-8FAA-6CF2E08F87EA}"/>
    <cellStyle name="Normal 9 2 2 3 3 3" xfId="5295" xr:uid="{00000000-0005-0000-0000-0000D61E0000}"/>
    <cellStyle name="Normal 9 2 2 3 3 3 2" xfId="13737" xr:uid="{779471A3-E8B4-4753-BB01-3DC98CDF10D3}"/>
    <cellStyle name="Normal 9 2 2 3 3 4" xfId="9519" xr:uid="{FC66CA7A-BE8B-45CC-BE57-DA3F0AA95710}"/>
    <cellStyle name="Normal 9 2 2 3 4" xfId="1400" xr:uid="{00000000-0005-0000-0000-0000D71E0000}"/>
    <cellStyle name="Normal 9 2 2 3 4 2" xfId="3630" xr:uid="{00000000-0005-0000-0000-0000D81E0000}"/>
    <cellStyle name="Normal 9 2 2 3 4 2 2" xfId="7853" xr:uid="{00000000-0005-0000-0000-0000D91E0000}"/>
    <cellStyle name="Normal 9 2 2 3 4 2 2 2" xfId="16295" xr:uid="{4A267347-B9DC-44F8-B2C4-58FC8C240A08}"/>
    <cellStyle name="Normal 9 2 2 3 4 2 3" xfId="12077" xr:uid="{62DCE27C-6EA1-4CA1-8855-39159F3AE613}"/>
    <cellStyle name="Normal 9 2 2 3 4 3" xfId="5708" xr:uid="{00000000-0005-0000-0000-0000DA1E0000}"/>
    <cellStyle name="Normal 9 2 2 3 4 3 2" xfId="14150" xr:uid="{BB5F2BC3-9303-4707-A1B5-FF9E92421571}"/>
    <cellStyle name="Normal 9 2 2 3 4 4" xfId="9932" xr:uid="{47D55FA2-D71D-41A2-9D11-C004E0DFBB52}"/>
    <cellStyle name="Normal 9 2 2 3 5" xfId="1813" xr:uid="{00000000-0005-0000-0000-0000DB1E0000}"/>
    <cellStyle name="Normal 9 2 2 3 5 2" xfId="4043" xr:uid="{00000000-0005-0000-0000-0000DC1E0000}"/>
    <cellStyle name="Normal 9 2 2 3 5 2 2" xfId="8266" xr:uid="{00000000-0005-0000-0000-0000DD1E0000}"/>
    <cellStyle name="Normal 9 2 2 3 5 2 2 2" xfId="16708" xr:uid="{63B41A6F-F8E0-40B2-B008-A1920C55B38C}"/>
    <cellStyle name="Normal 9 2 2 3 5 2 3" xfId="12490" xr:uid="{1321BA55-5A35-4DE3-B837-F5BB8D5738E9}"/>
    <cellStyle name="Normal 9 2 2 3 5 3" xfId="6121" xr:uid="{00000000-0005-0000-0000-0000DE1E0000}"/>
    <cellStyle name="Normal 9 2 2 3 5 3 2" xfId="14563" xr:uid="{B3215FB7-4B2C-4D2F-AFA1-2FE5797A9970}"/>
    <cellStyle name="Normal 9 2 2 3 5 4" xfId="10345" xr:uid="{C01390F2-832D-40D8-915E-18CB0C0B4839}"/>
    <cellStyle name="Normal 9 2 2 3 6" xfId="2227" xr:uid="{00000000-0005-0000-0000-0000DF1E0000}"/>
    <cellStyle name="Normal 9 2 2 3 6 2" xfId="4456" xr:uid="{00000000-0005-0000-0000-0000E01E0000}"/>
    <cellStyle name="Normal 9 2 2 3 6 2 2" xfId="8679" xr:uid="{00000000-0005-0000-0000-0000E11E0000}"/>
    <cellStyle name="Normal 9 2 2 3 6 2 2 2" xfId="17121" xr:uid="{C858F721-CA25-476D-8B4A-17D2A68E3672}"/>
    <cellStyle name="Normal 9 2 2 3 6 2 3" xfId="12903" xr:uid="{AE8DBEE5-867A-42C0-8050-F07B187BB9C4}"/>
    <cellStyle name="Normal 9 2 2 3 6 3" xfId="6534" xr:uid="{00000000-0005-0000-0000-0000E21E0000}"/>
    <cellStyle name="Normal 9 2 2 3 6 3 2" xfId="14976" xr:uid="{D97404FB-3B5E-4CE1-8372-C3421A47FDF0}"/>
    <cellStyle name="Normal 9 2 2 3 6 4" xfId="10758" xr:uid="{E42BC858-B948-43E8-81E8-57DEC8F5B062}"/>
    <cellStyle name="Normal 9 2 2 3 7" xfId="2663" xr:uid="{00000000-0005-0000-0000-0000E31E0000}"/>
    <cellStyle name="Normal 9 2 2 3 7 2" xfId="6947" xr:uid="{00000000-0005-0000-0000-0000E41E0000}"/>
    <cellStyle name="Normal 9 2 2 3 7 2 2" xfId="15389" xr:uid="{C72C1756-1DE3-49B6-90B5-9DF1E988605E}"/>
    <cellStyle name="Normal 9 2 2 3 7 3" xfId="11171" xr:uid="{02E9F53B-65C3-47C3-9323-DDCD9329F630}"/>
    <cellStyle name="Normal 9 2 2 3 8" xfId="4882" xr:uid="{00000000-0005-0000-0000-0000E51E0000}"/>
    <cellStyle name="Normal 9 2 2 3 8 2" xfId="13324" xr:uid="{1B52A6CE-5978-4442-A304-04B20EC8B5D8}"/>
    <cellStyle name="Normal 9 2 2 3 9" xfId="9106" xr:uid="{295022B7-E2AE-45F6-B392-FE7492918D6D}"/>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15884" xr:uid="{7A6848C5-D4E8-4432-BD65-02B3DF9CBD7E}"/>
    <cellStyle name="Normal 9 2 2 4 2 2 3" xfId="11666" xr:uid="{FA5B5AF8-C527-48A5-B42D-A8C75C45A4F3}"/>
    <cellStyle name="Normal 9 2 2 4 2 3" xfId="5297" xr:uid="{00000000-0005-0000-0000-0000EA1E0000}"/>
    <cellStyle name="Normal 9 2 2 4 2 3 2" xfId="13739" xr:uid="{29125D73-062B-4722-AEF9-96E1935E3A1C}"/>
    <cellStyle name="Normal 9 2 2 4 2 4" xfId="9521" xr:uid="{6E06E514-7E13-46CA-9C17-06A009EB17A4}"/>
    <cellStyle name="Normal 9 2 2 4 3" xfId="1402" xr:uid="{00000000-0005-0000-0000-0000EB1E0000}"/>
    <cellStyle name="Normal 9 2 2 4 3 2" xfId="3632" xr:uid="{00000000-0005-0000-0000-0000EC1E0000}"/>
    <cellStyle name="Normal 9 2 2 4 3 2 2" xfId="7855" xr:uid="{00000000-0005-0000-0000-0000ED1E0000}"/>
    <cellStyle name="Normal 9 2 2 4 3 2 2 2" xfId="16297" xr:uid="{DCB519A0-CF32-4902-8F78-C3CB2513107A}"/>
    <cellStyle name="Normal 9 2 2 4 3 2 3" xfId="12079" xr:uid="{061F5E58-F49E-4998-9FCF-C43EFDAA2C96}"/>
    <cellStyle name="Normal 9 2 2 4 3 3" xfId="5710" xr:uid="{00000000-0005-0000-0000-0000EE1E0000}"/>
    <cellStyle name="Normal 9 2 2 4 3 3 2" xfId="14152" xr:uid="{6661281E-E88D-412A-9E88-55835EA28C67}"/>
    <cellStyle name="Normal 9 2 2 4 3 4" xfId="9934" xr:uid="{612926CC-AF36-41CC-8BF4-F8F4FDB3285A}"/>
    <cellStyle name="Normal 9 2 2 4 4" xfId="1815" xr:uid="{00000000-0005-0000-0000-0000EF1E0000}"/>
    <cellStyle name="Normal 9 2 2 4 4 2" xfId="4045" xr:uid="{00000000-0005-0000-0000-0000F01E0000}"/>
    <cellStyle name="Normal 9 2 2 4 4 2 2" xfId="8268" xr:uid="{00000000-0005-0000-0000-0000F11E0000}"/>
    <cellStyle name="Normal 9 2 2 4 4 2 2 2" xfId="16710" xr:uid="{39683F2E-3749-485F-995A-C44B7FFDD029}"/>
    <cellStyle name="Normal 9 2 2 4 4 2 3" xfId="12492" xr:uid="{1F5438C2-8637-4494-BD4F-B85BB4DAA314}"/>
    <cellStyle name="Normal 9 2 2 4 4 3" xfId="6123" xr:uid="{00000000-0005-0000-0000-0000F21E0000}"/>
    <cellStyle name="Normal 9 2 2 4 4 3 2" xfId="14565" xr:uid="{A1F076BB-CF9E-47C6-A3F9-162C1A103A78}"/>
    <cellStyle name="Normal 9 2 2 4 4 4" xfId="10347" xr:uid="{8CBAE938-19B7-4512-85D2-C6834F3B452F}"/>
    <cellStyle name="Normal 9 2 2 4 5" xfId="2229" xr:uid="{00000000-0005-0000-0000-0000F31E0000}"/>
    <cellStyle name="Normal 9 2 2 4 5 2" xfId="4458" xr:uid="{00000000-0005-0000-0000-0000F41E0000}"/>
    <cellStyle name="Normal 9 2 2 4 5 2 2" xfId="8681" xr:uid="{00000000-0005-0000-0000-0000F51E0000}"/>
    <cellStyle name="Normal 9 2 2 4 5 2 2 2" xfId="17123" xr:uid="{13B99FCB-99F3-4E3C-95A3-0AF984572A3C}"/>
    <cellStyle name="Normal 9 2 2 4 5 2 3" xfId="12905" xr:uid="{ED178B90-D3E2-4A1B-9246-9C5EB7DB71D3}"/>
    <cellStyle name="Normal 9 2 2 4 5 3" xfId="6536" xr:uid="{00000000-0005-0000-0000-0000F61E0000}"/>
    <cellStyle name="Normal 9 2 2 4 5 3 2" xfId="14978" xr:uid="{064B7375-80C9-4444-BDD1-D6226A145EC5}"/>
    <cellStyle name="Normal 9 2 2 4 5 4" xfId="10760" xr:uid="{E25A66D7-39EF-497A-8EA4-A3D8441D3CF4}"/>
    <cellStyle name="Normal 9 2 2 4 6" xfId="2665" xr:uid="{00000000-0005-0000-0000-0000F71E0000}"/>
    <cellStyle name="Normal 9 2 2 4 6 2" xfId="6949" xr:uid="{00000000-0005-0000-0000-0000F81E0000}"/>
    <cellStyle name="Normal 9 2 2 4 6 2 2" xfId="15391" xr:uid="{A58051DB-24D7-426B-BA5F-1F090281D248}"/>
    <cellStyle name="Normal 9 2 2 4 6 3" xfId="11173" xr:uid="{CB3C7FF0-4A5B-4897-8438-86D13BB1B252}"/>
    <cellStyle name="Normal 9 2 2 4 7" xfId="4884" xr:uid="{00000000-0005-0000-0000-0000F91E0000}"/>
    <cellStyle name="Normal 9 2 2 4 7 2" xfId="13326" xr:uid="{8EEC9601-2F92-45C7-94AE-92642ABB5B38}"/>
    <cellStyle name="Normal 9 2 2 4 8" xfId="9108" xr:uid="{6641E3A4-CAD0-4FF1-A6B5-02F881480A76}"/>
    <cellStyle name="Normal 9 2 2 5" xfId="979" xr:uid="{00000000-0005-0000-0000-0000FA1E0000}"/>
    <cellStyle name="Normal 9 2 2 5 2" xfId="3212" xr:uid="{00000000-0005-0000-0000-0000FB1E0000}"/>
    <cellStyle name="Normal 9 2 2 5 2 2" xfId="7435" xr:uid="{00000000-0005-0000-0000-0000FC1E0000}"/>
    <cellStyle name="Normal 9 2 2 5 2 2 2" xfId="15877" xr:uid="{96E29C80-C640-4DBF-BA86-6FFC675A2198}"/>
    <cellStyle name="Normal 9 2 2 5 2 3" xfId="11659" xr:uid="{5FCC8B9C-25CB-4AF1-8967-79B52C1974F2}"/>
    <cellStyle name="Normal 9 2 2 5 3" xfId="5290" xr:uid="{00000000-0005-0000-0000-0000FD1E0000}"/>
    <cellStyle name="Normal 9 2 2 5 3 2" xfId="13732" xr:uid="{5CC1B903-7B3D-4F84-905D-F50ED17FAD60}"/>
    <cellStyle name="Normal 9 2 2 5 4" xfId="9514" xr:uid="{4861B841-D99E-4929-9CD4-18DA80AFA4D7}"/>
    <cellStyle name="Normal 9 2 2 6" xfId="1395" xr:uid="{00000000-0005-0000-0000-0000FE1E0000}"/>
    <cellStyle name="Normal 9 2 2 6 2" xfId="3625" xr:uid="{00000000-0005-0000-0000-0000FF1E0000}"/>
    <cellStyle name="Normal 9 2 2 6 2 2" xfId="7848" xr:uid="{00000000-0005-0000-0000-0000001F0000}"/>
    <cellStyle name="Normal 9 2 2 6 2 2 2" xfId="16290" xr:uid="{0BCD3A29-CF86-47E5-B91D-19BEE85C16F3}"/>
    <cellStyle name="Normal 9 2 2 6 2 3" xfId="12072" xr:uid="{AD2E90CE-4E6C-4EF4-929D-9103C398234F}"/>
    <cellStyle name="Normal 9 2 2 6 3" xfId="5703" xr:uid="{00000000-0005-0000-0000-0000011F0000}"/>
    <cellStyle name="Normal 9 2 2 6 3 2" xfId="14145" xr:uid="{2226DA1B-FAFA-4FA5-890C-6D7284F190D0}"/>
    <cellStyle name="Normal 9 2 2 6 4" xfId="9927" xr:uid="{D838EB6B-A131-42AE-BE68-8404794CAA35}"/>
    <cellStyle name="Normal 9 2 2 7" xfId="1808" xr:uid="{00000000-0005-0000-0000-0000021F0000}"/>
    <cellStyle name="Normal 9 2 2 7 2" xfId="4038" xr:uid="{00000000-0005-0000-0000-0000031F0000}"/>
    <cellStyle name="Normal 9 2 2 7 2 2" xfId="8261" xr:uid="{00000000-0005-0000-0000-0000041F0000}"/>
    <cellStyle name="Normal 9 2 2 7 2 2 2" xfId="16703" xr:uid="{6617AD3F-9192-454A-B25B-E645C30F149F}"/>
    <cellStyle name="Normal 9 2 2 7 2 3" xfId="12485" xr:uid="{8FC05738-5251-47E9-83E6-E5B624234B7A}"/>
    <cellStyle name="Normal 9 2 2 7 3" xfId="6116" xr:uid="{00000000-0005-0000-0000-0000051F0000}"/>
    <cellStyle name="Normal 9 2 2 7 3 2" xfId="14558" xr:uid="{7A781208-1735-42E9-ADA5-F3AA4895FCD4}"/>
    <cellStyle name="Normal 9 2 2 7 4" xfId="10340" xr:uid="{A75662C7-52FB-4FBB-8A90-8133D4E8B752}"/>
    <cellStyle name="Normal 9 2 2 8" xfId="2222" xr:uid="{00000000-0005-0000-0000-0000061F0000}"/>
    <cellStyle name="Normal 9 2 2 8 2" xfId="4451" xr:uid="{00000000-0005-0000-0000-0000071F0000}"/>
    <cellStyle name="Normal 9 2 2 8 2 2" xfId="8674" xr:uid="{00000000-0005-0000-0000-0000081F0000}"/>
    <cellStyle name="Normal 9 2 2 8 2 2 2" xfId="17116" xr:uid="{D4538015-B02A-463A-BF2A-6C2D5023C1B2}"/>
    <cellStyle name="Normal 9 2 2 8 2 3" xfId="12898" xr:uid="{9BF2BDB7-774C-47B7-96BA-EF759A5009D5}"/>
    <cellStyle name="Normal 9 2 2 8 3" xfId="6529" xr:uid="{00000000-0005-0000-0000-0000091F0000}"/>
    <cellStyle name="Normal 9 2 2 8 3 2" xfId="14971" xr:uid="{678850F9-1D98-42B0-B663-4919F86C4E50}"/>
    <cellStyle name="Normal 9 2 2 8 4" xfId="10753" xr:uid="{83C1FD29-7FD9-4C15-9E73-56033E868707}"/>
    <cellStyle name="Normal 9 2 2 9" xfId="2658" xr:uid="{00000000-0005-0000-0000-00000A1F0000}"/>
    <cellStyle name="Normal 9 2 2 9 2" xfId="6942" xr:uid="{00000000-0005-0000-0000-00000B1F0000}"/>
    <cellStyle name="Normal 9 2 2 9 2 2" xfId="15384" xr:uid="{ECE849FD-38C7-40E9-A367-31278825C63A}"/>
    <cellStyle name="Normal 9 2 2 9 3" xfId="11166" xr:uid="{3CE03B34-3954-409B-B97D-E014BEA264BD}"/>
    <cellStyle name="Normal 9 2 3" xfId="520" xr:uid="{00000000-0005-0000-0000-00000C1F0000}"/>
    <cellStyle name="Normal 9 2 3 10" xfId="9109" xr:uid="{A74785BD-9F1B-4E5F-A2E6-C8410B839B53}"/>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15887" xr:uid="{7D76DBC5-8674-4CEB-B11E-8994C8BEE545}"/>
    <cellStyle name="Normal 9 2 3 2 2 2 2 3" xfId="11669" xr:uid="{6DE0FCF6-4AE6-4E47-BEC8-72D570C92ACE}"/>
    <cellStyle name="Normal 9 2 3 2 2 2 3" xfId="5300" xr:uid="{00000000-0005-0000-0000-0000121F0000}"/>
    <cellStyle name="Normal 9 2 3 2 2 2 3 2" xfId="13742" xr:uid="{8BC5E763-26C4-4FF5-9D0B-51DDAC3DBE6A}"/>
    <cellStyle name="Normal 9 2 3 2 2 2 4" xfId="9524" xr:uid="{4400BD15-A6AF-4ED8-9114-4B5270D5864A}"/>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2 2" xfId="16300" xr:uid="{DB8A90E0-2E64-4D5D-836C-225F52543990}"/>
    <cellStyle name="Normal 9 2 3 2 2 3 2 3" xfId="12082" xr:uid="{FCF0B1E4-0F59-4DE9-BD6E-85ED35CACB91}"/>
    <cellStyle name="Normal 9 2 3 2 2 3 3" xfId="5713" xr:uid="{00000000-0005-0000-0000-0000161F0000}"/>
    <cellStyle name="Normal 9 2 3 2 2 3 3 2" xfId="14155" xr:uid="{0B4DEA8C-9CFF-43F3-A71A-906323F5EBE2}"/>
    <cellStyle name="Normal 9 2 3 2 2 3 4" xfId="9937" xr:uid="{B565D328-CF31-4D36-B676-D62123B0262E}"/>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2 2 2" xfId="16713" xr:uid="{4E3DB76F-B970-4040-9850-B8B6112A6EEC}"/>
    <cellStyle name="Normal 9 2 3 2 2 4 2 3" xfId="12495" xr:uid="{5DB1F396-07F5-4A30-99B4-485614218D82}"/>
    <cellStyle name="Normal 9 2 3 2 2 4 3" xfId="6126" xr:uid="{00000000-0005-0000-0000-00001A1F0000}"/>
    <cellStyle name="Normal 9 2 3 2 2 4 3 2" xfId="14568" xr:uid="{0209A276-882C-4962-9273-1FFBA647CE4F}"/>
    <cellStyle name="Normal 9 2 3 2 2 4 4" xfId="10350" xr:uid="{BB96605C-8ADC-43EC-BF18-BAB8673B5EC8}"/>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2 2 2" xfId="17126" xr:uid="{56A9ED67-F608-404C-84F0-92B6188FBFD8}"/>
    <cellStyle name="Normal 9 2 3 2 2 5 2 3" xfId="12908" xr:uid="{4BF40A6A-88A8-4C21-9F21-D870CC1E8781}"/>
    <cellStyle name="Normal 9 2 3 2 2 5 3" xfId="6539" xr:uid="{00000000-0005-0000-0000-00001E1F0000}"/>
    <cellStyle name="Normal 9 2 3 2 2 5 3 2" xfId="14981" xr:uid="{2D0FB050-6768-4E15-B223-67097407639F}"/>
    <cellStyle name="Normal 9 2 3 2 2 5 4" xfId="10763" xr:uid="{D343AF91-27F3-4D77-8C79-6A59B1D8BE80}"/>
    <cellStyle name="Normal 9 2 3 2 2 6" xfId="2668" xr:uid="{00000000-0005-0000-0000-00001F1F0000}"/>
    <cellStyle name="Normal 9 2 3 2 2 6 2" xfId="6952" xr:uid="{00000000-0005-0000-0000-0000201F0000}"/>
    <cellStyle name="Normal 9 2 3 2 2 6 2 2" xfId="15394" xr:uid="{C478CB6E-0B14-4A10-8566-C159C607D76F}"/>
    <cellStyle name="Normal 9 2 3 2 2 6 3" xfId="11176" xr:uid="{E6C8EDA0-6BDC-4DE4-8B99-8127F3F7790C}"/>
    <cellStyle name="Normal 9 2 3 2 2 7" xfId="4887" xr:uid="{00000000-0005-0000-0000-0000211F0000}"/>
    <cellStyle name="Normal 9 2 3 2 2 7 2" xfId="13329" xr:uid="{0E289BB1-C993-4DAB-9F1C-F3EA592D0A37}"/>
    <cellStyle name="Normal 9 2 3 2 2 8" xfId="9111" xr:uid="{55BC216E-4CAE-4E5E-815F-A6B8EBE2CB4F}"/>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15886" xr:uid="{34DAE7C2-8FC6-4E0F-8336-CCEE90BD0966}"/>
    <cellStyle name="Normal 9 2 3 2 3 2 3" xfId="11668" xr:uid="{F29CC725-3C70-4F30-B5AE-86AD356B7B56}"/>
    <cellStyle name="Normal 9 2 3 2 3 3" xfId="5299" xr:uid="{00000000-0005-0000-0000-0000251F0000}"/>
    <cellStyle name="Normal 9 2 3 2 3 3 2" xfId="13741" xr:uid="{418D5248-842F-421B-B1BB-10E3F1C7D1B6}"/>
    <cellStyle name="Normal 9 2 3 2 3 4" xfId="9523" xr:uid="{C648A60A-F82C-42B0-AF28-0283E82D77D3}"/>
    <cellStyle name="Normal 9 2 3 2 4" xfId="1404" xr:uid="{00000000-0005-0000-0000-0000261F0000}"/>
    <cellStyle name="Normal 9 2 3 2 4 2" xfId="3634" xr:uid="{00000000-0005-0000-0000-0000271F0000}"/>
    <cellStyle name="Normal 9 2 3 2 4 2 2" xfId="7857" xr:uid="{00000000-0005-0000-0000-0000281F0000}"/>
    <cellStyle name="Normal 9 2 3 2 4 2 2 2" xfId="16299" xr:uid="{C2ADDA73-08D5-45BA-A603-296DE9C97318}"/>
    <cellStyle name="Normal 9 2 3 2 4 2 3" xfId="12081" xr:uid="{5E39926F-56DD-4943-A4F6-A11715F89208}"/>
    <cellStyle name="Normal 9 2 3 2 4 3" xfId="5712" xr:uid="{00000000-0005-0000-0000-0000291F0000}"/>
    <cellStyle name="Normal 9 2 3 2 4 3 2" xfId="14154" xr:uid="{8670D5BD-E798-4873-ABE7-4DAB5DAC2C22}"/>
    <cellStyle name="Normal 9 2 3 2 4 4" xfId="9936" xr:uid="{C173EE87-72DC-4E55-A4CB-3D3F246241E1}"/>
    <cellStyle name="Normal 9 2 3 2 5" xfId="1817" xr:uid="{00000000-0005-0000-0000-00002A1F0000}"/>
    <cellStyle name="Normal 9 2 3 2 5 2" xfId="4047" xr:uid="{00000000-0005-0000-0000-00002B1F0000}"/>
    <cellStyle name="Normal 9 2 3 2 5 2 2" xfId="8270" xr:uid="{00000000-0005-0000-0000-00002C1F0000}"/>
    <cellStyle name="Normal 9 2 3 2 5 2 2 2" xfId="16712" xr:uid="{92457D66-074F-4D29-AB55-7785D5477E11}"/>
    <cellStyle name="Normal 9 2 3 2 5 2 3" xfId="12494" xr:uid="{1CC81346-9F64-44F5-923D-013C1DE8641D}"/>
    <cellStyle name="Normal 9 2 3 2 5 3" xfId="6125" xr:uid="{00000000-0005-0000-0000-00002D1F0000}"/>
    <cellStyle name="Normal 9 2 3 2 5 3 2" xfId="14567" xr:uid="{35702B34-F308-4908-9E3F-CF5B43F583E7}"/>
    <cellStyle name="Normal 9 2 3 2 5 4" xfId="10349" xr:uid="{F37C3544-2E2F-49C7-BE21-EAF8AC4C0AB2}"/>
    <cellStyle name="Normal 9 2 3 2 6" xfId="2231" xr:uid="{00000000-0005-0000-0000-00002E1F0000}"/>
    <cellStyle name="Normal 9 2 3 2 6 2" xfId="4460" xr:uid="{00000000-0005-0000-0000-00002F1F0000}"/>
    <cellStyle name="Normal 9 2 3 2 6 2 2" xfId="8683" xr:uid="{00000000-0005-0000-0000-0000301F0000}"/>
    <cellStyle name="Normal 9 2 3 2 6 2 2 2" xfId="17125" xr:uid="{2C113A98-1BE4-4B73-A316-24F257B49B01}"/>
    <cellStyle name="Normal 9 2 3 2 6 2 3" xfId="12907" xr:uid="{5BD82837-8901-40C9-9E86-0B0F69AB3A5A}"/>
    <cellStyle name="Normal 9 2 3 2 6 3" xfId="6538" xr:uid="{00000000-0005-0000-0000-0000311F0000}"/>
    <cellStyle name="Normal 9 2 3 2 6 3 2" xfId="14980" xr:uid="{9991A106-E620-4DCC-A6B5-33434DD29A90}"/>
    <cellStyle name="Normal 9 2 3 2 6 4" xfId="10762" xr:uid="{36820F8D-16B3-4664-8FFD-C3DE33FC872A}"/>
    <cellStyle name="Normal 9 2 3 2 7" xfId="2667" xr:uid="{00000000-0005-0000-0000-0000321F0000}"/>
    <cellStyle name="Normal 9 2 3 2 7 2" xfId="6951" xr:uid="{00000000-0005-0000-0000-0000331F0000}"/>
    <cellStyle name="Normal 9 2 3 2 7 2 2" xfId="15393" xr:uid="{2293C8B5-B8DD-4CC9-BA61-DD1D143B584C}"/>
    <cellStyle name="Normal 9 2 3 2 7 3" xfId="11175" xr:uid="{D23BBEBD-0DC6-428A-8104-828C8CB31CB1}"/>
    <cellStyle name="Normal 9 2 3 2 8" xfId="4886" xr:uid="{00000000-0005-0000-0000-0000341F0000}"/>
    <cellStyle name="Normal 9 2 3 2 8 2" xfId="13328" xr:uid="{000CF62F-3406-4E09-BE55-EAF37E9CB073}"/>
    <cellStyle name="Normal 9 2 3 2 9" xfId="9110" xr:uid="{49CB60B0-3168-4596-8A0C-1A8EB1DACF86}"/>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15888" xr:uid="{9160384E-3C03-4116-8834-66FAA66CF232}"/>
    <cellStyle name="Normal 9 2 3 3 2 2 3" xfId="11670" xr:uid="{45976123-45FB-49BE-BE26-808E8B452E18}"/>
    <cellStyle name="Normal 9 2 3 3 2 3" xfId="5301" xr:uid="{00000000-0005-0000-0000-0000391F0000}"/>
    <cellStyle name="Normal 9 2 3 3 2 3 2" xfId="13743" xr:uid="{4C263388-32B6-455D-8A90-71A0E0219422}"/>
    <cellStyle name="Normal 9 2 3 3 2 4" xfId="9525" xr:uid="{86ACC839-A6DE-44A8-8199-376D2985CE79}"/>
    <cellStyle name="Normal 9 2 3 3 3" xfId="1406" xr:uid="{00000000-0005-0000-0000-00003A1F0000}"/>
    <cellStyle name="Normal 9 2 3 3 3 2" xfId="3636" xr:uid="{00000000-0005-0000-0000-00003B1F0000}"/>
    <cellStyle name="Normal 9 2 3 3 3 2 2" xfId="7859" xr:uid="{00000000-0005-0000-0000-00003C1F0000}"/>
    <cellStyle name="Normal 9 2 3 3 3 2 2 2" xfId="16301" xr:uid="{C72B8701-A3A6-4FB7-A76B-46706BD8B714}"/>
    <cellStyle name="Normal 9 2 3 3 3 2 3" xfId="12083" xr:uid="{F6A8C789-CC2F-471B-80FC-92439327D4C5}"/>
    <cellStyle name="Normal 9 2 3 3 3 3" xfId="5714" xr:uid="{00000000-0005-0000-0000-00003D1F0000}"/>
    <cellStyle name="Normal 9 2 3 3 3 3 2" xfId="14156" xr:uid="{94AF44A9-A1DF-4F21-ADE8-C2CCA467CEE4}"/>
    <cellStyle name="Normal 9 2 3 3 3 4" xfId="9938" xr:uid="{1F297397-196C-4B9F-BB87-BB8D04410AC3}"/>
    <cellStyle name="Normal 9 2 3 3 4" xfId="1819" xr:uid="{00000000-0005-0000-0000-00003E1F0000}"/>
    <cellStyle name="Normal 9 2 3 3 4 2" xfId="4049" xr:uid="{00000000-0005-0000-0000-00003F1F0000}"/>
    <cellStyle name="Normal 9 2 3 3 4 2 2" xfId="8272" xr:uid="{00000000-0005-0000-0000-0000401F0000}"/>
    <cellStyle name="Normal 9 2 3 3 4 2 2 2" xfId="16714" xr:uid="{719CDEA7-B39E-442C-ADAD-9C5C6DF94F85}"/>
    <cellStyle name="Normal 9 2 3 3 4 2 3" xfId="12496" xr:uid="{ED8F97FA-6E8E-441D-8CAC-B4DF35D1FA70}"/>
    <cellStyle name="Normal 9 2 3 3 4 3" xfId="6127" xr:uid="{00000000-0005-0000-0000-0000411F0000}"/>
    <cellStyle name="Normal 9 2 3 3 4 3 2" xfId="14569" xr:uid="{3B1179DE-8D6B-4EC0-8EC0-262461D33C45}"/>
    <cellStyle name="Normal 9 2 3 3 4 4" xfId="10351" xr:uid="{70B2FF55-1DA8-42EC-B4E0-A3F890D50DFF}"/>
    <cellStyle name="Normal 9 2 3 3 5" xfId="2233" xr:uid="{00000000-0005-0000-0000-0000421F0000}"/>
    <cellStyle name="Normal 9 2 3 3 5 2" xfId="4462" xr:uid="{00000000-0005-0000-0000-0000431F0000}"/>
    <cellStyle name="Normal 9 2 3 3 5 2 2" xfId="8685" xr:uid="{00000000-0005-0000-0000-0000441F0000}"/>
    <cellStyle name="Normal 9 2 3 3 5 2 2 2" xfId="17127" xr:uid="{AE34BD04-3D71-42FC-AF13-24B01673C8EE}"/>
    <cellStyle name="Normal 9 2 3 3 5 2 3" xfId="12909" xr:uid="{4BC0E1A3-7790-4BE1-8367-AB6B66419B12}"/>
    <cellStyle name="Normal 9 2 3 3 5 3" xfId="6540" xr:uid="{00000000-0005-0000-0000-0000451F0000}"/>
    <cellStyle name="Normal 9 2 3 3 5 3 2" xfId="14982" xr:uid="{63D52FB9-335C-41A4-A9A2-C50925D00F01}"/>
    <cellStyle name="Normal 9 2 3 3 5 4" xfId="10764" xr:uid="{59C92C57-E338-464D-BA51-57639EC8168E}"/>
    <cellStyle name="Normal 9 2 3 3 6" xfId="2669" xr:uid="{00000000-0005-0000-0000-0000461F0000}"/>
    <cellStyle name="Normal 9 2 3 3 6 2" xfId="6953" xr:uid="{00000000-0005-0000-0000-0000471F0000}"/>
    <cellStyle name="Normal 9 2 3 3 6 2 2" xfId="15395" xr:uid="{06D1F399-073E-4C4F-814B-B1640C68BD77}"/>
    <cellStyle name="Normal 9 2 3 3 6 3" xfId="11177" xr:uid="{BD1BB699-D2D1-4723-B499-33DEA0136CD0}"/>
    <cellStyle name="Normal 9 2 3 3 7" xfId="4888" xr:uid="{00000000-0005-0000-0000-0000481F0000}"/>
    <cellStyle name="Normal 9 2 3 3 7 2" xfId="13330" xr:uid="{3B4246EE-62C7-4A48-A1A7-7BC21AA7EEC7}"/>
    <cellStyle name="Normal 9 2 3 3 8" xfId="9112" xr:uid="{213961F1-7108-40A2-8D30-6418B03DBA20}"/>
    <cellStyle name="Normal 9 2 3 4" xfId="987" xr:uid="{00000000-0005-0000-0000-0000491F0000}"/>
    <cellStyle name="Normal 9 2 3 4 2" xfId="3220" xr:uid="{00000000-0005-0000-0000-00004A1F0000}"/>
    <cellStyle name="Normal 9 2 3 4 2 2" xfId="7443" xr:uid="{00000000-0005-0000-0000-00004B1F0000}"/>
    <cellStyle name="Normal 9 2 3 4 2 2 2" xfId="15885" xr:uid="{EBF25272-BC1E-45C3-94B5-AADBCC2BBF6F}"/>
    <cellStyle name="Normal 9 2 3 4 2 3" xfId="11667" xr:uid="{19AAE4AF-988E-453B-BC08-2DF4B4E73F17}"/>
    <cellStyle name="Normal 9 2 3 4 3" xfId="5298" xr:uid="{00000000-0005-0000-0000-00004C1F0000}"/>
    <cellStyle name="Normal 9 2 3 4 3 2" xfId="13740" xr:uid="{F3126D6A-7FC9-43F4-8AE6-EE4BB32F8DE3}"/>
    <cellStyle name="Normal 9 2 3 4 4" xfId="9522" xr:uid="{2A2DD750-88D8-488E-A64B-BEE51099F064}"/>
    <cellStyle name="Normal 9 2 3 5" xfId="1403" xr:uid="{00000000-0005-0000-0000-00004D1F0000}"/>
    <cellStyle name="Normal 9 2 3 5 2" xfId="3633" xr:uid="{00000000-0005-0000-0000-00004E1F0000}"/>
    <cellStyle name="Normal 9 2 3 5 2 2" xfId="7856" xr:uid="{00000000-0005-0000-0000-00004F1F0000}"/>
    <cellStyle name="Normal 9 2 3 5 2 2 2" xfId="16298" xr:uid="{0C2E8DCC-47A2-4FB2-B2A7-2DC272642BA3}"/>
    <cellStyle name="Normal 9 2 3 5 2 3" xfId="12080" xr:uid="{9C1B005C-D9E0-4A0B-8D81-861566146459}"/>
    <cellStyle name="Normal 9 2 3 5 3" xfId="5711" xr:uid="{00000000-0005-0000-0000-0000501F0000}"/>
    <cellStyle name="Normal 9 2 3 5 3 2" xfId="14153" xr:uid="{F6F5DC23-7B8F-4407-8039-A4D48F7EA534}"/>
    <cellStyle name="Normal 9 2 3 5 4" xfId="9935" xr:uid="{585C624D-1B05-4CE3-A809-14CD41934CF7}"/>
    <cellStyle name="Normal 9 2 3 6" xfId="1816" xr:uid="{00000000-0005-0000-0000-0000511F0000}"/>
    <cellStyle name="Normal 9 2 3 6 2" xfId="4046" xr:uid="{00000000-0005-0000-0000-0000521F0000}"/>
    <cellStyle name="Normal 9 2 3 6 2 2" xfId="8269" xr:uid="{00000000-0005-0000-0000-0000531F0000}"/>
    <cellStyle name="Normal 9 2 3 6 2 2 2" xfId="16711" xr:uid="{606A8E93-9B39-4D83-87B4-51191FF092ED}"/>
    <cellStyle name="Normal 9 2 3 6 2 3" xfId="12493" xr:uid="{D99859FB-3E8F-49DD-9A5F-AD946C4B5AEE}"/>
    <cellStyle name="Normal 9 2 3 6 3" xfId="6124" xr:uid="{00000000-0005-0000-0000-0000541F0000}"/>
    <cellStyle name="Normal 9 2 3 6 3 2" xfId="14566" xr:uid="{F92C28AC-16A5-4B97-8A3F-C2A8E61726A7}"/>
    <cellStyle name="Normal 9 2 3 6 4" xfId="10348" xr:uid="{8B9C112B-8373-4C0B-96CA-289AECFA281C}"/>
    <cellStyle name="Normal 9 2 3 7" xfId="2230" xr:uid="{00000000-0005-0000-0000-0000551F0000}"/>
    <cellStyle name="Normal 9 2 3 7 2" xfId="4459" xr:uid="{00000000-0005-0000-0000-0000561F0000}"/>
    <cellStyle name="Normal 9 2 3 7 2 2" xfId="8682" xr:uid="{00000000-0005-0000-0000-0000571F0000}"/>
    <cellStyle name="Normal 9 2 3 7 2 2 2" xfId="17124" xr:uid="{7F4BF796-88C1-45FE-8493-3D02155F70FF}"/>
    <cellStyle name="Normal 9 2 3 7 2 3" xfId="12906" xr:uid="{5B8CBD16-46DE-400C-B252-FDD659984056}"/>
    <cellStyle name="Normal 9 2 3 7 3" xfId="6537" xr:uid="{00000000-0005-0000-0000-0000581F0000}"/>
    <cellStyle name="Normal 9 2 3 7 3 2" xfId="14979" xr:uid="{E471C0C6-39A7-4CB5-BD22-91B11CC0877A}"/>
    <cellStyle name="Normal 9 2 3 7 4" xfId="10761" xr:uid="{509FBE69-6C67-4F83-BB59-D2D5A20A95A6}"/>
    <cellStyle name="Normal 9 2 3 8" xfId="2666" xr:uid="{00000000-0005-0000-0000-0000591F0000}"/>
    <cellStyle name="Normal 9 2 3 8 2" xfId="6950" xr:uid="{00000000-0005-0000-0000-00005A1F0000}"/>
    <cellStyle name="Normal 9 2 3 8 2 2" xfId="15392" xr:uid="{F1D6830D-BA29-442F-B066-B734425E6D8B}"/>
    <cellStyle name="Normal 9 2 3 8 3" xfId="11174" xr:uid="{D50D5C69-0A89-46BE-875D-FBFD68319860}"/>
    <cellStyle name="Normal 9 2 3 9" xfId="4885" xr:uid="{00000000-0005-0000-0000-00005B1F0000}"/>
    <cellStyle name="Normal 9 2 3 9 2" xfId="13327" xr:uid="{9C2F902D-BD56-4701-8DBF-233511A6776C}"/>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15890" xr:uid="{6A674695-A3D3-4E78-97C0-F1B2796EDDC3}"/>
    <cellStyle name="Normal 9 2 4 2 2 2 3" xfId="11672" xr:uid="{535F319C-2BD4-40EB-B396-25E2446835DE}"/>
    <cellStyle name="Normal 9 2 4 2 2 3" xfId="5303" xr:uid="{00000000-0005-0000-0000-0000611F0000}"/>
    <cellStyle name="Normal 9 2 4 2 2 3 2" xfId="13745" xr:uid="{4FC5EEA9-68B5-4F53-B615-6354090DF805}"/>
    <cellStyle name="Normal 9 2 4 2 2 4" xfId="9527" xr:uid="{99AFB9C2-F03B-4E36-A851-204E9D6A5E64}"/>
    <cellStyle name="Normal 9 2 4 2 3" xfId="1408" xr:uid="{00000000-0005-0000-0000-0000621F0000}"/>
    <cellStyle name="Normal 9 2 4 2 3 2" xfId="3638" xr:uid="{00000000-0005-0000-0000-0000631F0000}"/>
    <cellStyle name="Normal 9 2 4 2 3 2 2" xfId="7861" xr:uid="{00000000-0005-0000-0000-0000641F0000}"/>
    <cellStyle name="Normal 9 2 4 2 3 2 2 2" xfId="16303" xr:uid="{0DE3C318-60ED-4F24-B2C9-6268D26B8FEF}"/>
    <cellStyle name="Normal 9 2 4 2 3 2 3" xfId="12085" xr:uid="{825658DA-9D38-4F65-A113-57AE7C435B36}"/>
    <cellStyle name="Normal 9 2 4 2 3 3" xfId="5716" xr:uid="{00000000-0005-0000-0000-0000651F0000}"/>
    <cellStyle name="Normal 9 2 4 2 3 3 2" xfId="14158" xr:uid="{DB249068-4159-4C52-8761-727E02E9D637}"/>
    <cellStyle name="Normal 9 2 4 2 3 4" xfId="9940" xr:uid="{CDC049E5-EE11-4DF8-A6E1-6F49A99C32BD}"/>
    <cellStyle name="Normal 9 2 4 2 4" xfId="1821" xr:uid="{00000000-0005-0000-0000-0000661F0000}"/>
    <cellStyle name="Normal 9 2 4 2 4 2" xfId="4051" xr:uid="{00000000-0005-0000-0000-0000671F0000}"/>
    <cellStyle name="Normal 9 2 4 2 4 2 2" xfId="8274" xr:uid="{00000000-0005-0000-0000-0000681F0000}"/>
    <cellStyle name="Normal 9 2 4 2 4 2 2 2" xfId="16716" xr:uid="{0B4581D6-E8B8-47D2-A34B-D21FEACAA238}"/>
    <cellStyle name="Normal 9 2 4 2 4 2 3" xfId="12498" xr:uid="{22F6CD6F-BCFF-4DB3-94DF-B627AF0757B3}"/>
    <cellStyle name="Normal 9 2 4 2 4 3" xfId="6129" xr:uid="{00000000-0005-0000-0000-0000691F0000}"/>
    <cellStyle name="Normal 9 2 4 2 4 3 2" xfId="14571" xr:uid="{4941149E-B1A3-4D77-99E9-5FA030572643}"/>
    <cellStyle name="Normal 9 2 4 2 4 4" xfId="10353" xr:uid="{01CF5267-5CA0-4A8B-9DF5-EC79B8BD574C}"/>
    <cellStyle name="Normal 9 2 4 2 5" xfId="2235" xr:uid="{00000000-0005-0000-0000-00006A1F0000}"/>
    <cellStyle name="Normal 9 2 4 2 5 2" xfId="4464" xr:uid="{00000000-0005-0000-0000-00006B1F0000}"/>
    <cellStyle name="Normal 9 2 4 2 5 2 2" xfId="8687" xr:uid="{00000000-0005-0000-0000-00006C1F0000}"/>
    <cellStyle name="Normal 9 2 4 2 5 2 2 2" xfId="17129" xr:uid="{5016EFDB-2165-445E-B399-97EFA40D716A}"/>
    <cellStyle name="Normal 9 2 4 2 5 2 3" xfId="12911" xr:uid="{0D768C08-0E73-42E7-B2A6-B998C6FD258E}"/>
    <cellStyle name="Normal 9 2 4 2 5 3" xfId="6542" xr:uid="{00000000-0005-0000-0000-00006D1F0000}"/>
    <cellStyle name="Normal 9 2 4 2 5 3 2" xfId="14984" xr:uid="{9D2C76CD-AD69-42E1-B206-6D4595DB3793}"/>
    <cellStyle name="Normal 9 2 4 2 5 4" xfId="10766" xr:uid="{1BC3E69F-B2A4-4D96-9823-926F0437FD95}"/>
    <cellStyle name="Normal 9 2 4 2 6" xfId="2671" xr:uid="{00000000-0005-0000-0000-00006E1F0000}"/>
    <cellStyle name="Normal 9 2 4 2 6 2" xfId="6955" xr:uid="{00000000-0005-0000-0000-00006F1F0000}"/>
    <cellStyle name="Normal 9 2 4 2 6 2 2" xfId="15397" xr:uid="{122DC0EE-9730-4296-8837-8B20A7091976}"/>
    <cellStyle name="Normal 9 2 4 2 6 3" xfId="11179" xr:uid="{C50C9712-2B7A-429C-8E33-9C45CF088F2C}"/>
    <cellStyle name="Normal 9 2 4 2 7" xfId="4890" xr:uid="{00000000-0005-0000-0000-0000701F0000}"/>
    <cellStyle name="Normal 9 2 4 2 7 2" xfId="13332" xr:uid="{4E11D884-7579-4923-AB2D-63F033ECF1F2}"/>
    <cellStyle name="Normal 9 2 4 2 8" xfId="9114" xr:uid="{08C09B28-894E-45BD-A56E-F9D521CD1F1E}"/>
    <cellStyle name="Normal 9 2 4 3" xfId="991" xr:uid="{00000000-0005-0000-0000-0000711F0000}"/>
    <cellStyle name="Normal 9 2 4 3 2" xfId="3224" xr:uid="{00000000-0005-0000-0000-0000721F0000}"/>
    <cellStyle name="Normal 9 2 4 3 2 2" xfId="7447" xr:uid="{00000000-0005-0000-0000-0000731F0000}"/>
    <cellStyle name="Normal 9 2 4 3 2 2 2" xfId="15889" xr:uid="{E8310BE7-0088-4950-9187-A1D877D3BD68}"/>
    <cellStyle name="Normal 9 2 4 3 2 3" xfId="11671" xr:uid="{C47D51A7-CABF-4B48-A01D-12E42334A5BF}"/>
    <cellStyle name="Normal 9 2 4 3 3" xfId="5302" xr:uid="{00000000-0005-0000-0000-0000741F0000}"/>
    <cellStyle name="Normal 9 2 4 3 3 2" xfId="13744" xr:uid="{74605989-5BE2-48C3-A6CC-9402653024EF}"/>
    <cellStyle name="Normal 9 2 4 3 4" xfId="9526" xr:uid="{6BB31417-3960-40E4-886B-A072BF6AB314}"/>
    <cellStyle name="Normal 9 2 4 4" xfId="1407" xr:uid="{00000000-0005-0000-0000-0000751F0000}"/>
    <cellStyle name="Normal 9 2 4 4 2" xfId="3637" xr:uid="{00000000-0005-0000-0000-0000761F0000}"/>
    <cellStyle name="Normal 9 2 4 4 2 2" xfId="7860" xr:uid="{00000000-0005-0000-0000-0000771F0000}"/>
    <cellStyle name="Normal 9 2 4 4 2 2 2" xfId="16302" xr:uid="{9CD94312-59EE-4FAB-8AB1-0B712B58047D}"/>
    <cellStyle name="Normal 9 2 4 4 2 3" xfId="12084" xr:uid="{F38941EC-5CF6-463F-A65A-9D88D445A7CE}"/>
    <cellStyle name="Normal 9 2 4 4 3" xfId="5715" xr:uid="{00000000-0005-0000-0000-0000781F0000}"/>
    <cellStyle name="Normal 9 2 4 4 3 2" xfId="14157" xr:uid="{555398F9-57E0-4789-94B4-73D8C0258435}"/>
    <cellStyle name="Normal 9 2 4 4 4" xfId="9939" xr:uid="{F6C6171B-00A4-4CF5-9297-9737A0F559DB}"/>
    <cellStyle name="Normal 9 2 4 5" xfId="1820" xr:uid="{00000000-0005-0000-0000-0000791F0000}"/>
    <cellStyle name="Normal 9 2 4 5 2" xfId="4050" xr:uid="{00000000-0005-0000-0000-00007A1F0000}"/>
    <cellStyle name="Normal 9 2 4 5 2 2" xfId="8273" xr:uid="{00000000-0005-0000-0000-00007B1F0000}"/>
    <cellStyle name="Normal 9 2 4 5 2 2 2" xfId="16715" xr:uid="{3B993161-A248-4C5D-8FFA-14AFA40D53FA}"/>
    <cellStyle name="Normal 9 2 4 5 2 3" xfId="12497" xr:uid="{BF663E09-EA05-4AE5-836C-90B2298FB6A5}"/>
    <cellStyle name="Normal 9 2 4 5 3" xfId="6128" xr:uid="{00000000-0005-0000-0000-00007C1F0000}"/>
    <cellStyle name="Normal 9 2 4 5 3 2" xfId="14570" xr:uid="{16378FC7-B555-4CC1-BD6F-931205FEDCDC}"/>
    <cellStyle name="Normal 9 2 4 5 4" xfId="10352" xr:uid="{96907AA2-0A00-495A-BC5B-7DC98E5CF629}"/>
    <cellStyle name="Normal 9 2 4 6" xfId="2234" xr:uid="{00000000-0005-0000-0000-00007D1F0000}"/>
    <cellStyle name="Normal 9 2 4 6 2" xfId="4463" xr:uid="{00000000-0005-0000-0000-00007E1F0000}"/>
    <cellStyle name="Normal 9 2 4 6 2 2" xfId="8686" xr:uid="{00000000-0005-0000-0000-00007F1F0000}"/>
    <cellStyle name="Normal 9 2 4 6 2 2 2" xfId="17128" xr:uid="{52778759-0703-425B-8212-06FB1F1445D9}"/>
    <cellStyle name="Normal 9 2 4 6 2 3" xfId="12910" xr:uid="{187A9EEF-4988-44FB-BB22-44C4D858FE28}"/>
    <cellStyle name="Normal 9 2 4 6 3" xfId="6541" xr:uid="{00000000-0005-0000-0000-0000801F0000}"/>
    <cellStyle name="Normal 9 2 4 6 3 2" xfId="14983" xr:uid="{B6D30A1F-CAEF-4D40-B0F5-020B186E0EBD}"/>
    <cellStyle name="Normal 9 2 4 6 4" xfId="10765" xr:uid="{5E63B56F-D173-4F7B-AA32-EE4E8E85B753}"/>
    <cellStyle name="Normal 9 2 4 7" xfId="2670" xr:uid="{00000000-0005-0000-0000-0000811F0000}"/>
    <cellStyle name="Normal 9 2 4 7 2" xfId="6954" xr:uid="{00000000-0005-0000-0000-0000821F0000}"/>
    <cellStyle name="Normal 9 2 4 7 2 2" xfId="15396" xr:uid="{F4BE6586-A510-48BE-A79D-C26FAD368120}"/>
    <cellStyle name="Normal 9 2 4 7 3" xfId="11178" xr:uid="{B5D7D1C9-742B-45F8-A141-85F3FEACCC9F}"/>
    <cellStyle name="Normal 9 2 4 8" xfId="4889" xr:uid="{00000000-0005-0000-0000-0000831F0000}"/>
    <cellStyle name="Normal 9 2 4 8 2" xfId="13331" xr:uid="{D2B599DB-5D48-49E1-9EE6-83D381E8D1B6}"/>
    <cellStyle name="Normal 9 2 4 9" xfId="9113" xr:uid="{33A03E09-C192-46B2-8384-9BF07885C89F}"/>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2 2 2" xfId="15891" xr:uid="{7E58666F-D017-4A32-920A-D13E8A6146DC}"/>
    <cellStyle name="Normal 9 2 5 2 2 3" xfId="11673" xr:uid="{67939DDD-CA7E-4A50-81B8-D34C93583846}"/>
    <cellStyle name="Normal 9 2 5 2 3" xfId="5304" xr:uid="{00000000-0005-0000-0000-0000881F0000}"/>
    <cellStyle name="Normal 9 2 5 2 3 2" xfId="13746" xr:uid="{91D1D62D-1397-48DE-98B5-7FAA57DBDE1F}"/>
    <cellStyle name="Normal 9 2 5 2 4" xfId="9528" xr:uid="{D855EF19-476D-4E21-88E9-9E6C0C86668C}"/>
    <cellStyle name="Normal 9 2 5 3" xfId="1409" xr:uid="{00000000-0005-0000-0000-0000891F0000}"/>
    <cellStyle name="Normal 9 2 5 3 2" xfId="3639" xr:uid="{00000000-0005-0000-0000-00008A1F0000}"/>
    <cellStyle name="Normal 9 2 5 3 2 2" xfId="7862" xr:uid="{00000000-0005-0000-0000-00008B1F0000}"/>
    <cellStyle name="Normal 9 2 5 3 2 2 2" xfId="16304" xr:uid="{86E45674-F8A3-4270-A774-7F0CEF0B419C}"/>
    <cellStyle name="Normal 9 2 5 3 2 3" xfId="12086" xr:uid="{DFA8E7E1-070D-41E9-BBAF-8052AFA25B99}"/>
    <cellStyle name="Normal 9 2 5 3 3" xfId="5717" xr:uid="{00000000-0005-0000-0000-00008C1F0000}"/>
    <cellStyle name="Normal 9 2 5 3 3 2" xfId="14159" xr:uid="{F9FB7AED-1D80-4883-B574-82EF63306ABD}"/>
    <cellStyle name="Normal 9 2 5 3 4" xfId="9941" xr:uid="{524DB088-EE0A-4504-BBCF-F58B259D541D}"/>
    <cellStyle name="Normal 9 2 5 4" xfId="1822" xr:uid="{00000000-0005-0000-0000-00008D1F0000}"/>
    <cellStyle name="Normal 9 2 5 4 2" xfId="4052" xr:uid="{00000000-0005-0000-0000-00008E1F0000}"/>
    <cellStyle name="Normal 9 2 5 4 2 2" xfId="8275" xr:uid="{00000000-0005-0000-0000-00008F1F0000}"/>
    <cellStyle name="Normal 9 2 5 4 2 2 2" xfId="16717" xr:uid="{5BAABD77-971E-449D-B6E6-C3359584F283}"/>
    <cellStyle name="Normal 9 2 5 4 2 3" xfId="12499" xr:uid="{C4D274F3-4562-4CB4-A1FA-724551E1693B}"/>
    <cellStyle name="Normal 9 2 5 4 3" xfId="6130" xr:uid="{00000000-0005-0000-0000-0000901F0000}"/>
    <cellStyle name="Normal 9 2 5 4 3 2" xfId="14572" xr:uid="{9B1D593D-C48D-49A4-B182-FDE003C23934}"/>
    <cellStyle name="Normal 9 2 5 4 4" xfId="10354" xr:uid="{9EB3FF40-FEA5-4B59-A3BB-4EF380FD2F93}"/>
    <cellStyle name="Normal 9 2 5 5" xfId="2236" xr:uid="{00000000-0005-0000-0000-0000911F0000}"/>
    <cellStyle name="Normal 9 2 5 5 2" xfId="4465" xr:uid="{00000000-0005-0000-0000-0000921F0000}"/>
    <cellStyle name="Normal 9 2 5 5 2 2" xfId="8688" xr:uid="{00000000-0005-0000-0000-0000931F0000}"/>
    <cellStyle name="Normal 9 2 5 5 2 2 2" xfId="17130" xr:uid="{2C23DD71-1A91-497C-8936-F857DFB9E919}"/>
    <cellStyle name="Normal 9 2 5 5 2 3" xfId="12912" xr:uid="{42A53DD8-A79C-4075-B575-18CF0CFD53AC}"/>
    <cellStyle name="Normal 9 2 5 5 3" xfId="6543" xr:uid="{00000000-0005-0000-0000-0000941F0000}"/>
    <cellStyle name="Normal 9 2 5 5 3 2" xfId="14985" xr:uid="{B930DAC5-8657-4E32-8810-5C1031313BFA}"/>
    <cellStyle name="Normal 9 2 5 5 4" xfId="10767" xr:uid="{20BF85C3-5A82-44D7-80CA-255679E4EDFF}"/>
    <cellStyle name="Normal 9 2 5 6" xfId="2672" xr:uid="{00000000-0005-0000-0000-0000951F0000}"/>
    <cellStyle name="Normal 9 2 5 6 2" xfId="6956" xr:uid="{00000000-0005-0000-0000-0000961F0000}"/>
    <cellStyle name="Normal 9 2 5 6 2 2" xfId="15398" xr:uid="{B266D844-44F0-4DD7-AE7B-D7121962A839}"/>
    <cellStyle name="Normal 9 2 5 6 3" xfId="11180" xr:uid="{6ABC4175-F858-40AA-BE83-0E6E0A6031EC}"/>
    <cellStyle name="Normal 9 2 5 7" xfId="4891" xr:uid="{00000000-0005-0000-0000-0000971F0000}"/>
    <cellStyle name="Normal 9 2 5 7 2" xfId="13333" xr:uid="{02452623-B880-45C8-96B7-81E9AA2D3A33}"/>
    <cellStyle name="Normal 9 2 5 8" xfId="9115" xr:uid="{AE2F9342-4E05-4B57-B0DE-A43C931EDF75}"/>
    <cellStyle name="Normal 9 2 6" xfId="978" xr:uid="{00000000-0005-0000-0000-0000981F0000}"/>
    <cellStyle name="Normal 9 2 6 2" xfId="3211" xr:uid="{00000000-0005-0000-0000-0000991F0000}"/>
    <cellStyle name="Normal 9 2 6 2 2" xfId="7434" xr:uid="{00000000-0005-0000-0000-00009A1F0000}"/>
    <cellStyle name="Normal 9 2 6 2 2 2" xfId="15876" xr:uid="{DE66BBB9-DB47-4D71-8CE4-BCF48BA07D76}"/>
    <cellStyle name="Normal 9 2 6 2 3" xfId="11658" xr:uid="{6D7585FD-6A52-4444-9674-77B78239A1EE}"/>
    <cellStyle name="Normal 9 2 6 3" xfId="5289" xr:uid="{00000000-0005-0000-0000-00009B1F0000}"/>
    <cellStyle name="Normal 9 2 6 3 2" xfId="13731" xr:uid="{1CF97B4F-DFE3-43FD-9279-6A2AD463E062}"/>
    <cellStyle name="Normal 9 2 6 4" xfId="9513" xr:uid="{64B6E1E6-AE74-4F5F-8DB2-F07846E71B79}"/>
    <cellStyle name="Normal 9 2 7" xfId="1394" xr:uid="{00000000-0005-0000-0000-00009C1F0000}"/>
    <cellStyle name="Normal 9 2 7 2" xfId="3624" xr:uid="{00000000-0005-0000-0000-00009D1F0000}"/>
    <cellStyle name="Normal 9 2 7 2 2" xfId="7847" xr:uid="{00000000-0005-0000-0000-00009E1F0000}"/>
    <cellStyle name="Normal 9 2 7 2 2 2" xfId="16289" xr:uid="{69D21BC4-B10B-4A6E-8363-B8ADD40FE992}"/>
    <cellStyle name="Normal 9 2 7 2 3" xfId="12071" xr:uid="{FFAB2126-07C6-46BD-A37B-2BAFE681D3AB}"/>
    <cellStyle name="Normal 9 2 7 3" xfId="5702" xr:uid="{00000000-0005-0000-0000-00009F1F0000}"/>
    <cellStyle name="Normal 9 2 7 3 2" xfId="14144" xr:uid="{4AC1544A-5FAF-4698-9873-EEA156D163A5}"/>
    <cellStyle name="Normal 9 2 7 4" xfId="9926" xr:uid="{698C398A-BEB1-43D7-8CB5-00AE8E1B63CD}"/>
    <cellStyle name="Normal 9 2 8" xfId="1807" xr:uid="{00000000-0005-0000-0000-0000A01F0000}"/>
    <cellStyle name="Normal 9 2 8 2" xfId="4037" xr:uid="{00000000-0005-0000-0000-0000A11F0000}"/>
    <cellStyle name="Normal 9 2 8 2 2" xfId="8260" xr:uid="{00000000-0005-0000-0000-0000A21F0000}"/>
    <cellStyle name="Normal 9 2 8 2 2 2" xfId="16702" xr:uid="{1E62C41E-2CE3-47EE-AACB-BAD11F40957D}"/>
    <cellStyle name="Normal 9 2 8 2 3" xfId="12484" xr:uid="{3B9DF774-CB64-454A-847A-C2C1FB316EAB}"/>
    <cellStyle name="Normal 9 2 8 3" xfId="6115" xr:uid="{00000000-0005-0000-0000-0000A31F0000}"/>
    <cellStyle name="Normal 9 2 8 3 2" xfId="14557" xr:uid="{C7799D1E-4738-4EC2-8AC8-A11413A2BD9E}"/>
    <cellStyle name="Normal 9 2 8 4" xfId="10339" xr:uid="{6732FC72-B9A3-4164-9D9E-D0DDA9F1BEB2}"/>
    <cellStyle name="Normal 9 2 9" xfId="2221" xr:uid="{00000000-0005-0000-0000-0000A41F0000}"/>
    <cellStyle name="Normal 9 2 9 2" xfId="4450" xr:uid="{00000000-0005-0000-0000-0000A51F0000}"/>
    <cellStyle name="Normal 9 2 9 2 2" xfId="8673" xr:uid="{00000000-0005-0000-0000-0000A61F0000}"/>
    <cellStyle name="Normal 9 2 9 2 2 2" xfId="17115" xr:uid="{4CEE718F-95C9-4B9B-969B-2A906FCBD4EB}"/>
    <cellStyle name="Normal 9 2 9 2 3" xfId="12897" xr:uid="{2574DE8A-DF52-4CAA-B246-D68993085DC1}"/>
    <cellStyle name="Normal 9 2 9 3" xfId="6528" xr:uid="{00000000-0005-0000-0000-0000A71F0000}"/>
    <cellStyle name="Normal 9 2 9 3 2" xfId="14970" xr:uid="{4CD48C1E-8657-472C-8166-F65C58119BB1}"/>
    <cellStyle name="Normal 9 2 9 4" xfId="10752" xr:uid="{7E64D3A2-2B37-4FC1-ADED-41B317256CBE}"/>
    <cellStyle name="Normal 9 3" xfId="527" xr:uid="{00000000-0005-0000-0000-0000A81F0000}"/>
    <cellStyle name="Normal 9 3 10" xfId="4892" xr:uid="{00000000-0005-0000-0000-0000A91F0000}"/>
    <cellStyle name="Normal 9 3 10 2" xfId="13334" xr:uid="{F06580E4-07DC-4E44-AC42-D84EB8F9B0E2}"/>
    <cellStyle name="Normal 9 3 11" xfId="9116" xr:uid="{4EFA0391-8B7F-4015-AEE1-FBCE1BB889F9}"/>
    <cellStyle name="Normal 9 3 2" xfId="528" xr:uid="{00000000-0005-0000-0000-0000AA1F0000}"/>
    <cellStyle name="Normal 9 3 2 10" xfId="9117" xr:uid="{1CDAC9CE-503C-4802-8271-447C8F3EBB8D}"/>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15895" xr:uid="{4384A8D1-2630-43BA-BC79-17594FF59C67}"/>
    <cellStyle name="Normal 9 3 2 2 2 2 2 3" xfId="11677" xr:uid="{F261B05A-F3BB-43A3-B2B7-AD09B09CE5EB}"/>
    <cellStyle name="Normal 9 3 2 2 2 2 3" xfId="5308" xr:uid="{00000000-0005-0000-0000-0000B01F0000}"/>
    <cellStyle name="Normal 9 3 2 2 2 2 3 2" xfId="13750" xr:uid="{F3BC0F8A-3E75-4AE8-A7D7-421B4251CEA3}"/>
    <cellStyle name="Normal 9 3 2 2 2 2 4" xfId="9532" xr:uid="{B7944FBF-4BBE-4AF7-A985-A98556F11013}"/>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2 2" xfId="16308" xr:uid="{66C2DE8F-DC3B-4F30-92A7-1207B774AF4E}"/>
    <cellStyle name="Normal 9 3 2 2 2 3 2 3" xfId="12090" xr:uid="{76E23467-D0B2-4BAA-8B4C-7B7817F8CF59}"/>
    <cellStyle name="Normal 9 3 2 2 2 3 3" xfId="5721" xr:uid="{00000000-0005-0000-0000-0000B41F0000}"/>
    <cellStyle name="Normal 9 3 2 2 2 3 3 2" xfId="14163" xr:uid="{8257CADB-E381-4BA2-AEAE-DAAAEB52D804}"/>
    <cellStyle name="Normal 9 3 2 2 2 3 4" xfId="9945" xr:uid="{927E60AA-3B08-4956-9D07-66527F3484AB}"/>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2 2 2" xfId="16721" xr:uid="{EDE75853-66A4-4B0F-A3FB-99958ABD6443}"/>
    <cellStyle name="Normal 9 3 2 2 2 4 2 3" xfId="12503" xr:uid="{AC10F7D6-C226-404B-B14F-39F180B16E3B}"/>
    <cellStyle name="Normal 9 3 2 2 2 4 3" xfId="6134" xr:uid="{00000000-0005-0000-0000-0000B81F0000}"/>
    <cellStyle name="Normal 9 3 2 2 2 4 3 2" xfId="14576" xr:uid="{B7A763CA-B8FD-4226-AFD1-0BDD6026F925}"/>
    <cellStyle name="Normal 9 3 2 2 2 4 4" xfId="10358" xr:uid="{C68D0A4A-D9FD-48BD-B48C-99623E5E20FD}"/>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2 2 2" xfId="17134" xr:uid="{34D33337-6ABF-4E28-95EA-03E4E6159F53}"/>
    <cellStyle name="Normal 9 3 2 2 2 5 2 3" xfId="12916" xr:uid="{2BE2140F-A7D4-4EB4-850F-08BA5BE2D126}"/>
    <cellStyle name="Normal 9 3 2 2 2 5 3" xfId="6547" xr:uid="{00000000-0005-0000-0000-0000BC1F0000}"/>
    <cellStyle name="Normal 9 3 2 2 2 5 3 2" xfId="14989" xr:uid="{2E9EF775-A429-497B-9A61-1A3AC86795C1}"/>
    <cellStyle name="Normal 9 3 2 2 2 5 4" xfId="10771" xr:uid="{49A49A99-3012-4A05-A52E-6DFCD1C39CFD}"/>
    <cellStyle name="Normal 9 3 2 2 2 6" xfId="2676" xr:uid="{00000000-0005-0000-0000-0000BD1F0000}"/>
    <cellStyle name="Normal 9 3 2 2 2 6 2" xfId="6960" xr:uid="{00000000-0005-0000-0000-0000BE1F0000}"/>
    <cellStyle name="Normal 9 3 2 2 2 6 2 2" xfId="15402" xr:uid="{ADEBB6F9-30E9-432E-9982-50D808C2D73C}"/>
    <cellStyle name="Normal 9 3 2 2 2 6 3" xfId="11184" xr:uid="{AF4F6901-280D-4D56-A8FC-E8055C4867A2}"/>
    <cellStyle name="Normal 9 3 2 2 2 7" xfId="4895" xr:uid="{00000000-0005-0000-0000-0000BF1F0000}"/>
    <cellStyle name="Normal 9 3 2 2 2 7 2" xfId="13337" xr:uid="{C8AAE93E-8D3E-4242-BE32-4A3AADF39B52}"/>
    <cellStyle name="Normal 9 3 2 2 2 8" xfId="9119" xr:uid="{C369AE78-783D-4C10-BDFE-73B5B724C1BE}"/>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15894" xr:uid="{D4D6D5CE-728D-4A09-BAB0-72BAD7796A4B}"/>
    <cellStyle name="Normal 9 3 2 2 3 2 3" xfId="11676" xr:uid="{5BE44442-345C-4FA6-9A9A-01C39FCAFBEB}"/>
    <cellStyle name="Normal 9 3 2 2 3 3" xfId="5307" xr:uid="{00000000-0005-0000-0000-0000C31F0000}"/>
    <cellStyle name="Normal 9 3 2 2 3 3 2" xfId="13749" xr:uid="{07B64B7C-0B0E-4C5B-B305-57822D0711C5}"/>
    <cellStyle name="Normal 9 3 2 2 3 4" xfId="9531" xr:uid="{6FA4E629-08B4-4452-B5F7-7B260C5CF823}"/>
    <cellStyle name="Normal 9 3 2 2 4" xfId="1412" xr:uid="{00000000-0005-0000-0000-0000C41F0000}"/>
    <cellStyle name="Normal 9 3 2 2 4 2" xfId="3642" xr:uid="{00000000-0005-0000-0000-0000C51F0000}"/>
    <cellStyle name="Normal 9 3 2 2 4 2 2" xfId="7865" xr:uid="{00000000-0005-0000-0000-0000C61F0000}"/>
    <cellStyle name="Normal 9 3 2 2 4 2 2 2" xfId="16307" xr:uid="{9B81BB5E-9724-40F3-8DEA-71EFE98E0F11}"/>
    <cellStyle name="Normal 9 3 2 2 4 2 3" xfId="12089" xr:uid="{CBA8EE5E-F677-497C-BC19-D5F5B9A3E6BA}"/>
    <cellStyle name="Normal 9 3 2 2 4 3" xfId="5720" xr:uid="{00000000-0005-0000-0000-0000C71F0000}"/>
    <cellStyle name="Normal 9 3 2 2 4 3 2" xfId="14162" xr:uid="{07216288-B3F3-4F43-9EE1-1F30779A946A}"/>
    <cellStyle name="Normal 9 3 2 2 4 4" xfId="9944" xr:uid="{6B5CBC53-CECA-4CEB-B908-DFBB93BBE3C8}"/>
    <cellStyle name="Normal 9 3 2 2 5" xfId="1825" xr:uid="{00000000-0005-0000-0000-0000C81F0000}"/>
    <cellStyle name="Normal 9 3 2 2 5 2" xfId="4055" xr:uid="{00000000-0005-0000-0000-0000C91F0000}"/>
    <cellStyle name="Normal 9 3 2 2 5 2 2" xfId="8278" xr:uid="{00000000-0005-0000-0000-0000CA1F0000}"/>
    <cellStyle name="Normal 9 3 2 2 5 2 2 2" xfId="16720" xr:uid="{8B639F84-B296-4258-9604-66F6CC1A17EE}"/>
    <cellStyle name="Normal 9 3 2 2 5 2 3" xfId="12502" xr:uid="{C9A25CBA-E553-4EE4-A228-96119153005D}"/>
    <cellStyle name="Normal 9 3 2 2 5 3" xfId="6133" xr:uid="{00000000-0005-0000-0000-0000CB1F0000}"/>
    <cellStyle name="Normal 9 3 2 2 5 3 2" xfId="14575" xr:uid="{36A40F18-8293-4E86-A839-CF8F8EEA754B}"/>
    <cellStyle name="Normal 9 3 2 2 5 4" xfId="10357" xr:uid="{7BBB0E97-3438-42BE-9784-CE7E1A008428}"/>
    <cellStyle name="Normal 9 3 2 2 6" xfId="2239" xr:uid="{00000000-0005-0000-0000-0000CC1F0000}"/>
    <cellStyle name="Normal 9 3 2 2 6 2" xfId="4468" xr:uid="{00000000-0005-0000-0000-0000CD1F0000}"/>
    <cellStyle name="Normal 9 3 2 2 6 2 2" xfId="8691" xr:uid="{00000000-0005-0000-0000-0000CE1F0000}"/>
    <cellStyle name="Normal 9 3 2 2 6 2 2 2" xfId="17133" xr:uid="{C5B53AFC-E2D2-415D-85CA-07DA317DF9AA}"/>
    <cellStyle name="Normal 9 3 2 2 6 2 3" xfId="12915" xr:uid="{BAAD1296-DF76-4645-85C6-FC5A2B8D233A}"/>
    <cellStyle name="Normal 9 3 2 2 6 3" xfId="6546" xr:uid="{00000000-0005-0000-0000-0000CF1F0000}"/>
    <cellStyle name="Normal 9 3 2 2 6 3 2" xfId="14988" xr:uid="{227E78C9-90CA-4AB4-ADC3-1F649E0A5AE0}"/>
    <cellStyle name="Normal 9 3 2 2 6 4" xfId="10770" xr:uid="{B9DD04F5-E031-434E-9845-D56D3591D596}"/>
    <cellStyle name="Normal 9 3 2 2 7" xfId="2675" xr:uid="{00000000-0005-0000-0000-0000D01F0000}"/>
    <cellStyle name="Normal 9 3 2 2 7 2" xfId="6959" xr:uid="{00000000-0005-0000-0000-0000D11F0000}"/>
    <cellStyle name="Normal 9 3 2 2 7 2 2" xfId="15401" xr:uid="{D8D810B6-DAA6-4A0A-B605-B40772939C36}"/>
    <cellStyle name="Normal 9 3 2 2 7 3" xfId="11183" xr:uid="{8BAE83D0-CA3E-4E7F-BB53-2FC9A152CA62}"/>
    <cellStyle name="Normal 9 3 2 2 8" xfId="4894" xr:uid="{00000000-0005-0000-0000-0000D21F0000}"/>
    <cellStyle name="Normal 9 3 2 2 8 2" xfId="13336" xr:uid="{631A59CA-97FC-44AC-9BD1-672488B2CCB6}"/>
    <cellStyle name="Normal 9 3 2 2 9" xfId="9118" xr:uid="{D83D617A-CE5F-4269-9442-01542FFE716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15896" xr:uid="{A6933FEB-35F4-4214-A634-4C821D1C4E9F}"/>
    <cellStyle name="Normal 9 3 2 3 2 2 3" xfId="11678" xr:uid="{E766F540-2289-4C4A-BAAC-447044780C49}"/>
    <cellStyle name="Normal 9 3 2 3 2 3" xfId="5309" xr:uid="{00000000-0005-0000-0000-0000D71F0000}"/>
    <cellStyle name="Normal 9 3 2 3 2 3 2" xfId="13751" xr:uid="{C5932454-222D-48C2-974E-C1C19AE620F9}"/>
    <cellStyle name="Normal 9 3 2 3 2 4" xfId="9533" xr:uid="{6369AA3E-83DF-42C8-A382-7F34DC605E98}"/>
    <cellStyle name="Normal 9 3 2 3 3" xfId="1414" xr:uid="{00000000-0005-0000-0000-0000D81F0000}"/>
    <cellStyle name="Normal 9 3 2 3 3 2" xfId="3644" xr:uid="{00000000-0005-0000-0000-0000D91F0000}"/>
    <cellStyle name="Normal 9 3 2 3 3 2 2" xfId="7867" xr:uid="{00000000-0005-0000-0000-0000DA1F0000}"/>
    <cellStyle name="Normal 9 3 2 3 3 2 2 2" xfId="16309" xr:uid="{C009F833-738C-4197-BFB4-B80A486A2F8A}"/>
    <cellStyle name="Normal 9 3 2 3 3 2 3" xfId="12091" xr:uid="{C50E90AB-3929-4724-960B-2FE98E04B0D0}"/>
    <cellStyle name="Normal 9 3 2 3 3 3" xfId="5722" xr:uid="{00000000-0005-0000-0000-0000DB1F0000}"/>
    <cellStyle name="Normal 9 3 2 3 3 3 2" xfId="14164" xr:uid="{53390C5A-3DFA-4EBE-9042-40CD8E4F3657}"/>
    <cellStyle name="Normal 9 3 2 3 3 4" xfId="9946" xr:uid="{24EC5BB6-C40B-47D9-B0AB-185EAA620A37}"/>
    <cellStyle name="Normal 9 3 2 3 4" xfId="1827" xr:uid="{00000000-0005-0000-0000-0000DC1F0000}"/>
    <cellStyle name="Normal 9 3 2 3 4 2" xfId="4057" xr:uid="{00000000-0005-0000-0000-0000DD1F0000}"/>
    <cellStyle name="Normal 9 3 2 3 4 2 2" xfId="8280" xr:uid="{00000000-0005-0000-0000-0000DE1F0000}"/>
    <cellStyle name="Normal 9 3 2 3 4 2 2 2" xfId="16722" xr:uid="{33CD5DD5-0A53-4D55-8DA0-D8BD0CA56D6E}"/>
    <cellStyle name="Normal 9 3 2 3 4 2 3" xfId="12504" xr:uid="{3FFE8C11-6113-46B5-8E45-F81AF13BF95F}"/>
    <cellStyle name="Normal 9 3 2 3 4 3" xfId="6135" xr:uid="{00000000-0005-0000-0000-0000DF1F0000}"/>
    <cellStyle name="Normal 9 3 2 3 4 3 2" xfId="14577" xr:uid="{E4486DEC-A20E-4416-B2D6-1673EE84019F}"/>
    <cellStyle name="Normal 9 3 2 3 4 4" xfId="10359" xr:uid="{78FCB789-D6D9-4E97-BBE8-F8C2AEF032CE}"/>
    <cellStyle name="Normal 9 3 2 3 5" xfId="2241" xr:uid="{00000000-0005-0000-0000-0000E01F0000}"/>
    <cellStyle name="Normal 9 3 2 3 5 2" xfId="4470" xr:uid="{00000000-0005-0000-0000-0000E11F0000}"/>
    <cellStyle name="Normal 9 3 2 3 5 2 2" xfId="8693" xr:uid="{00000000-0005-0000-0000-0000E21F0000}"/>
    <cellStyle name="Normal 9 3 2 3 5 2 2 2" xfId="17135" xr:uid="{3F2D3458-32CA-4F61-A97B-EAA96CD73EF6}"/>
    <cellStyle name="Normal 9 3 2 3 5 2 3" xfId="12917" xr:uid="{5BBFC9F2-92D7-4536-973C-537F8434F4AA}"/>
    <cellStyle name="Normal 9 3 2 3 5 3" xfId="6548" xr:uid="{00000000-0005-0000-0000-0000E31F0000}"/>
    <cellStyle name="Normal 9 3 2 3 5 3 2" xfId="14990" xr:uid="{5C9A5F7E-0E7E-4B3A-84AE-FD0E882DE26C}"/>
    <cellStyle name="Normal 9 3 2 3 5 4" xfId="10772" xr:uid="{42A2CC40-978A-4714-B2B4-A5245270B753}"/>
    <cellStyle name="Normal 9 3 2 3 6" xfId="2677" xr:uid="{00000000-0005-0000-0000-0000E41F0000}"/>
    <cellStyle name="Normal 9 3 2 3 6 2" xfId="6961" xr:uid="{00000000-0005-0000-0000-0000E51F0000}"/>
    <cellStyle name="Normal 9 3 2 3 6 2 2" xfId="15403" xr:uid="{D68BC5DA-28A9-4D9F-8BEC-8F70FC9296C3}"/>
    <cellStyle name="Normal 9 3 2 3 6 3" xfId="11185" xr:uid="{96F1CE0C-ADB9-40CD-A5BA-007E3513EC34}"/>
    <cellStyle name="Normal 9 3 2 3 7" xfId="4896" xr:uid="{00000000-0005-0000-0000-0000E61F0000}"/>
    <cellStyle name="Normal 9 3 2 3 7 2" xfId="13338" xr:uid="{E553EBE9-084E-48C3-A20F-D7165E8561DA}"/>
    <cellStyle name="Normal 9 3 2 3 8" xfId="9120" xr:uid="{1B8DB69B-63AA-4AE9-88A0-81D05791CD5C}"/>
    <cellStyle name="Normal 9 3 2 4" xfId="995" xr:uid="{00000000-0005-0000-0000-0000E71F0000}"/>
    <cellStyle name="Normal 9 3 2 4 2" xfId="3228" xr:uid="{00000000-0005-0000-0000-0000E81F0000}"/>
    <cellStyle name="Normal 9 3 2 4 2 2" xfId="7451" xr:uid="{00000000-0005-0000-0000-0000E91F0000}"/>
    <cellStyle name="Normal 9 3 2 4 2 2 2" xfId="15893" xr:uid="{3C79EE53-6FA7-40EB-A203-8A3EDFE9AB09}"/>
    <cellStyle name="Normal 9 3 2 4 2 3" xfId="11675" xr:uid="{4AE46C91-460C-4935-B54F-5D564FC00D7E}"/>
    <cellStyle name="Normal 9 3 2 4 3" xfId="5306" xr:uid="{00000000-0005-0000-0000-0000EA1F0000}"/>
    <cellStyle name="Normal 9 3 2 4 3 2" xfId="13748" xr:uid="{32AADF2D-FB7D-4835-86D6-29998DED98D9}"/>
    <cellStyle name="Normal 9 3 2 4 4" xfId="9530" xr:uid="{F1C35A9D-7361-443C-A2AB-D18857FC3D73}"/>
    <cellStyle name="Normal 9 3 2 5" xfId="1411" xr:uid="{00000000-0005-0000-0000-0000EB1F0000}"/>
    <cellStyle name="Normal 9 3 2 5 2" xfId="3641" xr:uid="{00000000-0005-0000-0000-0000EC1F0000}"/>
    <cellStyle name="Normal 9 3 2 5 2 2" xfId="7864" xr:uid="{00000000-0005-0000-0000-0000ED1F0000}"/>
    <cellStyle name="Normal 9 3 2 5 2 2 2" xfId="16306" xr:uid="{C004F767-CE37-40DB-8FA0-35B5BBBA51A4}"/>
    <cellStyle name="Normal 9 3 2 5 2 3" xfId="12088" xr:uid="{4BF4E2AE-5BEB-4932-A9D1-0684B13FD040}"/>
    <cellStyle name="Normal 9 3 2 5 3" xfId="5719" xr:uid="{00000000-0005-0000-0000-0000EE1F0000}"/>
    <cellStyle name="Normal 9 3 2 5 3 2" xfId="14161" xr:uid="{92BB9FED-6D10-4FE7-AA64-6684C8B783C4}"/>
    <cellStyle name="Normal 9 3 2 5 4" xfId="9943" xr:uid="{4999FF23-294D-4CB6-A141-78D9CDC1D618}"/>
    <cellStyle name="Normal 9 3 2 6" xfId="1824" xr:uid="{00000000-0005-0000-0000-0000EF1F0000}"/>
    <cellStyle name="Normal 9 3 2 6 2" xfId="4054" xr:uid="{00000000-0005-0000-0000-0000F01F0000}"/>
    <cellStyle name="Normal 9 3 2 6 2 2" xfId="8277" xr:uid="{00000000-0005-0000-0000-0000F11F0000}"/>
    <cellStyle name="Normal 9 3 2 6 2 2 2" xfId="16719" xr:uid="{38B6147C-65E8-450C-9BC7-567801733EA7}"/>
    <cellStyle name="Normal 9 3 2 6 2 3" xfId="12501" xr:uid="{FB5DBA87-9175-44EA-93F9-C139C0742781}"/>
    <cellStyle name="Normal 9 3 2 6 3" xfId="6132" xr:uid="{00000000-0005-0000-0000-0000F21F0000}"/>
    <cellStyle name="Normal 9 3 2 6 3 2" xfId="14574" xr:uid="{F8ADA549-AB01-4C0B-AF4C-C062E3ED9B9F}"/>
    <cellStyle name="Normal 9 3 2 6 4" xfId="10356" xr:uid="{15609B9C-1194-4FDC-9DFB-676D1440F704}"/>
    <cellStyle name="Normal 9 3 2 7" xfId="2238" xr:uid="{00000000-0005-0000-0000-0000F31F0000}"/>
    <cellStyle name="Normal 9 3 2 7 2" xfId="4467" xr:uid="{00000000-0005-0000-0000-0000F41F0000}"/>
    <cellStyle name="Normal 9 3 2 7 2 2" xfId="8690" xr:uid="{00000000-0005-0000-0000-0000F51F0000}"/>
    <cellStyle name="Normal 9 3 2 7 2 2 2" xfId="17132" xr:uid="{0412C910-BE85-4F0A-8722-5662BCE8F5C1}"/>
    <cellStyle name="Normal 9 3 2 7 2 3" xfId="12914" xr:uid="{71812F60-8720-4AC5-B24B-A18594DFED96}"/>
    <cellStyle name="Normal 9 3 2 7 3" xfId="6545" xr:uid="{00000000-0005-0000-0000-0000F61F0000}"/>
    <cellStyle name="Normal 9 3 2 7 3 2" xfId="14987" xr:uid="{960DAC3A-C5FB-4DC3-BD18-EB3E47A258D8}"/>
    <cellStyle name="Normal 9 3 2 7 4" xfId="10769" xr:uid="{02EA884E-AFF8-4E51-BEBB-654A58E78DCD}"/>
    <cellStyle name="Normal 9 3 2 8" xfId="2674" xr:uid="{00000000-0005-0000-0000-0000F71F0000}"/>
    <cellStyle name="Normal 9 3 2 8 2" xfId="6958" xr:uid="{00000000-0005-0000-0000-0000F81F0000}"/>
    <cellStyle name="Normal 9 3 2 8 2 2" xfId="15400" xr:uid="{337E5113-8DD8-4884-A111-66F2CD307037}"/>
    <cellStyle name="Normal 9 3 2 8 3" xfId="11182" xr:uid="{90FD255E-4018-4C04-99A4-5DBCBA7FE2DC}"/>
    <cellStyle name="Normal 9 3 2 9" xfId="4893" xr:uid="{00000000-0005-0000-0000-0000F91F0000}"/>
    <cellStyle name="Normal 9 3 2 9 2" xfId="13335" xr:uid="{3333B55C-C04D-4E98-9311-96F428321EC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15898" xr:uid="{53AD9974-C17A-4740-80E7-742536450BC3}"/>
    <cellStyle name="Normal 9 3 3 2 2 2 3" xfId="11680" xr:uid="{16A41416-DFB7-4244-A093-F36D2D9053F8}"/>
    <cellStyle name="Normal 9 3 3 2 2 3" xfId="5311" xr:uid="{00000000-0005-0000-0000-0000FF1F0000}"/>
    <cellStyle name="Normal 9 3 3 2 2 3 2" xfId="13753" xr:uid="{FAB10AFE-47B4-41B1-9FAE-ABC45F45E32B}"/>
    <cellStyle name="Normal 9 3 3 2 2 4" xfId="9535" xr:uid="{1F3E579A-54C7-4A22-B78F-65EFF021686B}"/>
    <cellStyle name="Normal 9 3 3 2 3" xfId="1416" xr:uid="{00000000-0005-0000-0000-000000200000}"/>
    <cellStyle name="Normal 9 3 3 2 3 2" xfId="3646" xr:uid="{00000000-0005-0000-0000-000001200000}"/>
    <cellStyle name="Normal 9 3 3 2 3 2 2" xfId="7869" xr:uid="{00000000-0005-0000-0000-000002200000}"/>
    <cellStyle name="Normal 9 3 3 2 3 2 2 2" xfId="16311" xr:uid="{1A05CAB3-5FE0-46B2-8248-2E1F1E65E8F9}"/>
    <cellStyle name="Normal 9 3 3 2 3 2 3" xfId="12093" xr:uid="{C1DC51A3-83F2-46CC-9D02-6D17E63F9F79}"/>
    <cellStyle name="Normal 9 3 3 2 3 3" xfId="5724" xr:uid="{00000000-0005-0000-0000-000003200000}"/>
    <cellStyle name="Normal 9 3 3 2 3 3 2" xfId="14166" xr:uid="{6E0150B1-85E8-42F2-9FEF-B5D46003D39F}"/>
    <cellStyle name="Normal 9 3 3 2 3 4" xfId="9948" xr:uid="{871C4BC9-28AB-42FB-A953-2E4E7B90460A}"/>
    <cellStyle name="Normal 9 3 3 2 4" xfId="1829" xr:uid="{00000000-0005-0000-0000-000004200000}"/>
    <cellStyle name="Normal 9 3 3 2 4 2" xfId="4059" xr:uid="{00000000-0005-0000-0000-000005200000}"/>
    <cellStyle name="Normal 9 3 3 2 4 2 2" xfId="8282" xr:uid="{00000000-0005-0000-0000-000006200000}"/>
    <cellStyle name="Normal 9 3 3 2 4 2 2 2" xfId="16724" xr:uid="{CE38A80E-C195-4BAF-82C3-EA33B81D1F74}"/>
    <cellStyle name="Normal 9 3 3 2 4 2 3" xfId="12506" xr:uid="{5B192044-D3BE-4D14-A4FB-ACE10B4AD10E}"/>
    <cellStyle name="Normal 9 3 3 2 4 3" xfId="6137" xr:uid="{00000000-0005-0000-0000-000007200000}"/>
    <cellStyle name="Normal 9 3 3 2 4 3 2" xfId="14579" xr:uid="{194CD0D9-60B5-45B3-B5F7-C66C654C9B30}"/>
    <cellStyle name="Normal 9 3 3 2 4 4" xfId="10361" xr:uid="{C95C1698-AB39-467C-8E1E-DCC730DF9A50}"/>
    <cellStyle name="Normal 9 3 3 2 5" xfId="2243" xr:uid="{00000000-0005-0000-0000-000008200000}"/>
    <cellStyle name="Normal 9 3 3 2 5 2" xfId="4472" xr:uid="{00000000-0005-0000-0000-000009200000}"/>
    <cellStyle name="Normal 9 3 3 2 5 2 2" xfId="8695" xr:uid="{00000000-0005-0000-0000-00000A200000}"/>
    <cellStyle name="Normal 9 3 3 2 5 2 2 2" xfId="17137" xr:uid="{A6229B49-A197-4D36-B8BE-9769BC6D0D55}"/>
    <cellStyle name="Normal 9 3 3 2 5 2 3" xfId="12919" xr:uid="{097D5BDF-24BF-4215-8FF1-B5E26263A4F4}"/>
    <cellStyle name="Normal 9 3 3 2 5 3" xfId="6550" xr:uid="{00000000-0005-0000-0000-00000B200000}"/>
    <cellStyle name="Normal 9 3 3 2 5 3 2" xfId="14992" xr:uid="{FFCBA91F-EB7E-404F-866C-E5203B7AE623}"/>
    <cellStyle name="Normal 9 3 3 2 5 4" xfId="10774" xr:uid="{BCA5A07A-5E8A-4349-947A-8A28BE126F3F}"/>
    <cellStyle name="Normal 9 3 3 2 6" xfId="2679" xr:uid="{00000000-0005-0000-0000-00000C200000}"/>
    <cellStyle name="Normal 9 3 3 2 6 2" xfId="6963" xr:uid="{00000000-0005-0000-0000-00000D200000}"/>
    <cellStyle name="Normal 9 3 3 2 6 2 2" xfId="15405" xr:uid="{813E81CD-ACB2-4D4A-BE8F-1AF412163D28}"/>
    <cellStyle name="Normal 9 3 3 2 6 3" xfId="11187" xr:uid="{A4FA7E79-17AA-44D7-843A-0E4D94A6CBF0}"/>
    <cellStyle name="Normal 9 3 3 2 7" xfId="4898" xr:uid="{00000000-0005-0000-0000-00000E200000}"/>
    <cellStyle name="Normal 9 3 3 2 7 2" xfId="13340" xr:uid="{FDE9901E-F0D6-401B-B61A-798DFDD51618}"/>
    <cellStyle name="Normal 9 3 3 2 8" xfId="9122" xr:uid="{DA9A1BDC-261B-4034-969D-1513152C7512}"/>
    <cellStyle name="Normal 9 3 3 3" xfId="999" xr:uid="{00000000-0005-0000-0000-00000F200000}"/>
    <cellStyle name="Normal 9 3 3 3 2" xfId="3232" xr:uid="{00000000-0005-0000-0000-000010200000}"/>
    <cellStyle name="Normal 9 3 3 3 2 2" xfId="7455" xr:uid="{00000000-0005-0000-0000-000011200000}"/>
    <cellStyle name="Normal 9 3 3 3 2 2 2" xfId="15897" xr:uid="{691D5B46-A312-4982-8ED9-8EBB46F56C71}"/>
    <cellStyle name="Normal 9 3 3 3 2 3" xfId="11679" xr:uid="{00DEEE64-7E78-47FB-9F6C-B1D90E250A96}"/>
    <cellStyle name="Normal 9 3 3 3 3" xfId="5310" xr:uid="{00000000-0005-0000-0000-000012200000}"/>
    <cellStyle name="Normal 9 3 3 3 3 2" xfId="13752" xr:uid="{05D1F058-B630-4A09-B477-9CF2B665AABF}"/>
    <cellStyle name="Normal 9 3 3 3 4" xfId="9534" xr:uid="{138B8216-2A72-44C0-9AF0-A93F3A0A7FED}"/>
    <cellStyle name="Normal 9 3 3 4" xfId="1415" xr:uid="{00000000-0005-0000-0000-000013200000}"/>
    <cellStyle name="Normal 9 3 3 4 2" xfId="3645" xr:uid="{00000000-0005-0000-0000-000014200000}"/>
    <cellStyle name="Normal 9 3 3 4 2 2" xfId="7868" xr:uid="{00000000-0005-0000-0000-000015200000}"/>
    <cellStyle name="Normal 9 3 3 4 2 2 2" xfId="16310" xr:uid="{77907FBF-5D39-43D5-9BCF-D30CC2589BF9}"/>
    <cellStyle name="Normal 9 3 3 4 2 3" xfId="12092" xr:uid="{46D516FF-7795-456B-8391-51F91DCD65CA}"/>
    <cellStyle name="Normal 9 3 3 4 3" xfId="5723" xr:uid="{00000000-0005-0000-0000-000016200000}"/>
    <cellStyle name="Normal 9 3 3 4 3 2" xfId="14165" xr:uid="{1B579583-0260-4019-968D-0241CB42A6F9}"/>
    <cellStyle name="Normal 9 3 3 4 4" xfId="9947" xr:uid="{06EED44D-CB9E-4817-99D8-6EBA19D0428F}"/>
    <cellStyle name="Normal 9 3 3 5" xfId="1828" xr:uid="{00000000-0005-0000-0000-000017200000}"/>
    <cellStyle name="Normal 9 3 3 5 2" xfId="4058" xr:uid="{00000000-0005-0000-0000-000018200000}"/>
    <cellStyle name="Normal 9 3 3 5 2 2" xfId="8281" xr:uid="{00000000-0005-0000-0000-000019200000}"/>
    <cellStyle name="Normal 9 3 3 5 2 2 2" xfId="16723" xr:uid="{D4891AA4-F41E-4E52-9685-5476E756FA22}"/>
    <cellStyle name="Normal 9 3 3 5 2 3" xfId="12505" xr:uid="{206C5AB3-C12A-438C-9119-464359EB6A27}"/>
    <cellStyle name="Normal 9 3 3 5 3" xfId="6136" xr:uid="{00000000-0005-0000-0000-00001A200000}"/>
    <cellStyle name="Normal 9 3 3 5 3 2" xfId="14578" xr:uid="{2FC27ABD-10CF-40D4-9138-298FA188B2D1}"/>
    <cellStyle name="Normal 9 3 3 5 4" xfId="10360" xr:uid="{6EBE8D40-00F2-40B3-9DA3-2B13AA9E6A73}"/>
    <cellStyle name="Normal 9 3 3 6" xfId="2242" xr:uid="{00000000-0005-0000-0000-00001B200000}"/>
    <cellStyle name="Normal 9 3 3 6 2" xfId="4471" xr:uid="{00000000-0005-0000-0000-00001C200000}"/>
    <cellStyle name="Normal 9 3 3 6 2 2" xfId="8694" xr:uid="{00000000-0005-0000-0000-00001D200000}"/>
    <cellStyle name="Normal 9 3 3 6 2 2 2" xfId="17136" xr:uid="{B69AEB83-1529-423F-82F0-C6FA46FB8474}"/>
    <cellStyle name="Normal 9 3 3 6 2 3" xfId="12918" xr:uid="{482F99EB-36D5-4EFE-9165-F5E68C7A7296}"/>
    <cellStyle name="Normal 9 3 3 6 3" xfId="6549" xr:uid="{00000000-0005-0000-0000-00001E200000}"/>
    <cellStyle name="Normal 9 3 3 6 3 2" xfId="14991" xr:uid="{023A4EFB-13A6-47F4-A975-7FD94A64ACF8}"/>
    <cellStyle name="Normal 9 3 3 6 4" xfId="10773" xr:uid="{770CC6A2-9ED8-4BC5-89C0-7230C2AE942D}"/>
    <cellStyle name="Normal 9 3 3 7" xfId="2678" xr:uid="{00000000-0005-0000-0000-00001F200000}"/>
    <cellStyle name="Normal 9 3 3 7 2" xfId="6962" xr:uid="{00000000-0005-0000-0000-000020200000}"/>
    <cellStyle name="Normal 9 3 3 7 2 2" xfId="15404" xr:uid="{B4578612-5EBF-4368-BA74-75DC6702B925}"/>
    <cellStyle name="Normal 9 3 3 7 3" xfId="11186" xr:uid="{03D38EA3-59C8-42DC-9A8C-191F6E8E01F3}"/>
    <cellStyle name="Normal 9 3 3 8" xfId="4897" xr:uid="{00000000-0005-0000-0000-000021200000}"/>
    <cellStyle name="Normal 9 3 3 8 2" xfId="13339" xr:uid="{27C5AC7D-A71C-4E4D-8D14-F07EB8EF0D99}"/>
    <cellStyle name="Normal 9 3 3 9" xfId="9121" xr:uid="{115857BF-014F-4671-999A-2A55A255626A}"/>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2 2 2" xfId="15899" xr:uid="{B0EA68AD-1923-4072-AB43-915C299311F3}"/>
    <cellStyle name="Normal 9 3 4 2 2 3" xfId="11681" xr:uid="{4C15A94F-B3F2-4A5E-A752-F1C774F0FCBB}"/>
    <cellStyle name="Normal 9 3 4 2 3" xfId="5312" xr:uid="{00000000-0005-0000-0000-000026200000}"/>
    <cellStyle name="Normal 9 3 4 2 3 2" xfId="13754" xr:uid="{C8885D2A-FD5B-4021-BD4F-7C25F33BCCDD}"/>
    <cellStyle name="Normal 9 3 4 2 4" xfId="9536" xr:uid="{EE71945A-12FF-44B1-AFA7-78EF6F353EBC}"/>
    <cellStyle name="Normal 9 3 4 3" xfId="1417" xr:uid="{00000000-0005-0000-0000-000027200000}"/>
    <cellStyle name="Normal 9 3 4 3 2" xfId="3647" xr:uid="{00000000-0005-0000-0000-000028200000}"/>
    <cellStyle name="Normal 9 3 4 3 2 2" xfId="7870" xr:uid="{00000000-0005-0000-0000-000029200000}"/>
    <cellStyle name="Normal 9 3 4 3 2 2 2" xfId="16312" xr:uid="{FEF6A624-87D2-4C5E-B677-F2AF140559BB}"/>
    <cellStyle name="Normal 9 3 4 3 2 3" xfId="12094" xr:uid="{C5D4A8CB-3424-4CFF-9DD6-ADA261B6049A}"/>
    <cellStyle name="Normal 9 3 4 3 3" xfId="5725" xr:uid="{00000000-0005-0000-0000-00002A200000}"/>
    <cellStyle name="Normal 9 3 4 3 3 2" xfId="14167" xr:uid="{46AC3303-F817-4739-8F20-D84BE557F3C6}"/>
    <cellStyle name="Normal 9 3 4 3 4" xfId="9949" xr:uid="{189C1260-9E86-497B-A856-53F7C0A0A72A}"/>
    <cellStyle name="Normal 9 3 4 4" xfId="1830" xr:uid="{00000000-0005-0000-0000-00002B200000}"/>
    <cellStyle name="Normal 9 3 4 4 2" xfId="4060" xr:uid="{00000000-0005-0000-0000-00002C200000}"/>
    <cellStyle name="Normal 9 3 4 4 2 2" xfId="8283" xr:uid="{00000000-0005-0000-0000-00002D200000}"/>
    <cellStyle name="Normal 9 3 4 4 2 2 2" xfId="16725" xr:uid="{01268FC8-CCF5-45B2-94C0-54278F01DE66}"/>
    <cellStyle name="Normal 9 3 4 4 2 3" xfId="12507" xr:uid="{13C5E22A-0833-4486-AE73-905A999B8C74}"/>
    <cellStyle name="Normal 9 3 4 4 3" xfId="6138" xr:uid="{00000000-0005-0000-0000-00002E200000}"/>
    <cellStyle name="Normal 9 3 4 4 3 2" xfId="14580" xr:uid="{72041C79-3EE0-4EF5-8E74-26AF9F6AEE25}"/>
    <cellStyle name="Normal 9 3 4 4 4" xfId="10362" xr:uid="{41A9932E-C8F1-4704-A2CB-AF097C241EC3}"/>
    <cellStyle name="Normal 9 3 4 5" xfId="2244" xr:uid="{00000000-0005-0000-0000-00002F200000}"/>
    <cellStyle name="Normal 9 3 4 5 2" xfId="4473" xr:uid="{00000000-0005-0000-0000-000030200000}"/>
    <cellStyle name="Normal 9 3 4 5 2 2" xfId="8696" xr:uid="{00000000-0005-0000-0000-000031200000}"/>
    <cellStyle name="Normal 9 3 4 5 2 2 2" xfId="17138" xr:uid="{79A449B4-20D0-45F1-9F1D-EA2C25E954DF}"/>
    <cellStyle name="Normal 9 3 4 5 2 3" xfId="12920" xr:uid="{51734E6F-0E19-43FA-8DD3-9C28E2A81B92}"/>
    <cellStyle name="Normal 9 3 4 5 3" xfId="6551" xr:uid="{00000000-0005-0000-0000-000032200000}"/>
    <cellStyle name="Normal 9 3 4 5 3 2" xfId="14993" xr:uid="{0CCDCF31-BAC1-4CDF-AF8B-469282DED9DA}"/>
    <cellStyle name="Normal 9 3 4 5 4" xfId="10775" xr:uid="{7FF9A48C-104F-4FCE-8F5C-038696F28597}"/>
    <cellStyle name="Normal 9 3 4 6" xfId="2680" xr:uid="{00000000-0005-0000-0000-000033200000}"/>
    <cellStyle name="Normal 9 3 4 6 2" xfId="6964" xr:uid="{00000000-0005-0000-0000-000034200000}"/>
    <cellStyle name="Normal 9 3 4 6 2 2" xfId="15406" xr:uid="{96A821B1-2B9A-4F12-A5EA-09760EFCE41A}"/>
    <cellStyle name="Normal 9 3 4 6 3" xfId="11188" xr:uid="{389C7506-619E-4CA6-9538-E5BBCF8D9ED7}"/>
    <cellStyle name="Normal 9 3 4 7" xfId="4899" xr:uid="{00000000-0005-0000-0000-000035200000}"/>
    <cellStyle name="Normal 9 3 4 7 2" xfId="13341" xr:uid="{C8B1BAA6-FF80-4B73-A963-E380FCADDA73}"/>
    <cellStyle name="Normal 9 3 4 8" xfId="9123" xr:uid="{F955FE18-FF2C-4B82-8E91-DDBB16EAA28C}"/>
    <cellStyle name="Normal 9 3 5" xfId="994" xr:uid="{00000000-0005-0000-0000-000036200000}"/>
    <cellStyle name="Normal 9 3 5 2" xfId="3227" xr:uid="{00000000-0005-0000-0000-000037200000}"/>
    <cellStyle name="Normal 9 3 5 2 2" xfId="7450" xr:uid="{00000000-0005-0000-0000-000038200000}"/>
    <cellStyle name="Normal 9 3 5 2 2 2" xfId="15892" xr:uid="{A932DF66-6503-4AAF-AF83-36A1E6425BAE}"/>
    <cellStyle name="Normal 9 3 5 2 3" xfId="11674" xr:uid="{D8C3A593-3910-44F9-86F8-42E5DEF34049}"/>
    <cellStyle name="Normal 9 3 5 3" xfId="5305" xr:uid="{00000000-0005-0000-0000-000039200000}"/>
    <cellStyle name="Normal 9 3 5 3 2" xfId="13747" xr:uid="{C02D3678-5577-46BE-A330-A59E03CB17F7}"/>
    <cellStyle name="Normal 9 3 5 4" xfId="9529" xr:uid="{D98D6D0C-64B7-447F-9972-2C7F5A3BD812}"/>
    <cellStyle name="Normal 9 3 6" xfId="1410" xr:uid="{00000000-0005-0000-0000-00003A200000}"/>
    <cellStyle name="Normal 9 3 6 2" xfId="3640" xr:uid="{00000000-0005-0000-0000-00003B200000}"/>
    <cellStyle name="Normal 9 3 6 2 2" xfId="7863" xr:uid="{00000000-0005-0000-0000-00003C200000}"/>
    <cellStyle name="Normal 9 3 6 2 2 2" xfId="16305" xr:uid="{4389707D-98FF-431B-9C7E-6C8C019A8FF5}"/>
    <cellStyle name="Normal 9 3 6 2 3" xfId="12087" xr:uid="{9906A4E0-449F-4CEC-9D58-35C72631D8FF}"/>
    <cellStyle name="Normal 9 3 6 3" xfId="5718" xr:uid="{00000000-0005-0000-0000-00003D200000}"/>
    <cellStyle name="Normal 9 3 6 3 2" xfId="14160" xr:uid="{109C0FF9-D27D-4E08-B314-25D9DC585E9B}"/>
    <cellStyle name="Normal 9 3 6 4" xfId="9942" xr:uid="{F46E230B-2F26-417F-83B9-D43B69526F46}"/>
    <cellStyle name="Normal 9 3 7" xfId="1823" xr:uid="{00000000-0005-0000-0000-00003E200000}"/>
    <cellStyle name="Normal 9 3 7 2" xfId="4053" xr:uid="{00000000-0005-0000-0000-00003F200000}"/>
    <cellStyle name="Normal 9 3 7 2 2" xfId="8276" xr:uid="{00000000-0005-0000-0000-000040200000}"/>
    <cellStyle name="Normal 9 3 7 2 2 2" xfId="16718" xr:uid="{5651DA0C-1154-4E6F-918D-D04913B237B5}"/>
    <cellStyle name="Normal 9 3 7 2 3" xfId="12500" xr:uid="{9583C9EC-E633-4782-B062-C1E666D9B261}"/>
    <cellStyle name="Normal 9 3 7 3" xfId="6131" xr:uid="{00000000-0005-0000-0000-000041200000}"/>
    <cellStyle name="Normal 9 3 7 3 2" xfId="14573" xr:uid="{AE1F3FAA-2EDA-437C-8957-576B2664DCEF}"/>
    <cellStyle name="Normal 9 3 7 4" xfId="10355" xr:uid="{61239063-3BA6-4383-9144-A96CE8BDD643}"/>
    <cellStyle name="Normal 9 3 8" xfId="2237" xr:uid="{00000000-0005-0000-0000-000042200000}"/>
    <cellStyle name="Normal 9 3 8 2" xfId="4466" xr:uid="{00000000-0005-0000-0000-000043200000}"/>
    <cellStyle name="Normal 9 3 8 2 2" xfId="8689" xr:uid="{00000000-0005-0000-0000-000044200000}"/>
    <cellStyle name="Normal 9 3 8 2 2 2" xfId="17131" xr:uid="{4573E2A3-A0B4-469E-84EC-007F9C0CEA63}"/>
    <cellStyle name="Normal 9 3 8 2 3" xfId="12913" xr:uid="{CA4F08D8-CEB0-4A6D-86AA-EC15CFE57468}"/>
    <cellStyle name="Normal 9 3 8 3" xfId="6544" xr:uid="{00000000-0005-0000-0000-000045200000}"/>
    <cellStyle name="Normal 9 3 8 3 2" xfId="14986" xr:uid="{960318B5-9994-4B06-AC1D-164EF8C81291}"/>
    <cellStyle name="Normal 9 3 8 4" xfId="10768" xr:uid="{B2272B29-4B16-4D5C-BDB2-45F501E41CE1}"/>
    <cellStyle name="Normal 9 3 9" xfId="2673" xr:uid="{00000000-0005-0000-0000-000046200000}"/>
    <cellStyle name="Normal 9 3 9 2" xfId="6957" xr:uid="{00000000-0005-0000-0000-000047200000}"/>
    <cellStyle name="Normal 9 3 9 2 2" xfId="15399" xr:uid="{0F884D93-AFA6-4D12-9DEA-89B09A17CB31}"/>
    <cellStyle name="Normal 9 3 9 3" xfId="11181" xr:uid="{2283CFCA-24B3-40F2-A101-184BA5E925DA}"/>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2 2 2" xfId="15901" xr:uid="{3EC3901E-9343-4EE0-B0F8-0D435CDD801C}"/>
    <cellStyle name="Normal 9 5 2 2 2 3" xfId="11683" xr:uid="{6AFC3223-E317-47D2-964E-CC7427254460}"/>
    <cellStyle name="Normal 9 5 2 2 3" xfId="5314" xr:uid="{00000000-0005-0000-0000-00004F200000}"/>
    <cellStyle name="Normal 9 5 2 2 3 2" xfId="13756" xr:uid="{B3D4337D-61B1-48DF-974D-D72871218E7A}"/>
    <cellStyle name="Normal 9 5 2 2 4" xfId="9538" xr:uid="{4C676431-277A-4011-9EB5-1E1C3135614D}"/>
    <cellStyle name="Normal 9 5 2 3" xfId="1419" xr:uid="{00000000-0005-0000-0000-000050200000}"/>
    <cellStyle name="Normal 9 5 2 3 2" xfId="3649" xr:uid="{00000000-0005-0000-0000-000051200000}"/>
    <cellStyle name="Normal 9 5 2 3 2 2" xfId="7872" xr:uid="{00000000-0005-0000-0000-000052200000}"/>
    <cellStyle name="Normal 9 5 2 3 2 2 2" xfId="16314" xr:uid="{F4A35760-7316-43FE-BC91-35E6930F90DF}"/>
    <cellStyle name="Normal 9 5 2 3 2 3" xfId="12096" xr:uid="{5539FDCD-11D7-4FA9-9E23-0B946FE606FA}"/>
    <cellStyle name="Normal 9 5 2 3 3" xfId="5727" xr:uid="{00000000-0005-0000-0000-000053200000}"/>
    <cellStyle name="Normal 9 5 2 3 3 2" xfId="14169" xr:uid="{EC143657-3388-438C-9BDF-893634369B20}"/>
    <cellStyle name="Normal 9 5 2 3 4" xfId="9951" xr:uid="{FD081F6C-2301-4061-A56A-2E29F6515EF3}"/>
    <cellStyle name="Normal 9 5 2 4" xfId="1832" xr:uid="{00000000-0005-0000-0000-000054200000}"/>
    <cellStyle name="Normal 9 5 2 4 2" xfId="4062" xr:uid="{00000000-0005-0000-0000-000055200000}"/>
    <cellStyle name="Normal 9 5 2 4 2 2" xfId="8285" xr:uid="{00000000-0005-0000-0000-000056200000}"/>
    <cellStyle name="Normal 9 5 2 4 2 2 2" xfId="16727" xr:uid="{28C5AF8B-4792-4989-80A7-A208B78C05D5}"/>
    <cellStyle name="Normal 9 5 2 4 2 3" xfId="12509" xr:uid="{2CBDDB5A-DEF4-40EB-8549-8A16ABB61D92}"/>
    <cellStyle name="Normal 9 5 2 4 3" xfId="6140" xr:uid="{00000000-0005-0000-0000-000057200000}"/>
    <cellStyle name="Normal 9 5 2 4 3 2" xfId="14582" xr:uid="{6EF125F0-D208-48EE-8DDD-B7B13CD0F657}"/>
    <cellStyle name="Normal 9 5 2 4 4" xfId="10364" xr:uid="{145BCFE4-5F71-4831-83BB-23120BC38278}"/>
    <cellStyle name="Normal 9 5 2 5" xfId="2246" xr:uid="{00000000-0005-0000-0000-000058200000}"/>
    <cellStyle name="Normal 9 5 2 5 2" xfId="4475" xr:uid="{00000000-0005-0000-0000-000059200000}"/>
    <cellStyle name="Normal 9 5 2 5 2 2" xfId="8698" xr:uid="{00000000-0005-0000-0000-00005A200000}"/>
    <cellStyle name="Normal 9 5 2 5 2 2 2" xfId="17140" xr:uid="{45F1E2FA-C936-4730-99CA-2AB3B083CA30}"/>
    <cellStyle name="Normal 9 5 2 5 2 3" xfId="12922" xr:uid="{5F5265F2-4B17-4C8C-9CDE-EB639873E03B}"/>
    <cellStyle name="Normal 9 5 2 5 3" xfId="6553" xr:uid="{00000000-0005-0000-0000-00005B200000}"/>
    <cellStyle name="Normal 9 5 2 5 3 2" xfId="14995" xr:uid="{65B6FCC8-4A87-484C-891D-A89400A5BCA5}"/>
    <cellStyle name="Normal 9 5 2 5 4" xfId="10777" xr:uid="{35DF1C92-F4BA-4628-A8FA-35A2C9E0D56B}"/>
    <cellStyle name="Normal 9 5 2 6" xfId="2682" xr:uid="{00000000-0005-0000-0000-00005C200000}"/>
    <cellStyle name="Normal 9 5 2 6 2" xfId="6966" xr:uid="{00000000-0005-0000-0000-00005D200000}"/>
    <cellStyle name="Normal 9 5 2 6 2 2" xfId="15408" xr:uid="{0771FA7A-0460-4333-A26C-7C54DE361EA6}"/>
    <cellStyle name="Normal 9 5 2 6 3" xfId="11190" xr:uid="{7D459023-38F9-4B41-A5E8-1900DCFB8178}"/>
    <cellStyle name="Normal 9 5 2 7" xfId="4901" xr:uid="{00000000-0005-0000-0000-00005E200000}"/>
    <cellStyle name="Normal 9 5 2 7 2" xfId="13343" xr:uid="{0F4D4838-06F9-409A-A477-930489AFCD4D}"/>
    <cellStyle name="Normal 9 5 2 8" xfId="9125" xr:uid="{4A40E207-3759-4886-AB6C-D036A5EE133F}"/>
    <cellStyle name="Normal 9 5 3" xfId="1003" xr:uid="{00000000-0005-0000-0000-00005F200000}"/>
    <cellStyle name="Normal 9 5 3 2" xfId="3235" xr:uid="{00000000-0005-0000-0000-000060200000}"/>
    <cellStyle name="Normal 9 5 3 2 2" xfId="7458" xr:uid="{00000000-0005-0000-0000-000061200000}"/>
    <cellStyle name="Normal 9 5 3 2 2 2" xfId="15900" xr:uid="{83B39D3D-2AD8-4FC8-A0D0-A012C38E2870}"/>
    <cellStyle name="Normal 9 5 3 2 3" xfId="11682" xr:uid="{AF4DA258-05D0-4783-8DBB-E1B4FFEA29C0}"/>
    <cellStyle name="Normal 9 5 3 3" xfId="5313" xr:uid="{00000000-0005-0000-0000-000062200000}"/>
    <cellStyle name="Normal 9 5 3 3 2" xfId="13755" xr:uid="{291BF19D-1ACD-4CBC-A66C-2FD8285EB740}"/>
    <cellStyle name="Normal 9 5 3 4" xfId="9537" xr:uid="{8750E82F-0DF6-4E2C-B611-28D5FDCD3B3B}"/>
    <cellStyle name="Normal 9 5 4" xfId="1418" xr:uid="{00000000-0005-0000-0000-000063200000}"/>
    <cellStyle name="Normal 9 5 4 2" xfId="3648" xr:uid="{00000000-0005-0000-0000-000064200000}"/>
    <cellStyle name="Normal 9 5 4 2 2" xfId="7871" xr:uid="{00000000-0005-0000-0000-000065200000}"/>
    <cellStyle name="Normal 9 5 4 2 2 2" xfId="16313" xr:uid="{EC9F55B4-1551-48CC-8E1A-5CC43B016584}"/>
    <cellStyle name="Normal 9 5 4 2 3" xfId="12095" xr:uid="{1D88B830-69DB-4DED-BAE2-11E1F690669D}"/>
    <cellStyle name="Normal 9 5 4 3" xfId="5726" xr:uid="{00000000-0005-0000-0000-000066200000}"/>
    <cellStyle name="Normal 9 5 4 3 2" xfId="14168" xr:uid="{5841FF19-4F91-41BA-8A41-44DED5FF5192}"/>
    <cellStyle name="Normal 9 5 4 4" xfId="9950" xr:uid="{04C7FEEB-84B6-48DA-A439-5A0D611EA355}"/>
    <cellStyle name="Normal 9 5 5" xfId="1831" xr:uid="{00000000-0005-0000-0000-000067200000}"/>
    <cellStyle name="Normal 9 5 5 2" xfId="4061" xr:uid="{00000000-0005-0000-0000-000068200000}"/>
    <cellStyle name="Normal 9 5 5 2 2" xfId="8284" xr:uid="{00000000-0005-0000-0000-000069200000}"/>
    <cellStyle name="Normal 9 5 5 2 2 2" xfId="16726" xr:uid="{EAB3C57A-7F9B-4213-897B-1B62C11A16AE}"/>
    <cellStyle name="Normal 9 5 5 2 3" xfId="12508" xr:uid="{690852CE-D7DA-41DC-93E6-944133AACE42}"/>
    <cellStyle name="Normal 9 5 5 3" xfId="6139" xr:uid="{00000000-0005-0000-0000-00006A200000}"/>
    <cellStyle name="Normal 9 5 5 3 2" xfId="14581" xr:uid="{4ECB02A8-045E-43DF-B517-8028967856AA}"/>
    <cellStyle name="Normal 9 5 5 4" xfId="10363" xr:uid="{EC3E286D-E348-47F8-94C9-4CD299456C2D}"/>
    <cellStyle name="Normal 9 5 6" xfId="2245" xr:uid="{00000000-0005-0000-0000-00006B200000}"/>
    <cellStyle name="Normal 9 5 6 2" xfId="4474" xr:uid="{00000000-0005-0000-0000-00006C200000}"/>
    <cellStyle name="Normal 9 5 6 2 2" xfId="8697" xr:uid="{00000000-0005-0000-0000-00006D200000}"/>
    <cellStyle name="Normal 9 5 6 2 2 2" xfId="17139" xr:uid="{7AC15EEB-2616-4FF4-A08A-04B795A6FBA2}"/>
    <cellStyle name="Normal 9 5 6 2 3" xfId="12921" xr:uid="{42F3D0CE-4C77-4358-9F05-8F8B39BD6473}"/>
    <cellStyle name="Normal 9 5 6 3" xfId="6552" xr:uid="{00000000-0005-0000-0000-00006E200000}"/>
    <cellStyle name="Normal 9 5 6 3 2" xfId="14994" xr:uid="{662D2397-683A-4D85-88E6-2E309A3196FE}"/>
    <cellStyle name="Normal 9 5 6 4" xfId="10776" xr:uid="{731D5F38-52DF-4D7D-9C4F-55FFADD8E819}"/>
    <cellStyle name="Normal 9 5 7" xfId="2681" xr:uid="{00000000-0005-0000-0000-00006F200000}"/>
    <cellStyle name="Normal 9 5 7 2" xfId="6965" xr:uid="{00000000-0005-0000-0000-000070200000}"/>
    <cellStyle name="Normal 9 5 7 2 2" xfId="15407" xr:uid="{0CEA4081-B768-47F7-95F2-3DB0BCD7CED6}"/>
    <cellStyle name="Normal 9 5 7 3" xfId="11189" xr:uid="{24C26B15-304F-4C15-9B38-9D6D713AA72B}"/>
    <cellStyle name="Normal 9 5 8" xfId="4900" xr:uid="{00000000-0005-0000-0000-000071200000}"/>
    <cellStyle name="Normal 9 5 8 2" xfId="13342" xr:uid="{A8F140FE-34EC-4AF6-B1B7-09DA9297D79A}"/>
    <cellStyle name="Normal 9 5 9" xfId="9124" xr:uid="{DACA9CFC-4A52-4D75-9D2A-7120A0BC8B5A}"/>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2 2 2" xfId="15902" xr:uid="{426AC48E-786A-495C-9566-DD6876339518}"/>
    <cellStyle name="Normal 9 6 2 2 3" xfId="11684" xr:uid="{CC98AAFC-CE4D-47E1-84B4-376471286C3A}"/>
    <cellStyle name="Normal 9 6 2 3" xfId="5315" xr:uid="{00000000-0005-0000-0000-000076200000}"/>
    <cellStyle name="Normal 9 6 2 3 2" xfId="13757" xr:uid="{5D092AF4-04A8-4D67-A381-AE6870F3646B}"/>
    <cellStyle name="Normal 9 6 2 4" xfId="9539" xr:uid="{6AA1FB3C-497F-4BFE-A8DB-89F9462483CD}"/>
    <cellStyle name="Normal 9 6 3" xfId="1420" xr:uid="{00000000-0005-0000-0000-000077200000}"/>
    <cellStyle name="Normal 9 6 3 2" xfId="3650" xr:uid="{00000000-0005-0000-0000-000078200000}"/>
    <cellStyle name="Normal 9 6 3 2 2" xfId="7873" xr:uid="{00000000-0005-0000-0000-000079200000}"/>
    <cellStyle name="Normal 9 6 3 2 2 2" xfId="16315" xr:uid="{3AFBF9F9-4A8A-46CF-8BD6-21ACAF1EE27D}"/>
    <cellStyle name="Normal 9 6 3 2 3" xfId="12097" xr:uid="{D90B49DE-799D-4644-9D28-AE4EFE347B63}"/>
    <cellStyle name="Normal 9 6 3 3" xfId="5728" xr:uid="{00000000-0005-0000-0000-00007A200000}"/>
    <cellStyle name="Normal 9 6 3 3 2" xfId="14170" xr:uid="{A67A1944-B225-410D-96FB-78229423426E}"/>
    <cellStyle name="Normal 9 6 3 4" xfId="9952" xr:uid="{B41F7064-F42A-4463-A653-7120524FAC3F}"/>
    <cellStyle name="Normal 9 6 4" xfId="1833" xr:uid="{00000000-0005-0000-0000-00007B200000}"/>
    <cellStyle name="Normal 9 6 4 2" xfId="4063" xr:uid="{00000000-0005-0000-0000-00007C200000}"/>
    <cellStyle name="Normal 9 6 4 2 2" xfId="8286" xr:uid="{00000000-0005-0000-0000-00007D200000}"/>
    <cellStyle name="Normal 9 6 4 2 2 2" xfId="16728" xr:uid="{219DC254-D463-4593-9A23-A5B19335F7CA}"/>
    <cellStyle name="Normal 9 6 4 2 3" xfId="12510" xr:uid="{F94A34C3-27EB-4640-891B-A8953AE1BD87}"/>
    <cellStyle name="Normal 9 6 4 3" xfId="6141" xr:uid="{00000000-0005-0000-0000-00007E200000}"/>
    <cellStyle name="Normal 9 6 4 3 2" xfId="14583" xr:uid="{093C6112-4743-4CBC-8F6A-F2BB2F3B2217}"/>
    <cellStyle name="Normal 9 6 4 4" xfId="10365" xr:uid="{DD8D5BEA-ACD7-493B-85C4-8686427DB862}"/>
    <cellStyle name="Normal 9 6 5" xfId="2247" xr:uid="{00000000-0005-0000-0000-00007F200000}"/>
    <cellStyle name="Normal 9 6 5 2" xfId="4476" xr:uid="{00000000-0005-0000-0000-000080200000}"/>
    <cellStyle name="Normal 9 6 5 2 2" xfId="8699" xr:uid="{00000000-0005-0000-0000-000081200000}"/>
    <cellStyle name="Normal 9 6 5 2 2 2" xfId="17141" xr:uid="{FA248A18-99E8-450F-9C1B-60BD37D164B8}"/>
    <cellStyle name="Normal 9 6 5 2 3" xfId="12923" xr:uid="{F3A6C1D8-B22B-435E-8AEB-83BD3A53DC8F}"/>
    <cellStyle name="Normal 9 6 5 3" xfId="6554" xr:uid="{00000000-0005-0000-0000-000082200000}"/>
    <cellStyle name="Normal 9 6 5 3 2" xfId="14996" xr:uid="{95C1B48F-A4AB-4DE9-8A03-EDD84D5E07A2}"/>
    <cellStyle name="Normal 9 6 5 4" xfId="10778" xr:uid="{9EEB2B61-402A-4E04-A613-6F638761FFCA}"/>
    <cellStyle name="Normal 9 6 6" xfId="2683" xr:uid="{00000000-0005-0000-0000-000083200000}"/>
    <cellStyle name="Normal 9 6 6 2" xfId="6967" xr:uid="{00000000-0005-0000-0000-000084200000}"/>
    <cellStyle name="Normal 9 6 6 2 2" xfId="15409" xr:uid="{1B4A6A93-9003-4B6D-BFFF-A64D70954C24}"/>
    <cellStyle name="Normal 9 6 6 3" xfId="11191" xr:uid="{27D9253E-9BBC-40CC-A317-3EFB4A6AD859}"/>
    <cellStyle name="Normal 9 6 7" xfId="4902" xr:uid="{00000000-0005-0000-0000-000085200000}"/>
    <cellStyle name="Normal 9 6 7 2" xfId="13344" xr:uid="{54E3C77B-255A-4625-B84E-2FCA6E52284A}"/>
    <cellStyle name="Normal 9 6 8" xfId="9126" xr:uid="{6C17F277-350E-4C60-ADD8-B71BB7CD69E9}"/>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0 2 2" xfId="15490" xr:uid="{D1435C90-382A-4A4C-870D-704170C11049}"/>
    <cellStyle name="Note 2 2 10 3" xfId="11272" xr:uid="{6486ECD9-EF2C-43E3-80FB-2E7172151288}"/>
    <cellStyle name="Note 2 2 11" xfId="4903" xr:uid="{00000000-0005-0000-0000-000094200000}"/>
    <cellStyle name="Note 2 2 11 2" xfId="13345" xr:uid="{7C89A092-61CA-4224-8BA2-C6DD7D54979B}"/>
    <cellStyle name="Note 2 2 12" xfId="9127" xr:uid="{2AF56B1D-5278-465A-92B9-4277E19E91CB}"/>
    <cellStyle name="Note 2 2 2" xfId="546" xr:uid="{00000000-0005-0000-0000-000095200000}"/>
    <cellStyle name="Note 2 2 2 10" xfId="4904" xr:uid="{00000000-0005-0000-0000-000096200000}"/>
    <cellStyle name="Note 2 2 2 10 2" xfId="13346" xr:uid="{D8D1EC39-2A11-4922-8D26-84BB9F5AE885}"/>
    <cellStyle name="Note 2 2 2 11" xfId="9128" xr:uid="{D775B46F-6423-4A40-B79B-BC336520BE99}"/>
    <cellStyle name="Note 2 2 2 2" xfId="547" xr:uid="{00000000-0005-0000-0000-000097200000}"/>
    <cellStyle name="Note 2 2 2 2 10" xfId="9129" xr:uid="{633718CE-8B61-44DE-87A4-EC726D62C663}"/>
    <cellStyle name="Note 2 2 2 2 2" xfId="1008" xr:uid="{00000000-0005-0000-0000-000098200000}"/>
    <cellStyle name="Note 2 2 2 2 2 2" xfId="3240" xr:uid="{00000000-0005-0000-0000-000099200000}"/>
    <cellStyle name="Note 2 2 2 2 2 2 2" xfId="7463" xr:uid="{00000000-0005-0000-0000-00009A200000}"/>
    <cellStyle name="Note 2 2 2 2 2 2 2 2" xfId="15905" xr:uid="{FC6CB475-F910-4418-B0FE-A08C872B3109}"/>
    <cellStyle name="Note 2 2 2 2 2 2 3" xfId="11687" xr:uid="{C7A98666-FAEA-4559-B25F-E93D8853644F}"/>
    <cellStyle name="Note 2 2 2 2 2 3" xfId="5318" xr:uid="{00000000-0005-0000-0000-00009B200000}"/>
    <cellStyle name="Note 2 2 2 2 2 3 2" xfId="13760" xr:uid="{F54AA7C8-92D5-4AEF-9865-5E8C0A798B8F}"/>
    <cellStyle name="Note 2 2 2 2 2 4" xfId="9542" xr:uid="{BF2B640A-35C2-4C3C-BB44-E1330A01F4DE}"/>
    <cellStyle name="Note 2 2 2 2 3" xfId="1423" xr:uid="{00000000-0005-0000-0000-00009C200000}"/>
    <cellStyle name="Note 2 2 2 2 3 2" xfId="3653" xr:uid="{00000000-0005-0000-0000-00009D200000}"/>
    <cellStyle name="Note 2 2 2 2 3 2 2" xfId="7876" xr:uid="{00000000-0005-0000-0000-00009E200000}"/>
    <cellStyle name="Note 2 2 2 2 3 2 2 2" xfId="16318" xr:uid="{EA157BD2-C8B7-4D3B-8386-CFF0372D8421}"/>
    <cellStyle name="Note 2 2 2 2 3 2 3" xfId="12100" xr:uid="{DECBEC47-532D-4C80-BAEA-CBD32518BB69}"/>
    <cellStyle name="Note 2 2 2 2 3 3" xfId="5731" xr:uid="{00000000-0005-0000-0000-00009F200000}"/>
    <cellStyle name="Note 2 2 2 2 3 3 2" xfId="14173" xr:uid="{18F45722-5632-491D-B2B9-D523C2BB745B}"/>
    <cellStyle name="Note 2 2 2 2 3 4" xfId="9955" xr:uid="{1AF9280E-AB4D-40D8-8721-8C68E75741A2}"/>
    <cellStyle name="Note 2 2 2 2 4" xfId="1837" xr:uid="{00000000-0005-0000-0000-0000A0200000}"/>
    <cellStyle name="Note 2 2 2 2 4 2" xfId="4066" xr:uid="{00000000-0005-0000-0000-0000A1200000}"/>
    <cellStyle name="Note 2 2 2 2 4 2 2" xfId="8289" xr:uid="{00000000-0005-0000-0000-0000A2200000}"/>
    <cellStyle name="Note 2 2 2 2 4 2 2 2" xfId="16731" xr:uid="{2ACA4E40-40A6-4757-BFEC-8BEC7B7C6FEF}"/>
    <cellStyle name="Note 2 2 2 2 4 2 3" xfId="12513" xr:uid="{18E8CD83-5B26-43B6-AD95-4DF4109A9E91}"/>
    <cellStyle name="Note 2 2 2 2 4 3" xfId="6144" xr:uid="{00000000-0005-0000-0000-0000A3200000}"/>
    <cellStyle name="Note 2 2 2 2 4 3 2" xfId="14586" xr:uid="{6C416565-F66C-42FC-AF69-2D3C90138D88}"/>
    <cellStyle name="Note 2 2 2 2 4 4" xfId="10368" xr:uid="{AB61180A-190E-4891-A969-60F2719FABEC}"/>
    <cellStyle name="Note 2 2 2 2 5" xfId="2250" xr:uid="{00000000-0005-0000-0000-0000A4200000}"/>
    <cellStyle name="Note 2 2 2 2 5 2" xfId="4479" xr:uid="{00000000-0005-0000-0000-0000A5200000}"/>
    <cellStyle name="Note 2 2 2 2 5 2 2" xfId="8702" xr:uid="{00000000-0005-0000-0000-0000A6200000}"/>
    <cellStyle name="Note 2 2 2 2 5 2 2 2" xfId="17144" xr:uid="{4375B180-C072-4E57-890E-66C1EA484097}"/>
    <cellStyle name="Note 2 2 2 2 5 2 3" xfId="12926" xr:uid="{2D8EA935-B0ED-476D-8FBD-2C56664587A3}"/>
    <cellStyle name="Note 2 2 2 2 5 3" xfId="6557" xr:uid="{00000000-0005-0000-0000-0000A7200000}"/>
    <cellStyle name="Note 2 2 2 2 5 3 2" xfId="14999" xr:uid="{BB8123A8-27C0-4200-98F1-A98CF5E9424C}"/>
    <cellStyle name="Note 2 2 2 2 5 4" xfId="10781" xr:uid="{87713355-BEBF-4F42-AD07-4BB00C466ED1}"/>
    <cellStyle name="Note 2 2 2 2 6" xfId="2686" xr:uid="{00000000-0005-0000-0000-0000A8200000}"/>
    <cellStyle name="Note 2 2 2 2 6 2" xfId="6970" xr:uid="{00000000-0005-0000-0000-0000A9200000}"/>
    <cellStyle name="Note 2 2 2 2 6 2 2" xfId="15412" xr:uid="{223A31DE-2595-4B0C-A3AE-CEFC5B19F128}"/>
    <cellStyle name="Note 2 2 2 2 6 3" xfId="11194" xr:uid="{310BFF86-7771-49A6-8143-EFCC39EF4FD4}"/>
    <cellStyle name="Note 2 2 2 2 7" xfId="2745" xr:uid="{00000000-0005-0000-0000-0000AA200000}"/>
    <cellStyle name="Note 2 2 2 2 8" xfId="2826" xr:uid="{00000000-0005-0000-0000-0000AB200000}"/>
    <cellStyle name="Note 2 2 2 2 8 2" xfId="7050" xr:uid="{00000000-0005-0000-0000-0000AC200000}"/>
    <cellStyle name="Note 2 2 2 2 8 2 2" xfId="15492" xr:uid="{9CC86813-F916-44FB-A9FA-BFAEDB9E1DD0}"/>
    <cellStyle name="Note 2 2 2 2 8 3" xfId="11274" xr:uid="{AAAFC2BF-7550-4953-9815-44DF364FD289}"/>
    <cellStyle name="Note 2 2 2 2 9" xfId="4905" xr:uid="{00000000-0005-0000-0000-0000AD200000}"/>
    <cellStyle name="Note 2 2 2 2 9 2" xfId="13347" xr:uid="{A197BAEE-432E-4FAE-BE96-36C0264F1697}"/>
    <cellStyle name="Note 2 2 2 3" xfId="1007" xr:uid="{00000000-0005-0000-0000-0000AE200000}"/>
    <cellStyle name="Note 2 2 2 3 2" xfId="3239" xr:uid="{00000000-0005-0000-0000-0000AF200000}"/>
    <cellStyle name="Note 2 2 2 3 2 2" xfId="7462" xr:uid="{00000000-0005-0000-0000-0000B0200000}"/>
    <cellStyle name="Note 2 2 2 3 2 2 2" xfId="15904" xr:uid="{7A6017B8-0F9A-47C3-88E0-175E4D2DF2FC}"/>
    <cellStyle name="Note 2 2 2 3 2 3" xfId="11686" xr:uid="{1DA7A823-2407-4AE7-A677-8258E25C13AE}"/>
    <cellStyle name="Note 2 2 2 3 3" xfId="5317" xr:uid="{00000000-0005-0000-0000-0000B1200000}"/>
    <cellStyle name="Note 2 2 2 3 3 2" xfId="13759" xr:uid="{4E36D9F2-29B7-4A84-84AE-4777CB31B0C1}"/>
    <cellStyle name="Note 2 2 2 3 4" xfId="9541" xr:uid="{E963169F-5C3E-428F-B3D5-32ABC4EB8D42}"/>
    <cellStyle name="Note 2 2 2 4" xfId="1422" xr:uid="{00000000-0005-0000-0000-0000B2200000}"/>
    <cellStyle name="Note 2 2 2 4 2" xfId="3652" xr:uid="{00000000-0005-0000-0000-0000B3200000}"/>
    <cellStyle name="Note 2 2 2 4 2 2" xfId="7875" xr:uid="{00000000-0005-0000-0000-0000B4200000}"/>
    <cellStyle name="Note 2 2 2 4 2 2 2" xfId="16317" xr:uid="{0498601F-B57D-4F0F-8627-7612E89B8B89}"/>
    <cellStyle name="Note 2 2 2 4 2 3" xfId="12099" xr:uid="{17EEA104-29CB-4286-8168-C0E72F40233B}"/>
    <cellStyle name="Note 2 2 2 4 3" xfId="5730" xr:uid="{00000000-0005-0000-0000-0000B5200000}"/>
    <cellStyle name="Note 2 2 2 4 3 2" xfId="14172" xr:uid="{16DF7B21-6B51-4D19-9AFC-7A7F07EE9F9B}"/>
    <cellStyle name="Note 2 2 2 4 4" xfId="9954" xr:uid="{827BE148-B64A-46D1-90B0-31B5B470EBB0}"/>
    <cellStyle name="Note 2 2 2 5" xfId="1836" xr:uid="{00000000-0005-0000-0000-0000B6200000}"/>
    <cellStyle name="Note 2 2 2 5 2" xfId="4065" xr:uid="{00000000-0005-0000-0000-0000B7200000}"/>
    <cellStyle name="Note 2 2 2 5 2 2" xfId="8288" xr:uid="{00000000-0005-0000-0000-0000B8200000}"/>
    <cellStyle name="Note 2 2 2 5 2 2 2" xfId="16730" xr:uid="{56E1CBC8-2B75-449B-9E7C-9F215B6B3FBD}"/>
    <cellStyle name="Note 2 2 2 5 2 3" xfId="12512" xr:uid="{8123D67F-0EE3-4E29-B3A6-1E865FEF4EFE}"/>
    <cellStyle name="Note 2 2 2 5 3" xfId="6143" xr:uid="{00000000-0005-0000-0000-0000B9200000}"/>
    <cellStyle name="Note 2 2 2 5 3 2" xfId="14585" xr:uid="{14BD1FC7-12F7-465F-9AE7-57EB97E92647}"/>
    <cellStyle name="Note 2 2 2 5 4" xfId="10367" xr:uid="{51DCAA15-DF99-41CE-B174-764E319324F0}"/>
    <cellStyle name="Note 2 2 2 6" xfId="2249" xr:uid="{00000000-0005-0000-0000-0000BA200000}"/>
    <cellStyle name="Note 2 2 2 6 2" xfId="4478" xr:uid="{00000000-0005-0000-0000-0000BB200000}"/>
    <cellStyle name="Note 2 2 2 6 2 2" xfId="8701" xr:uid="{00000000-0005-0000-0000-0000BC200000}"/>
    <cellStyle name="Note 2 2 2 6 2 2 2" xfId="17143" xr:uid="{7E635C22-5516-4A9F-8E64-A75F514334AE}"/>
    <cellStyle name="Note 2 2 2 6 2 3" xfId="12925" xr:uid="{F3A7AF7E-5C70-4686-977B-75DD8C64F06F}"/>
    <cellStyle name="Note 2 2 2 6 3" xfId="6556" xr:uid="{00000000-0005-0000-0000-0000BD200000}"/>
    <cellStyle name="Note 2 2 2 6 3 2" xfId="14998" xr:uid="{297620FB-93FD-4942-8A0E-9F40122264A7}"/>
    <cellStyle name="Note 2 2 2 6 4" xfId="10780" xr:uid="{BA2DA991-6DB6-4E9B-881F-24B7A629D535}"/>
    <cellStyle name="Note 2 2 2 7" xfId="2685" xr:uid="{00000000-0005-0000-0000-0000BE200000}"/>
    <cellStyle name="Note 2 2 2 7 2" xfId="6969" xr:uid="{00000000-0005-0000-0000-0000BF200000}"/>
    <cellStyle name="Note 2 2 2 7 2 2" xfId="15411" xr:uid="{C6169ACB-962D-415A-9AF3-F739C5C9ACCB}"/>
    <cellStyle name="Note 2 2 2 7 3" xfId="11193" xr:uid="{220AE42B-CDC1-4781-95F4-655928D047E0}"/>
    <cellStyle name="Note 2 2 2 8" xfId="2744" xr:uid="{00000000-0005-0000-0000-0000C0200000}"/>
    <cellStyle name="Note 2 2 2 9" xfId="2825" xr:uid="{00000000-0005-0000-0000-0000C1200000}"/>
    <cellStyle name="Note 2 2 2 9 2" xfId="7049" xr:uid="{00000000-0005-0000-0000-0000C2200000}"/>
    <cellStyle name="Note 2 2 2 9 2 2" xfId="15491" xr:uid="{00BBE6F5-7542-4D58-A743-C7968CCF6B93}"/>
    <cellStyle name="Note 2 2 2 9 3" xfId="11273" xr:uid="{8D0A2EFC-3D08-4BAD-A49F-DDAFCC8C22B8}"/>
    <cellStyle name="Note 2 2 3" xfId="548" xr:uid="{00000000-0005-0000-0000-0000C3200000}"/>
    <cellStyle name="Note 2 2 3 10" xfId="9130" xr:uid="{22BE1BEC-0491-4F2A-A9D7-6B998CA79907}"/>
    <cellStyle name="Note 2 2 3 2" xfId="1009" xr:uid="{00000000-0005-0000-0000-0000C4200000}"/>
    <cellStyle name="Note 2 2 3 2 2" xfId="3241" xr:uid="{00000000-0005-0000-0000-0000C5200000}"/>
    <cellStyle name="Note 2 2 3 2 2 2" xfId="7464" xr:uid="{00000000-0005-0000-0000-0000C6200000}"/>
    <cellStyle name="Note 2 2 3 2 2 2 2" xfId="15906" xr:uid="{6E4C6773-F0D9-4AB5-8554-82D7E6F15DF5}"/>
    <cellStyle name="Note 2 2 3 2 2 3" xfId="11688" xr:uid="{BB34EA92-C2E2-4C40-9AE0-015D178695EE}"/>
    <cellStyle name="Note 2 2 3 2 3" xfId="5319" xr:uid="{00000000-0005-0000-0000-0000C7200000}"/>
    <cellStyle name="Note 2 2 3 2 3 2" xfId="13761" xr:uid="{6A7B3672-0595-4DC8-B02F-B5C32CB346BE}"/>
    <cellStyle name="Note 2 2 3 2 4" xfId="9543" xr:uid="{A5816623-759A-4D4F-809F-4FA3D5C2C8A2}"/>
    <cellStyle name="Note 2 2 3 3" xfId="1424" xr:uid="{00000000-0005-0000-0000-0000C8200000}"/>
    <cellStyle name="Note 2 2 3 3 2" xfId="3654" xr:uid="{00000000-0005-0000-0000-0000C9200000}"/>
    <cellStyle name="Note 2 2 3 3 2 2" xfId="7877" xr:uid="{00000000-0005-0000-0000-0000CA200000}"/>
    <cellStyle name="Note 2 2 3 3 2 2 2" xfId="16319" xr:uid="{C78545E0-A07D-4EEF-8316-2A5DCABB8E1E}"/>
    <cellStyle name="Note 2 2 3 3 2 3" xfId="12101" xr:uid="{23409822-C279-472B-B0C7-5B035C75B327}"/>
    <cellStyle name="Note 2 2 3 3 3" xfId="5732" xr:uid="{00000000-0005-0000-0000-0000CB200000}"/>
    <cellStyle name="Note 2 2 3 3 3 2" xfId="14174" xr:uid="{0E6E3119-1DB4-4E1C-BCF6-C959F7D4BAB2}"/>
    <cellStyle name="Note 2 2 3 3 4" xfId="9956" xr:uid="{6FEDD07A-8C49-49D9-B688-0919A7C34BC7}"/>
    <cellStyle name="Note 2 2 3 4" xfId="1838" xr:uid="{00000000-0005-0000-0000-0000CC200000}"/>
    <cellStyle name="Note 2 2 3 4 2" xfId="4067" xr:uid="{00000000-0005-0000-0000-0000CD200000}"/>
    <cellStyle name="Note 2 2 3 4 2 2" xfId="8290" xr:uid="{00000000-0005-0000-0000-0000CE200000}"/>
    <cellStyle name="Note 2 2 3 4 2 2 2" xfId="16732" xr:uid="{222914F9-411B-4D7E-BD88-41369416EFF7}"/>
    <cellStyle name="Note 2 2 3 4 2 3" xfId="12514" xr:uid="{0FC9D442-85A6-447C-876D-E19EF0239D01}"/>
    <cellStyle name="Note 2 2 3 4 3" xfId="6145" xr:uid="{00000000-0005-0000-0000-0000CF200000}"/>
    <cellStyle name="Note 2 2 3 4 3 2" xfId="14587" xr:uid="{70A5EEA1-46BD-474F-AE10-E2D1A5125C6D}"/>
    <cellStyle name="Note 2 2 3 4 4" xfId="10369" xr:uid="{317EC7B8-CE27-4D91-AE6D-027AEA5481AA}"/>
    <cellStyle name="Note 2 2 3 5" xfId="2251" xr:uid="{00000000-0005-0000-0000-0000D0200000}"/>
    <cellStyle name="Note 2 2 3 5 2" xfId="4480" xr:uid="{00000000-0005-0000-0000-0000D1200000}"/>
    <cellStyle name="Note 2 2 3 5 2 2" xfId="8703" xr:uid="{00000000-0005-0000-0000-0000D2200000}"/>
    <cellStyle name="Note 2 2 3 5 2 2 2" xfId="17145" xr:uid="{9A550448-226A-4440-A524-A0B99A443A63}"/>
    <cellStyle name="Note 2 2 3 5 2 3" xfId="12927" xr:uid="{26D2F525-5EDD-4E92-9986-C3A4C8E3968E}"/>
    <cellStyle name="Note 2 2 3 5 3" xfId="6558" xr:uid="{00000000-0005-0000-0000-0000D3200000}"/>
    <cellStyle name="Note 2 2 3 5 3 2" xfId="15000" xr:uid="{FBA73B69-A6E3-4E08-818E-DA7924EB85B7}"/>
    <cellStyle name="Note 2 2 3 5 4" xfId="10782" xr:uid="{D701580F-8289-4E86-AAB9-3806B9B96457}"/>
    <cellStyle name="Note 2 2 3 6" xfId="2687" xr:uid="{00000000-0005-0000-0000-0000D4200000}"/>
    <cellStyle name="Note 2 2 3 6 2" xfId="6971" xr:uid="{00000000-0005-0000-0000-0000D5200000}"/>
    <cellStyle name="Note 2 2 3 6 2 2" xfId="15413" xr:uid="{4178C829-C7DA-4A5C-ABB9-053D3E38B1A2}"/>
    <cellStyle name="Note 2 2 3 6 3" xfId="11195" xr:uid="{AD8D4693-C98D-4839-B582-C5EC40C19282}"/>
    <cellStyle name="Note 2 2 3 7" xfId="2746" xr:uid="{00000000-0005-0000-0000-0000D6200000}"/>
    <cellStyle name="Note 2 2 3 8" xfId="2827" xr:uid="{00000000-0005-0000-0000-0000D7200000}"/>
    <cellStyle name="Note 2 2 3 8 2" xfId="7051" xr:uid="{00000000-0005-0000-0000-0000D8200000}"/>
    <cellStyle name="Note 2 2 3 8 2 2" xfId="15493" xr:uid="{BE959AC6-F58B-4285-8499-0455507CA915}"/>
    <cellStyle name="Note 2 2 3 8 3" xfId="11275" xr:uid="{4409534C-CB1A-4173-A5AD-8386CB4CA8C5}"/>
    <cellStyle name="Note 2 2 3 9" xfId="4906" xr:uid="{00000000-0005-0000-0000-0000D9200000}"/>
    <cellStyle name="Note 2 2 3 9 2" xfId="13348" xr:uid="{776D21B9-7D5E-404E-8A47-363857503553}"/>
    <cellStyle name="Note 2 2 4" xfId="1006" xr:uid="{00000000-0005-0000-0000-0000DA200000}"/>
    <cellStyle name="Note 2 2 4 2" xfId="3238" xr:uid="{00000000-0005-0000-0000-0000DB200000}"/>
    <cellStyle name="Note 2 2 4 2 2" xfId="7461" xr:uid="{00000000-0005-0000-0000-0000DC200000}"/>
    <cellStyle name="Note 2 2 4 2 2 2" xfId="15903" xr:uid="{BC17E5CC-30D5-40C4-A3D1-F4523DB5A0B2}"/>
    <cellStyle name="Note 2 2 4 2 3" xfId="11685" xr:uid="{17B81E1E-5F75-4205-B930-BE812DD3070A}"/>
    <cellStyle name="Note 2 2 4 3" xfId="5316" xr:uid="{00000000-0005-0000-0000-0000DD200000}"/>
    <cellStyle name="Note 2 2 4 3 2" xfId="13758" xr:uid="{BF40E3A6-3359-4D92-B885-72AB1AD31163}"/>
    <cellStyle name="Note 2 2 4 4" xfId="9540" xr:uid="{56332CED-85EE-4A55-89AA-1802323079B6}"/>
    <cellStyle name="Note 2 2 5" xfId="1421" xr:uid="{00000000-0005-0000-0000-0000DE200000}"/>
    <cellStyle name="Note 2 2 5 2" xfId="3651" xr:uid="{00000000-0005-0000-0000-0000DF200000}"/>
    <cellStyle name="Note 2 2 5 2 2" xfId="7874" xr:uid="{00000000-0005-0000-0000-0000E0200000}"/>
    <cellStyle name="Note 2 2 5 2 2 2" xfId="16316" xr:uid="{77A56C54-6ED9-45C1-AD22-B970C1DF6B3F}"/>
    <cellStyle name="Note 2 2 5 2 3" xfId="12098" xr:uid="{65D5F030-AD39-41D1-A776-3FEDA824F6D9}"/>
    <cellStyle name="Note 2 2 5 3" xfId="5729" xr:uid="{00000000-0005-0000-0000-0000E1200000}"/>
    <cellStyle name="Note 2 2 5 3 2" xfId="14171" xr:uid="{0776A221-3CF9-422C-AF03-BF278DA2CE73}"/>
    <cellStyle name="Note 2 2 5 4" xfId="9953" xr:uid="{DE229D25-E785-4877-BDB9-ED95EC20FB81}"/>
    <cellStyle name="Note 2 2 6" xfId="1835" xr:uid="{00000000-0005-0000-0000-0000E2200000}"/>
    <cellStyle name="Note 2 2 6 2" xfId="4064" xr:uid="{00000000-0005-0000-0000-0000E3200000}"/>
    <cellStyle name="Note 2 2 6 2 2" xfId="8287" xr:uid="{00000000-0005-0000-0000-0000E4200000}"/>
    <cellStyle name="Note 2 2 6 2 2 2" xfId="16729" xr:uid="{407EEA22-97D7-4CDF-BAFD-5374666D789B}"/>
    <cellStyle name="Note 2 2 6 2 3" xfId="12511" xr:uid="{B3EDF07E-7DB9-4811-B9F0-D44F405C32A9}"/>
    <cellStyle name="Note 2 2 6 3" xfId="6142" xr:uid="{00000000-0005-0000-0000-0000E5200000}"/>
    <cellStyle name="Note 2 2 6 3 2" xfId="14584" xr:uid="{0A0539BC-3826-4370-9312-DB443C699644}"/>
    <cellStyle name="Note 2 2 6 4" xfId="10366" xr:uid="{34F56012-35CD-450F-87FE-E4B64ACCC0E2}"/>
    <cellStyle name="Note 2 2 7" xfId="2248" xr:uid="{00000000-0005-0000-0000-0000E6200000}"/>
    <cellStyle name="Note 2 2 7 2" xfId="4477" xr:uid="{00000000-0005-0000-0000-0000E7200000}"/>
    <cellStyle name="Note 2 2 7 2 2" xfId="8700" xr:uid="{00000000-0005-0000-0000-0000E8200000}"/>
    <cellStyle name="Note 2 2 7 2 2 2" xfId="17142" xr:uid="{B106FD42-8AFB-4F89-B14C-DB4DD3839623}"/>
    <cellStyle name="Note 2 2 7 2 3" xfId="12924" xr:uid="{A652EB9D-C4FE-4871-A1F8-6434272688CA}"/>
    <cellStyle name="Note 2 2 7 3" xfId="6555" xr:uid="{00000000-0005-0000-0000-0000E9200000}"/>
    <cellStyle name="Note 2 2 7 3 2" xfId="14997" xr:uid="{80303E13-854A-4736-867B-868DDE783DC0}"/>
    <cellStyle name="Note 2 2 7 4" xfId="10779" xr:uid="{19CA3878-05AA-4AB2-A7C8-511499BB5E93}"/>
    <cellStyle name="Note 2 2 8" xfId="2684" xr:uid="{00000000-0005-0000-0000-0000EA200000}"/>
    <cellStyle name="Note 2 2 8 2" xfId="6968" xr:uid="{00000000-0005-0000-0000-0000EB200000}"/>
    <cellStyle name="Note 2 2 8 2 2" xfId="15410" xr:uid="{5283FD23-780F-410E-AC3E-D33DEB5E551A}"/>
    <cellStyle name="Note 2 2 8 3" xfId="11192" xr:uid="{41508808-22DB-4F38-9B4F-50F678F1D158}"/>
    <cellStyle name="Note 2 2 9" xfId="2743" xr:uid="{00000000-0005-0000-0000-0000EC200000}"/>
    <cellStyle name="Note 2 3" xfId="549" xr:uid="{00000000-0005-0000-0000-0000ED200000}"/>
    <cellStyle name="Note 2 3 10" xfId="4907" xr:uid="{00000000-0005-0000-0000-0000EE200000}"/>
    <cellStyle name="Note 2 3 10 2" xfId="13349" xr:uid="{74F3F500-3FE4-4732-B0A5-4FE3D199ECCB}"/>
    <cellStyle name="Note 2 3 11" xfId="9131" xr:uid="{CDB78CC2-69BC-4953-B800-4BE88B95AA13}"/>
    <cellStyle name="Note 2 3 2" xfId="550" xr:uid="{00000000-0005-0000-0000-0000EF200000}"/>
    <cellStyle name="Note 2 3 2 10" xfId="9132" xr:uid="{F0DF821B-C493-48A2-873D-CA179519394F}"/>
    <cellStyle name="Note 2 3 2 2" xfId="1011" xr:uid="{00000000-0005-0000-0000-0000F0200000}"/>
    <cellStyle name="Note 2 3 2 2 2" xfId="3243" xr:uid="{00000000-0005-0000-0000-0000F1200000}"/>
    <cellStyle name="Note 2 3 2 2 2 2" xfId="7466" xr:uid="{00000000-0005-0000-0000-0000F2200000}"/>
    <cellStyle name="Note 2 3 2 2 2 2 2" xfId="15908" xr:uid="{A60FBC48-8D36-46CE-8093-FB82C1669955}"/>
    <cellStyle name="Note 2 3 2 2 2 3" xfId="11690" xr:uid="{12FA63A7-B9F4-44CA-B7D5-8F8F742BC9EB}"/>
    <cellStyle name="Note 2 3 2 2 3" xfId="5321" xr:uid="{00000000-0005-0000-0000-0000F3200000}"/>
    <cellStyle name="Note 2 3 2 2 3 2" xfId="13763" xr:uid="{F5392FF9-4A04-4637-ADFB-94A3CC69C903}"/>
    <cellStyle name="Note 2 3 2 2 4" xfId="9545" xr:uid="{A689D4FE-F71D-4C73-9C1E-207F209E6F58}"/>
    <cellStyle name="Note 2 3 2 3" xfId="1426" xr:uid="{00000000-0005-0000-0000-0000F4200000}"/>
    <cellStyle name="Note 2 3 2 3 2" xfId="3656" xr:uid="{00000000-0005-0000-0000-0000F5200000}"/>
    <cellStyle name="Note 2 3 2 3 2 2" xfId="7879" xr:uid="{00000000-0005-0000-0000-0000F6200000}"/>
    <cellStyle name="Note 2 3 2 3 2 2 2" xfId="16321" xr:uid="{E63969EC-FDF7-482A-8232-11C11FAE4742}"/>
    <cellStyle name="Note 2 3 2 3 2 3" xfId="12103" xr:uid="{6421F154-B141-405A-B6D1-918433580532}"/>
    <cellStyle name="Note 2 3 2 3 3" xfId="5734" xr:uid="{00000000-0005-0000-0000-0000F7200000}"/>
    <cellStyle name="Note 2 3 2 3 3 2" xfId="14176" xr:uid="{EDE11E66-5E47-45B6-A18D-7624DDD105A5}"/>
    <cellStyle name="Note 2 3 2 3 4" xfId="9958" xr:uid="{EBB96234-9924-495C-B021-74DF0D295ECF}"/>
    <cellStyle name="Note 2 3 2 4" xfId="1840" xr:uid="{00000000-0005-0000-0000-0000F8200000}"/>
    <cellStyle name="Note 2 3 2 4 2" xfId="4069" xr:uid="{00000000-0005-0000-0000-0000F9200000}"/>
    <cellStyle name="Note 2 3 2 4 2 2" xfId="8292" xr:uid="{00000000-0005-0000-0000-0000FA200000}"/>
    <cellStyle name="Note 2 3 2 4 2 2 2" xfId="16734" xr:uid="{39A02BE7-F4B2-4D76-A9AB-77B061B7F09E}"/>
    <cellStyle name="Note 2 3 2 4 2 3" xfId="12516" xr:uid="{B8D21A00-A4F8-4C53-A183-B5E4F585402D}"/>
    <cellStyle name="Note 2 3 2 4 3" xfId="6147" xr:uid="{00000000-0005-0000-0000-0000FB200000}"/>
    <cellStyle name="Note 2 3 2 4 3 2" xfId="14589" xr:uid="{5A861FC7-6146-4B0D-9D39-7FBD7FE10FC8}"/>
    <cellStyle name="Note 2 3 2 4 4" xfId="10371" xr:uid="{3E1C8D2B-DE08-4F47-A86E-002A7404041E}"/>
    <cellStyle name="Note 2 3 2 5" xfId="2253" xr:uid="{00000000-0005-0000-0000-0000FC200000}"/>
    <cellStyle name="Note 2 3 2 5 2" xfId="4482" xr:uid="{00000000-0005-0000-0000-0000FD200000}"/>
    <cellStyle name="Note 2 3 2 5 2 2" xfId="8705" xr:uid="{00000000-0005-0000-0000-0000FE200000}"/>
    <cellStyle name="Note 2 3 2 5 2 2 2" xfId="17147" xr:uid="{D0233BDB-4FBB-42FE-BEEC-7032ED57D91C}"/>
    <cellStyle name="Note 2 3 2 5 2 3" xfId="12929" xr:uid="{E6947326-D892-4A86-AFA7-69613FC65FC2}"/>
    <cellStyle name="Note 2 3 2 5 3" xfId="6560" xr:uid="{00000000-0005-0000-0000-0000FF200000}"/>
    <cellStyle name="Note 2 3 2 5 3 2" xfId="15002" xr:uid="{64EA01D7-C8AC-4D9F-9EA7-381E50193415}"/>
    <cellStyle name="Note 2 3 2 5 4" xfId="10784" xr:uid="{3F920F87-CD55-4F4B-B5D0-0A2E67DD7469}"/>
    <cellStyle name="Note 2 3 2 6" xfId="2689" xr:uid="{00000000-0005-0000-0000-000000210000}"/>
    <cellStyle name="Note 2 3 2 6 2" xfId="6973" xr:uid="{00000000-0005-0000-0000-000001210000}"/>
    <cellStyle name="Note 2 3 2 6 2 2" xfId="15415" xr:uid="{74C68FA2-6BF0-4D61-96D0-E86156F3B830}"/>
    <cellStyle name="Note 2 3 2 6 3" xfId="11197" xr:uid="{3F0EBF69-EDB4-4EF3-B369-457C95BEDFB8}"/>
    <cellStyle name="Note 2 3 2 7" xfId="2748" xr:uid="{00000000-0005-0000-0000-000002210000}"/>
    <cellStyle name="Note 2 3 2 8" xfId="2829" xr:uid="{00000000-0005-0000-0000-000003210000}"/>
    <cellStyle name="Note 2 3 2 8 2" xfId="7053" xr:uid="{00000000-0005-0000-0000-000004210000}"/>
    <cellStyle name="Note 2 3 2 8 2 2" xfId="15495" xr:uid="{51BA8E3C-00BE-46C8-A56D-BCBF5723B83D}"/>
    <cellStyle name="Note 2 3 2 8 3" xfId="11277" xr:uid="{82D3BA4F-724D-405E-9358-2515CCD45AFA}"/>
    <cellStyle name="Note 2 3 2 9" xfId="4908" xr:uid="{00000000-0005-0000-0000-000005210000}"/>
    <cellStyle name="Note 2 3 2 9 2" xfId="13350" xr:uid="{1D04A5E2-D26A-4666-8DC5-70717EDAFDB3}"/>
    <cellStyle name="Note 2 3 3" xfId="1010" xr:uid="{00000000-0005-0000-0000-000006210000}"/>
    <cellStyle name="Note 2 3 3 2" xfId="3242" xr:uid="{00000000-0005-0000-0000-000007210000}"/>
    <cellStyle name="Note 2 3 3 2 2" xfId="7465" xr:uid="{00000000-0005-0000-0000-000008210000}"/>
    <cellStyle name="Note 2 3 3 2 2 2" xfId="15907" xr:uid="{CC5CD8D3-7F56-40B9-A131-C5B087AF2A20}"/>
    <cellStyle name="Note 2 3 3 2 3" xfId="11689" xr:uid="{A75034CF-FFDB-4299-8787-B8AD2D1B1FC4}"/>
    <cellStyle name="Note 2 3 3 3" xfId="5320" xr:uid="{00000000-0005-0000-0000-000009210000}"/>
    <cellStyle name="Note 2 3 3 3 2" xfId="13762" xr:uid="{6593A30F-DEFD-4F9C-A0A3-0F0B7D6ECEC2}"/>
    <cellStyle name="Note 2 3 3 4" xfId="9544" xr:uid="{31EDAC69-5844-4D48-83C7-5BB520A7D69E}"/>
    <cellStyle name="Note 2 3 4" xfId="1425" xr:uid="{00000000-0005-0000-0000-00000A210000}"/>
    <cellStyle name="Note 2 3 4 2" xfId="3655" xr:uid="{00000000-0005-0000-0000-00000B210000}"/>
    <cellStyle name="Note 2 3 4 2 2" xfId="7878" xr:uid="{00000000-0005-0000-0000-00000C210000}"/>
    <cellStyle name="Note 2 3 4 2 2 2" xfId="16320" xr:uid="{3C19A8B2-389C-48E2-B616-519AB5D99F9A}"/>
    <cellStyle name="Note 2 3 4 2 3" xfId="12102" xr:uid="{A92B7774-2E69-4F2A-8923-A0D2B1CA313C}"/>
    <cellStyle name="Note 2 3 4 3" xfId="5733" xr:uid="{00000000-0005-0000-0000-00000D210000}"/>
    <cellStyle name="Note 2 3 4 3 2" xfId="14175" xr:uid="{297C3E17-0B32-41F0-8C4A-750E99B976C9}"/>
    <cellStyle name="Note 2 3 4 4" xfId="9957" xr:uid="{DD020A1A-DAA3-44F7-A850-7008B827AE7E}"/>
    <cellStyle name="Note 2 3 5" xfId="1839" xr:uid="{00000000-0005-0000-0000-00000E210000}"/>
    <cellStyle name="Note 2 3 5 2" xfId="4068" xr:uid="{00000000-0005-0000-0000-00000F210000}"/>
    <cellStyle name="Note 2 3 5 2 2" xfId="8291" xr:uid="{00000000-0005-0000-0000-000010210000}"/>
    <cellStyle name="Note 2 3 5 2 2 2" xfId="16733" xr:uid="{C40215BD-885C-4CBD-A487-7253C168C764}"/>
    <cellStyle name="Note 2 3 5 2 3" xfId="12515" xr:uid="{D87067D4-9EC7-48B3-BF59-3D5CCDF15797}"/>
    <cellStyle name="Note 2 3 5 3" xfId="6146" xr:uid="{00000000-0005-0000-0000-000011210000}"/>
    <cellStyle name="Note 2 3 5 3 2" xfId="14588" xr:uid="{74082CF3-7DAD-430B-B618-047FB5E79EDE}"/>
    <cellStyle name="Note 2 3 5 4" xfId="10370" xr:uid="{CFAE937D-529D-4416-9ED0-DF7A48AD60B1}"/>
    <cellStyle name="Note 2 3 6" xfId="2252" xr:uid="{00000000-0005-0000-0000-000012210000}"/>
    <cellStyle name="Note 2 3 6 2" xfId="4481" xr:uid="{00000000-0005-0000-0000-000013210000}"/>
    <cellStyle name="Note 2 3 6 2 2" xfId="8704" xr:uid="{00000000-0005-0000-0000-000014210000}"/>
    <cellStyle name="Note 2 3 6 2 2 2" xfId="17146" xr:uid="{3796994E-54D9-490A-983F-BE6D079ADB06}"/>
    <cellStyle name="Note 2 3 6 2 3" xfId="12928" xr:uid="{B262C181-6D3E-4E51-82AA-AE7327D757B9}"/>
    <cellStyle name="Note 2 3 6 3" xfId="6559" xr:uid="{00000000-0005-0000-0000-000015210000}"/>
    <cellStyle name="Note 2 3 6 3 2" xfId="15001" xr:uid="{54E5BA78-A7AA-433C-8903-38986B2930CA}"/>
    <cellStyle name="Note 2 3 6 4" xfId="10783" xr:uid="{AD6DDDAD-E151-4AAD-B8E2-0E40A3011F63}"/>
    <cellStyle name="Note 2 3 7" xfId="2688" xr:uid="{00000000-0005-0000-0000-000016210000}"/>
    <cellStyle name="Note 2 3 7 2" xfId="6972" xr:uid="{00000000-0005-0000-0000-000017210000}"/>
    <cellStyle name="Note 2 3 7 2 2" xfId="15414" xr:uid="{3C700CD2-E7D8-4E7B-AFAB-2281F4D00704}"/>
    <cellStyle name="Note 2 3 7 3" xfId="11196" xr:uid="{FC1B555D-85A0-41D0-AF90-44D8BC37D82F}"/>
    <cellStyle name="Note 2 3 8" xfId="2747" xr:uid="{00000000-0005-0000-0000-000018210000}"/>
    <cellStyle name="Note 2 3 9" xfId="2828" xr:uid="{00000000-0005-0000-0000-000019210000}"/>
    <cellStyle name="Note 2 3 9 2" xfId="7052" xr:uid="{00000000-0005-0000-0000-00001A210000}"/>
    <cellStyle name="Note 2 3 9 2 2" xfId="15494" xr:uid="{1091D119-B383-4DC4-BBCC-6A48ED3C8D1D}"/>
    <cellStyle name="Note 2 3 9 3" xfId="11276" xr:uid="{09F5EE9B-F54F-4C17-AB14-E7F7AAC06E46}"/>
    <cellStyle name="Note 2 4" xfId="551" xr:uid="{00000000-0005-0000-0000-00001B210000}"/>
    <cellStyle name="Note 2 4 10" xfId="9133" xr:uid="{B9110E38-8C89-4D0D-904E-04B06968146C}"/>
    <cellStyle name="Note 2 4 2" xfId="1012" xr:uid="{00000000-0005-0000-0000-00001C210000}"/>
    <cellStyle name="Note 2 4 2 2" xfId="3244" xr:uid="{00000000-0005-0000-0000-00001D210000}"/>
    <cellStyle name="Note 2 4 2 2 2" xfId="7467" xr:uid="{00000000-0005-0000-0000-00001E210000}"/>
    <cellStyle name="Note 2 4 2 2 2 2" xfId="15909" xr:uid="{BF6E732B-D36B-4986-9752-D21F26E6F98B}"/>
    <cellStyle name="Note 2 4 2 2 3" xfId="11691" xr:uid="{B967102A-E6A7-4C5A-A884-766AD19D327D}"/>
    <cellStyle name="Note 2 4 2 3" xfId="5322" xr:uid="{00000000-0005-0000-0000-00001F210000}"/>
    <cellStyle name="Note 2 4 2 3 2" xfId="13764" xr:uid="{5870D30D-F373-4065-8A1A-0F8B8829EBE7}"/>
    <cellStyle name="Note 2 4 2 4" xfId="9546" xr:uid="{4A716412-53E8-49B2-968D-C5C106C94F0E}"/>
    <cellStyle name="Note 2 4 3" xfId="1427" xr:uid="{00000000-0005-0000-0000-000020210000}"/>
    <cellStyle name="Note 2 4 3 2" xfId="3657" xr:uid="{00000000-0005-0000-0000-000021210000}"/>
    <cellStyle name="Note 2 4 3 2 2" xfId="7880" xr:uid="{00000000-0005-0000-0000-000022210000}"/>
    <cellStyle name="Note 2 4 3 2 2 2" xfId="16322" xr:uid="{D1CCFA50-521E-4E89-8F3F-447090645F08}"/>
    <cellStyle name="Note 2 4 3 2 3" xfId="12104" xr:uid="{8332766F-C72D-4697-B330-1CC77BF34CE3}"/>
    <cellStyle name="Note 2 4 3 3" xfId="5735" xr:uid="{00000000-0005-0000-0000-000023210000}"/>
    <cellStyle name="Note 2 4 3 3 2" xfId="14177" xr:uid="{62E8A7DE-BCFF-4C42-93EF-D85ADB077B84}"/>
    <cellStyle name="Note 2 4 3 4" xfId="9959" xr:uid="{A479C082-C72F-40B8-87A6-B9F5ABCD64A2}"/>
    <cellStyle name="Note 2 4 4" xfId="1841" xr:uid="{00000000-0005-0000-0000-000024210000}"/>
    <cellStyle name="Note 2 4 4 2" xfId="4070" xr:uid="{00000000-0005-0000-0000-000025210000}"/>
    <cellStyle name="Note 2 4 4 2 2" xfId="8293" xr:uid="{00000000-0005-0000-0000-000026210000}"/>
    <cellStyle name="Note 2 4 4 2 2 2" xfId="16735" xr:uid="{5F2560DF-7B76-4615-A712-46A3A263BA93}"/>
    <cellStyle name="Note 2 4 4 2 3" xfId="12517" xr:uid="{4FDF231C-9566-4CD7-A11F-7F18DEC9E4F2}"/>
    <cellStyle name="Note 2 4 4 3" xfId="6148" xr:uid="{00000000-0005-0000-0000-000027210000}"/>
    <cellStyle name="Note 2 4 4 3 2" xfId="14590" xr:uid="{CB574932-0DD6-4FBD-80A9-056CAB67805B}"/>
    <cellStyle name="Note 2 4 4 4" xfId="10372" xr:uid="{3FF4F176-8940-433A-87FD-4EF7E3B2D6DC}"/>
    <cellStyle name="Note 2 4 5" xfId="2254" xr:uid="{00000000-0005-0000-0000-000028210000}"/>
    <cellStyle name="Note 2 4 5 2" xfId="4483" xr:uid="{00000000-0005-0000-0000-000029210000}"/>
    <cellStyle name="Note 2 4 5 2 2" xfId="8706" xr:uid="{00000000-0005-0000-0000-00002A210000}"/>
    <cellStyle name="Note 2 4 5 2 2 2" xfId="17148" xr:uid="{F0B3DC31-9AAC-4600-9046-D3CE0BDA6B26}"/>
    <cellStyle name="Note 2 4 5 2 3" xfId="12930" xr:uid="{55996FF4-51AF-4EE5-AF84-CBCC6CC6A03F}"/>
    <cellStyle name="Note 2 4 5 3" xfId="6561" xr:uid="{00000000-0005-0000-0000-00002B210000}"/>
    <cellStyle name="Note 2 4 5 3 2" xfId="15003" xr:uid="{ABC04A16-2512-457B-97E7-AC5F10BEEB04}"/>
    <cellStyle name="Note 2 4 5 4" xfId="10785" xr:uid="{094E563B-28E9-48CC-B6B2-36C678982C46}"/>
    <cellStyle name="Note 2 4 6" xfId="2690" xr:uid="{00000000-0005-0000-0000-00002C210000}"/>
    <cellStyle name="Note 2 4 6 2" xfId="6974" xr:uid="{00000000-0005-0000-0000-00002D210000}"/>
    <cellStyle name="Note 2 4 6 2 2" xfId="15416" xr:uid="{DB638824-8576-471A-AD2C-DF55462755EB}"/>
    <cellStyle name="Note 2 4 6 3" xfId="11198" xr:uid="{66FC52E2-EEBE-4C3B-80EE-3423AE67811A}"/>
    <cellStyle name="Note 2 4 7" xfId="2749" xr:uid="{00000000-0005-0000-0000-00002E210000}"/>
    <cellStyle name="Note 2 4 8" xfId="2830" xr:uid="{00000000-0005-0000-0000-00002F210000}"/>
    <cellStyle name="Note 2 4 8 2" xfId="7054" xr:uid="{00000000-0005-0000-0000-000030210000}"/>
    <cellStyle name="Note 2 4 8 2 2" xfId="15496" xr:uid="{D758E553-0457-4BB3-8F97-62E81422D9D1}"/>
    <cellStyle name="Note 2 4 8 3" xfId="11278" xr:uid="{D6349F13-CFFA-4D34-8F73-F20F836EC863}"/>
    <cellStyle name="Note 2 4 9" xfId="4909" xr:uid="{00000000-0005-0000-0000-000031210000}"/>
    <cellStyle name="Note 2 4 9 2" xfId="13351" xr:uid="{44911D5B-52C7-4181-BF9D-5A1ED14FAA9F}"/>
    <cellStyle name="Note 2 5" xfId="552" xr:uid="{00000000-0005-0000-0000-000032210000}"/>
    <cellStyle name="Note 2 5 10" xfId="9134" xr:uid="{946990BB-60CD-4AE6-A5F4-7307D36D14C4}"/>
    <cellStyle name="Note 2 5 2" xfId="1013" xr:uid="{00000000-0005-0000-0000-000033210000}"/>
    <cellStyle name="Note 2 5 2 2" xfId="3245" xr:uid="{00000000-0005-0000-0000-000034210000}"/>
    <cellStyle name="Note 2 5 2 2 2" xfId="7468" xr:uid="{00000000-0005-0000-0000-000035210000}"/>
    <cellStyle name="Note 2 5 2 2 2 2" xfId="15910" xr:uid="{A91A2C8F-10C7-44CC-8743-6FDEDECC4C12}"/>
    <cellStyle name="Note 2 5 2 2 3" xfId="11692" xr:uid="{9254C9BF-965C-48B0-BB8F-FAC2287A771A}"/>
    <cellStyle name="Note 2 5 2 3" xfId="5323" xr:uid="{00000000-0005-0000-0000-000036210000}"/>
    <cellStyle name="Note 2 5 2 3 2" xfId="13765" xr:uid="{08BD02B1-0415-430D-A279-3FEFCABEE59B}"/>
    <cellStyle name="Note 2 5 2 4" xfId="9547" xr:uid="{E28BE47A-BB74-450E-B963-A845038C35E6}"/>
    <cellStyle name="Note 2 5 3" xfId="1428" xr:uid="{00000000-0005-0000-0000-000037210000}"/>
    <cellStyle name="Note 2 5 3 2" xfId="3658" xr:uid="{00000000-0005-0000-0000-000038210000}"/>
    <cellStyle name="Note 2 5 3 2 2" xfId="7881" xr:uid="{00000000-0005-0000-0000-000039210000}"/>
    <cellStyle name="Note 2 5 3 2 2 2" xfId="16323" xr:uid="{DC98A5FB-CC3C-4A02-BE28-1B205EAAC88F}"/>
    <cellStyle name="Note 2 5 3 2 3" xfId="12105" xr:uid="{E08C50CC-758D-4D21-8370-DB9BFE6E06FB}"/>
    <cellStyle name="Note 2 5 3 3" xfId="5736" xr:uid="{00000000-0005-0000-0000-00003A210000}"/>
    <cellStyle name="Note 2 5 3 3 2" xfId="14178" xr:uid="{09AF67D5-1DA3-4B41-B52A-68CF3B73248D}"/>
    <cellStyle name="Note 2 5 3 4" xfId="9960" xr:uid="{6B566554-814A-4734-A6FE-D86C51629E10}"/>
    <cellStyle name="Note 2 5 4" xfId="1842" xr:uid="{00000000-0005-0000-0000-00003B210000}"/>
    <cellStyle name="Note 2 5 4 2" xfId="4071" xr:uid="{00000000-0005-0000-0000-00003C210000}"/>
    <cellStyle name="Note 2 5 4 2 2" xfId="8294" xr:uid="{00000000-0005-0000-0000-00003D210000}"/>
    <cellStyle name="Note 2 5 4 2 2 2" xfId="16736" xr:uid="{CAEEDC39-54E1-453E-9A15-97AC9F2E381A}"/>
    <cellStyle name="Note 2 5 4 2 3" xfId="12518" xr:uid="{188A4423-F1DB-4754-8F9B-217C167CA64A}"/>
    <cellStyle name="Note 2 5 4 3" xfId="6149" xr:uid="{00000000-0005-0000-0000-00003E210000}"/>
    <cellStyle name="Note 2 5 4 3 2" xfId="14591" xr:uid="{ABC1F0AE-0233-46F6-844A-EC7953C86B49}"/>
    <cellStyle name="Note 2 5 4 4" xfId="10373" xr:uid="{F4A29174-A306-472E-90F7-6D62A22FACBC}"/>
    <cellStyle name="Note 2 5 5" xfId="2255" xr:uid="{00000000-0005-0000-0000-00003F210000}"/>
    <cellStyle name="Note 2 5 5 2" xfId="4484" xr:uid="{00000000-0005-0000-0000-000040210000}"/>
    <cellStyle name="Note 2 5 5 2 2" xfId="8707" xr:uid="{00000000-0005-0000-0000-000041210000}"/>
    <cellStyle name="Note 2 5 5 2 2 2" xfId="17149" xr:uid="{AE41D875-F9FF-438D-9EA4-496E9F3EBCD9}"/>
    <cellStyle name="Note 2 5 5 2 3" xfId="12931" xr:uid="{90417AB8-0A49-4066-99D1-5BCE55BD971C}"/>
    <cellStyle name="Note 2 5 5 3" xfId="6562" xr:uid="{00000000-0005-0000-0000-000042210000}"/>
    <cellStyle name="Note 2 5 5 3 2" xfId="15004" xr:uid="{903A7347-AB8F-4F27-AAC6-434130BD0D72}"/>
    <cellStyle name="Note 2 5 5 4" xfId="10786" xr:uid="{8B60DDD4-E184-46B1-B628-62F74872FE4A}"/>
    <cellStyle name="Note 2 5 6" xfId="2691" xr:uid="{00000000-0005-0000-0000-000043210000}"/>
    <cellStyle name="Note 2 5 6 2" xfId="6975" xr:uid="{00000000-0005-0000-0000-000044210000}"/>
    <cellStyle name="Note 2 5 6 2 2" xfId="15417" xr:uid="{074EE8A5-7E11-4471-8B47-43FBFCBEF90C}"/>
    <cellStyle name="Note 2 5 6 3" xfId="11199" xr:uid="{4B1C8C75-A5C5-4C11-B90D-D983670A9769}"/>
    <cellStyle name="Note 2 5 7" xfId="2750" xr:uid="{00000000-0005-0000-0000-000045210000}"/>
    <cellStyle name="Note 2 5 8" xfId="2831" xr:uid="{00000000-0005-0000-0000-000046210000}"/>
    <cellStyle name="Note 2 5 8 2" xfId="7055" xr:uid="{00000000-0005-0000-0000-000047210000}"/>
    <cellStyle name="Note 2 5 8 2 2" xfId="15497" xr:uid="{76A93468-7068-432D-AB36-1AEC212729AA}"/>
    <cellStyle name="Note 2 5 8 3" xfId="11279" xr:uid="{15139727-9B8D-471E-AF7D-D32AE2B410BE}"/>
    <cellStyle name="Note 2 5 9" xfId="4910" xr:uid="{00000000-0005-0000-0000-000048210000}"/>
    <cellStyle name="Note 2 5 9 2" xfId="13352" xr:uid="{EFE33858-562F-47F0-8F03-59C0C3BB0BC6}"/>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0 2 2" xfId="15498" xr:uid="{3FDFC5C8-7112-40CC-ABA3-216D558018BC}"/>
    <cellStyle name="Note 3 2 10 3" xfId="11280" xr:uid="{A2C056B7-9473-4352-A857-D18BBA4706C5}"/>
    <cellStyle name="Note 3 2 11" xfId="4911" xr:uid="{00000000-0005-0000-0000-00004D210000}"/>
    <cellStyle name="Note 3 2 11 2" xfId="13353" xr:uid="{63B660BF-2272-45AE-9272-5172D24247D1}"/>
    <cellStyle name="Note 3 2 12" xfId="9135" xr:uid="{8488839C-BFD5-42D7-9EE5-DF7EF0021668}"/>
    <cellStyle name="Note 3 2 2" xfId="555" xr:uid="{00000000-0005-0000-0000-00004E210000}"/>
    <cellStyle name="Note 3 2 2 10" xfId="4912" xr:uid="{00000000-0005-0000-0000-00004F210000}"/>
    <cellStyle name="Note 3 2 2 10 2" xfId="13354" xr:uid="{B2BBF0F5-58A5-4433-9779-604FFCE386C3}"/>
    <cellStyle name="Note 3 2 2 11" xfId="9136" xr:uid="{80723D6D-2DD9-4951-96B8-52D87030C040}"/>
    <cellStyle name="Note 3 2 2 2" xfId="556" xr:uid="{00000000-0005-0000-0000-000050210000}"/>
    <cellStyle name="Note 3 2 2 2 10" xfId="9137" xr:uid="{1AD34E71-ABF6-4646-9A9E-D4AC0324C262}"/>
    <cellStyle name="Note 3 2 2 2 2" xfId="1016" xr:uid="{00000000-0005-0000-0000-000051210000}"/>
    <cellStyle name="Note 3 2 2 2 2 2" xfId="3248" xr:uid="{00000000-0005-0000-0000-000052210000}"/>
    <cellStyle name="Note 3 2 2 2 2 2 2" xfId="7471" xr:uid="{00000000-0005-0000-0000-000053210000}"/>
    <cellStyle name="Note 3 2 2 2 2 2 2 2" xfId="15913" xr:uid="{1DC52BA4-799E-4539-A34B-646D7C9F70FE}"/>
    <cellStyle name="Note 3 2 2 2 2 2 3" xfId="11695" xr:uid="{46408B23-1D52-4FCD-BF48-6D1622DB6A81}"/>
    <cellStyle name="Note 3 2 2 2 2 3" xfId="5326" xr:uid="{00000000-0005-0000-0000-000054210000}"/>
    <cellStyle name="Note 3 2 2 2 2 3 2" xfId="13768" xr:uid="{2D52F592-1712-46A4-A338-A851768FACB1}"/>
    <cellStyle name="Note 3 2 2 2 2 4" xfId="9550" xr:uid="{3CB905FA-6767-4A07-8F81-7D797FA8C101}"/>
    <cellStyle name="Note 3 2 2 2 3" xfId="1431" xr:uid="{00000000-0005-0000-0000-000055210000}"/>
    <cellStyle name="Note 3 2 2 2 3 2" xfId="3661" xr:uid="{00000000-0005-0000-0000-000056210000}"/>
    <cellStyle name="Note 3 2 2 2 3 2 2" xfId="7884" xr:uid="{00000000-0005-0000-0000-000057210000}"/>
    <cellStyle name="Note 3 2 2 2 3 2 2 2" xfId="16326" xr:uid="{50B3F2D6-E934-48EE-928E-90C58BFFF6A2}"/>
    <cellStyle name="Note 3 2 2 2 3 2 3" xfId="12108" xr:uid="{ABE0B106-76B6-4FDB-AE97-4CEC8749E462}"/>
    <cellStyle name="Note 3 2 2 2 3 3" xfId="5739" xr:uid="{00000000-0005-0000-0000-000058210000}"/>
    <cellStyle name="Note 3 2 2 2 3 3 2" xfId="14181" xr:uid="{F8709146-51CD-4BED-8C33-CDA245FA60FE}"/>
    <cellStyle name="Note 3 2 2 2 3 4" xfId="9963" xr:uid="{B277BBA5-BBAE-4EDF-9C61-C3D863127352}"/>
    <cellStyle name="Note 3 2 2 2 4" xfId="1845" xr:uid="{00000000-0005-0000-0000-000059210000}"/>
    <cellStyle name="Note 3 2 2 2 4 2" xfId="4074" xr:uid="{00000000-0005-0000-0000-00005A210000}"/>
    <cellStyle name="Note 3 2 2 2 4 2 2" xfId="8297" xr:uid="{00000000-0005-0000-0000-00005B210000}"/>
    <cellStyle name="Note 3 2 2 2 4 2 2 2" xfId="16739" xr:uid="{7A8D355F-52F1-4825-9039-14DB98A2E37E}"/>
    <cellStyle name="Note 3 2 2 2 4 2 3" xfId="12521" xr:uid="{0E3D6E54-B805-4384-9177-0028BF8BFBB9}"/>
    <cellStyle name="Note 3 2 2 2 4 3" xfId="6152" xr:uid="{00000000-0005-0000-0000-00005C210000}"/>
    <cellStyle name="Note 3 2 2 2 4 3 2" xfId="14594" xr:uid="{F311B053-7769-45B4-94B9-B895EC0B8B14}"/>
    <cellStyle name="Note 3 2 2 2 4 4" xfId="10376" xr:uid="{5F2C4C23-C275-4609-BC81-E5091D4B6097}"/>
    <cellStyle name="Note 3 2 2 2 5" xfId="2258" xr:uid="{00000000-0005-0000-0000-00005D210000}"/>
    <cellStyle name="Note 3 2 2 2 5 2" xfId="4487" xr:uid="{00000000-0005-0000-0000-00005E210000}"/>
    <cellStyle name="Note 3 2 2 2 5 2 2" xfId="8710" xr:uid="{00000000-0005-0000-0000-00005F210000}"/>
    <cellStyle name="Note 3 2 2 2 5 2 2 2" xfId="17152" xr:uid="{668B3BA3-3A10-4EEA-849E-007397AA9119}"/>
    <cellStyle name="Note 3 2 2 2 5 2 3" xfId="12934" xr:uid="{8297DDBB-BD6F-4EDF-BA92-10E592DFDC9A}"/>
    <cellStyle name="Note 3 2 2 2 5 3" xfId="6565" xr:uid="{00000000-0005-0000-0000-000060210000}"/>
    <cellStyle name="Note 3 2 2 2 5 3 2" xfId="15007" xr:uid="{8AE1DCB8-1F46-40DD-92FB-3A2ACBBDFF73}"/>
    <cellStyle name="Note 3 2 2 2 5 4" xfId="10789" xr:uid="{77B9E9E5-C351-48EA-977A-45F35E6BA266}"/>
    <cellStyle name="Note 3 2 2 2 6" xfId="2694" xr:uid="{00000000-0005-0000-0000-000061210000}"/>
    <cellStyle name="Note 3 2 2 2 6 2" xfId="6978" xr:uid="{00000000-0005-0000-0000-000062210000}"/>
    <cellStyle name="Note 3 2 2 2 6 2 2" xfId="15420" xr:uid="{91DC38D8-BB32-4303-BA44-5183C659BE13}"/>
    <cellStyle name="Note 3 2 2 2 6 3" xfId="11202" xr:uid="{4AB9C0FD-63A4-44C3-9D69-265BD5958D20}"/>
    <cellStyle name="Note 3 2 2 2 7" xfId="2753" xr:uid="{00000000-0005-0000-0000-000063210000}"/>
    <cellStyle name="Note 3 2 2 2 8" xfId="2834" xr:uid="{00000000-0005-0000-0000-000064210000}"/>
    <cellStyle name="Note 3 2 2 2 8 2" xfId="7058" xr:uid="{00000000-0005-0000-0000-000065210000}"/>
    <cellStyle name="Note 3 2 2 2 8 2 2" xfId="15500" xr:uid="{D6691D1B-43C1-48EA-A7CE-C530BE0095BB}"/>
    <cellStyle name="Note 3 2 2 2 8 3" xfId="11282" xr:uid="{53C9C142-3112-41DB-8C42-498C7FEF350B}"/>
    <cellStyle name="Note 3 2 2 2 9" xfId="4913" xr:uid="{00000000-0005-0000-0000-000066210000}"/>
    <cellStyle name="Note 3 2 2 2 9 2" xfId="13355" xr:uid="{3B2A2B85-50A8-4361-88D0-FA7DB38DE5F5}"/>
    <cellStyle name="Note 3 2 2 3" xfId="1015" xr:uid="{00000000-0005-0000-0000-000067210000}"/>
    <cellStyle name="Note 3 2 2 3 2" xfId="3247" xr:uid="{00000000-0005-0000-0000-000068210000}"/>
    <cellStyle name="Note 3 2 2 3 2 2" xfId="7470" xr:uid="{00000000-0005-0000-0000-000069210000}"/>
    <cellStyle name="Note 3 2 2 3 2 2 2" xfId="15912" xr:uid="{8510D911-83ED-43ED-8B81-05D6BE424705}"/>
    <cellStyle name="Note 3 2 2 3 2 3" xfId="11694" xr:uid="{E4AFEBC6-605F-4B24-9C79-58E79BCC5D46}"/>
    <cellStyle name="Note 3 2 2 3 3" xfId="5325" xr:uid="{00000000-0005-0000-0000-00006A210000}"/>
    <cellStyle name="Note 3 2 2 3 3 2" xfId="13767" xr:uid="{E29E09B5-60F5-4D4B-B350-E9BF9126731D}"/>
    <cellStyle name="Note 3 2 2 3 4" xfId="9549" xr:uid="{EE8AE096-85C1-4A21-9FE8-5328B1BFC0F6}"/>
    <cellStyle name="Note 3 2 2 4" xfId="1430" xr:uid="{00000000-0005-0000-0000-00006B210000}"/>
    <cellStyle name="Note 3 2 2 4 2" xfId="3660" xr:uid="{00000000-0005-0000-0000-00006C210000}"/>
    <cellStyle name="Note 3 2 2 4 2 2" xfId="7883" xr:uid="{00000000-0005-0000-0000-00006D210000}"/>
    <cellStyle name="Note 3 2 2 4 2 2 2" xfId="16325" xr:uid="{DE68CC3B-AE6F-4855-8242-28F2259A4FE2}"/>
    <cellStyle name="Note 3 2 2 4 2 3" xfId="12107" xr:uid="{84ECF30D-AD3A-4D7A-8FBE-F94C922D4EBD}"/>
    <cellStyle name="Note 3 2 2 4 3" xfId="5738" xr:uid="{00000000-0005-0000-0000-00006E210000}"/>
    <cellStyle name="Note 3 2 2 4 3 2" xfId="14180" xr:uid="{28ED7B05-5C61-44FB-A3F5-0CFD4AB6E19C}"/>
    <cellStyle name="Note 3 2 2 4 4" xfId="9962" xr:uid="{CEA31C60-114A-4106-8E07-CD311B00964E}"/>
    <cellStyle name="Note 3 2 2 5" xfId="1844" xr:uid="{00000000-0005-0000-0000-00006F210000}"/>
    <cellStyle name="Note 3 2 2 5 2" xfId="4073" xr:uid="{00000000-0005-0000-0000-000070210000}"/>
    <cellStyle name="Note 3 2 2 5 2 2" xfId="8296" xr:uid="{00000000-0005-0000-0000-000071210000}"/>
    <cellStyle name="Note 3 2 2 5 2 2 2" xfId="16738" xr:uid="{AFB92930-8E33-4FF9-85E8-5B6AE5D69BEF}"/>
    <cellStyle name="Note 3 2 2 5 2 3" xfId="12520" xr:uid="{0245910B-2487-4744-B359-489382CFA00B}"/>
    <cellStyle name="Note 3 2 2 5 3" xfId="6151" xr:uid="{00000000-0005-0000-0000-000072210000}"/>
    <cellStyle name="Note 3 2 2 5 3 2" xfId="14593" xr:uid="{EFAE01F5-5AF7-4EE5-AB3C-801889E684C6}"/>
    <cellStyle name="Note 3 2 2 5 4" xfId="10375" xr:uid="{AFB86A4E-B791-44F2-82C3-88A3EDBAC543}"/>
    <cellStyle name="Note 3 2 2 6" xfId="2257" xr:uid="{00000000-0005-0000-0000-000073210000}"/>
    <cellStyle name="Note 3 2 2 6 2" xfId="4486" xr:uid="{00000000-0005-0000-0000-000074210000}"/>
    <cellStyle name="Note 3 2 2 6 2 2" xfId="8709" xr:uid="{00000000-0005-0000-0000-000075210000}"/>
    <cellStyle name="Note 3 2 2 6 2 2 2" xfId="17151" xr:uid="{6427BB11-91AB-4690-803D-3AEA8BDD299F}"/>
    <cellStyle name="Note 3 2 2 6 2 3" xfId="12933" xr:uid="{4C5E9E3B-A990-414F-BA5D-9F35F065A8F9}"/>
    <cellStyle name="Note 3 2 2 6 3" xfId="6564" xr:uid="{00000000-0005-0000-0000-000076210000}"/>
    <cellStyle name="Note 3 2 2 6 3 2" xfId="15006" xr:uid="{2E8BF7BA-4A08-49C4-B4DF-A5E946D38543}"/>
    <cellStyle name="Note 3 2 2 6 4" xfId="10788" xr:uid="{BF6D1B1C-CD84-46C6-B9E8-0D54D594C86F}"/>
    <cellStyle name="Note 3 2 2 7" xfId="2693" xr:uid="{00000000-0005-0000-0000-000077210000}"/>
    <cellStyle name="Note 3 2 2 7 2" xfId="6977" xr:uid="{00000000-0005-0000-0000-000078210000}"/>
    <cellStyle name="Note 3 2 2 7 2 2" xfId="15419" xr:uid="{25C2EECA-8B88-470E-A453-F3BFD47105F5}"/>
    <cellStyle name="Note 3 2 2 7 3" xfId="11201" xr:uid="{0815DA0F-4703-436C-99B5-1DBAB851E175}"/>
    <cellStyle name="Note 3 2 2 8" xfId="2752" xr:uid="{00000000-0005-0000-0000-000079210000}"/>
    <cellStyle name="Note 3 2 2 9" xfId="2833" xr:uid="{00000000-0005-0000-0000-00007A210000}"/>
    <cellStyle name="Note 3 2 2 9 2" xfId="7057" xr:uid="{00000000-0005-0000-0000-00007B210000}"/>
    <cellStyle name="Note 3 2 2 9 2 2" xfId="15499" xr:uid="{561739CD-0516-4B3B-AB5F-5C26812155F5}"/>
    <cellStyle name="Note 3 2 2 9 3" xfId="11281" xr:uid="{7335962E-BAD4-46DC-9BF9-C8849A4A8677}"/>
    <cellStyle name="Note 3 2 3" xfId="557" xr:uid="{00000000-0005-0000-0000-00007C210000}"/>
    <cellStyle name="Note 3 2 3 10" xfId="9138" xr:uid="{65642F6D-9A3A-4FB8-9972-AD0A4504D0E9}"/>
    <cellStyle name="Note 3 2 3 2" xfId="1017" xr:uid="{00000000-0005-0000-0000-00007D210000}"/>
    <cellStyle name="Note 3 2 3 2 2" xfId="3249" xr:uid="{00000000-0005-0000-0000-00007E210000}"/>
    <cellStyle name="Note 3 2 3 2 2 2" xfId="7472" xr:uid="{00000000-0005-0000-0000-00007F210000}"/>
    <cellStyle name="Note 3 2 3 2 2 2 2" xfId="15914" xr:uid="{8EA5A028-5F71-44C5-9987-D7197F5C6150}"/>
    <cellStyle name="Note 3 2 3 2 2 3" xfId="11696" xr:uid="{688A68BF-9455-44E6-A09C-943CD555A794}"/>
    <cellStyle name="Note 3 2 3 2 3" xfId="5327" xr:uid="{00000000-0005-0000-0000-000080210000}"/>
    <cellStyle name="Note 3 2 3 2 3 2" xfId="13769" xr:uid="{B52314C4-BB3D-4AC1-A754-885A21B27581}"/>
    <cellStyle name="Note 3 2 3 2 4" xfId="9551" xr:uid="{678C3CC0-FAD5-4FF7-9B32-3E7EDB37D02E}"/>
    <cellStyle name="Note 3 2 3 3" xfId="1432" xr:uid="{00000000-0005-0000-0000-000081210000}"/>
    <cellStyle name="Note 3 2 3 3 2" xfId="3662" xr:uid="{00000000-0005-0000-0000-000082210000}"/>
    <cellStyle name="Note 3 2 3 3 2 2" xfId="7885" xr:uid="{00000000-0005-0000-0000-000083210000}"/>
    <cellStyle name="Note 3 2 3 3 2 2 2" xfId="16327" xr:uid="{D120933D-E5D4-46B9-9B31-66D68CE480BE}"/>
    <cellStyle name="Note 3 2 3 3 2 3" xfId="12109" xr:uid="{C4993649-6FBF-4507-A49C-DC371830B896}"/>
    <cellStyle name="Note 3 2 3 3 3" xfId="5740" xr:uid="{00000000-0005-0000-0000-000084210000}"/>
    <cellStyle name="Note 3 2 3 3 3 2" xfId="14182" xr:uid="{833DDA64-9C2D-45D4-A752-681CB8F50CF0}"/>
    <cellStyle name="Note 3 2 3 3 4" xfId="9964" xr:uid="{AD4AC8CB-9EF4-48D7-B33A-6472AFCBD972}"/>
    <cellStyle name="Note 3 2 3 4" xfId="1846" xr:uid="{00000000-0005-0000-0000-000085210000}"/>
    <cellStyle name="Note 3 2 3 4 2" xfId="4075" xr:uid="{00000000-0005-0000-0000-000086210000}"/>
    <cellStyle name="Note 3 2 3 4 2 2" xfId="8298" xr:uid="{00000000-0005-0000-0000-000087210000}"/>
    <cellStyle name="Note 3 2 3 4 2 2 2" xfId="16740" xr:uid="{890B4F6D-8455-4AEC-A050-B4E6959CCC05}"/>
    <cellStyle name="Note 3 2 3 4 2 3" xfId="12522" xr:uid="{42FD16C7-BFD8-46C9-B7DE-42E2575F88B0}"/>
    <cellStyle name="Note 3 2 3 4 3" xfId="6153" xr:uid="{00000000-0005-0000-0000-000088210000}"/>
    <cellStyle name="Note 3 2 3 4 3 2" xfId="14595" xr:uid="{BC6BE7B1-403C-421E-BA9C-F6BC4AD61933}"/>
    <cellStyle name="Note 3 2 3 4 4" xfId="10377" xr:uid="{9CD69718-10EF-4332-A037-9C0C76029595}"/>
    <cellStyle name="Note 3 2 3 5" xfId="2259" xr:uid="{00000000-0005-0000-0000-000089210000}"/>
    <cellStyle name="Note 3 2 3 5 2" xfId="4488" xr:uid="{00000000-0005-0000-0000-00008A210000}"/>
    <cellStyle name="Note 3 2 3 5 2 2" xfId="8711" xr:uid="{00000000-0005-0000-0000-00008B210000}"/>
    <cellStyle name="Note 3 2 3 5 2 2 2" xfId="17153" xr:uid="{806057BC-A098-42E0-A959-09E538A7D188}"/>
    <cellStyle name="Note 3 2 3 5 2 3" xfId="12935" xr:uid="{D6DFE884-EE35-4074-97F1-C92B422C8401}"/>
    <cellStyle name="Note 3 2 3 5 3" xfId="6566" xr:uid="{00000000-0005-0000-0000-00008C210000}"/>
    <cellStyle name="Note 3 2 3 5 3 2" xfId="15008" xr:uid="{944458E4-6A45-4EB2-B6B8-22282656969E}"/>
    <cellStyle name="Note 3 2 3 5 4" xfId="10790" xr:uid="{9A1263C9-CAF8-4E2F-BAA9-AF76FD0BE23A}"/>
    <cellStyle name="Note 3 2 3 6" xfId="2695" xr:uid="{00000000-0005-0000-0000-00008D210000}"/>
    <cellStyle name="Note 3 2 3 6 2" xfId="6979" xr:uid="{00000000-0005-0000-0000-00008E210000}"/>
    <cellStyle name="Note 3 2 3 6 2 2" xfId="15421" xr:uid="{75B9F8C5-D63C-4CA7-8D43-44A7EF5AE325}"/>
    <cellStyle name="Note 3 2 3 6 3" xfId="11203" xr:uid="{2963471A-B9F6-4927-80B9-C0715A99F12D}"/>
    <cellStyle name="Note 3 2 3 7" xfId="2754" xr:uid="{00000000-0005-0000-0000-00008F210000}"/>
    <cellStyle name="Note 3 2 3 8" xfId="2835" xr:uid="{00000000-0005-0000-0000-000090210000}"/>
    <cellStyle name="Note 3 2 3 8 2" xfId="7059" xr:uid="{00000000-0005-0000-0000-000091210000}"/>
    <cellStyle name="Note 3 2 3 8 2 2" xfId="15501" xr:uid="{19C7AB6E-DAA5-4F09-86A7-E9482943F399}"/>
    <cellStyle name="Note 3 2 3 8 3" xfId="11283" xr:uid="{72E44087-B14C-484E-B301-2E8446B66932}"/>
    <cellStyle name="Note 3 2 3 9" xfId="4914" xr:uid="{00000000-0005-0000-0000-000092210000}"/>
    <cellStyle name="Note 3 2 3 9 2" xfId="13356" xr:uid="{61B9000B-98C6-472B-BC98-B96FD5FF26DC}"/>
    <cellStyle name="Note 3 2 4" xfId="1014" xr:uid="{00000000-0005-0000-0000-000093210000}"/>
    <cellStyle name="Note 3 2 4 2" xfId="3246" xr:uid="{00000000-0005-0000-0000-000094210000}"/>
    <cellStyle name="Note 3 2 4 2 2" xfId="7469" xr:uid="{00000000-0005-0000-0000-000095210000}"/>
    <cellStyle name="Note 3 2 4 2 2 2" xfId="15911" xr:uid="{F1D1E779-BBD9-404C-885A-576742E44B35}"/>
    <cellStyle name="Note 3 2 4 2 3" xfId="11693" xr:uid="{8E7AD781-C4C0-4934-9AC7-1CBF996F6760}"/>
    <cellStyle name="Note 3 2 4 3" xfId="5324" xr:uid="{00000000-0005-0000-0000-000096210000}"/>
    <cellStyle name="Note 3 2 4 3 2" xfId="13766" xr:uid="{958E3093-2FD9-463C-9FFE-6E5E88F28DF6}"/>
    <cellStyle name="Note 3 2 4 4" xfId="9548" xr:uid="{AC5131E2-6592-4B57-BF27-9AD60AB4B7E8}"/>
    <cellStyle name="Note 3 2 5" xfId="1429" xr:uid="{00000000-0005-0000-0000-000097210000}"/>
    <cellStyle name="Note 3 2 5 2" xfId="3659" xr:uid="{00000000-0005-0000-0000-000098210000}"/>
    <cellStyle name="Note 3 2 5 2 2" xfId="7882" xr:uid="{00000000-0005-0000-0000-000099210000}"/>
    <cellStyle name="Note 3 2 5 2 2 2" xfId="16324" xr:uid="{DC21721D-5FF8-47CF-8437-D9662D190F87}"/>
    <cellStyle name="Note 3 2 5 2 3" xfId="12106" xr:uid="{FE5C7C31-7009-405A-B9F0-59DB9BB3E3F5}"/>
    <cellStyle name="Note 3 2 5 3" xfId="5737" xr:uid="{00000000-0005-0000-0000-00009A210000}"/>
    <cellStyle name="Note 3 2 5 3 2" xfId="14179" xr:uid="{57F651F1-5BE4-4265-93F2-48E5B09E0892}"/>
    <cellStyle name="Note 3 2 5 4" xfId="9961" xr:uid="{24B009E4-FD71-4D1F-B6B9-931865E675AB}"/>
    <cellStyle name="Note 3 2 6" xfId="1843" xr:uid="{00000000-0005-0000-0000-00009B210000}"/>
    <cellStyle name="Note 3 2 6 2" xfId="4072" xr:uid="{00000000-0005-0000-0000-00009C210000}"/>
    <cellStyle name="Note 3 2 6 2 2" xfId="8295" xr:uid="{00000000-0005-0000-0000-00009D210000}"/>
    <cellStyle name="Note 3 2 6 2 2 2" xfId="16737" xr:uid="{DA32C4A0-B283-4F72-8C68-1D26D506AFED}"/>
    <cellStyle name="Note 3 2 6 2 3" xfId="12519" xr:uid="{B87F58CE-78A9-485C-B294-C5690F46E363}"/>
    <cellStyle name="Note 3 2 6 3" xfId="6150" xr:uid="{00000000-0005-0000-0000-00009E210000}"/>
    <cellStyle name="Note 3 2 6 3 2" xfId="14592" xr:uid="{AFEAC9D2-05B8-4EB2-BC36-BE799AC3423D}"/>
    <cellStyle name="Note 3 2 6 4" xfId="10374" xr:uid="{83E9806E-95FC-4A70-8904-BB150BADAEA3}"/>
    <cellStyle name="Note 3 2 7" xfId="2256" xr:uid="{00000000-0005-0000-0000-00009F210000}"/>
    <cellStyle name="Note 3 2 7 2" xfId="4485" xr:uid="{00000000-0005-0000-0000-0000A0210000}"/>
    <cellStyle name="Note 3 2 7 2 2" xfId="8708" xr:uid="{00000000-0005-0000-0000-0000A1210000}"/>
    <cellStyle name="Note 3 2 7 2 2 2" xfId="17150" xr:uid="{F8363AEF-201C-47EC-93B3-406DF6B1C149}"/>
    <cellStyle name="Note 3 2 7 2 3" xfId="12932" xr:uid="{20D8529A-E92A-4E0F-807D-3654A413B495}"/>
    <cellStyle name="Note 3 2 7 3" xfId="6563" xr:uid="{00000000-0005-0000-0000-0000A2210000}"/>
    <cellStyle name="Note 3 2 7 3 2" xfId="15005" xr:uid="{8746C862-E797-456E-A594-F029FE8646C7}"/>
    <cellStyle name="Note 3 2 7 4" xfId="10787" xr:uid="{B937D7EA-A00F-4713-BF49-F162F68D4B3E}"/>
    <cellStyle name="Note 3 2 8" xfId="2692" xr:uid="{00000000-0005-0000-0000-0000A3210000}"/>
    <cellStyle name="Note 3 2 8 2" xfId="6976" xr:uid="{00000000-0005-0000-0000-0000A4210000}"/>
    <cellStyle name="Note 3 2 8 2 2" xfId="15418" xr:uid="{CF1ECD57-58CD-4239-BB2A-54957D199EC3}"/>
    <cellStyle name="Note 3 2 8 3" xfId="11200" xr:uid="{4F6F143A-60DC-4E59-A89A-E154C062F103}"/>
    <cellStyle name="Note 3 2 9" xfId="2751" xr:uid="{00000000-0005-0000-0000-0000A5210000}"/>
    <cellStyle name="Note 3 3" xfId="558" xr:uid="{00000000-0005-0000-0000-0000A6210000}"/>
    <cellStyle name="Note 3 3 10" xfId="4915" xr:uid="{00000000-0005-0000-0000-0000A7210000}"/>
    <cellStyle name="Note 3 3 10 2" xfId="13357" xr:uid="{F46858D6-6834-4615-834C-B9FEA595E8B9}"/>
    <cellStyle name="Note 3 3 11" xfId="9139" xr:uid="{2AC3428B-C010-4CBE-A196-6D07CDA77C65}"/>
    <cellStyle name="Note 3 3 2" xfId="559" xr:uid="{00000000-0005-0000-0000-0000A8210000}"/>
    <cellStyle name="Note 3 3 2 10" xfId="9140" xr:uid="{1A04DC82-4653-4E2B-83D9-12865B2300FE}"/>
    <cellStyle name="Note 3 3 2 2" xfId="1019" xr:uid="{00000000-0005-0000-0000-0000A9210000}"/>
    <cellStyle name="Note 3 3 2 2 2" xfId="3251" xr:uid="{00000000-0005-0000-0000-0000AA210000}"/>
    <cellStyle name="Note 3 3 2 2 2 2" xfId="7474" xr:uid="{00000000-0005-0000-0000-0000AB210000}"/>
    <cellStyle name="Note 3 3 2 2 2 2 2" xfId="15916" xr:uid="{AC010E14-403A-4FB5-AA2E-1856BD2CB921}"/>
    <cellStyle name="Note 3 3 2 2 2 3" xfId="11698" xr:uid="{2913E029-1099-43D5-9FDB-BAF47C653EAD}"/>
    <cellStyle name="Note 3 3 2 2 3" xfId="5329" xr:uid="{00000000-0005-0000-0000-0000AC210000}"/>
    <cellStyle name="Note 3 3 2 2 3 2" xfId="13771" xr:uid="{E897D819-49B7-4386-8C0C-AC6C762649A0}"/>
    <cellStyle name="Note 3 3 2 2 4" xfId="9553" xr:uid="{B21C088A-F325-4C63-8F8B-1973EB730AB6}"/>
    <cellStyle name="Note 3 3 2 3" xfId="1434" xr:uid="{00000000-0005-0000-0000-0000AD210000}"/>
    <cellStyle name="Note 3 3 2 3 2" xfId="3664" xr:uid="{00000000-0005-0000-0000-0000AE210000}"/>
    <cellStyle name="Note 3 3 2 3 2 2" xfId="7887" xr:uid="{00000000-0005-0000-0000-0000AF210000}"/>
    <cellStyle name="Note 3 3 2 3 2 2 2" xfId="16329" xr:uid="{07695081-AB38-4C7E-8C6D-3C42FA617EF7}"/>
    <cellStyle name="Note 3 3 2 3 2 3" xfId="12111" xr:uid="{5904F13A-F3C6-406C-8A72-357ACE1F2B8A}"/>
    <cellStyle name="Note 3 3 2 3 3" xfId="5742" xr:uid="{00000000-0005-0000-0000-0000B0210000}"/>
    <cellStyle name="Note 3 3 2 3 3 2" xfId="14184" xr:uid="{6FBCBC76-C4D7-4994-88E6-88450CC2D805}"/>
    <cellStyle name="Note 3 3 2 3 4" xfId="9966" xr:uid="{700AC90B-0DEB-4EF6-84A3-E4F6F1E7D64B}"/>
    <cellStyle name="Note 3 3 2 4" xfId="1848" xr:uid="{00000000-0005-0000-0000-0000B1210000}"/>
    <cellStyle name="Note 3 3 2 4 2" xfId="4077" xr:uid="{00000000-0005-0000-0000-0000B2210000}"/>
    <cellStyle name="Note 3 3 2 4 2 2" xfId="8300" xr:uid="{00000000-0005-0000-0000-0000B3210000}"/>
    <cellStyle name="Note 3 3 2 4 2 2 2" xfId="16742" xr:uid="{A39B239D-2D19-4C71-9EB6-315C83708240}"/>
    <cellStyle name="Note 3 3 2 4 2 3" xfId="12524" xr:uid="{4E6D90B6-61B1-4C25-84C3-88035D446DDC}"/>
    <cellStyle name="Note 3 3 2 4 3" xfId="6155" xr:uid="{00000000-0005-0000-0000-0000B4210000}"/>
    <cellStyle name="Note 3 3 2 4 3 2" xfId="14597" xr:uid="{F2D5D0CE-152C-4DD4-ACA2-CF3525574B4E}"/>
    <cellStyle name="Note 3 3 2 4 4" xfId="10379" xr:uid="{CF0B64F7-EE03-4554-84CE-AA607E9CD0B9}"/>
    <cellStyle name="Note 3 3 2 5" xfId="2261" xr:uid="{00000000-0005-0000-0000-0000B5210000}"/>
    <cellStyle name="Note 3 3 2 5 2" xfId="4490" xr:uid="{00000000-0005-0000-0000-0000B6210000}"/>
    <cellStyle name="Note 3 3 2 5 2 2" xfId="8713" xr:uid="{00000000-0005-0000-0000-0000B7210000}"/>
    <cellStyle name="Note 3 3 2 5 2 2 2" xfId="17155" xr:uid="{D21AD1AD-47F7-4BDE-A54D-FC664AE367B9}"/>
    <cellStyle name="Note 3 3 2 5 2 3" xfId="12937" xr:uid="{774E6391-14D7-42A6-B42C-22EB5DC347C4}"/>
    <cellStyle name="Note 3 3 2 5 3" xfId="6568" xr:uid="{00000000-0005-0000-0000-0000B8210000}"/>
    <cellStyle name="Note 3 3 2 5 3 2" xfId="15010" xr:uid="{89E10EA6-FEFA-45E5-959D-B810BDD616F4}"/>
    <cellStyle name="Note 3 3 2 5 4" xfId="10792" xr:uid="{5899BED8-FFEF-4BEA-A91E-619B61858792}"/>
    <cellStyle name="Note 3 3 2 6" xfId="2697" xr:uid="{00000000-0005-0000-0000-0000B9210000}"/>
    <cellStyle name="Note 3 3 2 6 2" xfId="6981" xr:uid="{00000000-0005-0000-0000-0000BA210000}"/>
    <cellStyle name="Note 3 3 2 6 2 2" xfId="15423" xr:uid="{FFD78330-FA04-43DE-AC3F-8EF3A78EE01E}"/>
    <cellStyle name="Note 3 3 2 6 3" xfId="11205" xr:uid="{63ED02AE-1852-4BC1-97D0-FF5A596839A4}"/>
    <cellStyle name="Note 3 3 2 7" xfId="2756" xr:uid="{00000000-0005-0000-0000-0000BB210000}"/>
    <cellStyle name="Note 3 3 2 8" xfId="2837" xr:uid="{00000000-0005-0000-0000-0000BC210000}"/>
    <cellStyle name="Note 3 3 2 8 2" xfId="7061" xr:uid="{00000000-0005-0000-0000-0000BD210000}"/>
    <cellStyle name="Note 3 3 2 8 2 2" xfId="15503" xr:uid="{97210B09-30F2-4691-8C6B-5A64A3C29E3C}"/>
    <cellStyle name="Note 3 3 2 8 3" xfId="11285" xr:uid="{4B209500-3ACC-4F16-9918-386A2974D8BD}"/>
    <cellStyle name="Note 3 3 2 9" xfId="4916" xr:uid="{00000000-0005-0000-0000-0000BE210000}"/>
    <cellStyle name="Note 3 3 2 9 2" xfId="13358" xr:uid="{8B9ABFF2-83AE-46D9-8331-B9DD4BB62F40}"/>
    <cellStyle name="Note 3 3 3" xfId="1018" xr:uid="{00000000-0005-0000-0000-0000BF210000}"/>
    <cellStyle name="Note 3 3 3 2" xfId="3250" xr:uid="{00000000-0005-0000-0000-0000C0210000}"/>
    <cellStyle name="Note 3 3 3 2 2" xfId="7473" xr:uid="{00000000-0005-0000-0000-0000C1210000}"/>
    <cellStyle name="Note 3 3 3 2 2 2" xfId="15915" xr:uid="{840519EC-AF55-49E1-9160-915EF2DE5097}"/>
    <cellStyle name="Note 3 3 3 2 3" xfId="11697" xr:uid="{68EDEF70-347C-4D0C-8B6E-D94CDA52C16B}"/>
    <cellStyle name="Note 3 3 3 3" xfId="5328" xr:uid="{00000000-0005-0000-0000-0000C2210000}"/>
    <cellStyle name="Note 3 3 3 3 2" xfId="13770" xr:uid="{566BE1ED-1284-49C4-909E-C4C9C9F67BE2}"/>
    <cellStyle name="Note 3 3 3 4" xfId="9552" xr:uid="{2A382CA5-98A6-4CFB-AABA-36ECCF56B3CB}"/>
    <cellStyle name="Note 3 3 4" xfId="1433" xr:uid="{00000000-0005-0000-0000-0000C3210000}"/>
    <cellStyle name="Note 3 3 4 2" xfId="3663" xr:uid="{00000000-0005-0000-0000-0000C4210000}"/>
    <cellStyle name="Note 3 3 4 2 2" xfId="7886" xr:uid="{00000000-0005-0000-0000-0000C5210000}"/>
    <cellStyle name="Note 3 3 4 2 2 2" xfId="16328" xr:uid="{43E09CE9-8EBC-448F-9D72-ECD20C45BA1A}"/>
    <cellStyle name="Note 3 3 4 2 3" xfId="12110" xr:uid="{F65150C1-1F80-4D85-9E5C-FCB0E79139DE}"/>
    <cellStyle name="Note 3 3 4 3" xfId="5741" xr:uid="{00000000-0005-0000-0000-0000C6210000}"/>
    <cellStyle name="Note 3 3 4 3 2" xfId="14183" xr:uid="{0FE88BAE-095B-4F4C-8502-BA439D0EBA95}"/>
    <cellStyle name="Note 3 3 4 4" xfId="9965" xr:uid="{202BBCEF-FD9B-44C8-98BE-4A13B4671850}"/>
    <cellStyle name="Note 3 3 5" xfId="1847" xr:uid="{00000000-0005-0000-0000-0000C7210000}"/>
    <cellStyle name="Note 3 3 5 2" xfId="4076" xr:uid="{00000000-0005-0000-0000-0000C8210000}"/>
    <cellStyle name="Note 3 3 5 2 2" xfId="8299" xr:uid="{00000000-0005-0000-0000-0000C9210000}"/>
    <cellStyle name="Note 3 3 5 2 2 2" xfId="16741" xr:uid="{EB4BA4DE-0D7A-443F-BE49-48F1D3AD556E}"/>
    <cellStyle name="Note 3 3 5 2 3" xfId="12523" xr:uid="{DE326B96-CFB1-42EA-88EB-51D22C313892}"/>
    <cellStyle name="Note 3 3 5 3" xfId="6154" xr:uid="{00000000-0005-0000-0000-0000CA210000}"/>
    <cellStyle name="Note 3 3 5 3 2" xfId="14596" xr:uid="{9DEC9D4F-4E5C-4BB9-9931-A6A0180F2EF8}"/>
    <cellStyle name="Note 3 3 5 4" xfId="10378" xr:uid="{A1CC1506-2EE9-4D7A-AE0A-DAB408CEFFCC}"/>
    <cellStyle name="Note 3 3 6" xfId="2260" xr:uid="{00000000-0005-0000-0000-0000CB210000}"/>
    <cellStyle name="Note 3 3 6 2" xfId="4489" xr:uid="{00000000-0005-0000-0000-0000CC210000}"/>
    <cellStyle name="Note 3 3 6 2 2" xfId="8712" xr:uid="{00000000-0005-0000-0000-0000CD210000}"/>
    <cellStyle name="Note 3 3 6 2 2 2" xfId="17154" xr:uid="{E5964809-2520-4F24-B2AF-56B7AFEC25F2}"/>
    <cellStyle name="Note 3 3 6 2 3" xfId="12936" xr:uid="{C15D80BE-0372-4E4E-AB70-FBECEB1D7A8E}"/>
    <cellStyle name="Note 3 3 6 3" xfId="6567" xr:uid="{00000000-0005-0000-0000-0000CE210000}"/>
    <cellStyle name="Note 3 3 6 3 2" xfId="15009" xr:uid="{036A2A54-BE0D-4644-B98B-A5378886C18A}"/>
    <cellStyle name="Note 3 3 6 4" xfId="10791" xr:uid="{A529C9C3-3EEB-495C-A04F-2E67608B9B73}"/>
    <cellStyle name="Note 3 3 7" xfId="2696" xr:uid="{00000000-0005-0000-0000-0000CF210000}"/>
    <cellStyle name="Note 3 3 7 2" xfId="6980" xr:uid="{00000000-0005-0000-0000-0000D0210000}"/>
    <cellStyle name="Note 3 3 7 2 2" xfId="15422" xr:uid="{09A54735-921B-46A9-9AF4-934822CFBE99}"/>
    <cellStyle name="Note 3 3 7 3" xfId="11204" xr:uid="{75338F50-6ADB-48C7-AE78-6068B9E25B9D}"/>
    <cellStyle name="Note 3 3 8" xfId="2755" xr:uid="{00000000-0005-0000-0000-0000D1210000}"/>
    <cellStyle name="Note 3 3 9" xfId="2836" xr:uid="{00000000-0005-0000-0000-0000D2210000}"/>
    <cellStyle name="Note 3 3 9 2" xfId="7060" xr:uid="{00000000-0005-0000-0000-0000D3210000}"/>
    <cellStyle name="Note 3 3 9 2 2" xfId="15502" xr:uid="{D91DB4DE-2499-4091-BFEC-9BAA02F946DD}"/>
    <cellStyle name="Note 3 3 9 3" xfId="11284" xr:uid="{923F2E8F-9FD3-4692-AC4B-E4E3223711B1}"/>
    <cellStyle name="Note 3 4" xfId="560" xr:uid="{00000000-0005-0000-0000-0000D4210000}"/>
    <cellStyle name="Note 3 4 10" xfId="9141" xr:uid="{EF79C7FA-EA69-4A9B-874F-D12FBCD1F669}"/>
    <cellStyle name="Note 3 4 2" xfId="1020" xr:uid="{00000000-0005-0000-0000-0000D5210000}"/>
    <cellStyle name="Note 3 4 2 2" xfId="3252" xr:uid="{00000000-0005-0000-0000-0000D6210000}"/>
    <cellStyle name="Note 3 4 2 2 2" xfId="7475" xr:uid="{00000000-0005-0000-0000-0000D7210000}"/>
    <cellStyle name="Note 3 4 2 2 2 2" xfId="15917" xr:uid="{A14B7C39-FCEA-45F3-84FE-0FB274943E87}"/>
    <cellStyle name="Note 3 4 2 2 3" xfId="11699" xr:uid="{05BA0CB0-9ABA-4079-831F-CDD3462F5AAA}"/>
    <cellStyle name="Note 3 4 2 3" xfId="5330" xr:uid="{00000000-0005-0000-0000-0000D8210000}"/>
    <cellStyle name="Note 3 4 2 3 2" xfId="13772" xr:uid="{6A568249-7159-4871-A5F4-B0B82EF0C4A6}"/>
    <cellStyle name="Note 3 4 2 4" xfId="9554" xr:uid="{79580A42-DC54-491D-8460-9EAE3B24AE97}"/>
    <cellStyle name="Note 3 4 3" xfId="1435" xr:uid="{00000000-0005-0000-0000-0000D9210000}"/>
    <cellStyle name="Note 3 4 3 2" xfId="3665" xr:uid="{00000000-0005-0000-0000-0000DA210000}"/>
    <cellStyle name="Note 3 4 3 2 2" xfId="7888" xr:uid="{00000000-0005-0000-0000-0000DB210000}"/>
    <cellStyle name="Note 3 4 3 2 2 2" xfId="16330" xr:uid="{720F22D3-0290-4602-8845-F1ED9694236A}"/>
    <cellStyle name="Note 3 4 3 2 3" xfId="12112" xr:uid="{EEB4B847-7DD3-4706-8C99-FEFF69A70D7C}"/>
    <cellStyle name="Note 3 4 3 3" xfId="5743" xr:uid="{00000000-0005-0000-0000-0000DC210000}"/>
    <cellStyle name="Note 3 4 3 3 2" xfId="14185" xr:uid="{93FF5695-38EC-4713-911C-4438A979D757}"/>
    <cellStyle name="Note 3 4 3 4" xfId="9967" xr:uid="{1C9D4407-1882-4F80-B538-8848F1D9A63C}"/>
    <cellStyle name="Note 3 4 4" xfId="1849" xr:uid="{00000000-0005-0000-0000-0000DD210000}"/>
    <cellStyle name="Note 3 4 4 2" xfId="4078" xr:uid="{00000000-0005-0000-0000-0000DE210000}"/>
    <cellStyle name="Note 3 4 4 2 2" xfId="8301" xr:uid="{00000000-0005-0000-0000-0000DF210000}"/>
    <cellStyle name="Note 3 4 4 2 2 2" xfId="16743" xr:uid="{0C116E44-878B-4C91-90A6-F29924F59216}"/>
    <cellStyle name="Note 3 4 4 2 3" xfId="12525" xr:uid="{0DCE747F-63EE-4EBC-BC0D-0491CDA76D2C}"/>
    <cellStyle name="Note 3 4 4 3" xfId="6156" xr:uid="{00000000-0005-0000-0000-0000E0210000}"/>
    <cellStyle name="Note 3 4 4 3 2" xfId="14598" xr:uid="{73269698-C75B-431B-931D-CE6BD980A9B7}"/>
    <cellStyle name="Note 3 4 4 4" xfId="10380" xr:uid="{9695EDEE-E747-41B8-9E28-2EFA7DCA59D2}"/>
    <cellStyle name="Note 3 4 5" xfId="2262" xr:uid="{00000000-0005-0000-0000-0000E1210000}"/>
    <cellStyle name="Note 3 4 5 2" xfId="4491" xr:uid="{00000000-0005-0000-0000-0000E2210000}"/>
    <cellStyle name="Note 3 4 5 2 2" xfId="8714" xr:uid="{00000000-0005-0000-0000-0000E3210000}"/>
    <cellStyle name="Note 3 4 5 2 2 2" xfId="17156" xr:uid="{6CF81E78-8AE3-4B71-8A0A-30F7F133A46C}"/>
    <cellStyle name="Note 3 4 5 2 3" xfId="12938" xr:uid="{8920FF64-AF36-4357-A226-D7ACDB95F9F2}"/>
    <cellStyle name="Note 3 4 5 3" xfId="6569" xr:uid="{00000000-0005-0000-0000-0000E4210000}"/>
    <cellStyle name="Note 3 4 5 3 2" xfId="15011" xr:uid="{5B51ED17-19B3-422A-98B3-19C7991D2D64}"/>
    <cellStyle name="Note 3 4 5 4" xfId="10793" xr:uid="{18378547-1F12-4BB3-99F2-83A4157FD5BA}"/>
    <cellStyle name="Note 3 4 6" xfId="2698" xr:uid="{00000000-0005-0000-0000-0000E5210000}"/>
    <cellStyle name="Note 3 4 6 2" xfId="6982" xr:uid="{00000000-0005-0000-0000-0000E6210000}"/>
    <cellStyle name="Note 3 4 6 2 2" xfId="15424" xr:uid="{F80D3978-9730-4604-BB99-D82531FD60B7}"/>
    <cellStyle name="Note 3 4 6 3" xfId="11206" xr:uid="{A0842285-3BF1-49ED-97E9-560485FB4192}"/>
    <cellStyle name="Note 3 4 7" xfId="2757" xr:uid="{00000000-0005-0000-0000-0000E7210000}"/>
    <cellStyle name="Note 3 4 8" xfId="2838" xr:uid="{00000000-0005-0000-0000-0000E8210000}"/>
    <cellStyle name="Note 3 4 8 2" xfId="7062" xr:uid="{00000000-0005-0000-0000-0000E9210000}"/>
    <cellStyle name="Note 3 4 8 2 2" xfId="15504" xr:uid="{6C75CA8E-0AE2-4325-A5CD-B73E4F929AFD}"/>
    <cellStyle name="Note 3 4 8 3" xfId="11286" xr:uid="{92DB30BD-EAAF-4839-AA06-E4269BBC7B32}"/>
    <cellStyle name="Note 3 4 9" xfId="4917" xr:uid="{00000000-0005-0000-0000-0000EA210000}"/>
    <cellStyle name="Note 3 4 9 2" xfId="13359" xr:uid="{D6A0CFE8-DAC8-4196-BD7F-0FDBAC059233}"/>
    <cellStyle name="Note 3 5" xfId="561" xr:uid="{00000000-0005-0000-0000-0000EB210000}"/>
    <cellStyle name="Note 3 5 10" xfId="9142" xr:uid="{084986D6-FF50-4DC2-92A9-5955D7BF6A58}"/>
    <cellStyle name="Note 3 5 2" xfId="1021" xr:uid="{00000000-0005-0000-0000-0000EC210000}"/>
    <cellStyle name="Note 3 5 2 2" xfId="3253" xr:uid="{00000000-0005-0000-0000-0000ED210000}"/>
    <cellStyle name="Note 3 5 2 2 2" xfId="7476" xr:uid="{00000000-0005-0000-0000-0000EE210000}"/>
    <cellStyle name="Note 3 5 2 2 2 2" xfId="15918" xr:uid="{7E49D120-62E9-468A-8BA2-6063BBB39BB1}"/>
    <cellStyle name="Note 3 5 2 2 3" xfId="11700" xr:uid="{26CDB6A7-6DFB-4F7C-931B-A971ACC745BD}"/>
    <cellStyle name="Note 3 5 2 3" xfId="5331" xr:uid="{00000000-0005-0000-0000-0000EF210000}"/>
    <cellStyle name="Note 3 5 2 3 2" xfId="13773" xr:uid="{64AFD94A-46A7-4B86-B26B-EB2F5B773AC1}"/>
    <cellStyle name="Note 3 5 2 4" xfId="9555" xr:uid="{6A7AC3E3-3F76-4A5A-A5D0-F422C8AEAD8F}"/>
    <cellStyle name="Note 3 5 3" xfId="1436" xr:uid="{00000000-0005-0000-0000-0000F0210000}"/>
    <cellStyle name="Note 3 5 3 2" xfId="3666" xr:uid="{00000000-0005-0000-0000-0000F1210000}"/>
    <cellStyle name="Note 3 5 3 2 2" xfId="7889" xr:uid="{00000000-0005-0000-0000-0000F2210000}"/>
    <cellStyle name="Note 3 5 3 2 2 2" xfId="16331" xr:uid="{9C01D63D-C349-4308-8527-D6579E3BE66B}"/>
    <cellStyle name="Note 3 5 3 2 3" xfId="12113" xr:uid="{4D1C6ECD-2093-43C5-AF6F-E1313F8EBD35}"/>
    <cellStyle name="Note 3 5 3 3" xfId="5744" xr:uid="{00000000-0005-0000-0000-0000F3210000}"/>
    <cellStyle name="Note 3 5 3 3 2" xfId="14186" xr:uid="{F59A4A3B-3B40-4DDB-9504-14F0C6E0DAE5}"/>
    <cellStyle name="Note 3 5 3 4" xfId="9968" xr:uid="{A63ECC71-F120-4780-81DC-4C3D6F4A6309}"/>
    <cellStyle name="Note 3 5 4" xfId="1850" xr:uid="{00000000-0005-0000-0000-0000F4210000}"/>
    <cellStyle name="Note 3 5 4 2" xfId="4079" xr:uid="{00000000-0005-0000-0000-0000F5210000}"/>
    <cellStyle name="Note 3 5 4 2 2" xfId="8302" xr:uid="{00000000-0005-0000-0000-0000F6210000}"/>
    <cellStyle name="Note 3 5 4 2 2 2" xfId="16744" xr:uid="{F4277A9C-7768-4049-8CCA-41CFBA780362}"/>
    <cellStyle name="Note 3 5 4 2 3" xfId="12526" xr:uid="{DB0293E1-5165-48B4-8CED-A632DD0D7D43}"/>
    <cellStyle name="Note 3 5 4 3" xfId="6157" xr:uid="{00000000-0005-0000-0000-0000F7210000}"/>
    <cellStyle name="Note 3 5 4 3 2" xfId="14599" xr:uid="{4A7F6885-16CB-4AE4-A817-9AC790F2293F}"/>
    <cellStyle name="Note 3 5 4 4" xfId="10381" xr:uid="{5E29E54E-C098-4E2A-83C3-3379FE725353}"/>
    <cellStyle name="Note 3 5 5" xfId="2263" xr:uid="{00000000-0005-0000-0000-0000F8210000}"/>
    <cellStyle name="Note 3 5 5 2" xfId="4492" xr:uid="{00000000-0005-0000-0000-0000F9210000}"/>
    <cellStyle name="Note 3 5 5 2 2" xfId="8715" xr:uid="{00000000-0005-0000-0000-0000FA210000}"/>
    <cellStyle name="Note 3 5 5 2 2 2" xfId="17157" xr:uid="{4887D9E8-203F-40AF-BDBE-F03EFD1A88D5}"/>
    <cellStyle name="Note 3 5 5 2 3" xfId="12939" xr:uid="{7A92C662-20F1-4622-A247-73DEC37485D1}"/>
    <cellStyle name="Note 3 5 5 3" xfId="6570" xr:uid="{00000000-0005-0000-0000-0000FB210000}"/>
    <cellStyle name="Note 3 5 5 3 2" xfId="15012" xr:uid="{BE0E574C-A4A8-4837-A7A1-1B4310FB84C2}"/>
    <cellStyle name="Note 3 5 5 4" xfId="10794" xr:uid="{92CD7E9D-3B4C-4329-9EDA-085958DA7C0B}"/>
    <cellStyle name="Note 3 5 6" xfId="2699" xr:uid="{00000000-0005-0000-0000-0000FC210000}"/>
    <cellStyle name="Note 3 5 6 2" xfId="6983" xr:uid="{00000000-0005-0000-0000-0000FD210000}"/>
    <cellStyle name="Note 3 5 6 2 2" xfId="15425" xr:uid="{4720405A-4F0A-458E-BE77-E0F1202E7802}"/>
    <cellStyle name="Note 3 5 6 3" xfId="11207" xr:uid="{FF769556-BE72-4377-873A-F86389284198}"/>
    <cellStyle name="Note 3 5 7" xfId="2758" xr:uid="{00000000-0005-0000-0000-0000FE210000}"/>
    <cellStyle name="Note 3 5 8" xfId="2839" xr:uid="{00000000-0005-0000-0000-0000FF210000}"/>
    <cellStyle name="Note 3 5 8 2" xfId="7063" xr:uid="{00000000-0005-0000-0000-000000220000}"/>
    <cellStyle name="Note 3 5 8 2 2" xfId="15505" xr:uid="{2FEF7BC9-0454-4488-8BEF-B95D29D8747B}"/>
    <cellStyle name="Note 3 5 8 3" xfId="11287" xr:uid="{9A0D26BE-B752-4C73-A888-AA45D3B5DD25}"/>
    <cellStyle name="Note 3 5 9" xfId="4918" xr:uid="{00000000-0005-0000-0000-000001220000}"/>
    <cellStyle name="Note 3 5 9 2" xfId="13360" xr:uid="{B372B056-6B43-4749-B062-3551A0FB5BE7}"/>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43" xr:uid="{42B4C98A-10F3-4B24-9E16-E0FB7E9CDD6A}"/>
    <cellStyle name="Percent 4" xfId="4502" xr:uid="{00000000-0005-0000-0000-000007220000}"/>
    <cellStyle name="Percent 4 2" xfId="8718" xr:uid="{00000000-0005-0000-0000-000008220000}"/>
    <cellStyle name="Percent 4 2 2" xfId="17160" xr:uid="{F6156FD3-84B9-4A8F-90B7-9ABBB74DF523}"/>
    <cellStyle name="Percent 4 3" xfId="8721" xr:uid="{D09CD3FC-D632-4B66-A68A-5CC92F993799}"/>
    <cellStyle name="Percent 4 3 2" xfId="8725" xr:uid="{D57AE941-8E59-43F0-AB73-09B3BCCFA234}"/>
    <cellStyle name="Percent 4 3 2 2" xfId="8728" xr:uid="{D24D76A7-D076-4554-9944-551B122393DE}"/>
    <cellStyle name="Percent 4 3 2 3" xfId="17166" xr:uid="{D49A4D48-4117-42ED-A9EB-090B8335845B}"/>
    <cellStyle name="Percent 4 3 3" xfId="17163" xr:uid="{B9B92E96-278B-4320-A79A-F12C312137D9}"/>
    <cellStyle name="Percent 4 4" xfId="12946" xr:uid="{3EDBA559-CDFC-46AD-9F59-31606BC6CED6}"/>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10886</xdr:colOff>
          <xdr:row>78</xdr:row>
          <xdr:rowOff>81643</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35830</xdr:colOff>
      <xdr:row>7</xdr:row>
      <xdr:rowOff>35248</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activeCell="E28" sqref="E28:AK30"/>
    </sheetView>
  </sheetViews>
  <sheetFormatPr defaultColWidth="0" defaultRowHeight="12.45" zeroHeight="1"/>
  <cols>
    <col min="1" max="5" width="2.53515625" customWidth="1"/>
    <col min="6" max="6" width="3" customWidth="1"/>
    <col min="7" max="36" width="2.53515625" customWidth="1"/>
    <col min="37" max="38" width="2.69140625" customWidth="1"/>
    <col min="39" max="16384" width="2.53515625" hidden="1"/>
  </cols>
  <sheetData>
    <row r="1" spans="1:38">
      <c r="A1" s="1277" t="s">
        <v>559</v>
      </c>
      <c r="B1" s="1277"/>
      <c r="C1" s="1277"/>
      <c r="D1" s="1277"/>
      <c r="E1" s="1277"/>
      <c r="F1" s="1277"/>
      <c r="G1" s="1277"/>
      <c r="H1" s="1277"/>
      <c r="I1" s="1277"/>
      <c r="J1" s="1277"/>
      <c r="K1" s="1277"/>
      <c r="L1" s="1277"/>
      <c r="M1" s="1277"/>
      <c r="N1" s="1277"/>
      <c r="O1" s="1277"/>
      <c r="P1" s="1277"/>
      <c r="Q1" s="1277"/>
      <c r="R1" s="1277"/>
      <c r="S1" s="1277"/>
      <c r="T1" s="1277"/>
      <c r="U1" s="1277"/>
      <c r="V1" s="1277"/>
      <c r="W1" s="1277"/>
      <c r="X1" s="1277"/>
      <c r="Y1" s="1277"/>
      <c r="Z1" s="1277"/>
      <c r="AA1" s="1277"/>
      <c r="AB1" s="1277"/>
      <c r="AC1" s="1277"/>
      <c r="AD1" s="1277"/>
      <c r="AE1" s="1277"/>
      <c r="AF1" s="1277"/>
      <c r="AG1" s="1277"/>
      <c r="AH1" s="1277"/>
      <c r="AI1" s="1277"/>
      <c r="AJ1" s="1277"/>
      <c r="AK1" s="1277"/>
      <c r="AL1" s="1277"/>
    </row>
    <row r="2" spans="1:38" ht="12.9" thickBot="1">
      <c r="A2" s="1278"/>
      <c r="B2" s="1278"/>
      <c r="C2" s="1278"/>
      <c r="D2" s="1278"/>
      <c r="E2" s="1278"/>
      <c r="F2" s="1278"/>
      <c r="G2" s="1278"/>
      <c r="H2" s="1278"/>
      <c r="I2" s="1278"/>
      <c r="J2" s="1278"/>
      <c r="K2" s="1278"/>
      <c r="L2" s="1278"/>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row>
    <row r="3" spans="1:38" ht="12.9"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3" customHeight="1">
      <c r="A7" s="218"/>
      <c r="B7" s="218"/>
      <c r="C7" s="219"/>
      <c r="D7" s="1267" t="s">
        <v>2350</v>
      </c>
      <c r="E7" s="1267"/>
      <c r="F7" s="1267"/>
      <c r="G7" s="126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7"/>
      <c r="AG7" s="1267"/>
      <c r="AH7" s="1267"/>
      <c r="AI7" s="1267"/>
      <c r="AJ7" s="1267"/>
      <c r="AK7" s="1267"/>
      <c r="AL7" s="489"/>
    </row>
    <row r="8" spans="1:38">
      <c r="A8" s="218"/>
      <c r="B8" s="218"/>
      <c r="C8" s="219"/>
      <c r="D8" s="1267"/>
      <c r="E8" s="1267"/>
      <c r="F8" s="1267"/>
      <c r="G8" s="1267"/>
      <c r="H8" s="1267"/>
      <c r="I8" s="1267"/>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J8" s="1267"/>
      <c r="AK8" s="1267"/>
      <c r="AL8" s="489"/>
    </row>
    <row r="9" spans="1:38">
      <c r="A9" s="218"/>
      <c r="B9" s="218"/>
      <c r="C9" s="219"/>
      <c r="D9" s="1267"/>
      <c r="E9" s="1267"/>
      <c r="F9" s="1267"/>
      <c r="G9" s="1267"/>
      <c r="H9" s="1267"/>
      <c r="I9" s="1267"/>
      <c r="J9" s="1267"/>
      <c r="K9" s="1267"/>
      <c r="L9" s="1267"/>
      <c r="M9" s="1267"/>
      <c r="N9" s="1267"/>
      <c r="O9" s="1267"/>
      <c r="P9" s="1267"/>
      <c r="Q9" s="1267"/>
      <c r="R9" s="1267"/>
      <c r="S9" s="1267"/>
      <c r="T9" s="1267"/>
      <c r="U9" s="1267"/>
      <c r="V9" s="1267"/>
      <c r="W9" s="1267"/>
      <c r="X9" s="1267"/>
      <c r="Y9" s="1267"/>
      <c r="Z9" s="1267"/>
      <c r="AA9" s="1267"/>
      <c r="AB9" s="1267"/>
      <c r="AC9" s="1267"/>
      <c r="AD9" s="1267"/>
      <c r="AE9" s="1267"/>
      <c r="AF9" s="1267"/>
      <c r="AG9" s="1267"/>
      <c r="AH9" s="1267"/>
      <c r="AI9" s="1267"/>
      <c r="AJ9" s="1267"/>
      <c r="AK9" s="1267"/>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 customHeight="1">
      <c r="A11" s="218"/>
      <c r="B11" s="218"/>
      <c r="C11" s="219"/>
      <c r="D11" s="1267" t="s">
        <v>2351</v>
      </c>
      <c r="E11" s="1267"/>
      <c r="F11" s="1267"/>
      <c r="G11" s="1267"/>
      <c r="H11" s="1267"/>
      <c r="I11" s="1267"/>
      <c r="J11" s="1267"/>
      <c r="K11" s="1267"/>
      <c r="L11" s="1267"/>
      <c r="M11" s="1267"/>
      <c r="N11" s="1267"/>
      <c r="O11" s="1267"/>
      <c r="P11" s="1267"/>
      <c r="Q11" s="1267"/>
      <c r="R11" s="1267"/>
      <c r="S11" s="1267"/>
      <c r="T11" s="1267"/>
      <c r="U11" s="1267"/>
      <c r="V11" s="1267"/>
      <c r="W11" s="1267"/>
      <c r="X11" s="1267"/>
      <c r="Y11" s="1267"/>
      <c r="Z11" s="1267"/>
      <c r="AA11" s="1267"/>
      <c r="AB11" s="1267"/>
      <c r="AC11" s="1267"/>
      <c r="AD11" s="1267"/>
      <c r="AE11" s="1267"/>
      <c r="AF11" s="1267"/>
      <c r="AG11" s="1267"/>
      <c r="AH11" s="1267"/>
      <c r="AI11" s="1267"/>
      <c r="AJ11" s="1267"/>
      <c r="AK11" s="1267"/>
      <c r="AL11" s="489"/>
    </row>
    <row r="12" spans="1:38">
      <c r="A12" s="218"/>
      <c r="B12" s="218"/>
      <c r="C12" s="219"/>
      <c r="D12" s="1267"/>
      <c r="E12" s="1267"/>
      <c r="F12" s="1267"/>
      <c r="G12" s="1267"/>
      <c r="H12" s="1267"/>
      <c r="I12" s="1267"/>
      <c r="J12" s="1267"/>
      <c r="K12" s="1267"/>
      <c r="L12" s="1267"/>
      <c r="M12" s="1267"/>
      <c r="N12" s="1267"/>
      <c r="O12" s="1267"/>
      <c r="P12" s="1267"/>
      <c r="Q12" s="1267"/>
      <c r="R12" s="1267"/>
      <c r="S12" s="1267"/>
      <c r="T12" s="1267"/>
      <c r="U12" s="1267"/>
      <c r="V12" s="1267"/>
      <c r="W12" s="1267"/>
      <c r="X12" s="1267"/>
      <c r="Y12" s="1267"/>
      <c r="Z12" s="1267"/>
      <c r="AA12" s="1267"/>
      <c r="AB12" s="1267"/>
      <c r="AC12" s="1267"/>
      <c r="AD12" s="1267"/>
      <c r="AE12" s="1267"/>
      <c r="AF12" s="1267"/>
      <c r="AG12" s="1267"/>
      <c r="AH12" s="1267"/>
      <c r="AI12" s="1267"/>
      <c r="AJ12" s="1267"/>
      <c r="AK12" s="1267"/>
      <c r="AL12" s="489"/>
    </row>
    <row r="13" spans="1:38">
      <c r="A13" s="218"/>
      <c r="B13" s="218"/>
      <c r="C13" s="219"/>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489"/>
    </row>
    <row r="14" spans="1:38" ht="13.3" customHeight="1">
      <c r="A14" s="218"/>
      <c r="B14" s="218"/>
      <c r="C14" s="219"/>
      <c r="E14" s="1267" t="s">
        <v>2580</v>
      </c>
      <c r="F14" s="1267"/>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67"/>
      <c r="AI14" s="1267"/>
      <c r="AJ14" s="1267"/>
      <c r="AK14" s="1267"/>
      <c r="AL14" s="489"/>
    </row>
    <row r="15" spans="1:38" ht="13.3" customHeight="1">
      <c r="A15" s="218"/>
      <c r="B15" s="218"/>
      <c r="C15" s="219"/>
      <c r="E15" s="1267"/>
      <c r="F15" s="1267"/>
      <c r="G15" s="1267"/>
      <c r="H15" s="1267"/>
      <c r="I15" s="1267"/>
      <c r="J15" s="1267"/>
      <c r="K15" s="1267"/>
      <c r="L15" s="1267"/>
      <c r="M15" s="1267"/>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489"/>
    </row>
    <row r="16" spans="1:38">
      <c r="A16" s="218"/>
      <c r="B16" s="218"/>
      <c r="C16" s="219"/>
      <c r="D16" s="489"/>
      <c r="E16" s="1267"/>
      <c r="F16" s="1267"/>
      <c r="G16" s="1267"/>
      <c r="H16" s="1267"/>
      <c r="I16" s="1267"/>
      <c r="J16" s="1267"/>
      <c r="K16" s="1267"/>
      <c r="L16" s="1267"/>
      <c r="M16" s="1267"/>
      <c r="N16" s="1267"/>
      <c r="O16" s="1267"/>
      <c r="P16" s="1267"/>
      <c r="Q16" s="1267"/>
      <c r="R16" s="1267"/>
      <c r="S16" s="1267"/>
      <c r="T16" s="1267"/>
      <c r="U16" s="1267"/>
      <c r="V16" s="1267"/>
      <c r="W16" s="1267"/>
      <c r="X16" s="1267"/>
      <c r="Y16" s="1267"/>
      <c r="Z16" s="1267"/>
      <c r="AA16" s="1267"/>
      <c r="AB16" s="1267"/>
      <c r="AC16" s="1267"/>
      <c r="AD16" s="1267"/>
      <c r="AE16" s="1267"/>
      <c r="AF16" s="1267"/>
      <c r="AG16" s="1267"/>
      <c r="AH16" s="1267"/>
      <c r="AI16" s="1267"/>
      <c r="AJ16" s="1267"/>
      <c r="AK16" s="1267"/>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3" customHeight="1">
      <c r="A18" s="218"/>
      <c r="B18" s="218"/>
      <c r="C18" s="219"/>
      <c r="D18" s="1267" t="s">
        <v>2352</v>
      </c>
      <c r="E18" s="1267"/>
      <c r="F18" s="1267"/>
      <c r="G18" s="1267"/>
      <c r="H18" s="1267"/>
      <c r="I18" s="1267"/>
      <c r="J18" s="1267"/>
      <c r="K18" s="1267"/>
      <c r="L18" s="1267"/>
      <c r="M18" s="1267"/>
      <c r="N18" s="1267"/>
      <c r="O18" s="1267"/>
      <c r="P18" s="1267"/>
      <c r="Q18" s="1267"/>
      <c r="R18" s="1267"/>
      <c r="S18" s="1267"/>
      <c r="T18" s="1267"/>
      <c r="U18" s="1267"/>
      <c r="V18" s="1267"/>
      <c r="W18" s="1267"/>
      <c r="X18" s="1267"/>
      <c r="Y18" s="1267"/>
      <c r="Z18" s="1267"/>
      <c r="AA18" s="1267"/>
      <c r="AB18" s="1267"/>
      <c r="AC18" s="1267"/>
      <c r="AD18" s="1267"/>
      <c r="AE18" s="1267"/>
      <c r="AF18" s="1267"/>
      <c r="AG18" s="1267"/>
      <c r="AH18" s="1267"/>
      <c r="AI18" s="1267"/>
      <c r="AJ18" s="1267"/>
      <c r="AK18" s="1267"/>
      <c r="AL18" s="218"/>
    </row>
    <row r="19" spans="1:38">
      <c r="A19" s="218"/>
      <c r="B19" s="218"/>
      <c r="C19" s="219"/>
      <c r="D19" s="1267"/>
      <c r="E19" s="1267"/>
      <c r="F19" s="1267"/>
      <c r="G19" s="1267"/>
      <c r="H19" s="1267"/>
      <c r="I19" s="1267"/>
      <c r="J19" s="1267"/>
      <c r="K19" s="1267"/>
      <c r="L19" s="1267"/>
      <c r="M19" s="1267"/>
      <c r="N19" s="1267"/>
      <c r="O19" s="1267"/>
      <c r="P19" s="1267"/>
      <c r="Q19" s="1267"/>
      <c r="R19" s="1267"/>
      <c r="S19" s="1267"/>
      <c r="T19" s="1267"/>
      <c r="U19" s="1267"/>
      <c r="V19" s="1267"/>
      <c r="W19" s="1267"/>
      <c r="X19" s="1267"/>
      <c r="Y19" s="1267"/>
      <c r="Z19" s="1267"/>
      <c r="AA19" s="1267"/>
      <c r="AB19" s="1267"/>
      <c r="AC19" s="1267"/>
      <c r="AD19" s="1267"/>
      <c r="AE19" s="1267"/>
      <c r="AF19" s="1267"/>
      <c r="AG19" s="1267"/>
      <c r="AH19" s="1267"/>
      <c r="AI19" s="1267"/>
      <c r="AJ19" s="1267"/>
      <c r="AK19" s="1267"/>
      <c r="AL19" s="218"/>
    </row>
    <row r="20" spans="1:38">
      <c r="A20" s="218"/>
      <c r="B20" s="218"/>
      <c r="C20" s="219"/>
      <c r="D20" s="1267"/>
      <c r="E20" s="1267"/>
      <c r="F20" s="1267"/>
      <c r="G20" s="1267"/>
      <c r="H20" s="1267"/>
      <c r="I20" s="1267"/>
      <c r="J20" s="1267"/>
      <c r="K20" s="1267"/>
      <c r="L20" s="1267"/>
      <c r="M20" s="1267"/>
      <c r="N20" s="1267"/>
      <c r="O20" s="1267"/>
      <c r="P20" s="1267"/>
      <c r="Q20" s="1267"/>
      <c r="R20" s="1267"/>
      <c r="S20" s="1267"/>
      <c r="T20" s="1267"/>
      <c r="U20" s="1267"/>
      <c r="V20" s="1267"/>
      <c r="W20" s="1267"/>
      <c r="X20" s="1267"/>
      <c r="Y20" s="1267"/>
      <c r="Z20" s="1267"/>
      <c r="AA20" s="1267"/>
      <c r="AB20" s="1267"/>
      <c r="AC20" s="1267"/>
      <c r="AD20" s="1267"/>
      <c r="AE20" s="1267"/>
      <c r="AF20" s="1267"/>
      <c r="AG20" s="1267"/>
      <c r="AH20" s="1267"/>
      <c r="AI20" s="1267"/>
      <c r="AJ20" s="1267"/>
      <c r="AK20" s="1267"/>
      <c r="AL20" s="218"/>
    </row>
    <row r="21" spans="1:38" ht="13.3" customHeight="1">
      <c r="A21" s="218"/>
      <c r="B21" s="218"/>
      <c r="C21" s="219"/>
      <c r="D21" s="1267"/>
      <c r="E21" s="1267"/>
      <c r="F21" s="1267"/>
      <c r="G21" s="1267"/>
      <c r="H21" s="1267"/>
      <c r="I21" s="1267"/>
      <c r="J21" s="1267"/>
      <c r="K21" s="1267"/>
      <c r="L21" s="1267"/>
      <c r="M21" s="1267"/>
      <c r="N21" s="1267"/>
      <c r="O21" s="1267"/>
      <c r="P21" s="1267"/>
      <c r="Q21" s="1267"/>
      <c r="R21" s="1267"/>
      <c r="S21" s="1267"/>
      <c r="T21" s="1267"/>
      <c r="U21" s="1267"/>
      <c r="V21" s="1267"/>
      <c r="W21" s="1267"/>
      <c r="X21" s="1267"/>
      <c r="Y21" s="1267"/>
      <c r="Z21" s="1267"/>
      <c r="AA21" s="1267"/>
      <c r="AB21" s="1267"/>
      <c r="AC21" s="1267"/>
      <c r="AD21" s="1267"/>
      <c r="AE21" s="1267"/>
      <c r="AF21" s="1267"/>
      <c r="AG21" s="1267"/>
      <c r="AH21" s="1267"/>
      <c r="AI21" s="1267"/>
      <c r="AJ21" s="1267"/>
      <c r="AK21" s="1267"/>
      <c r="AL21" s="218"/>
    </row>
    <row r="22" spans="1:38">
      <c r="A22" s="218"/>
      <c r="B22" s="218"/>
      <c r="C22" s="219"/>
      <c r="D22" s="1267"/>
      <c r="E22" s="1267"/>
      <c r="F22" s="1267"/>
      <c r="G22" s="1267"/>
      <c r="H22" s="1267"/>
      <c r="I22" s="1267"/>
      <c r="J22" s="1267"/>
      <c r="K22" s="1267"/>
      <c r="L22" s="1267"/>
      <c r="M22" s="1267"/>
      <c r="N22" s="1267"/>
      <c r="O22" s="1267"/>
      <c r="P22" s="1267"/>
      <c r="Q22" s="1267"/>
      <c r="R22" s="1267"/>
      <c r="S22" s="1267"/>
      <c r="T22" s="1267"/>
      <c r="U22" s="1267"/>
      <c r="V22" s="1267"/>
      <c r="W22" s="1267"/>
      <c r="X22" s="1267"/>
      <c r="Y22" s="1267"/>
      <c r="Z22" s="1267"/>
      <c r="AA22" s="1267"/>
      <c r="AB22" s="1267"/>
      <c r="AC22" s="1267"/>
      <c r="AD22" s="1267"/>
      <c r="AE22" s="1267"/>
      <c r="AF22" s="1267"/>
      <c r="AG22" s="1267"/>
      <c r="AH22" s="1267"/>
      <c r="AI22" s="1267"/>
      <c r="AJ22" s="1267"/>
      <c r="AK22" s="1267"/>
      <c r="AL22" s="218"/>
    </row>
    <row r="23" spans="1:38">
      <c r="A23" s="218"/>
      <c r="B23" s="218"/>
      <c r="C23" s="219"/>
      <c r="D23" s="1267"/>
      <c r="E23" s="1267"/>
      <c r="F23" s="1267"/>
      <c r="G23" s="1267"/>
      <c r="H23" s="1267"/>
      <c r="I23" s="1267"/>
      <c r="J23" s="1267"/>
      <c r="K23" s="1267"/>
      <c r="L23" s="1267"/>
      <c r="M23" s="1267"/>
      <c r="N23" s="1267"/>
      <c r="O23" s="1267"/>
      <c r="P23" s="1267"/>
      <c r="Q23" s="1267"/>
      <c r="R23" s="1267"/>
      <c r="S23" s="1267"/>
      <c r="T23" s="1267"/>
      <c r="U23" s="1267"/>
      <c r="V23" s="1267"/>
      <c r="W23" s="1267"/>
      <c r="X23" s="1267"/>
      <c r="Y23" s="1267"/>
      <c r="Z23" s="1267"/>
      <c r="AA23" s="1267"/>
      <c r="AB23" s="1267"/>
      <c r="AC23" s="1267"/>
      <c r="AD23" s="1267"/>
      <c r="AE23" s="1267"/>
      <c r="AF23" s="1267"/>
      <c r="AG23" s="1267"/>
      <c r="AH23" s="1267"/>
      <c r="AI23" s="1267"/>
      <c r="AJ23" s="1267"/>
      <c r="AK23" s="1267"/>
      <c r="AL23" s="218"/>
    </row>
    <row r="24" spans="1:38">
      <c r="A24" s="218"/>
      <c r="B24" s="218"/>
      <c r="C24" s="219"/>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c r="AE24" s="1267"/>
      <c r="AF24" s="1267"/>
      <c r="AG24" s="1267"/>
      <c r="AH24" s="1267"/>
      <c r="AI24" s="1267"/>
      <c r="AJ24" s="1267"/>
      <c r="AK24" s="1267"/>
      <c r="AL24" s="218"/>
    </row>
    <row r="25" spans="1:38">
      <c r="A25" s="218"/>
      <c r="B25" s="218"/>
      <c r="C25" s="219"/>
      <c r="D25" s="1267"/>
      <c r="E25" s="1267"/>
      <c r="F25" s="1267"/>
      <c r="G25" s="1267"/>
      <c r="H25" s="1267"/>
      <c r="I25" s="1267"/>
      <c r="J25" s="1267"/>
      <c r="K25" s="1267"/>
      <c r="L25" s="1267"/>
      <c r="M25" s="1267"/>
      <c r="N25" s="1267"/>
      <c r="O25" s="1267"/>
      <c r="P25" s="1267"/>
      <c r="Q25" s="1267"/>
      <c r="R25" s="1267"/>
      <c r="S25" s="1267"/>
      <c r="T25" s="1267"/>
      <c r="U25" s="1267"/>
      <c r="V25" s="1267"/>
      <c r="W25" s="1267"/>
      <c r="X25" s="1267"/>
      <c r="Y25" s="1267"/>
      <c r="Z25" s="1267"/>
      <c r="AA25" s="1267"/>
      <c r="AB25" s="1267"/>
      <c r="AC25" s="1267"/>
      <c r="AD25" s="1267"/>
      <c r="AE25" s="1267"/>
      <c r="AF25" s="1267"/>
      <c r="AG25" s="1267"/>
      <c r="AH25" s="1267"/>
      <c r="AI25" s="1267"/>
      <c r="AJ25" s="1267"/>
      <c r="AK25" s="1267"/>
      <c r="AL25" s="218"/>
    </row>
    <row r="26" spans="1:38">
      <c r="A26" s="218"/>
      <c r="B26" s="218"/>
      <c r="C26" s="219"/>
      <c r="D26" s="1267"/>
      <c r="E26" s="1267"/>
      <c r="F26" s="1267"/>
      <c r="G26" s="1267"/>
      <c r="H26" s="1267"/>
      <c r="I26" s="1267"/>
      <c r="J26" s="1267"/>
      <c r="K26" s="1267"/>
      <c r="L26" s="1267"/>
      <c r="M26" s="1267"/>
      <c r="N26" s="1267"/>
      <c r="O26" s="1267"/>
      <c r="P26" s="1267"/>
      <c r="Q26" s="1267"/>
      <c r="R26" s="1267"/>
      <c r="S26" s="1267"/>
      <c r="T26" s="1267"/>
      <c r="U26" s="1267"/>
      <c r="V26" s="1267"/>
      <c r="W26" s="1267"/>
      <c r="X26" s="1267"/>
      <c r="Y26" s="1267"/>
      <c r="Z26" s="1267"/>
      <c r="AA26" s="1267"/>
      <c r="AB26" s="1267"/>
      <c r="AC26" s="1267"/>
      <c r="AD26" s="1267"/>
      <c r="AE26" s="1267"/>
      <c r="AF26" s="1267"/>
      <c r="AG26" s="1267"/>
      <c r="AH26" s="1267"/>
      <c r="AI26" s="1267"/>
      <c r="AJ26" s="1267"/>
      <c r="AK26" s="1267"/>
      <c r="AL26" s="218"/>
    </row>
    <row r="27" spans="1:38" ht="11.9" customHeight="1">
      <c r="A27" s="218"/>
      <c r="B27" s="218"/>
      <c r="C27" s="219"/>
      <c r="D27" s="1267"/>
      <c r="E27" s="1267"/>
      <c r="F27" s="1267"/>
      <c r="G27" s="1267"/>
      <c r="H27" s="1267"/>
      <c r="I27" s="1267"/>
      <c r="J27" s="1267"/>
      <c r="K27" s="1267"/>
      <c r="L27" s="1267"/>
      <c r="M27" s="1267"/>
      <c r="N27" s="1267"/>
      <c r="O27" s="1267"/>
      <c r="P27" s="1267"/>
      <c r="Q27" s="1267"/>
      <c r="R27" s="1267"/>
      <c r="S27" s="1267"/>
      <c r="T27" s="1267"/>
      <c r="U27" s="1267"/>
      <c r="V27" s="1267"/>
      <c r="W27" s="1267"/>
      <c r="X27" s="1267"/>
      <c r="Y27" s="1267"/>
      <c r="Z27" s="1267"/>
      <c r="AA27" s="1267"/>
      <c r="AB27" s="1267"/>
      <c r="AC27" s="1267"/>
      <c r="AD27" s="1267"/>
      <c r="AE27" s="1267"/>
      <c r="AF27" s="1267"/>
      <c r="AG27" s="1267"/>
      <c r="AH27" s="1267"/>
      <c r="AI27" s="1267"/>
      <c r="AJ27" s="1267"/>
      <c r="AK27" s="1267"/>
      <c r="AL27" s="218"/>
    </row>
    <row r="28" spans="1:38" ht="13.3" hidden="1" customHeight="1">
      <c r="A28" s="218"/>
      <c r="B28" s="218"/>
      <c r="C28" s="219"/>
      <c r="E28" s="1267" t="s">
        <v>2507</v>
      </c>
      <c r="F28" s="1267"/>
      <c r="G28" s="1267"/>
      <c r="H28" s="1267"/>
      <c r="I28" s="1267"/>
      <c r="J28" s="1267"/>
      <c r="K28" s="1267"/>
      <c r="L28" s="1267"/>
      <c r="M28" s="1267"/>
      <c r="N28" s="1267"/>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c r="AL28" s="218"/>
    </row>
    <row r="29" spans="1:38" ht="13.3" hidden="1" customHeight="1">
      <c r="A29" s="218"/>
      <c r="B29" s="218"/>
      <c r="C29" s="219"/>
      <c r="E29" s="1267"/>
      <c r="F29" s="1267"/>
      <c r="G29" s="1267"/>
      <c r="H29" s="1267"/>
      <c r="I29" s="1267"/>
      <c r="J29" s="1267"/>
      <c r="K29" s="1267"/>
      <c r="L29" s="1267"/>
      <c r="M29" s="1267"/>
      <c r="N29" s="1267"/>
      <c r="O29" s="1267"/>
      <c r="P29" s="1267"/>
      <c r="Q29" s="1267"/>
      <c r="R29" s="1267"/>
      <c r="S29" s="1267"/>
      <c r="T29" s="1267"/>
      <c r="U29" s="1267"/>
      <c r="V29" s="1267"/>
      <c r="W29" s="1267"/>
      <c r="X29" s="1267"/>
      <c r="Y29" s="1267"/>
      <c r="Z29" s="1267"/>
      <c r="AA29" s="1267"/>
      <c r="AB29" s="1267"/>
      <c r="AC29" s="1267"/>
      <c r="AD29" s="1267"/>
      <c r="AE29" s="1267"/>
      <c r="AF29" s="1267"/>
      <c r="AG29" s="1267"/>
      <c r="AH29" s="1267"/>
      <c r="AI29" s="1267"/>
      <c r="AJ29" s="1267"/>
      <c r="AK29" s="1267"/>
      <c r="AL29" s="218"/>
    </row>
    <row r="30" spans="1:38" hidden="1">
      <c r="A30" s="218"/>
      <c r="B30" s="218"/>
      <c r="C30" s="219"/>
      <c r="D30" s="489"/>
      <c r="E30" s="1267"/>
      <c r="F30" s="1267"/>
      <c r="G30" s="1267"/>
      <c r="H30" s="1267"/>
      <c r="I30" s="1267"/>
      <c r="J30" s="1267"/>
      <c r="K30" s="1267"/>
      <c r="L30" s="1267"/>
      <c r="M30" s="1267"/>
      <c r="N30" s="1267"/>
      <c r="O30" s="1267"/>
      <c r="P30" s="1267"/>
      <c r="Q30" s="1267"/>
      <c r="R30" s="1267"/>
      <c r="S30" s="1267"/>
      <c r="T30" s="1267"/>
      <c r="U30" s="1267"/>
      <c r="V30" s="1267"/>
      <c r="W30" s="1267"/>
      <c r="X30" s="1267"/>
      <c r="Y30" s="1267"/>
      <c r="Z30" s="1267"/>
      <c r="AA30" s="1267"/>
      <c r="AB30" s="1267"/>
      <c r="AC30" s="1267"/>
      <c r="AD30" s="1267"/>
      <c r="AE30" s="1267"/>
      <c r="AF30" s="1267"/>
      <c r="AG30" s="1267"/>
      <c r="AH30" s="1267"/>
      <c r="AI30" s="1267"/>
      <c r="AJ30" s="1267"/>
      <c r="AK30" s="1267"/>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3" customHeight="1">
      <c r="A32" s="218"/>
      <c r="B32" s="218"/>
      <c r="C32" s="219"/>
      <c r="D32" s="1267" t="s">
        <v>2353</v>
      </c>
      <c r="E32" s="1267"/>
      <c r="F32" s="1267"/>
      <c r="G32" s="1267"/>
      <c r="H32" s="1267"/>
      <c r="I32" s="1267"/>
      <c r="J32" s="1267"/>
      <c r="K32" s="1267"/>
      <c r="L32" s="1267"/>
      <c r="M32" s="1267"/>
      <c r="N32" s="1267"/>
      <c r="O32" s="1267"/>
      <c r="P32" s="1267"/>
      <c r="Q32" s="1267"/>
      <c r="R32" s="1267"/>
      <c r="S32" s="1267"/>
      <c r="T32" s="1267"/>
      <c r="U32" s="1267"/>
      <c r="V32" s="1267"/>
      <c r="W32" s="1267"/>
      <c r="X32" s="1267"/>
      <c r="Y32" s="1267"/>
      <c r="Z32" s="1267"/>
      <c r="AA32" s="1267"/>
      <c r="AB32" s="1267"/>
      <c r="AC32" s="1267"/>
      <c r="AD32" s="1267"/>
      <c r="AE32" s="1267"/>
      <c r="AF32" s="1267"/>
      <c r="AG32" s="1267"/>
      <c r="AH32" s="1267"/>
      <c r="AI32" s="1267"/>
      <c r="AJ32" s="1267"/>
      <c r="AK32" s="1267"/>
      <c r="AL32" s="218"/>
    </row>
    <row r="33" spans="1:38">
      <c r="A33" s="218"/>
      <c r="B33" s="218"/>
      <c r="C33" s="219"/>
      <c r="D33" s="489"/>
      <c r="E33" s="1268" t="s">
        <v>2586</v>
      </c>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69"/>
      <c r="AK33" s="1269"/>
      <c r="AL33" s="218"/>
    </row>
    <row r="34" spans="1:38">
      <c r="A34" s="4"/>
      <c r="C34" s="2"/>
    </row>
    <row r="35" spans="1:38">
      <c r="A35" s="4"/>
      <c r="D35" s="1279" t="s">
        <v>2502</v>
      </c>
      <c r="E35" s="1279"/>
      <c r="F35" s="1279"/>
      <c r="G35" s="1279"/>
      <c r="H35" s="1279"/>
      <c r="I35" s="1279"/>
      <c r="J35" s="1279"/>
      <c r="K35" s="1279"/>
      <c r="L35" s="1279"/>
      <c r="M35" s="1279"/>
      <c r="N35" s="1279"/>
      <c r="O35" s="1279"/>
      <c r="P35" s="1279"/>
      <c r="Q35" s="1279"/>
      <c r="R35" s="1279"/>
      <c r="S35" s="1279"/>
      <c r="T35" s="1279"/>
      <c r="U35" s="1279"/>
      <c r="V35" s="1279"/>
      <c r="W35" s="1279"/>
      <c r="X35" s="1279"/>
      <c r="Y35" s="1279"/>
      <c r="Z35" s="1279"/>
      <c r="AA35" s="1279"/>
      <c r="AB35" s="1279"/>
      <c r="AC35" s="1279"/>
      <c r="AD35" s="1279"/>
      <c r="AE35" s="1279"/>
      <c r="AF35" s="1279"/>
      <c r="AG35" s="1279"/>
      <c r="AH35" s="1279"/>
      <c r="AI35" s="1279"/>
      <c r="AJ35" s="1279"/>
      <c r="AK35" s="1279"/>
    </row>
    <row r="36" spans="1:38">
      <c r="A36" s="4"/>
      <c r="D36" s="1279"/>
      <c r="E36" s="1279"/>
      <c r="F36" s="1279"/>
      <c r="G36" s="1279"/>
      <c r="H36" s="1279"/>
      <c r="I36" s="1279"/>
      <c r="J36" s="1279"/>
      <c r="K36" s="1279"/>
      <c r="L36" s="1279"/>
      <c r="M36" s="1279"/>
      <c r="N36" s="1279"/>
      <c r="O36" s="1279"/>
      <c r="P36" s="1279"/>
      <c r="Q36" s="1279"/>
      <c r="R36" s="1279"/>
      <c r="S36" s="1279"/>
      <c r="T36" s="1279"/>
      <c r="U36" s="1279"/>
      <c r="V36" s="1279"/>
      <c r="W36" s="1279"/>
      <c r="X36" s="1279"/>
      <c r="Y36" s="1279"/>
      <c r="Z36" s="1279"/>
      <c r="AA36" s="1279"/>
      <c r="AB36" s="1279"/>
      <c r="AC36" s="1279"/>
      <c r="AD36" s="1279"/>
      <c r="AE36" s="1279"/>
      <c r="AF36" s="1279"/>
      <c r="AG36" s="1279"/>
      <c r="AH36" s="1279"/>
      <c r="AI36" s="1279"/>
      <c r="AJ36" s="1279"/>
      <c r="AK36" s="1279"/>
    </row>
    <row r="37" spans="1:38">
      <c r="A37" s="4"/>
      <c r="D37" s="120"/>
      <c r="E37" s="1274" t="s">
        <v>2360</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2361</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7" customFormat="1" ht="13.3" customHeight="1">
      <c r="A42" s="4"/>
      <c r="B42"/>
      <c r="C42" s="2"/>
      <c r="D42" s="4"/>
      <c r="E42" s="4" t="s">
        <v>662</v>
      </c>
      <c r="F42" s="1267" t="s">
        <v>1271</v>
      </c>
    </row>
    <row r="43" spans="1:38" s="1267" customFormat="1" ht="13.3"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3" customHeight="1">
      <c r="A45" s="4"/>
      <c r="B45"/>
      <c r="C45" s="2"/>
      <c r="D45" s="4"/>
      <c r="E45" s="3" t="s">
        <v>349</v>
      </c>
      <c r="F45" s="1273" t="s">
        <v>1355</v>
      </c>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s="118" customFormat="1">
      <c r="A46" s="4"/>
      <c r="B46"/>
      <c r="C46" s="2"/>
      <c r="D46" s="4"/>
      <c r="E46" s="4"/>
      <c r="F46" s="1273"/>
      <c r="G46" s="1273"/>
      <c r="H46" s="1273"/>
      <c r="I46" s="1273"/>
      <c r="J46" s="1273"/>
      <c r="K46" s="1273"/>
      <c r="L46" s="1273"/>
      <c r="M46" s="1273"/>
      <c r="N46" s="1273"/>
      <c r="O46" s="1273"/>
      <c r="P46" s="1273"/>
      <c r="Q46" s="1273"/>
      <c r="R46" s="1273"/>
      <c r="S46" s="1273"/>
      <c r="T46" s="1273"/>
      <c r="U46" s="1273"/>
      <c r="V46" s="1273"/>
      <c r="W46" s="1273"/>
      <c r="X46" s="1273"/>
      <c r="Y46" s="1273"/>
      <c r="Z46" s="1273"/>
      <c r="AA46" s="1273"/>
      <c r="AB46" s="1273"/>
      <c r="AC46" s="1273"/>
      <c r="AD46" s="1273"/>
      <c r="AE46" s="1273"/>
      <c r="AF46" s="1273"/>
      <c r="AG46" s="1273"/>
      <c r="AH46" s="1273"/>
      <c r="AI46" s="1273"/>
      <c r="AJ46" s="1273"/>
      <c r="AK46" s="1273"/>
      <c r="AL46" s="1273"/>
    </row>
    <row r="47" spans="1:38" s="118" customFormat="1" ht="13.3" customHeight="1">
      <c r="A47" s="4"/>
      <c r="B47"/>
      <c r="C47" s="2"/>
      <c r="D47" s="4"/>
      <c r="E47" s="4"/>
      <c r="F47" s="1273"/>
      <c r="G47" s="1273"/>
      <c r="H47" s="1273"/>
      <c r="I47" s="1273"/>
      <c r="J47" s="1273"/>
      <c r="K47" s="1273"/>
      <c r="L47" s="1273"/>
      <c r="M47" s="1273"/>
      <c r="N47" s="1273"/>
      <c r="O47" s="1273"/>
      <c r="P47" s="1273"/>
      <c r="Q47" s="1273"/>
      <c r="R47" s="1273"/>
      <c r="S47" s="1273"/>
      <c r="T47" s="1273"/>
      <c r="U47" s="1273"/>
      <c r="V47" s="1273"/>
      <c r="W47" s="1273"/>
      <c r="X47" s="1273"/>
      <c r="Y47" s="1273"/>
      <c r="Z47" s="1273"/>
      <c r="AA47" s="1273"/>
      <c r="AB47" s="1273"/>
      <c r="AC47" s="1273"/>
      <c r="AD47" s="1273"/>
      <c r="AE47" s="1273"/>
      <c r="AF47" s="1273"/>
      <c r="AG47" s="1273"/>
      <c r="AH47" s="1273"/>
      <c r="AI47" s="1273"/>
      <c r="AJ47" s="1273"/>
      <c r="AK47" s="1273"/>
      <c r="AL47" s="1273"/>
    </row>
    <row r="48" spans="1:38">
      <c r="A48" s="4"/>
      <c r="C48" s="2"/>
      <c r="D48" s="4"/>
      <c r="E48" s="4"/>
      <c r="F48" s="118" t="s">
        <v>697</v>
      </c>
      <c r="G48" s="3" t="s">
        <v>2354</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7" t="s">
        <v>2355</v>
      </c>
      <c r="G50" s="1267"/>
      <c r="H50" s="1267"/>
      <c r="I50" s="1267"/>
      <c r="J50" s="1267"/>
      <c r="K50" s="1267"/>
      <c r="L50" s="1267"/>
      <c r="M50" s="1267"/>
      <c r="N50" s="1267"/>
      <c r="O50" s="1267"/>
      <c r="P50" s="1267"/>
      <c r="Q50" s="1267"/>
      <c r="R50" s="1267"/>
      <c r="S50" s="1267"/>
      <c r="T50" s="1267"/>
      <c r="U50" s="1267"/>
      <c r="V50" s="1267"/>
      <c r="W50" s="1267"/>
      <c r="X50" s="1267"/>
      <c r="Y50" s="1267"/>
      <c r="Z50" s="1267"/>
      <c r="AA50" s="1267"/>
      <c r="AB50" s="1267"/>
      <c r="AC50" s="1267"/>
      <c r="AD50" s="1267"/>
      <c r="AE50" s="1267"/>
      <c r="AF50" s="1267"/>
      <c r="AG50" s="1267"/>
      <c r="AH50" s="1267"/>
      <c r="AI50" s="1267"/>
      <c r="AJ50" s="1267"/>
      <c r="AK50" s="1267"/>
    </row>
    <row r="51" spans="1:38">
      <c r="A51" s="4"/>
      <c r="C51" s="2"/>
      <c r="D51" s="4"/>
      <c r="E51" s="4"/>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row>
    <row r="52" spans="1:38">
      <c r="A52" s="4"/>
      <c r="C52" s="2"/>
      <c r="D52" s="4"/>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3" customHeight="1">
      <c r="A56" s="218"/>
      <c r="B56" s="218"/>
      <c r="C56" s="219"/>
      <c r="D56" s="219"/>
      <c r="E56" s="218"/>
      <c r="F56" s="220" t="s">
        <v>697</v>
      </c>
      <c r="G56" s="1272" t="s">
        <v>1298</v>
      </c>
      <c r="H56" s="1272"/>
      <c r="I56" s="1272"/>
      <c r="J56" s="1272"/>
      <c r="K56" s="1272"/>
      <c r="L56" s="1272"/>
      <c r="M56" s="1272"/>
      <c r="N56" s="1272"/>
      <c r="O56" s="1272"/>
      <c r="P56" s="1272"/>
      <c r="Q56" s="1272"/>
      <c r="R56" s="1272"/>
      <c r="S56" s="1272"/>
      <c r="T56" s="1272"/>
      <c r="U56" s="1272"/>
      <c r="V56" s="1272"/>
      <c r="W56" s="1272"/>
      <c r="X56" s="1272"/>
      <c r="Y56" s="1272"/>
      <c r="Z56" s="1272"/>
      <c r="AA56" s="1272"/>
      <c r="AB56" s="1272"/>
      <c r="AC56" s="1272"/>
      <c r="AD56" s="1272"/>
      <c r="AE56" s="1272"/>
      <c r="AF56" s="1272"/>
      <c r="AG56" s="1272"/>
      <c r="AH56" s="1272"/>
      <c r="AI56" s="1272"/>
      <c r="AJ56" s="1272"/>
      <c r="AK56" s="1272"/>
      <c r="AL56" s="218"/>
    </row>
    <row r="57" spans="1:38" ht="13.3"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2" t="s">
        <v>584</v>
      </c>
      <c r="H58" s="1272"/>
      <c r="I58" s="1272"/>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3" customHeight="1">
      <c r="A59" s="218"/>
      <c r="B59" s="219"/>
      <c r="C59" s="219"/>
      <c r="D59" s="219"/>
      <c r="E59" s="218"/>
      <c r="F59" s="220" t="s">
        <v>518</v>
      </c>
      <c r="G59" s="1272" t="s">
        <v>2356</v>
      </c>
      <c r="H59" s="1272"/>
      <c r="I59" s="1272"/>
      <c r="J59" s="1272"/>
      <c r="K59" s="1272"/>
      <c r="L59" s="1272"/>
      <c r="M59" s="1272"/>
      <c r="N59" s="1272"/>
      <c r="O59" s="1272"/>
      <c r="P59" s="1272"/>
      <c r="Q59" s="1272"/>
      <c r="R59" s="1272"/>
      <c r="S59" s="1272"/>
      <c r="T59" s="1272"/>
      <c r="U59" s="1272"/>
      <c r="V59" s="1272"/>
      <c r="W59" s="1272"/>
      <c r="X59" s="1272"/>
      <c r="Y59" s="1272"/>
      <c r="Z59" s="1272"/>
      <c r="AA59" s="1272"/>
      <c r="AB59" s="1272"/>
      <c r="AC59" s="1272"/>
      <c r="AD59" s="1272"/>
      <c r="AE59" s="1272"/>
      <c r="AF59" s="1272"/>
      <c r="AG59" s="1272"/>
      <c r="AH59" s="1272"/>
      <c r="AI59" s="1272"/>
      <c r="AJ59" s="1272"/>
      <c r="AK59" s="1272"/>
      <c r="AL59" s="1272"/>
    </row>
    <row r="60" spans="1:38">
      <c r="A60" s="218"/>
      <c r="B60" s="218"/>
      <c r="C60" s="219"/>
      <c r="D60" s="219"/>
      <c r="E60" s="218"/>
      <c r="F60" s="220"/>
      <c r="G60" s="1272"/>
      <c r="H60" s="1272"/>
      <c r="I60" s="1272"/>
      <c r="J60" s="1272"/>
      <c r="K60" s="1272"/>
      <c r="L60" s="1272"/>
      <c r="M60" s="1272"/>
      <c r="N60" s="1272"/>
      <c r="O60" s="1272"/>
      <c r="P60" s="1272"/>
      <c r="Q60" s="1272"/>
      <c r="R60" s="1272"/>
      <c r="S60" s="1272"/>
      <c r="T60" s="1272"/>
      <c r="U60" s="1272"/>
      <c r="V60" s="1272"/>
      <c r="W60" s="1272"/>
      <c r="X60" s="1272"/>
      <c r="Y60" s="1272"/>
      <c r="Z60" s="1272"/>
      <c r="AA60" s="1272"/>
      <c r="AB60" s="1272"/>
      <c r="AC60" s="1272"/>
      <c r="AD60" s="1272"/>
      <c r="AE60" s="1272"/>
      <c r="AF60" s="1272"/>
      <c r="AG60" s="1272"/>
      <c r="AH60" s="1272"/>
      <c r="AI60" s="1272"/>
      <c r="AJ60" s="1272"/>
      <c r="AK60" s="1272"/>
      <c r="AL60" s="1272"/>
    </row>
    <row r="61" spans="1:38">
      <c r="A61" s="218"/>
      <c r="B61" s="218"/>
      <c r="C61" s="219"/>
      <c r="D61" s="219"/>
      <c r="E61" s="218"/>
      <c r="F61" s="220"/>
      <c r="G61" s="513" t="s">
        <v>1390</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7" t="s">
        <v>1273</v>
      </c>
      <c r="H66" s="1267"/>
      <c r="I66" s="1267"/>
      <c r="J66" s="1267"/>
      <c r="K66" s="1267"/>
      <c r="L66" s="1267"/>
      <c r="M66" s="1267"/>
      <c r="N66" s="1267"/>
      <c r="O66" s="1267"/>
      <c r="P66" s="1267"/>
      <c r="Q66" s="1267"/>
      <c r="R66" s="1267"/>
      <c r="S66" s="1267"/>
      <c r="T66" s="1267"/>
      <c r="U66" s="1267"/>
      <c r="V66" s="1267"/>
      <c r="W66" s="1267"/>
      <c r="X66" s="1267"/>
      <c r="Y66" s="1267"/>
      <c r="Z66" s="1267"/>
      <c r="AA66" s="1267"/>
      <c r="AB66" s="1267"/>
      <c r="AC66" s="1267"/>
      <c r="AD66" s="1267"/>
      <c r="AE66" s="1267"/>
      <c r="AF66" s="1267"/>
      <c r="AG66" s="1267"/>
      <c r="AH66" s="1267"/>
      <c r="AI66" s="1267"/>
      <c r="AJ66" s="1267"/>
      <c r="AK66" s="1267"/>
    </row>
    <row r="67" spans="1:37">
      <c r="A67" s="4"/>
      <c r="C67" s="2"/>
      <c r="D67" s="4"/>
      <c r="E67" s="4"/>
      <c r="G67" s="1267"/>
      <c r="H67" s="1267"/>
      <c r="I67" s="1267"/>
      <c r="J67" s="1267"/>
      <c r="K67" s="1267"/>
      <c r="L67" s="1267"/>
      <c r="M67" s="1267"/>
      <c r="N67" s="1267"/>
      <c r="O67" s="1267"/>
      <c r="P67" s="1267"/>
      <c r="Q67" s="1267"/>
      <c r="R67" s="1267"/>
      <c r="S67" s="1267"/>
      <c r="T67" s="1267"/>
      <c r="U67" s="1267"/>
      <c r="V67" s="1267"/>
      <c r="W67" s="1267"/>
      <c r="X67" s="1267"/>
      <c r="Y67" s="1267"/>
      <c r="Z67" s="1267"/>
      <c r="AA67" s="1267"/>
      <c r="AB67" s="1267"/>
      <c r="AC67" s="1267"/>
      <c r="AD67" s="1267"/>
      <c r="AE67" s="1267"/>
      <c r="AF67" s="1267"/>
      <c r="AG67" s="1267"/>
      <c r="AH67" s="1267"/>
      <c r="AI67" s="1267"/>
      <c r="AJ67" s="1267"/>
      <c r="AK67" s="1267"/>
    </row>
    <row r="68" spans="1:37">
      <c r="A68" s="4"/>
      <c r="C68" s="2"/>
      <c r="D68" s="4"/>
      <c r="E68" s="4"/>
      <c r="G68" s="1267"/>
      <c r="H68" s="1267"/>
      <c r="I68" s="1267"/>
      <c r="J68" s="1267"/>
      <c r="K68" s="1267"/>
      <c r="L68" s="1267"/>
      <c r="M68" s="1267"/>
      <c r="N68" s="1267"/>
      <c r="O68" s="1267"/>
      <c r="P68" s="1267"/>
      <c r="Q68" s="1267"/>
      <c r="R68" s="1267"/>
      <c r="S68" s="1267"/>
      <c r="T68" s="1267"/>
      <c r="U68" s="1267"/>
      <c r="V68" s="1267"/>
      <c r="W68" s="1267"/>
      <c r="X68" s="1267"/>
      <c r="Y68" s="1267"/>
      <c r="Z68" s="1267"/>
      <c r="AA68" s="1267"/>
      <c r="AB68" s="1267"/>
      <c r="AC68" s="1267"/>
      <c r="AD68" s="1267"/>
      <c r="AE68" s="1267"/>
      <c r="AF68" s="1267"/>
      <c r="AG68" s="1267"/>
      <c r="AH68" s="1267"/>
      <c r="AI68" s="1267"/>
      <c r="AJ68" s="1267"/>
      <c r="AK68" s="1267"/>
    </row>
    <row r="69" spans="1:37" ht="13.3" customHeight="1">
      <c r="A69" s="4"/>
      <c r="C69" s="2"/>
      <c r="D69" s="4"/>
      <c r="E69" s="4"/>
      <c r="F69" t="s">
        <v>518</v>
      </c>
      <c r="G69" s="1267" t="s">
        <v>1274</v>
      </c>
      <c r="H69" s="1267"/>
      <c r="I69" s="1267"/>
      <c r="J69" s="1267"/>
      <c r="K69" s="1267"/>
      <c r="L69" s="1267"/>
      <c r="M69" s="1267"/>
      <c r="N69" s="1267"/>
      <c r="O69" s="1267"/>
      <c r="P69" s="1267"/>
      <c r="Q69" s="1267"/>
      <c r="R69" s="1267"/>
      <c r="S69" s="1267"/>
      <c r="T69" s="1267"/>
      <c r="U69" s="1267"/>
      <c r="V69" s="1267"/>
      <c r="W69" s="1267"/>
      <c r="X69" s="1267"/>
      <c r="Y69" s="1267"/>
      <c r="Z69" s="1267"/>
      <c r="AA69" s="1267"/>
      <c r="AB69" s="1267"/>
      <c r="AC69" s="1267"/>
      <c r="AD69" s="1267"/>
      <c r="AE69" s="1267"/>
      <c r="AF69" s="1267"/>
      <c r="AG69" s="1267"/>
      <c r="AH69" s="1267"/>
      <c r="AI69" s="1267"/>
      <c r="AJ69" s="1267"/>
      <c r="AK69" s="1267"/>
    </row>
    <row r="70" spans="1:37">
      <c r="A70" s="4"/>
      <c r="C70" s="2"/>
      <c r="D70" s="4"/>
      <c r="E70" s="4"/>
      <c r="F70" s="27"/>
      <c r="G70" s="1267"/>
      <c r="H70" s="1267"/>
      <c r="I70" s="1267"/>
      <c r="J70" s="1267"/>
      <c r="K70" s="1267"/>
      <c r="L70" s="1267"/>
      <c r="M70" s="1267"/>
      <c r="N70" s="1267"/>
      <c r="O70" s="1267"/>
      <c r="P70" s="1267"/>
      <c r="Q70" s="1267"/>
      <c r="R70" s="1267"/>
      <c r="S70" s="1267"/>
      <c r="T70" s="1267"/>
      <c r="U70" s="1267"/>
      <c r="V70" s="1267"/>
      <c r="W70" s="1267"/>
      <c r="X70" s="1267"/>
      <c r="Y70" s="1267"/>
      <c r="Z70" s="1267"/>
      <c r="AA70" s="1267"/>
      <c r="AB70" s="1267"/>
      <c r="AC70" s="1267"/>
      <c r="AD70" s="1267"/>
      <c r="AE70" s="1267"/>
      <c r="AF70" s="1267"/>
      <c r="AG70" s="1267"/>
      <c r="AH70" s="1267"/>
      <c r="AI70" s="1267"/>
      <c r="AJ70" s="1267"/>
      <c r="AK70" s="1267"/>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7" t="s">
        <v>1275</v>
      </c>
      <c r="H72" s="1267"/>
      <c r="I72" s="1267"/>
      <c r="J72" s="1267"/>
      <c r="K72" s="1267"/>
      <c r="L72" s="1267"/>
      <c r="M72" s="1267"/>
      <c r="N72" s="1267"/>
      <c r="O72" s="1267"/>
      <c r="P72" s="1267"/>
      <c r="Q72" s="1267"/>
      <c r="R72" s="1267"/>
      <c r="S72" s="1267"/>
      <c r="T72" s="1267"/>
      <c r="U72" s="1267"/>
      <c r="V72" s="1267"/>
      <c r="W72" s="1267"/>
      <c r="X72" s="1267"/>
      <c r="Y72" s="1267"/>
      <c r="Z72" s="1267"/>
      <c r="AA72" s="1267"/>
      <c r="AB72" s="1267"/>
      <c r="AC72" s="1267"/>
      <c r="AD72" s="1267"/>
      <c r="AE72" s="1267"/>
      <c r="AF72" s="1267"/>
      <c r="AG72" s="1267"/>
      <c r="AH72" s="1267"/>
      <c r="AI72" s="1267"/>
      <c r="AJ72" s="1267"/>
      <c r="AK72" s="1267"/>
    </row>
    <row r="73" spans="1:37">
      <c r="A73" s="4"/>
      <c r="C73" s="2"/>
      <c r="D73" s="4"/>
      <c r="E73" s="4"/>
      <c r="F73" s="8"/>
      <c r="G73" s="1267"/>
      <c r="H73" s="1267"/>
      <c r="I73" s="1267"/>
      <c r="J73" s="1267"/>
      <c r="K73" s="1267"/>
      <c r="L73" s="1267"/>
      <c r="M73" s="1267"/>
      <c r="N73" s="1267"/>
      <c r="O73" s="1267"/>
      <c r="P73" s="1267"/>
      <c r="Q73" s="1267"/>
      <c r="R73" s="1267"/>
      <c r="S73" s="1267"/>
      <c r="T73" s="1267"/>
      <c r="U73" s="1267"/>
      <c r="V73" s="1267"/>
      <c r="W73" s="1267"/>
      <c r="X73" s="1267"/>
      <c r="Y73" s="1267"/>
      <c r="Z73" s="1267"/>
      <c r="AA73" s="1267"/>
      <c r="AB73" s="1267"/>
      <c r="AC73" s="1267"/>
      <c r="AD73" s="1267"/>
      <c r="AE73" s="1267"/>
      <c r="AF73" s="1267"/>
      <c r="AG73" s="1267"/>
      <c r="AH73" s="1267"/>
      <c r="AI73" s="1267"/>
      <c r="AJ73" s="1267"/>
      <c r="AK73" s="1267"/>
    </row>
    <row r="74" spans="1:37">
      <c r="A74" s="4"/>
      <c r="C74" s="2"/>
      <c r="D74" s="4"/>
      <c r="E74" s="4"/>
      <c r="F74" s="8" t="s">
        <v>518</v>
      </c>
      <c r="G74" s="1267" t="s">
        <v>1276</v>
      </c>
      <c r="H74" s="1267"/>
      <c r="I74" s="1267"/>
      <c r="J74" s="1267"/>
      <c r="K74" s="1267"/>
      <c r="L74" s="1267"/>
      <c r="M74" s="1267"/>
      <c r="N74" s="1267"/>
      <c r="O74" s="1267"/>
      <c r="P74" s="1267"/>
      <c r="Q74" s="1267"/>
      <c r="R74" s="1267"/>
      <c r="S74" s="1267"/>
      <c r="T74" s="1267"/>
      <c r="U74" s="1267"/>
      <c r="V74" s="1267"/>
      <c r="W74" s="1267"/>
      <c r="X74" s="1267"/>
      <c r="Y74" s="1267"/>
      <c r="Z74" s="1267"/>
      <c r="AA74" s="1267"/>
      <c r="AB74" s="1267"/>
      <c r="AC74" s="1267"/>
      <c r="AD74" s="1267"/>
      <c r="AE74" s="1267"/>
      <c r="AF74" s="1267"/>
      <c r="AG74" s="1267"/>
      <c r="AH74" s="1267"/>
      <c r="AI74" s="1267"/>
      <c r="AJ74" s="1267"/>
      <c r="AK74" s="1267"/>
    </row>
    <row r="75" spans="1:37">
      <c r="A75" s="4"/>
      <c r="C75" s="2"/>
      <c r="D75" s="4"/>
      <c r="E75" s="4"/>
      <c r="F75" s="8"/>
      <c r="G75" s="1267"/>
      <c r="H75" s="1267"/>
      <c r="I75" s="1267"/>
      <c r="J75" s="1267"/>
      <c r="K75" s="1267"/>
      <c r="L75" s="1267"/>
      <c r="M75" s="1267"/>
      <c r="N75" s="1267"/>
      <c r="O75" s="1267"/>
      <c r="P75" s="1267"/>
      <c r="Q75" s="1267"/>
      <c r="R75" s="1267"/>
      <c r="S75" s="1267"/>
      <c r="T75" s="1267"/>
      <c r="U75" s="1267"/>
      <c r="V75" s="1267"/>
      <c r="W75" s="1267"/>
      <c r="X75" s="1267"/>
      <c r="Y75" s="1267"/>
      <c r="Z75" s="1267"/>
      <c r="AA75" s="1267"/>
      <c r="AB75" s="1267"/>
      <c r="AC75" s="1267"/>
      <c r="AD75" s="1267"/>
      <c r="AE75" s="1267"/>
      <c r="AF75" s="1267"/>
      <c r="AG75" s="1267"/>
      <c r="AH75" s="1267"/>
      <c r="AI75" s="1267"/>
      <c r="AJ75" s="1267"/>
      <c r="AK75" s="1267"/>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7" t="s">
        <v>1277</v>
      </c>
      <c r="H82" s="1267"/>
      <c r="I82" s="1267"/>
      <c r="J82" s="1267"/>
      <c r="K82" s="1267"/>
      <c r="L82" s="1267"/>
      <c r="M82" s="1267"/>
      <c r="N82" s="1267"/>
      <c r="O82" s="1267"/>
      <c r="P82" s="1267"/>
      <c r="Q82" s="1267"/>
      <c r="R82" s="1267"/>
      <c r="S82" s="1267"/>
      <c r="T82" s="1267"/>
      <c r="U82" s="1267"/>
      <c r="V82" s="1267"/>
      <c r="W82" s="1267"/>
      <c r="X82" s="1267"/>
      <c r="Y82" s="1267"/>
      <c r="Z82" s="1267"/>
      <c r="AA82" s="1267"/>
      <c r="AB82" s="1267"/>
      <c r="AC82" s="1267"/>
      <c r="AD82" s="1267"/>
      <c r="AE82" s="1267"/>
      <c r="AF82" s="1267"/>
      <c r="AG82" s="1267"/>
      <c r="AH82" s="1267"/>
      <c r="AI82" s="1267"/>
      <c r="AJ82" s="1267"/>
      <c r="AK82" s="1267"/>
    </row>
    <row r="83" spans="1:37">
      <c r="A83" s="4"/>
      <c r="C83" s="2"/>
      <c r="D83" s="4"/>
      <c r="E83" s="4"/>
      <c r="F83" s="4"/>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row>
    <row r="84" spans="1:37">
      <c r="A84" s="4"/>
      <c r="C84" s="2"/>
      <c r="D84" s="4"/>
      <c r="E84" s="4"/>
      <c r="F84" s="4"/>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7" t="s">
        <v>1278</v>
      </c>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row>
    <row r="87" spans="1:37">
      <c r="A87" s="4"/>
      <c r="C87" s="2"/>
      <c r="D87" s="4"/>
      <c r="E87" s="4"/>
      <c r="F87" s="4"/>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row>
    <row r="88" spans="1:37">
      <c r="A88" s="4"/>
      <c r="C88" s="2"/>
      <c r="D88" s="4"/>
      <c r="E88" s="4"/>
      <c r="G88" s="1267"/>
      <c r="H88" s="1267"/>
      <c r="I88" s="1267"/>
      <c r="J88" s="1267"/>
      <c r="K88" s="1267"/>
      <c r="L88" s="1267"/>
      <c r="M88" s="1267"/>
      <c r="N88" s="1267"/>
      <c r="O88" s="1267"/>
      <c r="P88" s="1267"/>
      <c r="Q88" s="1267"/>
      <c r="R88" s="1267"/>
      <c r="S88" s="1267"/>
      <c r="T88" s="1267"/>
      <c r="U88" s="1267"/>
      <c r="V88" s="1267"/>
      <c r="W88" s="1267"/>
      <c r="X88" s="1267"/>
      <c r="Y88" s="1267"/>
      <c r="Z88" s="1267"/>
      <c r="AA88" s="1267"/>
      <c r="AB88" s="1267"/>
      <c r="AC88" s="1267"/>
      <c r="AD88" s="1267"/>
      <c r="AE88" s="1267"/>
      <c r="AF88" s="1267"/>
      <c r="AG88" s="1267"/>
      <c r="AH88" s="1267"/>
      <c r="AI88" s="1267"/>
      <c r="AJ88" s="1267"/>
      <c r="AK88" s="1267"/>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70" t="s">
        <v>1279</v>
      </c>
      <c r="H90" s="1270"/>
      <c r="I90" s="1270"/>
      <c r="J90" s="1270"/>
      <c r="K90" s="1270"/>
      <c r="L90" s="1270"/>
      <c r="M90" s="1270"/>
      <c r="N90" s="1270"/>
      <c r="O90" s="1270"/>
      <c r="P90" s="1270"/>
      <c r="Q90" s="1270"/>
      <c r="R90" s="1270"/>
      <c r="S90" s="1270"/>
      <c r="T90" s="1270"/>
      <c r="U90" s="1270"/>
      <c r="V90" s="1270"/>
      <c r="W90" s="1270"/>
      <c r="X90" s="1270"/>
      <c r="Y90" s="1270"/>
      <c r="Z90" s="1270"/>
      <c r="AA90" s="1270"/>
      <c r="AB90" s="1270"/>
      <c r="AC90" s="1270"/>
      <c r="AD90" s="1270"/>
      <c r="AE90" s="1270"/>
      <c r="AF90" s="1270"/>
      <c r="AG90" s="1270"/>
      <c r="AH90" s="1270"/>
      <c r="AI90" s="1270"/>
      <c r="AJ90" s="1270"/>
      <c r="AK90" s="1270"/>
    </row>
    <row r="91" spans="1:37">
      <c r="A91" s="4"/>
      <c r="C91" s="2"/>
      <c r="D91" s="4"/>
      <c r="E91" s="4"/>
      <c r="G91" s="1270"/>
      <c r="H91" s="1270"/>
      <c r="I91" s="1270"/>
      <c r="J91" s="1270"/>
      <c r="K91" s="1270"/>
      <c r="L91" s="1270"/>
      <c r="M91" s="1270"/>
      <c r="N91" s="1270"/>
      <c r="O91" s="1270"/>
      <c r="P91" s="1270"/>
      <c r="Q91" s="1270"/>
      <c r="R91" s="1270"/>
      <c r="S91" s="1270"/>
      <c r="T91" s="1270"/>
      <c r="U91" s="1270"/>
      <c r="V91" s="1270"/>
      <c r="W91" s="1270"/>
      <c r="X91" s="1270"/>
      <c r="Y91" s="1270"/>
      <c r="Z91" s="1270"/>
      <c r="AA91" s="1270"/>
      <c r="AB91" s="1270"/>
      <c r="AC91" s="1270"/>
      <c r="AD91" s="1270"/>
      <c r="AE91" s="1270"/>
      <c r="AF91" s="1270"/>
      <c r="AG91" s="1270"/>
      <c r="AH91" s="1270"/>
      <c r="AI91" s="1270"/>
      <c r="AJ91" s="1270"/>
      <c r="AK91" s="1270"/>
    </row>
    <row r="92" spans="1:37">
      <c r="A92" s="4"/>
      <c r="C92" s="2"/>
      <c r="D92" s="4"/>
      <c r="E92" s="4"/>
      <c r="G92" s="1270"/>
      <c r="H92" s="1270"/>
      <c r="I92" s="1270"/>
      <c r="J92" s="1270"/>
      <c r="K92" s="1270"/>
      <c r="L92" s="1270"/>
      <c r="M92" s="1270"/>
      <c r="N92" s="1270"/>
      <c r="O92" s="1270"/>
      <c r="P92" s="1270"/>
      <c r="Q92" s="1270"/>
      <c r="R92" s="1270"/>
      <c r="S92" s="1270"/>
      <c r="T92" s="1270"/>
      <c r="U92" s="1270"/>
      <c r="V92" s="1270"/>
      <c r="W92" s="1270"/>
      <c r="X92" s="1270"/>
      <c r="Y92" s="1270"/>
      <c r="Z92" s="1270"/>
      <c r="AA92" s="1270"/>
      <c r="AB92" s="1270"/>
      <c r="AC92" s="1270"/>
      <c r="AD92" s="1270"/>
      <c r="AE92" s="1270"/>
      <c r="AF92" s="1270"/>
      <c r="AG92" s="1270"/>
      <c r="AH92" s="1270"/>
      <c r="AI92" s="1270"/>
      <c r="AJ92" s="1270"/>
      <c r="AK92" s="1270"/>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7" t="s">
        <v>1280</v>
      </c>
      <c r="H94" s="1267"/>
      <c r="I94" s="1267"/>
      <c r="J94" s="1267"/>
      <c r="K94" s="1267"/>
      <c r="L94" s="1267"/>
      <c r="M94" s="1267"/>
      <c r="N94" s="1267"/>
      <c r="O94" s="1267"/>
      <c r="P94" s="1267"/>
      <c r="Q94" s="1267"/>
      <c r="R94" s="1267"/>
      <c r="S94" s="1267"/>
      <c r="T94" s="1267"/>
      <c r="U94" s="1267"/>
      <c r="V94" s="1267"/>
      <c r="W94" s="1267"/>
      <c r="X94" s="1267"/>
      <c r="Y94" s="1267"/>
      <c r="Z94" s="1267"/>
      <c r="AA94" s="1267"/>
      <c r="AB94" s="1267"/>
      <c r="AC94" s="1267"/>
      <c r="AD94" s="1267"/>
      <c r="AE94" s="1267"/>
      <c r="AF94" s="1267"/>
      <c r="AG94" s="1267"/>
      <c r="AH94" s="1267"/>
      <c r="AI94" s="1267"/>
      <c r="AJ94" s="1267"/>
      <c r="AK94" s="1267"/>
    </row>
    <row r="95" spans="1:37">
      <c r="A95" s="4"/>
      <c r="C95" s="2"/>
      <c r="D95" s="4"/>
      <c r="E95" s="4"/>
      <c r="G95" s="1267"/>
      <c r="H95" s="1267"/>
      <c r="I95" s="1267"/>
      <c r="J95" s="1267"/>
      <c r="K95" s="1267"/>
      <c r="L95" s="1267"/>
      <c r="M95" s="1267"/>
      <c r="N95" s="1267"/>
      <c r="O95" s="1267"/>
      <c r="P95" s="1267"/>
      <c r="Q95" s="1267"/>
      <c r="R95" s="1267"/>
      <c r="S95" s="1267"/>
      <c r="T95" s="1267"/>
      <c r="U95" s="1267"/>
      <c r="V95" s="1267"/>
      <c r="W95" s="1267"/>
      <c r="X95" s="1267"/>
      <c r="Y95" s="1267"/>
      <c r="Z95" s="1267"/>
      <c r="AA95" s="1267"/>
      <c r="AB95" s="1267"/>
      <c r="AC95" s="1267"/>
      <c r="AD95" s="1267"/>
      <c r="AE95" s="1267"/>
      <c r="AF95" s="1267"/>
      <c r="AG95" s="1267"/>
      <c r="AH95" s="1267"/>
      <c r="AI95" s="1267"/>
      <c r="AJ95" s="1267"/>
      <c r="AK95" s="1267"/>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7" t="s">
        <v>1281</v>
      </c>
      <c r="H97" s="1267"/>
      <c r="I97" s="1267"/>
      <c r="J97" s="1267"/>
      <c r="K97" s="1267"/>
      <c r="L97" s="1267"/>
      <c r="M97" s="1267"/>
      <c r="N97" s="1267"/>
      <c r="O97" s="1267"/>
      <c r="P97" s="1267"/>
      <c r="Q97" s="1267"/>
      <c r="R97" s="1267"/>
      <c r="S97" s="1267"/>
      <c r="T97" s="1267"/>
      <c r="U97" s="1267"/>
      <c r="V97" s="1267"/>
      <c r="W97" s="1267"/>
      <c r="X97" s="1267"/>
      <c r="Y97" s="1267"/>
      <c r="Z97" s="1267"/>
      <c r="AA97" s="1267"/>
      <c r="AB97" s="1267"/>
      <c r="AC97" s="1267"/>
      <c r="AD97" s="1267"/>
      <c r="AE97" s="1267"/>
      <c r="AF97" s="1267"/>
      <c r="AG97" s="1267"/>
      <c r="AH97" s="1267"/>
      <c r="AI97" s="1267"/>
      <c r="AJ97" s="1267"/>
      <c r="AK97" s="1267"/>
    </row>
    <row r="98" spans="1:38">
      <c r="A98" s="4"/>
      <c r="C98" s="2"/>
      <c r="D98" s="4"/>
      <c r="E98" s="4"/>
      <c r="G98" s="1267"/>
      <c r="H98" s="1267"/>
      <c r="I98" s="1267"/>
      <c r="J98" s="1267"/>
      <c r="K98" s="1267"/>
      <c r="L98" s="1267"/>
      <c r="M98" s="1267"/>
      <c r="N98" s="1267"/>
      <c r="O98" s="1267"/>
      <c r="P98" s="1267"/>
      <c r="Q98" s="1267"/>
      <c r="R98" s="1267"/>
      <c r="S98" s="1267"/>
      <c r="T98" s="1267"/>
      <c r="U98" s="1267"/>
      <c r="V98" s="1267"/>
      <c r="W98" s="1267"/>
      <c r="X98" s="1267"/>
      <c r="Y98" s="1267"/>
      <c r="Z98" s="1267"/>
      <c r="AA98" s="1267"/>
      <c r="AB98" s="1267"/>
      <c r="AC98" s="1267"/>
      <c r="AD98" s="1267"/>
      <c r="AE98" s="1267"/>
      <c r="AF98" s="1267"/>
      <c r="AG98" s="1267"/>
      <c r="AH98" s="1267"/>
      <c r="AI98" s="1267"/>
      <c r="AJ98" s="1267"/>
      <c r="AK98" s="1267"/>
    </row>
    <row r="99" spans="1:38">
      <c r="A99" s="4"/>
      <c r="C99" s="2"/>
      <c r="D99" s="4"/>
      <c r="E99" s="4"/>
      <c r="G99" s="1267"/>
      <c r="H99" s="1267"/>
      <c r="I99" s="1267"/>
      <c r="J99" s="1267"/>
      <c r="K99" s="1267"/>
      <c r="L99" s="1267"/>
      <c r="M99" s="1267"/>
      <c r="N99" s="1267"/>
      <c r="O99" s="1267"/>
      <c r="P99" s="1267"/>
      <c r="Q99" s="1267"/>
      <c r="R99" s="1267"/>
      <c r="S99" s="1267"/>
      <c r="T99" s="1267"/>
      <c r="U99" s="1267"/>
      <c r="V99" s="1267"/>
      <c r="W99" s="1267"/>
      <c r="X99" s="1267"/>
      <c r="Y99" s="1267"/>
      <c r="Z99" s="1267"/>
      <c r="AA99" s="1267"/>
      <c r="AB99" s="1267"/>
      <c r="AC99" s="1267"/>
      <c r="AD99" s="1267"/>
      <c r="AE99" s="1267"/>
      <c r="AF99" s="1267"/>
      <c r="AG99" s="1267"/>
      <c r="AH99" s="1267"/>
      <c r="AI99" s="1267"/>
      <c r="AJ99" s="1267"/>
      <c r="AK99" s="1267"/>
    </row>
    <row r="100" spans="1:38">
      <c r="A100" s="4"/>
      <c r="D100" s="99"/>
      <c r="E100" s="1271" t="s">
        <v>1282</v>
      </c>
      <c r="F100" s="1271"/>
      <c r="G100" s="1271"/>
      <c r="H100" s="1271"/>
      <c r="I100" s="1271"/>
      <c r="J100" s="1271"/>
      <c r="K100" s="1271"/>
      <c r="L100" s="1271"/>
      <c r="M100" s="1271"/>
      <c r="N100" s="1271"/>
      <c r="O100" s="1271"/>
      <c r="P100" s="1271"/>
      <c r="Q100" s="1271"/>
      <c r="R100" s="1271"/>
      <c r="S100" s="1271"/>
      <c r="T100" s="1271"/>
      <c r="U100" s="1271"/>
      <c r="V100" s="1271"/>
      <c r="W100" s="1271"/>
      <c r="X100" s="1271"/>
      <c r="Y100" s="1271"/>
      <c r="Z100" s="1271"/>
      <c r="AA100" s="1271"/>
      <c r="AB100" s="1271"/>
      <c r="AC100" s="1271"/>
      <c r="AD100" s="1271"/>
      <c r="AE100" s="1271"/>
      <c r="AF100" s="1271"/>
      <c r="AG100" s="1271"/>
      <c r="AH100" s="1271"/>
      <c r="AI100" s="1271"/>
      <c r="AJ100" s="1271"/>
      <c r="AK100" s="1271"/>
    </row>
    <row r="101" spans="1:38">
      <c r="A101" s="4"/>
      <c r="D101" s="99"/>
      <c r="E101" s="1271"/>
      <c r="F101" s="1271"/>
      <c r="G101" s="1271"/>
      <c r="H101" s="1271"/>
      <c r="I101" s="1271"/>
      <c r="J101" s="1271"/>
      <c r="K101" s="1271"/>
      <c r="L101" s="1271"/>
      <c r="M101" s="1271"/>
      <c r="N101" s="1271"/>
      <c r="O101" s="1271"/>
      <c r="P101" s="1271"/>
      <c r="Q101" s="1271"/>
      <c r="R101" s="1271"/>
      <c r="S101" s="1271"/>
      <c r="T101" s="1271"/>
      <c r="U101" s="1271"/>
      <c r="V101" s="1271"/>
      <c r="W101" s="1271"/>
      <c r="X101" s="1271"/>
      <c r="Y101" s="1271"/>
      <c r="Z101" s="1271"/>
      <c r="AA101" s="1271"/>
      <c r="AB101" s="1271"/>
      <c r="AC101" s="1271"/>
      <c r="AD101" s="1271"/>
      <c r="AE101" s="1271"/>
      <c r="AF101" s="1271"/>
      <c r="AG101" s="1271"/>
      <c r="AH101" s="1271"/>
      <c r="AI101" s="1271"/>
      <c r="AJ101" s="1271"/>
      <c r="AK101" s="1271"/>
    </row>
    <row r="102" spans="1:38" ht="12.9">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1368</v>
      </c>
      <c r="G133" s="2"/>
      <c r="H133" s="2"/>
      <c r="I133" s="2"/>
      <c r="J133" s="2"/>
      <c r="K133" s="2"/>
      <c r="L133" s="2"/>
      <c r="M133" s="2"/>
      <c r="N133" s="2"/>
    </row>
    <row r="134" spans="4:37" ht="12.75" customHeight="1">
      <c r="E134" s="119" t="s">
        <v>1366</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1367</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2357</v>
      </c>
      <c r="F140" s="2"/>
      <c r="G140" s="2"/>
      <c r="H140" s="2"/>
    </row>
    <row r="141" spans="4:37">
      <c r="E141" t="s">
        <v>112</v>
      </c>
      <c r="F141" t="s">
        <v>52</v>
      </c>
    </row>
    <row r="142" spans="4:37">
      <c r="E142" t="s">
        <v>113</v>
      </c>
      <c r="F142" t="s">
        <v>475</v>
      </c>
    </row>
    <row r="143" spans="4:37"/>
    <row r="144" spans="4:37">
      <c r="D144" s="2" t="s">
        <v>430</v>
      </c>
      <c r="E144" s="2" t="s">
        <v>2358</v>
      </c>
    </row>
    <row r="145" spans="3:7">
      <c r="E145" s="218" t="s">
        <v>2359</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7" t="s">
        <v>1283</v>
      </c>
      <c r="H207" s="1267"/>
      <c r="I207" s="1267"/>
      <c r="J207" s="1267"/>
      <c r="K207" s="1267"/>
      <c r="L207" s="1267"/>
      <c r="M207" s="1267"/>
      <c r="N207" s="1267"/>
      <c r="O207" s="1267"/>
      <c r="P207" s="1267"/>
      <c r="Q207" s="1267"/>
      <c r="R207" s="1267"/>
      <c r="S207" s="1267"/>
      <c r="T207" s="1267"/>
      <c r="U207" s="1267"/>
      <c r="V207" s="1267"/>
      <c r="W207" s="1267"/>
      <c r="X207" s="1267"/>
      <c r="Y207" s="1267"/>
      <c r="Z207" s="1267"/>
      <c r="AA207" s="1267"/>
      <c r="AB207" s="1267"/>
      <c r="AC207" s="1267"/>
      <c r="AD207" s="1267"/>
      <c r="AE207" s="1267"/>
      <c r="AF207" s="1267"/>
      <c r="AG207" s="1267"/>
      <c r="AH207" s="1267"/>
      <c r="AI207" s="1267"/>
      <c r="AJ207" s="1267"/>
      <c r="AK207" s="1267"/>
    </row>
    <row r="208" spans="2:37">
      <c r="B208" s="4"/>
      <c r="C208" s="4"/>
      <c r="D208" s="2"/>
      <c r="G208" s="1267"/>
      <c r="H208" s="1267"/>
      <c r="I208" s="1267"/>
      <c r="J208" s="1267"/>
      <c r="K208" s="1267"/>
      <c r="L208" s="1267"/>
      <c r="M208" s="1267"/>
      <c r="N208" s="1267"/>
      <c r="O208" s="1267"/>
      <c r="P208" s="1267"/>
      <c r="Q208" s="1267"/>
      <c r="R208" s="1267"/>
      <c r="S208" s="1267"/>
      <c r="T208" s="1267"/>
      <c r="U208" s="1267"/>
      <c r="V208" s="1267"/>
      <c r="W208" s="1267"/>
      <c r="X208" s="1267"/>
      <c r="Y208" s="1267"/>
      <c r="Z208" s="1267"/>
      <c r="AA208" s="1267"/>
      <c r="AB208" s="1267"/>
      <c r="AC208" s="1267"/>
      <c r="AD208" s="1267"/>
      <c r="AE208" s="1267"/>
      <c r="AF208" s="1267"/>
      <c r="AG208" s="1267"/>
      <c r="AH208" s="1267"/>
      <c r="AI208" s="1267"/>
      <c r="AJ208" s="1267"/>
      <c r="AK208" s="1267"/>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7" t="s">
        <v>1258</v>
      </c>
      <c r="G338" s="1267"/>
      <c r="H338" s="1267"/>
      <c r="I338" s="1267"/>
      <c r="J338" s="1267"/>
      <c r="K338" s="1267"/>
      <c r="L338" s="1267"/>
      <c r="M338" s="1267"/>
      <c r="N338" s="1267"/>
      <c r="O338" s="1267"/>
      <c r="P338" s="1267"/>
      <c r="Q338" s="1267"/>
      <c r="R338" s="1267"/>
      <c r="S338" s="1267"/>
      <c r="T338" s="1267"/>
      <c r="U338" s="1267"/>
      <c r="V338" s="1267"/>
      <c r="W338" s="1267"/>
      <c r="X338" s="1267"/>
      <c r="Y338" s="1267"/>
      <c r="Z338" s="1267"/>
      <c r="AA338" s="1267"/>
      <c r="AB338" s="1267"/>
      <c r="AC338" s="1267"/>
      <c r="AD338" s="1267"/>
      <c r="AE338" s="1267"/>
      <c r="AF338" s="1267"/>
      <c r="AG338" s="1267"/>
      <c r="AH338" s="1267"/>
      <c r="AI338" s="1267"/>
      <c r="AJ338" s="1267"/>
      <c r="AK338" s="1267"/>
    </row>
    <row r="339" spans="2:37">
      <c r="B339" s="2"/>
      <c r="E339" s="4"/>
      <c r="F339" s="1267"/>
      <c r="G339" s="1267"/>
      <c r="H339" s="1267"/>
      <c r="I339" s="1267"/>
      <c r="J339" s="1267"/>
      <c r="K339" s="1267"/>
      <c r="L339" s="1267"/>
      <c r="M339" s="1267"/>
      <c r="N339" s="1267"/>
      <c r="O339" s="1267"/>
      <c r="P339" s="1267"/>
      <c r="Q339" s="1267"/>
      <c r="R339" s="1267"/>
      <c r="S339" s="1267"/>
      <c r="T339" s="1267"/>
      <c r="U339" s="1267"/>
      <c r="V339" s="1267"/>
      <c r="W339" s="1267"/>
      <c r="X339" s="1267"/>
      <c r="Y339" s="1267"/>
      <c r="Z339" s="1267"/>
      <c r="AA339" s="1267"/>
      <c r="AB339" s="1267"/>
      <c r="AC339" s="1267"/>
      <c r="AD339" s="1267"/>
      <c r="AE339" s="1267"/>
      <c r="AF339" s="1267"/>
      <c r="AG339" s="1267"/>
      <c r="AH339" s="1267"/>
      <c r="AI339" s="1267"/>
      <c r="AJ339" s="1267"/>
      <c r="AK339" s="1267"/>
    </row>
    <row r="340" spans="2:37">
      <c r="B340" s="2"/>
      <c r="E340" s="4"/>
      <c r="F340" s="1267"/>
      <c r="G340" s="1267"/>
      <c r="H340" s="1267"/>
      <c r="I340" s="1267"/>
      <c r="J340" s="1267"/>
      <c r="K340" s="1267"/>
      <c r="L340" s="1267"/>
      <c r="M340" s="1267"/>
      <c r="N340" s="1267"/>
      <c r="O340" s="1267"/>
      <c r="P340" s="1267"/>
      <c r="Q340" s="1267"/>
      <c r="R340" s="1267"/>
      <c r="S340" s="1267"/>
      <c r="T340" s="1267"/>
      <c r="U340" s="1267"/>
      <c r="V340" s="1267"/>
      <c r="W340" s="1267"/>
      <c r="X340" s="1267"/>
      <c r="Y340" s="1267"/>
      <c r="Z340" s="1267"/>
      <c r="AA340" s="1267"/>
      <c r="AB340" s="1267"/>
      <c r="AC340" s="1267"/>
      <c r="AD340" s="1267"/>
      <c r="AE340" s="1267"/>
      <c r="AF340" s="1267"/>
      <c r="AG340" s="1267"/>
      <c r="AH340" s="1267"/>
      <c r="AI340" s="1267"/>
      <c r="AJ340" s="1267"/>
      <c r="AK340" s="1267"/>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3" customHeight="1">
      <c r="B343" s="2"/>
      <c r="E343" s="1272" t="s">
        <v>1343</v>
      </c>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c r="B346" s="2"/>
      <c r="E346" s="1272"/>
      <c r="F346" s="1272"/>
      <c r="G346" s="1272"/>
      <c r="H346" s="1272"/>
      <c r="I346" s="1272"/>
      <c r="J346" s="1272"/>
      <c r="K346" s="1272"/>
      <c r="L346" s="1272"/>
      <c r="M346" s="1272"/>
      <c r="N346" s="1272"/>
      <c r="O346" s="1272"/>
      <c r="P346" s="1272"/>
      <c r="Q346" s="1272"/>
      <c r="R346" s="1272"/>
      <c r="S346" s="1272"/>
      <c r="T346" s="1272"/>
      <c r="U346" s="1272"/>
      <c r="V346" s="1272"/>
      <c r="W346" s="1272"/>
      <c r="X346" s="1272"/>
      <c r="Y346" s="1272"/>
      <c r="Z346" s="1272"/>
      <c r="AA346" s="1272"/>
      <c r="AB346" s="1272"/>
      <c r="AC346" s="1272"/>
      <c r="AD346" s="1272"/>
      <c r="AE346" s="1272"/>
      <c r="AF346" s="1272"/>
      <c r="AG346" s="1272"/>
      <c r="AH346" s="1272"/>
      <c r="AI346" s="1272"/>
      <c r="AJ346" s="1272"/>
      <c r="AK346" s="1272"/>
    </row>
    <row r="347" spans="2:37">
      <c r="B347" s="2"/>
      <c r="E347" s="1272"/>
      <c r="F347" s="1272"/>
      <c r="G347" s="1272"/>
      <c r="H347" s="1272"/>
      <c r="I347" s="1272"/>
      <c r="J347" s="1272"/>
      <c r="K347" s="1272"/>
      <c r="L347" s="1272"/>
      <c r="M347" s="1272"/>
      <c r="N347" s="1272"/>
      <c r="O347" s="1272"/>
      <c r="P347" s="1272"/>
      <c r="Q347" s="1272"/>
      <c r="R347" s="1272"/>
      <c r="S347" s="1272"/>
      <c r="T347" s="1272"/>
      <c r="U347" s="1272"/>
      <c r="V347" s="1272"/>
      <c r="W347" s="1272"/>
      <c r="X347" s="1272"/>
      <c r="Y347" s="1272"/>
      <c r="Z347" s="1272"/>
      <c r="AA347" s="1272"/>
      <c r="AB347" s="1272"/>
      <c r="AC347" s="1272"/>
      <c r="AD347" s="1272"/>
      <c r="AE347" s="1272"/>
      <c r="AF347" s="1272"/>
      <c r="AG347" s="1272"/>
      <c r="AH347" s="1272"/>
      <c r="AI347" s="1272"/>
      <c r="AJ347" s="1272"/>
      <c r="AK347" s="1272"/>
    </row>
    <row r="348" spans="2:37">
      <c r="B348" s="2"/>
      <c r="E348" s="3" t="s">
        <v>112</v>
      </c>
      <c r="F348" s="1267" t="s">
        <v>1345</v>
      </c>
      <c r="G348" s="1267"/>
      <c r="H348" s="1267"/>
      <c r="I348" s="1267"/>
      <c r="J348" s="1267"/>
      <c r="K348" s="1267"/>
      <c r="L348" s="1267"/>
      <c r="M348" s="1267"/>
      <c r="N348" s="1267"/>
      <c r="O348" s="1267"/>
      <c r="P348" s="1267"/>
      <c r="Q348" s="1267"/>
      <c r="R348" s="1267"/>
      <c r="S348" s="1267"/>
      <c r="T348" s="1267"/>
      <c r="U348" s="1267"/>
      <c r="V348" s="1267"/>
      <c r="W348" s="1267"/>
      <c r="X348" s="1267"/>
      <c r="Y348" s="1267"/>
      <c r="Z348" s="1267"/>
      <c r="AA348" s="1267"/>
      <c r="AB348" s="1267"/>
      <c r="AC348" s="1267"/>
      <c r="AD348" s="1267"/>
      <c r="AE348" s="1267"/>
      <c r="AF348" s="1267"/>
      <c r="AG348" s="1267"/>
      <c r="AH348" s="1267"/>
      <c r="AI348" s="1267"/>
      <c r="AJ348" s="1267"/>
      <c r="AK348" s="1267"/>
    </row>
    <row r="349" spans="2:37">
      <c r="B349" s="2"/>
      <c r="E349" s="3"/>
      <c r="F349" s="1267"/>
      <c r="G349" s="1267"/>
      <c r="H349" s="1267"/>
      <c r="I349" s="1267"/>
      <c r="J349" s="1267"/>
      <c r="K349" s="1267"/>
      <c r="L349" s="1267"/>
      <c r="M349" s="1267"/>
      <c r="N349" s="1267"/>
      <c r="O349" s="1267"/>
      <c r="P349" s="1267"/>
      <c r="Q349" s="1267"/>
      <c r="R349" s="1267"/>
      <c r="S349" s="1267"/>
      <c r="T349" s="1267"/>
      <c r="U349" s="1267"/>
      <c r="V349" s="1267"/>
      <c r="W349" s="1267"/>
      <c r="X349" s="1267"/>
      <c r="Y349" s="1267"/>
      <c r="Z349" s="1267"/>
      <c r="AA349" s="1267"/>
      <c r="AB349" s="1267"/>
      <c r="AC349" s="1267"/>
      <c r="AD349" s="1267"/>
      <c r="AE349" s="1267"/>
      <c r="AF349" s="1267"/>
      <c r="AG349" s="1267"/>
      <c r="AH349" s="1267"/>
      <c r="AI349" s="1267"/>
      <c r="AJ349" s="1267"/>
      <c r="AK349" s="1267"/>
    </row>
    <row r="350" spans="2:37">
      <c r="B350" s="2"/>
      <c r="E350" s="3"/>
      <c r="F350" s="1267"/>
      <c r="G350" s="1267"/>
      <c r="H350" s="1267"/>
      <c r="I350" s="1267"/>
      <c r="J350" s="1267"/>
      <c r="K350" s="1267"/>
      <c r="L350" s="1267"/>
      <c r="M350" s="1267"/>
      <c r="N350" s="1267"/>
      <c r="O350" s="1267"/>
      <c r="P350" s="1267"/>
      <c r="Q350" s="1267"/>
      <c r="R350" s="1267"/>
      <c r="S350" s="1267"/>
      <c r="T350" s="1267"/>
      <c r="U350" s="1267"/>
      <c r="V350" s="1267"/>
      <c r="W350" s="1267"/>
      <c r="X350" s="1267"/>
      <c r="Y350" s="1267"/>
      <c r="Z350" s="1267"/>
      <c r="AA350" s="1267"/>
      <c r="AB350" s="1267"/>
      <c r="AC350" s="1267"/>
      <c r="AD350" s="1267"/>
      <c r="AE350" s="1267"/>
      <c r="AF350" s="1267"/>
      <c r="AG350" s="1267"/>
      <c r="AH350" s="1267"/>
      <c r="AI350" s="1267"/>
      <c r="AJ350" s="1267"/>
      <c r="AK350" s="1267"/>
    </row>
    <row r="351" spans="2:37">
      <c r="B351" s="2"/>
      <c r="E351" s="3"/>
      <c r="F351" s="1267"/>
      <c r="G351" s="1267"/>
      <c r="H351" s="1267"/>
      <c r="I351" s="1267"/>
      <c r="J351" s="1267"/>
      <c r="K351" s="1267"/>
      <c r="L351" s="1267"/>
      <c r="M351" s="1267"/>
      <c r="N351" s="1267"/>
      <c r="O351" s="1267"/>
      <c r="P351" s="1267"/>
      <c r="Q351" s="1267"/>
      <c r="R351" s="1267"/>
      <c r="S351" s="1267"/>
      <c r="T351" s="1267"/>
      <c r="U351" s="1267"/>
      <c r="V351" s="1267"/>
      <c r="W351" s="1267"/>
      <c r="X351" s="1267"/>
      <c r="Y351" s="1267"/>
      <c r="Z351" s="1267"/>
      <c r="AA351" s="1267"/>
      <c r="AB351" s="1267"/>
      <c r="AC351" s="1267"/>
      <c r="AD351" s="1267"/>
      <c r="AE351" s="1267"/>
      <c r="AF351" s="1267"/>
      <c r="AG351" s="1267"/>
      <c r="AH351" s="1267"/>
      <c r="AI351" s="1267"/>
      <c r="AJ351" s="1267"/>
      <c r="AK351" s="1267"/>
    </row>
    <row r="352" spans="2:37">
      <c r="B352" s="2"/>
      <c r="E352" s="3" t="s">
        <v>113</v>
      </c>
      <c r="F352" s="1267" t="s">
        <v>1344</v>
      </c>
      <c r="G352" s="1267"/>
      <c r="H352" s="1267"/>
      <c r="I352" s="1267"/>
      <c r="J352" s="1267"/>
      <c r="K352" s="1267"/>
      <c r="L352" s="1267"/>
      <c r="M352" s="1267"/>
      <c r="N352" s="1267"/>
      <c r="O352" s="1267"/>
      <c r="P352" s="1267"/>
      <c r="Q352" s="1267"/>
      <c r="R352" s="1267"/>
      <c r="S352" s="1267"/>
      <c r="T352" s="1267"/>
      <c r="U352" s="1267"/>
      <c r="V352" s="1267"/>
      <c r="W352" s="1267"/>
      <c r="X352" s="1267"/>
      <c r="Y352" s="1267"/>
      <c r="Z352" s="1267"/>
      <c r="AA352" s="1267"/>
      <c r="AB352" s="1267"/>
      <c r="AC352" s="1267"/>
      <c r="AD352" s="1267"/>
      <c r="AE352" s="1267"/>
      <c r="AF352" s="1267"/>
      <c r="AG352" s="1267"/>
      <c r="AH352" s="1267"/>
      <c r="AI352" s="1267"/>
      <c r="AJ352" s="1267"/>
      <c r="AK352" s="1267"/>
    </row>
    <row r="353" spans="1:38">
      <c r="B353" s="2"/>
      <c r="F353" s="1267"/>
      <c r="G353" s="1267"/>
      <c r="H353" s="1267"/>
      <c r="I353" s="1267"/>
      <c r="J353" s="1267"/>
      <c r="K353" s="1267"/>
      <c r="L353" s="1267"/>
      <c r="M353" s="1267"/>
      <c r="N353" s="1267"/>
      <c r="O353" s="1267"/>
      <c r="P353" s="1267"/>
      <c r="Q353" s="1267"/>
      <c r="R353" s="1267"/>
      <c r="S353" s="1267"/>
      <c r="T353" s="1267"/>
      <c r="U353" s="1267"/>
      <c r="V353" s="1267"/>
      <c r="W353" s="1267"/>
      <c r="X353" s="1267"/>
      <c r="Y353" s="1267"/>
      <c r="Z353" s="1267"/>
      <c r="AA353" s="1267"/>
      <c r="AB353" s="1267"/>
      <c r="AC353" s="1267"/>
      <c r="AD353" s="1267"/>
      <c r="AE353" s="1267"/>
      <c r="AF353" s="1267"/>
      <c r="AG353" s="1267"/>
      <c r="AH353" s="1267"/>
      <c r="AI353" s="1267"/>
      <c r="AJ353" s="1267"/>
      <c r="AK353" s="1267"/>
    </row>
    <row r="354" spans="1:38">
      <c r="B354" s="2"/>
      <c r="F354" s="1267"/>
      <c r="G354" s="1267"/>
      <c r="H354" s="1267"/>
      <c r="I354" s="1267"/>
      <c r="J354" s="1267"/>
      <c r="K354" s="1267"/>
      <c r="L354" s="1267"/>
      <c r="M354" s="1267"/>
      <c r="N354" s="1267"/>
      <c r="O354" s="1267"/>
      <c r="P354" s="1267"/>
      <c r="Q354" s="1267"/>
      <c r="R354" s="1267"/>
      <c r="S354" s="1267"/>
      <c r="T354" s="1267"/>
      <c r="U354" s="1267"/>
      <c r="V354" s="1267"/>
      <c r="W354" s="1267"/>
      <c r="X354" s="1267"/>
      <c r="Y354" s="1267"/>
      <c r="Z354" s="1267"/>
      <c r="AA354" s="1267"/>
      <c r="AB354" s="1267"/>
      <c r="AC354" s="1267"/>
      <c r="AD354" s="1267"/>
      <c r="AE354" s="1267"/>
      <c r="AF354" s="1267"/>
      <c r="AG354" s="1267"/>
      <c r="AH354" s="1267"/>
      <c r="AI354" s="1267"/>
      <c r="AJ354" s="1267"/>
      <c r="AK354" s="1267"/>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3"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3"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5" t="s">
        <v>1334</v>
      </c>
      <c r="F367" s="1275"/>
      <c r="G367" s="1275"/>
      <c r="H367" s="1275"/>
      <c r="I367" s="1275"/>
      <c r="J367" s="1275"/>
      <c r="K367" s="1275"/>
      <c r="L367" s="1275"/>
      <c r="M367" s="1275"/>
      <c r="N367" s="1275"/>
      <c r="O367" s="1275"/>
      <c r="P367" s="1275"/>
      <c r="Q367" s="1275"/>
      <c r="R367" s="1275"/>
      <c r="S367" s="1275"/>
      <c r="T367" s="1275"/>
      <c r="U367" s="1275"/>
      <c r="V367" s="1275"/>
      <c r="W367" s="1275"/>
      <c r="X367" s="1275"/>
      <c r="Y367" s="1275"/>
      <c r="Z367" s="1275"/>
      <c r="AA367" s="1275"/>
      <c r="AB367" s="1275"/>
      <c r="AC367" s="1275"/>
      <c r="AD367" s="1275"/>
      <c r="AE367" s="1275"/>
      <c r="AF367" s="1275"/>
      <c r="AG367" s="1275"/>
      <c r="AH367" s="1275"/>
      <c r="AI367" s="1275"/>
      <c r="AJ367" s="1275"/>
      <c r="AK367" s="1275"/>
      <c r="AL367" s="1275"/>
    </row>
    <row r="368" spans="1:38">
      <c r="B368" s="2"/>
      <c r="E368" s="1275"/>
      <c r="F368" s="1275"/>
      <c r="G368" s="1275"/>
      <c r="H368" s="1275"/>
      <c r="I368" s="1275"/>
      <c r="J368" s="1275"/>
      <c r="K368" s="1275"/>
      <c r="L368" s="1275"/>
      <c r="M368" s="1275"/>
      <c r="N368" s="1275"/>
      <c r="O368" s="1275"/>
      <c r="P368" s="1275"/>
      <c r="Q368" s="1275"/>
      <c r="R368" s="1275"/>
      <c r="S368" s="1275"/>
      <c r="T368" s="1275"/>
      <c r="U368" s="1275"/>
      <c r="V368" s="1275"/>
      <c r="W368" s="1275"/>
      <c r="X368" s="1275"/>
      <c r="Y368" s="1275"/>
      <c r="Z368" s="1275"/>
      <c r="AA368" s="1275"/>
      <c r="AB368" s="1275"/>
      <c r="AC368" s="1275"/>
      <c r="AD368" s="1275"/>
      <c r="AE368" s="1275"/>
      <c r="AF368" s="1275"/>
      <c r="AG368" s="1275"/>
      <c r="AH368" s="1275"/>
      <c r="AI368" s="1275"/>
      <c r="AJ368" s="1275"/>
      <c r="AK368" s="1275"/>
      <c r="AL368" s="1275"/>
    </row>
    <row r="369" spans="1:37" s="1276" customFormat="1">
      <c r="A369"/>
      <c r="B369" s="2"/>
      <c r="C369"/>
      <c r="D369"/>
      <c r="E369" s="1273" t="s">
        <v>1369</v>
      </c>
    </row>
    <row r="370" spans="1:37" s="1276"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1370</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7" t="s">
        <v>1380</v>
      </c>
      <c r="G388" s="1267"/>
      <c r="H388" s="1267"/>
      <c r="I388" s="1267"/>
      <c r="J388" s="1267"/>
      <c r="K388" s="1267"/>
      <c r="L388" s="1267"/>
      <c r="M388" s="1267"/>
      <c r="N388" s="1267"/>
      <c r="O388" s="1267"/>
      <c r="P388" s="1267"/>
      <c r="Q388" s="1267"/>
      <c r="R388" s="1267"/>
      <c r="S388" s="1267"/>
      <c r="T388" s="1267"/>
      <c r="U388" s="1267"/>
      <c r="V388" s="1267"/>
      <c r="W388" s="1267"/>
      <c r="X388" s="1267"/>
      <c r="Y388" s="1267"/>
      <c r="Z388" s="1267"/>
      <c r="AA388" s="1267"/>
      <c r="AB388" s="1267"/>
      <c r="AC388" s="1267"/>
      <c r="AD388" s="1267"/>
      <c r="AE388" s="1267"/>
      <c r="AF388" s="1267"/>
      <c r="AG388" s="1267"/>
      <c r="AH388" s="1267"/>
      <c r="AI388" s="1267"/>
      <c r="AJ388" s="1267"/>
      <c r="AK388" s="1267"/>
    </row>
    <row r="389" spans="1:38">
      <c r="B389" s="2"/>
      <c r="E389" s="3"/>
      <c r="F389" s="1267"/>
      <c r="G389" s="1267"/>
      <c r="H389" s="1267"/>
      <c r="I389" s="1267"/>
      <c r="J389" s="1267"/>
      <c r="K389" s="1267"/>
      <c r="L389" s="1267"/>
      <c r="M389" s="1267"/>
      <c r="N389" s="1267"/>
      <c r="O389" s="1267"/>
      <c r="P389" s="1267"/>
      <c r="Q389" s="1267"/>
      <c r="R389" s="1267"/>
      <c r="S389" s="1267"/>
      <c r="T389" s="1267"/>
      <c r="U389" s="1267"/>
      <c r="V389" s="1267"/>
      <c r="W389" s="1267"/>
      <c r="X389" s="1267"/>
      <c r="Y389" s="1267"/>
      <c r="Z389" s="1267"/>
      <c r="AA389" s="1267"/>
      <c r="AB389" s="1267"/>
      <c r="AC389" s="1267"/>
      <c r="AD389" s="1267"/>
      <c r="AE389" s="1267"/>
      <c r="AF389" s="1267"/>
      <c r="AG389" s="1267"/>
      <c r="AH389" s="1267"/>
      <c r="AI389" s="1267"/>
      <c r="AJ389" s="1267"/>
      <c r="AK389" s="1267"/>
    </row>
    <row r="390" spans="1:38">
      <c r="B390" s="2"/>
      <c r="E390" s="3"/>
      <c r="F390" s="1267"/>
      <c r="G390" s="1267"/>
      <c r="H390" s="1267"/>
      <c r="I390" s="1267"/>
      <c r="J390" s="1267"/>
      <c r="K390" s="1267"/>
      <c r="L390" s="1267"/>
      <c r="M390" s="1267"/>
      <c r="N390" s="1267"/>
      <c r="O390" s="1267"/>
      <c r="P390" s="1267"/>
      <c r="Q390" s="1267"/>
      <c r="R390" s="1267"/>
      <c r="S390" s="1267"/>
      <c r="T390" s="1267"/>
      <c r="U390" s="1267"/>
      <c r="V390" s="1267"/>
      <c r="W390" s="1267"/>
      <c r="X390" s="1267"/>
      <c r="Y390" s="1267"/>
      <c r="Z390" s="1267"/>
      <c r="AA390" s="1267"/>
      <c r="AB390" s="1267"/>
      <c r="AC390" s="1267"/>
      <c r="AD390" s="1267"/>
      <c r="AE390" s="1267"/>
      <c r="AF390" s="1267"/>
      <c r="AG390" s="1267"/>
      <c r="AH390" s="1267"/>
      <c r="AI390" s="1267"/>
      <c r="AJ390" s="1267"/>
      <c r="AK390" s="1267"/>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1386</v>
      </c>
      <c r="F392" s="3"/>
      <c r="G392" s="2"/>
      <c r="I392" s="120"/>
      <c r="J392" s="3"/>
      <c r="K392" s="3"/>
      <c r="L392" s="3"/>
      <c r="M392" s="3"/>
      <c r="N392" s="3"/>
      <c r="O392" s="3"/>
      <c r="P392" s="3"/>
      <c r="Q392" s="3"/>
      <c r="R392" s="3"/>
      <c r="S392" s="3"/>
    </row>
    <row r="393" spans="1:38" ht="13.3" customHeight="1">
      <c r="B393" s="2"/>
      <c r="D393" s="2"/>
      <c r="E393" s="3" t="s">
        <v>1385</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106" zoomScaleNormal="100" workbookViewId="0">
      <selection activeCell="AP4" sqref="AP4:AU4"/>
    </sheetView>
  </sheetViews>
  <sheetFormatPr defaultColWidth="2.69140625" defaultRowHeight="15.75" customHeight="1"/>
  <cols>
    <col min="1" max="13" width="2.69140625" style="1200"/>
    <col min="14" max="14" width="4.69140625" style="1200" customWidth="1"/>
    <col min="15" max="37" width="2.69140625" style="1200"/>
    <col min="38" max="38" width="3" style="1200" customWidth="1"/>
    <col min="39" max="45" width="2.69140625" style="1200"/>
    <col min="46" max="46" width="4.69140625" style="1200" customWidth="1"/>
    <col min="47" max="64" width="2.69140625" style="1200"/>
    <col min="65" max="65" width="10.3828125" style="1200" hidden="1" customWidth="1"/>
    <col min="66" max="70" width="5.53515625" style="1200" bestFit="1" customWidth="1"/>
    <col min="71" max="71" width="6.15234375" style="1200" bestFit="1" customWidth="1"/>
    <col min="72" max="76" width="5.53515625" style="1200" bestFit="1" customWidth="1"/>
    <col min="77" max="77" width="6.15234375" style="1200" bestFit="1" customWidth="1"/>
    <col min="78" max="78" width="5.53515625" style="1200" bestFit="1" customWidth="1"/>
    <col min="79" max="16384" width="2.69140625" style="1200"/>
  </cols>
  <sheetData>
    <row r="1" spans="1:65" ht="15.75" customHeight="1">
      <c r="A1" s="2568" t="s">
        <v>2414</v>
      </c>
      <c r="B1" s="2569"/>
      <c r="C1" s="2569"/>
      <c r="D1" s="2569"/>
      <c r="E1" s="2569"/>
      <c r="F1" s="2569"/>
      <c r="G1" s="2569"/>
      <c r="H1" s="2569"/>
      <c r="I1" s="2569"/>
      <c r="J1" s="2569"/>
      <c r="K1" s="2569"/>
      <c r="L1" s="2569"/>
      <c r="M1" s="2569"/>
      <c r="N1" s="2569"/>
      <c r="O1" s="2569"/>
      <c r="P1" s="2569"/>
      <c r="Q1" s="2569"/>
      <c r="R1" s="2569"/>
      <c r="S1" s="2569"/>
      <c r="T1" s="2569"/>
      <c r="U1" s="2569"/>
      <c r="V1" s="2569"/>
      <c r="W1" s="2569"/>
      <c r="X1" s="2569"/>
      <c r="Y1" s="2569"/>
      <c r="Z1" s="2569"/>
      <c r="AA1" s="2569"/>
      <c r="AB1" s="2569"/>
      <c r="AC1" s="2569"/>
      <c r="AD1" s="2569"/>
      <c r="AE1" s="2569"/>
      <c r="AF1" s="2569"/>
      <c r="AG1" s="2569"/>
      <c r="AH1" s="2569"/>
      <c r="AI1" s="2569"/>
      <c r="AJ1" s="2569"/>
      <c r="AK1" s="2569"/>
      <c r="AL1" s="2569"/>
      <c r="AM1" s="2569"/>
      <c r="AN1" s="2569"/>
      <c r="AO1" s="2569"/>
      <c r="AP1" s="2569"/>
      <c r="AQ1" s="2569"/>
      <c r="AR1" s="2569"/>
      <c r="AS1" s="2569"/>
      <c r="AT1" s="2569"/>
      <c r="AU1" s="2569"/>
      <c r="AV1" s="2569"/>
      <c r="AW1" s="2569"/>
      <c r="AX1" s="2569"/>
      <c r="AY1" s="2569"/>
      <c r="AZ1" s="2569"/>
      <c r="BA1" s="2569"/>
      <c r="BB1" s="2569"/>
      <c r="BC1" s="2569"/>
      <c r="BD1" s="2569"/>
      <c r="BE1" s="2570"/>
    </row>
    <row r="2" spans="1:65" ht="15.75" customHeight="1">
      <c r="A2" s="2571" t="s">
        <v>2461</v>
      </c>
      <c r="B2" s="2572"/>
      <c r="C2" s="2572"/>
      <c r="D2" s="2572"/>
      <c r="E2" s="2572"/>
      <c r="F2" s="2572"/>
      <c r="G2" s="2572"/>
      <c r="H2" s="2572"/>
      <c r="I2" s="2572"/>
      <c r="J2" s="2572"/>
      <c r="K2" s="2572"/>
      <c r="L2" s="2572"/>
      <c r="M2" s="2572"/>
      <c r="N2" s="2572"/>
      <c r="O2" s="2572"/>
      <c r="P2" s="2572"/>
      <c r="Q2" s="2572"/>
      <c r="R2" s="2572"/>
      <c r="S2" s="2572"/>
      <c r="T2" s="2572"/>
      <c r="U2" s="2572"/>
      <c r="V2" s="2572"/>
      <c r="W2" s="2572"/>
      <c r="X2" s="2572"/>
      <c r="Y2" s="2572"/>
      <c r="Z2" s="2572"/>
      <c r="AA2" s="2572"/>
      <c r="AB2" s="2572"/>
      <c r="AC2" s="2572"/>
      <c r="AD2" s="2572"/>
      <c r="AE2" s="2572"/>
      <c r="AF2" s="2572"/>
      <c r="AG2" s="2572"/>
      <c r="AH2" s="2572"/>
      <c r="AI2" s="2572"/>
      <c r="AJ2" s="2572"/>
      <c r="AK2" s="2572"/>
      <c r="AL2" s="2572"/>
      <c r="AM2" s="2572"/>
      <c r="AN2" s="2572"/>
      <c r="AO2" s="2572"/>
      <c r="AP2" s="2572"/>
      <c r="AQ2" s="2572"/>
      <c r="AR2" s="2572"/>
      <c r="AS2" s="2572"/>
      <c r="AT2" s="2572"/>
      <c r="AU2" s="2572"/>
      <c r="AV2" s="2572"/>
      <c r="AW2" s="2572"/>
      <c r="AX2" s="2572"/>
      <c r="AY2" s="2572"/>
      <c r="AZ2" s="2572"/>
      <c r="BA2" s="2572"/>
      <c r="BB2" s="2572"/>
      <c r="BC2" s="2572"/>
      <c r="BD2" s="2572"/>
      <c r="BE2" s="2573"/>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665</v>
      </c>
      <c r="C4" s="1217"/>
      <c r="D4" s="1217"/>
      <c r="E4" s="1217"/>
      <c r="F4" s="1217"/>
      <c r="G4" s="1209"/>
      <c r="H4" s="1209"/>
      <c r="I4" s="1209"/>
      <c r="J4" s="1209"/>
      <c r="K4" s="1209"/>
      <c r="L4" s="2574" t="str">
        <f>IF(Application!H18="","",Application!H18)</f>
        <v>CSH Edes Housing</v>
      </c>
      <c r="M4" s="2575"/>
      <c r="N4" s="2575"/>
      <c r="O4" s="2575"/>
      <c r="P4" s="2575"/>
      <c r="Q4" s="2575"/>
      <c r="R4" s="2575"/>
      <c r="S4" s="2575"/>
      <c r="T4" s="2575"/>
      <c r="U4" s="2575"/>
      <c r="V4" s="2575"/>
      <c r="W4" s="2575"/>
      <c r="X4" s="2575"/>
      <c r="Y4" s="2575"/>
      <c r="Z4" s="2575"/>
      <c r="AA4" s="2575"/>
      <c r="AB4" s="2575"/>
      <c r="AC4" s="2576"/>
      <c r="AD4" s="1209"/>
      <c r="AE4" s="1209"/>
      <c r="AF4" s="2221" t="s">
        <v>2462</v>
      </c>
      <c r="AG4" s="2221"/>
      <c r="AH4" s="2221"/>
      <c r="AI4" s="2221"/>
      <c r="AJ4" s="2221"/>
      <c r="AK4" s="2221"/>
      <c r="AL4" s="2221"/>
      <c r="AM4" s="2221"/>
      <c r="AN4" s="2221"/>
      <c r="AO4" s="2221"/>
      <c r="AP4" s="2222"/>
      <c r="AQ4" s="2223"/>
      <c r="AR4" s="2223"/>
      <c r="AS4" s="2223"/>
      <c r="AT4" s="2223"/>
      <c r="AU4" s="2223"/>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21" t="s">
        <v>2463</v>
      </c>
      <c r="AG5" s="2221"/>
      <c r="AH5" s="2221"/>
      <c r="AI5" s="2221"/>
      <c r="AJ5" s="2221"/>
      <c r="AK5" s="2221"/>
      <c r="AL5" s="2221"/>
      <c r="AM5" s="2221"/>
      <c r="AN5" s="2221"/>
      <c r="AO5" s="2221"/>
      <c r="AP5" s="2222"/>
      <c r="AQ5" s="2223"/>
      <c r="AR5" s="2223"/>
      <c r="AS5" s="2223"/>
      <c r="AT5" s="2223"/>
      <c r="AU5" s="2223"/>
      <c r="AV5" s="1209"/>
      <c r="AW5" s="1209"/>
      <c r="AX5" s="1209"/>
      <c r="AY5" s="1209"/>
      <c r="AZ5" s="1209"/>
      <c r="BA5" s="1209"/>
      <c r="BB5" s="1209"/>
      <c r="BC5" s="1209"/>
      <c r="BD5" s="1209"/>
      <c r="BE5" s="1219"/>
    </row>
    <row r="6" spans="1:65" ht="15.75" customHeight="1" thickBot="1">
      <c r="A6" s="1215"/>
      <c r="B6" s="1217" t="s">
        <v>1791</v>
      </c>
      <c r="C6" s="1209"/>
      <c r="D6" s="1209"/>
      <c r="E6" s="1209"/>
      <c r="F6" s="1209"/>
      <c r="G6" s="1209"/>
      <c r="H6" s="1209"/>
      <c r="I6" s="1209"/>
      <c r="J6" s="1209"/>
      <c r="K6" s="1209"/>
      <c r="L6" s="2574" t="str">
        <f>IF(Application!H16="","",Application!H16)</f>
        <v>California Supportive Housing</v>
      </c>
      <c r="M6" s="2575"/>
      <c r="N6" s="2575"/>
      <c r="O6" s="2575"/>
      <c r="P6" s="2575"/>
      <c r="Q6" s="2575"/>
      <c r="R6" s="2575"/>
      <c r="S6" s="2575"/>
      <c r="T6" s="2575"/>
      <c r="U6" s="2575"/>
      <c r="V6" s="2575"/>
      <c r="W6" s="2575"/>
      <c r="X6" s="2575"/>
      <c r="Y6" s="2575"/>
      <c r="Z6" s="2575"/>
      <c r="AA6" s="2575"/>
      <c r="AB6" s="2575"/>
      <c r="AC6" s="2576"/>
      <c r="AD6" s="1209"/>
      <c r="AE6" s="1209"/>
      <c r="AF6" s="2577" t="s">
        <v>2464</v>
      </c>
      <c r="AG6" s="2577"/>
      <c r="AH6" s="2577"/>
      <c r="AI6" s="2577"/>
      <c r="AJ6" s="2577"/>
      <c r="AK6" s="2577"/>
      <c r="AL6" s="2577"/>
      <c r="AM6" s="2577"/>
      <c r="AN6" s="2577"/>
      <c r="AO6" s="2577"/>
      <c r="AP6" s="2567">
        <v>0</v>
      </c>
      <c r="AQ6" s="2567"/>
      <c r="AR6" s="2567"/>
      <c r="AS6" s="2567"/>
      <c r="AT6" s="2567"/>
      <c r="AU6" s="2567"/>
      <c r="AV6" s="1209"/>
      <c r="AW6" s="1209"/>
      <c r="AX6" s="1209"/>
      <c r="AY6" s="1209"/>
      <c r="AZ6" s="1209"/>
      <c r="BA6" s="1209"/>
      <c r="BB6" s="1209"/>
      <c r="BC6" s="1209"/>
      <c r="BD6" s="1209"/>
      <c r="BE6" s="1219"/>
    </row>
    <row r="7" spans="1:65" ht="1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77" t="s">
        <v>2465</v>
      </c>
      <c r="AG7" s="2577"/>
      <c r="AH7" s="2577"/>
      <c r="AI7" s="2577"/>
      <c r="AJ7" s="2577"/>
      <c r="AK7" s="2577"/>
      <c r="AL7" s="2577"/>
      <c r="AM7" s="2577"/>
      <c r="AN7" s="2577"/>
      <c r="AO7" s="2577"/>
      <c r="AP7" s="2567">
        <v>0</v>
      </c>
      <c r="AQ7" s="2567"/>
      <c r="AR7" s="2567"/>
      <c r="AS7" s="2567"/>
      <c r="AT7" s="2567"/>
      <c r="AU7" s="2567"/>
      <c r="AV7" s="1209"/>
      <c r="AW7" s="1209"/>
      <c r="AX7" s="1209"/>
      <c r="AY7" s="1209"/>
      <c r="AZ7" s="1209"/>
      <c r="BA7" s="1209"/>
      <c r="BB7" s="1209"/>
      <c r="BC7" s="1209"/>
      <c r="BD7" s="1209"/>
      <c r="BE7" s="1219"/>
    </row>
    <row r="8" spans="1:65" ht="15" thickBot="1">
      <c r="A8" s="1215"/>
      <c r="B8" s="1217" t="s">
        <v>1792</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78" t="str">
        <f>Application!T197</f>
        <v>No</v>
      </c>
      <c r="AC8" s="2579"/>
      <c r="AD8" s="2580"/>
      <c r="AE8" s="1209"/>
      <c r="AF8" s="2577" t="s">
        <v>2466</v>
      </c>
      <c r="AG8" s="2577"/>
      <c r="AH8" s="2577"/>
      <c r="AI8" s="2577"/>
      <c r="AJ8" s="2577"/>
      <c r="AK8" s="2577"/>
      <c r="AL8" s="2577"/>
      <c r="AM8" s="2577"/>
      <c r="AN8" s="2577"/>
      <c r="AO8" s="2577"/>
      <c r="AP8" s="2567" t="s">
        <v>2418</v>
      </c>
      <c r="AQ8" s="2567"/>
      <c r="AR8" s="2567"/>
      <c r="AS8" s="2567"/>
      <c r="AT8" s="2567"/>
      <c r="AU8" s="2567"/>
      <c r="AV8" s="1209"/>
      <c r="AW8" s="1209"/>
      <c r="AX8" s="1209"/>
      <c r="AY8" s="1209"/>
      <c r="AZ8" s="1209"/>
      <c r="BA8" s="1209"/>
      <c r="BB8" s="1209"/>
      <c r="BC8" s="1209"/>
      <c r="BD8" s="1209"/>
      <c r="BE8" s="1219"/>
      <c r="BM8" s="1200" t="s">
        <v>2294</v>
      </c>
    </row>
    <row r="9" spans="1:65" ht="14.6">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21" t="s">
        <v>2626</v>
      </c>
      <c r="AG9" s="2221"/>
      <c r="AH9" s="2221"/>
      <c r="AI9" s="2221"/>
      <c r="AJ9" s="2221"/>
      <c r="AK9" s="2221"/>
      <c r="AL9" s="2221"/>
      <c r="AM9" s="2221"/>
      <c r="AN9" s="2221"/>
      <c r="AO9" s="2221"/>
      <c r="AP9" s="2222"/>
      <c r="AQ9" s="2223"/>
      <c r="AR9" s="2223"/>
      <c r="AS9" s="2223"/>
      <c r="AT9" s="2223"/>
      <c r="AU9" s="2223"/>
      <c r="AV9" s="1209"/>
      <c r="AW9" s="1209"/>
      <c r="AX9" s="1209"/>
      <c r="AY9" s="1209"/>
      <c r="AZ9" s="1209"/>
      <c r="BA9" s="1209"/>
      <c r="BB9" s="1209"/>
      <c r="BC9" s="1209"/>
      <c r="BD9" s="1209"/>
      <c r="BE9" s="1219"/>
      <c r="BM9" s="1200" t="s">
        <v>2467</v>
      </c>
    </row>
    <row r="10" spans="1:65" ht="14.6">
      <c r="A10" s="1215"/>
      <c r="B10" s="1217" t="s">
        <v>1793</v>
      </c>
      <c r="C10" s="1217"/>
      <c r="D10" s="1217"/>
      <c r="E10" s="1217"/>
      <c r="F10" s="1217"/>
      <c r="G10" s="1217"/>
      <c r="H10" s="1217"/>
      <c r="I10" s="1217"/>
      <c r="J10" s="1217"/>
      <c r="K10" s="1217"/>
      <c r="L10" s="1217"/>
      <c r="M10" s="1209"/>
      <c r="N10" s="2549">
        <f>Application!AO627</f>
        <v>8025000</v>
      </c>
      <c r="O10" s="2549"/>
      <c r="P10" s="2549"/>
      <c r="Q10" s="2549"/>
      <c r="R10" s="2549"/>
      <c r="S10" s="2549"/>
      <c r="T10" s="2549"/>
      <c r="U10" s="1209"/>
      <c r="V10" s="1209"/>
      <c r="W10" s="1209"/>
      <c r="X10" s="1258"/>
      <c r="Y10" s="1258"/>
      <c r="Z10" s="1258"/>
      <c r="AA10" s="1258"/>
      <c r="AB10" s="1258"/>
      <c r="AC10" s="1258"/>
      <c r="AD10" s="1258"/>
      <c r="AE10" s="1258"/>
      <c r="AF10" s="2221" t="s">
        <v>2625</v>
      </c>
      <c r="AG10" s="2221"/>
      <c r="AH10" s="2221"/>
      <c r="AI10" s="2221"/>
      <c r="AJ10" s="2221"/>
      <c r="AK10" s="2221"/>
      <c r="AL10" s="2221"/>
      <c r="AM10" s="2221"/>
      <c r="AN10" s="2221"/>
      <c r="AO10" s="2221"/>
      <c r="AP10" s="2222"/>
      <c r="AQ10" s="2223"/>
      <c r="AR10" s="2223"/>
      <c r="AS10" s="2223"/>
      <c r="AT10" s="2223"/>
      <c r="AU10" s="2223"/>
      <c r="AV10" s="1258"/>
      <c r="AW10" s="1258"/>
      <c r="AX10" s="1209"/>
      <c r="AY10" s="1209"/>
      <c r="AZ10" s="1209"/>
      <c r="BA10" s="1209"/>
      <c r="BB10" s="1209"/>
      <c r="BC10" s="1209"/>
      <c r="BD10" s="1209"/>
      <c r="BE10" s="1219"/>
      <c r="BM10" s="1200" t="s">
        <v>2469</v>
      </c>
    </row>
    <row r="11" spans="1:65" ht="14.6">
      <c r="A11" s="1215"/>
      <c r="B11" s="1217" t="s">
        <v>1794</v>
      </c>
      <c r="C11" s="1217"/>
      <c r="D11" s="1217"/>
      <c r="E11" s="1217"/>
      <c r="F11" s="1217"/>
      <c r="G11" s="1217"/>
      <c r="H11" s="1217"/>
      <c r="I11" s="1217"/>
      <c r="J11" s="1217"/>
      <c r="K11" s="1217"/>
      <c r="L11" s="1217"/>
      <c r="M11" s="1209"/>
      <c r="N11" s="2549">
        <f>Application!AA933</f>
        <v>0</v>
      </c>
      <c r="O11" s="2549"/>
      <c r="P11" s="2549"/>
      <c r="Q11" s="2549"/>
      <c r="R11" s="2549"/>
      <c r="S11" s="2549"/>
      <c r="T11" s="2549"/>
      <c r="U11" s="1209"/>
      <c r="V11" s="1209"/>
      <c r="W11" s="1209"/>
      <c r="X11" s="1258"/>
      <c r="Y11" s="1258"/>
      <c r="Z11" s="1258"/>
      <c r="AA11" s="1258"/>
      <c r="AB11" s="1258"/>
      <c r="AC11" s="1258"/>
      <c r="AD11" s="1258"/>
      <c r="AE11" s="1258"/>
      <c r="AF11" s="2221" t="s">
        <v>2624</v>
      </c>
      <c r="AG11" s="2221"/>
      <c r="AH11" s="2221"/>
      <c r="AI11" s="2221"/>
      <c r="AJ11" s="2221"/>
      <c r="AK11" s="2221"/>
      <c r="AL11" s="2221"/>
      <c r="AM11" s="2221"/>
      <c r="AN11" s="2221"/>
      <c r="AO11" s="2221"/>
      <c r="AP11" s="2222"/>
      <c r="AQ11" s="2223"/>
      <c r="AR11" s="2223"/>
      <c r="AS11" s="2223"/>
      <c r="AT11" s="2223"/>
      <c r="AU11" s="2223"/>
      <c r="AV11" s="1258"/>
      <c r="AW11" s="1258"/>
      <c r="AX11" s="1209"/>
      <c r="AY11" s="1209"/>
      <c r="AZ11" s="1209"/>
      <c r="BA11" s="1209"/>
      <c r="BB11" s="1209"/>
      <c r="BC11" s="1209"/>
      <c r="BD11" s="1209"/>
      <c r="BE11" s="1219"/>
      <c r="BM11" s="1200" t="s">
        <v>2418</v>
      </c>
    </row>
    <row r="12" spans="1:65" ht="1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2472</v>
      </c>
    </row>
    <row r="13" spans="1:65" ht="15" thickBot="1">
      <c r="A13" s="1209"/>
      <c r="B13" s="2556" t="s">
        <v>1795</v>
      </c>
      <c r="C13" s="2557"/>
      <c r="D13" s="2557"/>
      <c r="E13" s="2557"/>
      <c r="F13" s="2557"/>
      <c r="G13" s="2557"/>
      <c r="H13" s="2557"/>
      <c r="I13" s="2557"/>
      <c r="J13" s="2557"/>
      <c r="K13" s="2557"/>
      <c r="L13" s="2557"/>
      <c r="M13" s="2557"/>
      <c r="N13" s="2557"/>
      <c r="O13" s="2557"/>
      <c r="P13" s="2558"/>
      <c r="Q13" s="2559" t="s">
        <v>678</v>
      </c>
      <c r="R13" s="2560"/>
      <c r="S13" s="2560"/>
      <c r="T13" s="2561"/>
      <c r="U13" s="1258"/>
      <c r="V13" s="1209"/>
      <c r="W13" s="1209"/>
      <c r="X13" s="1209"/>
      <c r="Y13" s="1209"/>
      <c r="Z13" s="1209"/>
      <c r="AA13" s="2550" t="s">
        <v>2468</v>
      </c>
      <c r="AB13" s="2550"/>
      <c r="AC13" s="2550"/>
      <c r="AD13" s="2550"/>
      <c r="AE13" s="2550"/>
      <c r="AF13" s="2550"/>
      <c r="AG13" s="2550"/>
      <c r="AH13" s="2550"/>
      <c r="AI13" s="2550"/>
      <c r="AJ13" s="2550"/>
      <c r="AK13" s="2550"/>
      <c r="AL13" s="2550"/>
      <c r="AM13" s="2550"/>
      <c r="AN13" s="2550"/>
      <c r="AO13" s="2551">
        <f>Application!W473</f>
        <v>21</v>
      </c>
      <c r="AP13" s="2552"/>
      <c r="AQ13" s="2552"/>
      <c r="AR13" s="2552"/>
      <c r="AS13" s="2552"/>
      <c r="AT13" s="1258"/>
      <c r="AU13" s="1258"/>
      <c r="AV13" s="1258"/>
      <c r="AW13" s="1258"/>
      <c r="AX13" s="1258"/>
      <c r="AY13" s="1258"/>
      <c r="AZ13" s="1258"/>
      <c r="BA13" s="1258"/>
      <c r="BB13" s="1258"/>
      <c r="BC13" s="1258"/>
      <c r="BD13" s="1258"/>
      <c r="BE13" s="1205"/>
      <c r="BM13" s="1200" t="s">
        <v>2473</v>
      </c>
    </row>
    <row r="14" spans="1:65" ht="1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53" t="s">
        <v>2470</v>
      </c>
      <c r="AB14" s="2553"/>
      <c r="AC14" s="2553"/>
      <c r="AD14" s="2553"/>
      <c r="AE14" s="2553"/>
      <c r="AF14" s="2553"/>
      <c r="AG14" s="2553"/>
      <c r="AH14" s="2553"/>
      <c r="AI14" s="2553"/>
      <c r="AJ14" s="2553"/>
      <c r="AK14" s="2553"/>
      <c r="AL14" s="2553"/>
      <c r="AM14" s="2553"/>
      <c r="AN14" s="2553"/>
      <c r="AO14" s="2554"/>
      <c r="AP14" s="2555"/>
      <c r="AQ14" s="2555"/>
      <c r="AR14" s="2555"/>
      <c r="AS14" s="2555"/>
      <c r="AT14" s="1258"/>
      <c r="AU14" s="1258"/>
      <c r="AV14" s="1258"/>
      <c r="AW14" s="1258"/>
      <c r="AX14" s="1258"/>
      <c r="AY14" s="1258"/>
      <c r="AZ14" s="1258"/>
      <c r="BA14" s="1258"/>
      <c r="BB14" s="1258"/>
      <c r="BC14" s="1258"/>
      <c r="BD14" s="1258"/>
      <c r="BE14" s="1205"/>
    </row>
    <row r="15" spans="1:65" ht="15" thickBot="1">
      <c r="A15" s="1209"/>
      <c r="B15" s="2562" t="s">
        <v>1796</v>
      </c>
      <c r="C15" s="2563"/>
      <c r="D15" s="2563"/>
      <c r="E15" s="2563"/>
      <c r="F15" s="2563"/>
      <c r="G15" s="2563"/>
      <c r="H15" s="2563"/>
      <c r="I15" s="2563"/>
      <c r="J15" s="2563"/>
      <c r="K15" s="2563"/>
      <c r="L15" s="2563"/>
      <c r="M15" s="2563"/>
      <c r="N15" s="2563"/>
      <c r="O15" s="2563"/>
      <c r="P15" s="2563"/>
      <c r="Q15" s="2563"/>
      <c r="R15" s="2564"/>
      <c r="S15" s="2565" t="str">
        <f>IF(Application!AB214="","",Application!AB214)</f>
        <v/>
      </c>
      <c r="T15" s="2565"/>
      <c r="U15" s="2565"/>
      <c r="V15" s="2565"/>
      <c r="W15" s="2566"/>
      <c r="X15" s="1258"/>
      <c r="Y15" s="1209"/>
      <c r="Z15" s="1209"/>
      <c r="AA15" s="2550" t="s">
        <v>2471</v>
      </c>
      <c r="AB15" s="2550"/>
      <c r="AC15" s="2550"/>
      <c r="AD15" s="2550"/>
      <c r="AE15" s="2550"/>
      <c r="AF15" s="2550"/>
      <c r="AG15" s="2550"/>
      <c r="AH15" s="2550"/>
      <c r="AI15" s="2550"/>
      <c r="AJ15" s="2550"/>
      <c r="AK15" s="2550"/>
      <c r="AL15" s="2550"/>
      <c r="AM15" s="2550"/>
      <c r="AN15" s="2550"/>
      <c r="AO15" s="2554"/>
      <c r="AP15" s="2555"/>
      <c r="AQ15" s="2555"/>
      <c r="AR15" s="2555"/>
      <c r="AS15" s="2555"/>
      <c r="AT15" s="1258"/>
      <c r="AU15" s="1258"/>
      <c r="AV15" s="1258"/>
      <c r="AW15" s="1258"/>
      <c r="AX15" s="1258"/>
      <c r="AY15" s="1258"/>
      <c r="AZ15" s="1258"/>
      <c r="BA15" s="1258"/>
      <c r="BB15" s="1258"/>
      <c r="BC15" s="1258"/>
      <c r="BD15" s="1258"/>
      <c r="BE15" s="1205"/>
    </row>
    <row r="16" spans="1:65" ht="1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4.6">
      <c r="A17" s="1209"/>
      <c r="B17" s="2430" t="s">
        <v>1797</v>
      </c>
      <c r="C17" s="2431"/>
      <c r="D17" s="2431"/>
      <c r="E17" s="2431"/>
      <c r="F17" s="2431"/>
      <c r="G17" s="2431"/>
      <c r="H17" s="2431"/>
      <c r="I17" s="2431"/>
      <c r="J17" s="2431"/>
      <c r="K17" s="2431"/>
      <c r="L17" s="2431"/>
      <c r="M17" s="2431"/>
      <c r="N17" s="2431"/>
      <c r="O17" s="2431"/>
      <c r="P17" s="2431"/>
      <c r="Q17" s="2431"/>
      <c r="R17" s="2431"/>
      <c r="S17" s="2431"/>
      <c r="T17" s="2431"/>
      <c r="U17" s="2431"/>
      <c r="V17" s="2431"/>
      <c r="W17" s="2431"/>
      <c r="X17" s="2431"/>
      <c r="Y17" s="2431"/>
      <c r="Z17" s="2431"/>
      <c r="AA17" s="2431"/>
      <c r="AB17" s="2431"/>
      <c r="AC17" s="2431"/>
      <c r="AD17" s="2431"/>
      <c r="AE17" s="2431"/>
      <c r="AF17" s="2431"/>
      <c r="AG17" s="2431"/>
      <c r="AH17" s="2431"/>
      <c r="AI17" s="2431"/>
      <c r="AJ17" s="2431"/>
      <c r="AK17" s="2431"/>
      <c r="AL17" s="2431"/>
      <c r="AM17" s="2431"/>
      <c r="AN17" s="2431"/>
      <c r="AO17" s="2431"/>
      <c r="AP17" s="2431"/>
      <c r="AQ17" s="2431"/>
      <c r="AR17" s="2431"/>
      <c r="AS17" s="2431"/>
      <c r="AT17" s="2431"/>
      <c r="AU17" s="2431"/>
      <c r="AV17" s="2431"/>
      <c r="AW17" s="2431"/>
      <c r="AX17" s="2431"/>
      <c r="AY17" s="2432"/>
      <c r="AZ17" s="1209"/>
      <c r="BA17" s="1209"/>
      <c r="BB17" s="1209"/>
      <c r="BC17" s="1209"/>
      <c r="BD17" s="1209"/>
      <c r="BE17" s="1205"/>
      <c r="BF17" s="1201"/>
    </row>
    <row r="18" spans="1:58" ht="15.75" customHeight="1">
      <c r="A18" s="1209"/>
      <c r="B18" s="2542" t="s">
        <v>1798</v>
      </c>
      <c r="C18" s="2543"/>
      <c r="D18" s="2543"/>
      <c r="E18" s="2543"/>
      <c r="F18" s="2543"/>
      <c r="G18" s="2543"/>
      <c r="H18" s="2543"/>
      <c r="I18" s="2544"/>
      <c r="J18" s="2545" t="s">
        <v>1699</v>
      </c>
      <c r="K18" s="2546"/>
      <c r="L18" s="2546"/>
      <c r="M18" s="2546"/>
      <c r="N18" s="2546"/>
      <c r="O18" s="2547"/>
      <c r="P18" s="2545" t="s">
        <v>325</v>
      </c>
      <c r="Q18" s="2546"/>
      <c r="R18" s="2546"/>
      <c r="S18" s="2546"/>
      <c r="T18" s="2546"/>
      <c r="U18" s="2547"/>
      <c r="V18" s="2545" t="s">
        <v>326</v>
      </c>
      <c r="W18" s="2546"/>
      <c r="X18" s="2546"/>
      <c r="Y18" s="2546"/>
      <c r="Z18" s="2546"/>
      <c r="AA18" s="2547"/>
      <c r="AB18" s="2545" t="s">
        <v>163</v>
      </c>
      <c r="AC18" s="2546"/>
      <c r="AD18" s="2546"/>
      <c r="AE18" s="2546"/>
      <c r="AF18" s="2546"/>
      <c r="AG18" s="2547"/>
      <c r="AH18" s="2545" t="s">
        <v>164</v>
      </c>
      <c r="AI18" s="2546"/>
      <c r="AJ18" s="2546"/>
      <c r="AK18" s="2546"/>
      <c r="AL18" s="2546"/>
      <c r="AM18" s="2547"/>
      <c r="AN18" s="2545" t="s">
        <v>165</v>
      </c>
      <c r="AO18" s="2546"/>
      <c r="AP18" s="2546"/>
      <c r="AQ18" s="2546"/>
      <c r="AR18" s="2546"/>
      <c r="AS18" s="2547"/>
      <c r="AT18" s="2545" t="s">
        <v>1799</v>
      </c>
      <c r="AU18" s="2546"/>
      <c r="AV18" s="2546"/>
      <c r="AW18" s="2546"/>
      <c r="AX18" s="2546"/>
      <c r="AY18" s="2548"/>
      <c r="AZ18" s="1209"/>
      <c r="BA18" s="1209"/>
      <c r="BB18" s="1209"/>
      <c r="BC18" s="1209"/>
      <c r="BD18" s="1209"/>
      <c r="BE18" s="1205"/>
    </row>
    <row r="19" spans="1:58" ht="14.6">
      <c r="A19" s="1209"/>
      <c r="B19" s="2519">
        <v>0.3</v>
      </c>
      <c r="C19" s="2520"/>
      <c r="D19" s="2520"/>
      <c r="E19" s="2520"/>
      <c r="F19" s="2520"/>
      <c r="G19" s="2520"/>
      <c r="H19" s="2520"/>
      <c r="I19" s="2521"/>
      <c r="J19" s="2522">
        <f t="shared" ref="J19:J28" si="0">SUM(P19:AS19)</f>
        <v>72</v>
      </c>
      <c r="K19" s="2523"/>
      <c r="L19" s="2523"/>
      <c r="M19" s="2523"/>
      <c r="N19" s="2523"/>
      <c r="O19" s="2524"/>
      <c r="P19" s="2522" cm="1">
        <f t="array" ref="P19">SUMPRODUCT((Application!$B$718:$B$752 = 'CalHFA Addendum'!P$18)*(Application!$AC$718:$AC$752 = 'CalHFA Addendum'!$B19),Application!$G$718:$G$752)</f>
        <v>72</v>
      </c>
      <c r="Q19" s="2523"/>
      <c r="R19" s="2523"/>
      <c r="S19" s="2523"/>
      <c r="T19" s="2523"/>
      <c r="U19" s="2524"/>
      <c r="V19" s="2522" cm="1">
        <f t="array" ref="V19">SUMPRODUCT((Application!$B$714:$B$738 = 'CalHFA Addendum'!V$18)*(Application!$AC$714:$AC$738 = 'CalHFA Addendum'!$B19),Application!$G$714:$G$738)</f>
        <v>0</v>
      </c>
      <c r="W19" s="2523"/>
      <c r="X19" s="2523"/>
      <c r="Y19" s="2523"/>
      <c r="Z19" s="2523"/>
      <c r="AA19" s="2524"/>
      <c r="AB19" s="2522" cm="1">
        <f t="array" ref="AB19">SUMPRODUCT((Application!$B$714:$B$738 = 'CalHFA Addendum'!AB$18)*(Application!$AC$714:$AC$738 = 'CalHFA Addendum'!$B19),Application!$G$714:$G$738)</f>
        <v>0</v>
      </c>
      <c r="AC19" s="2523"/>
      <c r="AD19" s="2523"/>
      <c r="AE19" s="2523"/>
      <c r="AF19" s="2523"/>
      <c r="AG19" s="2524"/>
      <c r="AH19" s="2522" cm="1">
        <f t="array" ref="AH19">SUMPRODUCT((Application!$B$714:$B$738 = 'CalHFA Addendum'!AH$18)*(Application!$AC$714:$AC$738 = 'CalHFA Addendum'!$B19),Application!$G$714:$G$738)</f>
        <v>0</v>
      </c>
      <c r="AI19" s="2523"/>
      <c r="AJ19" s="2523"/>
      <c r="AK19" s="2523"/>
      <c r="AL19" s="2523"/>
      <c r="AM19" s="2524"/>
      <c r="AN19" s="2522" cm="1">
        <f t="array" ref="AN19">SUMPRODUCT((Application!$B$714:$B$738 = 'CalHFA Addendum'!AN$18)*(Application!$AC$714:$AC$738 = 'CalHFA Addendum'!$B19),Application!$G$714:$G$738)</f>
        <v>0</v>
      </c>
      <c r="AO19" s="2523"/>
      <c r="AP19" s="2523"/>
      <c r="AQ19" s="2523"/>
      <c r="AR19" s="2523"/>
      <c r="AS19" s="2524"/>
      <c r="AT19" s="2525">
        <f t="shared" ref="AT19:AT29" si="1">J19/$J$29</f>
        <v>0.51428571428571423</v>
      </c>
      <c r="AU19" s="2526"/>
      <c r="AV19" s="2526"/>
      <c r="AW19" s="2526"/>
      <c r="AX19" s="2526"/>
      <c r="AY19" s="2527"/>
      <c r="AZ19" s="1220"/>
      <c r="BA19" s="1209"/>
      <c r="BB19" s="1209"/>
      <c r="BC19" s="1209"/>
      <c r="BD19" s="1209"/>
      <c r="BE19" s="1205"/>
    </row>
    <row r="20" spans="1:58" ht="15" customHeight="1">
      <c r="A20" s="1209"/>
      <c r="B20" s="2519">
        <v>0.4</v>
      </c>
      <c r="C20" s="2520"/>
      <c r="D20" s="2520"/>
      <c r="E20" s="2520"/>
      <c r="F20" s="2520"/>
      <c r="G20" s="2520"/>
      <c r="H20" s="2520"/>
      <c r="I20" s="2521"/>
      <c r="J20" s="2522">
        <f t="shared" si="0"/>
        <v>2</v>
      </c>
      <c r="K20" s="2523"/>
      <c r="L20" s="2523"/>
      <c r="M20" s="2523"/>
      <c r="N20" s="2523"/>
      <c r="O20" s="2524"/>
      <c r="P20" s="2522" cm="1">
        <f t="array" ref="P20">SUMPRODUCT((Application!$B$718:$B$752 = 'CalHFA Addendum'!P$18)*(Application!$AC$718:$AC$752 = 'CalHFA Addendum'!$B20),Application!$G$718:$G$752)</f>
        <v>2</v>
      </c>
      <c r="Q20" s="2523"/>
      <c r="R20" s="2523"/>
      <c r="S20" s="2523"/>
      <c r="T20" s="2523"/>
      <c r="U20" s="2524"/>
      <c r="V20" s="2522" cm="1">
        <f t="array" ref="V20">SUMPRODUCT((Application!$B$714:$B$738 = 'CalHFA Addendum'!V$18)*(Application!$AC$714:$AC$738 = 'CalHFA Addendum'!$B20),Application!$G$714:$G$738)</f>
        <v>0</v>
      </c>
      <c r="W20" s="2523"/>
      <c r="X20" s="2523"/>
      <c r="Y20" s="2523"/>
      <c r="Z20" s="2523"/>
      <c r="AA20" s="2524"/>
      <c r="AB20" s="2522" cm="1">
        <f t="array" ref="AB20">SUMPRODUCT((Application!$B$714:$B$738 = 'CalHFA Addendum'!AB$18)*(Application!$AC$714:$AC$738 = 'CalHFA Addendum'!$B20),Application!$G$714:$G$738)</f>
        <v>0</v>
      </c>
      <c r="AC20" s="2523"/>
      <c r="AD20" s="2523"/>
      <c r="AE20" s="2523"/>
      <c r="AF20" s="2523"/>
      <c r="AG20" s="2524"/>
      <c r="AH20" s="2522" cm="1">
        <f t="array" ref="AH20">SUMPRODUCT((Application!$B$714:$B$738 = 'CalHFA Addendum'!AH$18)*(Application!$AC$714:$AC$738 = 'CalHFA Addendum'!$B20),Application!$G$714:$G$738)</f>
        <v>0</v>
      </c>
      <c r="AI20" s="2523"/>
      <c r="AJ20" s="2523"/>
      <c r="AK20" s="2523"/>
      <c r="AL20" s="2523"/>
      <c r="AM20" s="2524"/>
      <c r="AN20" s="2522" cm="1">
        <f t="array" ref="AN20">SUMPRODUCT((Application!$B$714:$B$738 = 'CalHFA Addendum'!AN$18)*(Application!$AC$714:$AC$738 = 'CalHFA Addendum'!$B20),Application!$G$714:$G$738)</f>
        <v>0</v>
      </c>
      <c r="AO20" s="2523"/>
      <c r="AP20" s="2523"/>
      <c r="AQ20" s="2523"/>
      <c r="AR20" s="2523"/>
      <c r="AS20" s="2524"/>
      <c r="AT20" s="2525">
        <f t="shared" si="1"/>
        <v>1.4285714285714285E-2</v>
      </c>
      <c r="AU20" s="2526"/>
      <c r="AV20" s="2526"/>
      <c r="AW20" s="2526"/>
      <c r="AX20" s="2526"/>
      <c r="AY20" s="2527"/>
      <c r="AZ20" s="1209"/>
      <c r="BA20" s="1209"/>
      <c r="BB20" s="1209"/>
      <c r="BC20" s="1209"/>
      <c r="BD20" s="1209"/>
      <c r="BE20" s="1205"/>
    </row>
    <row r="21" spans="1:58" ht="14.6">
      <c r="A21" s="1209"/>
      <c r="B21" s="2519">
        <v>0.5</v>
      </c>
      <c r="C21" s="2520"/>
      <c r="D21" s="2520"/>
      <c r="E21" s="2520"/>
      <c r="F21" s="2520"/>
      <c r="G21" s="2520"/>
      <c r="H21" s="2520"/>
      <c r="I21" s="2521"/>
      <c r="J21" s="2522">
        <f t="shared" si="0"/>
        <v>66</v>
      </c>
      <c r="K21" s="2523"/>
      <c r="L21" s="2523"/>
      <c r="M21" s="2523"/>
      <c r="N21" s="2523"/>
      <c r="O21" s="2524"/>
      <c r="P21" s="2522" cm="1">
        <f t="array" ref="P21">SUMPRODUCT((Application!$B$714:$B$738 = 'CalHFA Addendum'!P$18)*(Application!$AC$714:$AC$738 = 'CalHFA Addendum'!$B21),Application!$G$714:$G$738)</f>
        <v>66</v>
      </c>
      <c r="Q21" s="2523"/>
      <c r="R21" s="2523"/>
      <c r="S21" s="2523"/>
      <c r="T21" s="2523"/>
      <c r="U21" s="2524"/>
      <c r="V21" s="2522" cm="1">
        <f t="array" ref="V21">SUMPRODUCT((Application!$B$714:$B$738 = 'CalHFA Addendum'!V$18)*(Application!$AC$714:$AC$738 = 'CalHFA Addendum'!$B21),Application!$G$714:$G$738)</f>
        <v>0</v>
      </c>
      <c r="W21" s="2523"/>
      <c r="X21" s="2523"/>
      <c r="Y21" s="2523"/>
      <c r="Z21" s="2523"/>
      <c r="AA21" s="2524"/>
      <c r="AB21" s="2522" cm="1">
        <f t="array" ref="AB21">SUMPRODUCT((Application!$B$714:$B$738 = 'CalHFA Addendum'!AB$18)*(Application!$AC$714:$AC$738 = 'CalHFA Addendum'!$B21),Application!$G$714:$G$738)</f>
        <v>0</v>
      </c>
      <c r="AC21" s="2523"/>
      <c r="AD21" s="2523"/>
      <c r="AE21" s="2523"/>
      <c r="AF21" s="2523"/>
      <c r="AG21" s="2524"/>
      <c r="AH21" s="2522" cm="1">
        <f t="array" ref="AH21">SUMPRODUCT((Application!$B$714:$B$738 = 'CalHFA Addendum'!AH$18)*(Application!$AC$714:$AC$738 = 'CalHFA Addendum'!$B21),Application!$G$714:$G$738)</f>
        <v>0</v>
      </c>
      <c r="AI21" s="2523"/>
      <c r="AJ21" s="2523"/>
      <c r="AK21" s="2523"/>
      <c r="AL21" s="2523"/>
      <c r="AM21" s="2524"/>
      <c r="AN21" s="2522" cm="1">
        <f t="array" ref="AN21">SUMPRODUCT((Application!$B$714:$B$738 = 'CalHFA Addendum'!AN$18)*(Application!$AC$714:$AC$738 = 'CalHFA Addendum'!$B21),Application!$G$714:$G$738)</f>
        <v>0</v>
      </c>
      <c r="AO21" s="2523"/>
      <c r="AP21" s="2523"/>
      <c r="AQ21" s="2523"/>
      <c r="AR21" s="2523"/>
      <c r="AS21" s="2524"/>
      <c r="AT21" s="2525">
        <f t="shared" si="1"/>
        <v>0.47142857142857142</v>
      </c>
      <c r="AU21" s="2526"/>
      <c r="AV21" s="2526"/>
      <c r="AW21" s="2526"/>
      <c r="AX21" s="2526"/>
      <c r="AY21" s="2527"/>
      <c r="AZ21" s="1209"/>
      <c r="BA21" s="1209"/>
      <c r="BB21" s="1209"/>
      <c r="BC21" s="1209"/>
      <c r="BD21" s="1209"/>
      <c r="BE21" s="1205"/>
    </row>
    <row r="22" spans="1:58" ht="14.6">
      <c r="A22" s="1209"/>
      <c r="B22" s="2519">
        <v>0.6</v>
      </c>
      <c r="C22" s="2520"/>
      <c r="D22" s="2520"/>
      <c r="E22" s="2520"/>
      <c r="F22" s="2520"/>
      <c r="G22" s="2520"/>
      <c r="H22" s="2520"/>
      <c r="I22" s="2521"/>
      <c r="J22" s="2522">
        <f t="shared" si="0"/>
        <v>0</v>
      </c>
      <c r="K22" s="2523"/>
      <c r="L22" s="2523"/>
      <c r="M22" s="2523"/>
      <c r="N22" s="2523"/>
      <c r="O22" s="2524"/>
      <c r="P22" s="2522" cm="1">
        <f t="array" ref="P22">SUMPRODUCT((Application!$B$714:$B$738 = 'CalHFA Addendum'!P$18)*(Application!$AC$714:$AC$738 = 'CalHFA Addendum'!$B22),Application!$G$714:$G$738)</f>
        <v>0</v>
      </c>
      <c r="Q22" s="2523"/>
      <c r="R22" s="2523"/>
      <c r="S22" s="2523"/>
      <c r="T22" s="2523"/>
      <c r="U22" s="2524"/>
      <c r="V22" s="2522" cm="1">
        <f t="array" ref="V22">SUMPRODUCT((Application!$B$714:$B$738 = 'CalHFA Addendum'!V$18)*(Application!$AC$714:$AC$738 = 'CalHFA Addendum'!$B22),Application!$G$714:$G$738)</f>
        <v>0</v>
      </c>
      <c r="W22" s="2523"/>
      <c r="X22" s="2523"/>
      <c r="Y22" s="2523"/>
      <c r="Z22" s="2523"/>
      <c r="AA22" s="2524"/>
      <c r="AB22" s="2522" cm="1">
        <f t="array" ref="AB22">SUMPRODUCT((Application!$B$714:$B$738 = 'CalHFA Addendum'!AB$18)*(Application!$AC$714:$AC$738 = 'CalHFA Addendum'!$B22),Application!$G$714:$G$738)</f>
        <v>0</v>
      </c>
      <c r="AC22" s="2523"/>
      <c r="AD22" s="2523"/>
      <c r="AE22" s="2523"/>
      <c r="AF22" s="2523"/>
      <c r="AG22" s="2524"/>
      <c r="AH22" s="2522" cm="1">
        <f t="array" ref="AH22">SUMPRODUCT((Application!$B$714:$B$738 = 'CalHFA Addendum'!AH$18)*(Application!$AC$714:$AC$738 = 'CalHFA Addendum'!$B22),Application!$G$714:$G$738)</f>
        <v>0</v>
      </c>
      <c r="AI22" s="2523"/>
      <c r="AJ22" s="2523"/>
      <c r="AK22" s="2523"/>
      <c r="AL22" s="2523"/>
      <c r="AM22" s="2524"/>
      <c r="AN22" s="2522" cm="1">
        <f t="array" ref="AN22">SUMPRODUCT((Application!$B$714:$B$738 = 'CalHFA Addendum'!AN$18)*(Application!$AC$714:$AC$738 = 'CalHFA Addendum'!$B22),Application!$G$714:$G$738)</f>
        <v>0</v>
      </c>
      <c r="AO22" s="2523"/>
      <c r="AP22" s="2523"/>
      <c r="AQ22" s="2523"/>
      <c r="AR22" s="2523"/>
      <c r="AS22" s="2524"/>
      <c r="AT22" s="2525">
        <f t="shared" si="1"/>
        <v>0</v>
      </c>
      <c r="AU22" s="2526"/>
      <c r="AV22" s="2526"/>
      <c r="AW22" s="2526"/>
      <c r="AX22" s="2526"/>
      <c r="AY22" s="2527"/>
      <c r="AZ22" s="1209"/>
      <c r="BA22" s="1209"/>
      <c r="BB22" s="1209"/>
      <c r="BC22" s="1209"/>
      <c r="BD22" s="1209"/>
      <c r="BE22" s="1205"/>
    </row>
    <row r="23" spans="1:58" ht="14.6">
      <c r="A23" s="1209"/>
      <c r="B23" s="2519">
        <v>0.7</v>
      </c>
      <c r="C23" s="2520"/>
      <c r="D23" s="2520"/>
      <c r="E23" s="2520"/>
      <c r="F23" s="2520"/>
      <c r="G23" s="2520"/>
      <c r="H23" s="2520"/>
      <c r="I23" s="2521"/>
      <c r="J23" s="2522">
        <f t="shared" si="0"/>
        <v>0</v>
      </c>
      <c r="K23" s="2523"/>
      <c r="L23" s="2523"/>
      <c r="M23" s="2523"/>
      <c r="N23" s="2523"/>
      <c r="O23" s="2524"/>
      <c r="P23" s="2522" cm="1">
        <f t="array" ref="P23">SUMPRODUCT((Application!$B$714:$B$738 = 'CalHFA Addendum'!P$18)*(Application!$AC$714:$AC$738 = 'CalHFA Addendum'!$B23),Application!$G$714:$G$738)</f>
        <v>0</v>
      </c>
      <c r="Q23" s="2523"/>
      <c r="R23" s="2523"/>
      <c r="S23" s="2523"/>
      <c r="T23" s="2523"/>
      <c r="U23" s="2524"/>
      <c r="V23" s="2522" cm="1">
        <f t="array" ref="V23">SUMPRODUCT((Application!$B$714:$B$738 = 'CalHFA Addendum'!V$18)*(Application!$AC$714:$AC$738 = 'CalHFA Addendum'!$B23),Application!$G$714:$G$738)</f>
        <v>0</v>
      </c>
      <c r="W23" s="2523"/>
      <c r="X23" s="2523"/>
      <c r="Y23" s="2523"/>
      <c r="Z23" s="2523"/>
      <c r="AA23" s="2524"/>
      <c r="AB23" s="2522" cm="1">
        <f t="array" ref="AB23">SUMPRODUCT((Application!$B$714:$B$738 = 'CalHFA Addendum'!AB$18)*(Application!$AC$714:$AC$738 = 'CalHFA Addendum'!$B23),Application!$G$714:$G$738)</f>
        <v>0</v>
      </c>
      <c r="AC23" s="2523"/>
      <c r="AD23" s="2523"/>
      <c r="AE23" s="2523"/>
      <c r="AF23" s="2523"/>
      <c r="AG23" s="2524"/>
      <c r="AH23" s="2522" cm="1">
        <f t="array" ref="AH23">SUMPRODUCT((Application!$B$714:$B$738 = 'CalHFA Addendum'!AH$18)*(Application!$AC$714:$AC$738 = 'CalHFA Addendum'!$B23),Application!$G$714:$G$738)</f>
        <v>0</v>
      </c>
      <c r="AI23" s="2523"/>
      <c r="AJ23" s="2523"/>
      <c r="AK23" s="2523"/>
      <c r="AL23" s="2523"/>
      <c r="AM23" s="2524"/>
      <c r="AN23" s="2522" cm="1">
        <f t="array" ref="AN23">SUMPRODUCT((Application!$B$714:$B$738 = 'CalHFA Addendum'!AN$18)*(Application!$AC$714:$AC$738 = 'CalHFA Addendum'!$B23),Application!$G$714:$G$738)</f>
        <v>0</v>
      </c>
      <c r="AO23" s="2523"/>
      <c r="AP23" s="2523"/>
      <c r="AQ23" s="2523"/>
      <c r="AR23" s="2523"/>
      <c r="AS23" s="2524"/>
      <c r="AT23" s="2525">
        <f t="shared" si="1"/>
        <v>0</v>
      </c>
      <c r="AU23" s="2526"/>
      <c r="AV23" s="2526"/>
      <c r="AW23" s="2526"/>
      <c r="AX23" s="2526"/>
      <c r="AY23" s="2527"/>
      <c r="AZ23" s="1209"/>
      <c r="BA23" s="1209"/>
      <c r="BB23" s="1209"/>
      <c r="BC23" s="1209"/>
      <c r="BD23" s="1209"/>
      <c r="BE23" s="1205"/>
    </row>
    <row r="24" spans="1:58" ht="14.6">
      <c r="A24" s="1209"/>
      <c r="B24" s="2519">
        <v>0.8</v>
      </c>
      <c r="C24" s="2520"/>
      <c r="D24" s="2520"/>
      <c r="E24" s="2520"/>
      <c r="F24" s="2520"/>
      <c r="G24" s="2520"/>
      <c r="H24" s="2520"/>
      <c r="I24" s="2521"/>
      <c r="J24" s="2522">
        <f t="shared" si="0"/>
        <v>0</v>
      </c>
      <c r="K24" s="2523"/>
      <c r="L24" s="2523"/>
      <c r="M24" s="2523"/>
      <c r="N24" s="2523"/>
      <c r="O24" s="2524"/>
      <c r="P24" s="2522" cm="1">
        <f t="array" ref="P24">SUMPRODUCT((Application!$B$714:$B$738 = 'CalHFA Addendum'!P$18)*(Application!$AC$714:$AC$738 = 'CalHFA Addendum'!$B24),Application!$G$714:$G$738)</f>
        <v>0</v>
      </c>
      <c r="Q24" s="2523"/>
      <c r="R24" s="2523"/>
      <c r="S24" s="2523"/>
      <c r="T24" s="2523"/>
      <c r="U24" s="2524"/>
      <c r="V24" s="2522" cm="1">
        <f t="array" ref="V24">SUMPRODUCT((Application!$B$714:$B$738 = 'CalHFA Addendum'!V$18)*(Application!$AC$714:$AC$738 = 'CalHFA Addendum'!$B24),Application!$G$714:$G$738)</f>
        <v>0</v>
      </c>
      <c r="W24" s="2523"/>
      <c r="X24" s="2523"/>
      <c r="Y24" s="2523"/>
      <c r="Z24" s="2523"/>
      <c r="AA24" s="2524"/>
      <c r="AB24" s="2522" cm="1">
        <f t="array" ref="AB24">SUMPRODUCT((Application!$B$714:$B$738 = 'CalHFA Addendum'!AB$18)*(Application!$AC$714:$AC$738 = 'CalHFA Addendum'!$B24),Application!$G$714:$G$738)</f>
        <v>0</v>
      </c>
      <c r="AC24" s="2523"/>
      <c r="AD24" s="2523"/>
      <c r="AE24" s="2523"/>
      <c r="AF24" s="2523"/>
      <c r="AG24" s="2524"/>
      <c r="AH24" s="2522" cm="1">
        <f t="array" ref="AH24">SUMPRODUCT((Application!$B$714:$B$738 = 'CalHFA Addendum'!AH$18)*(Application!$AC$714:$AC$738 = 'CalHFA Addendum'!$B24),Application!$G$714:$G$738)</f>
        <v>0</v>
      </c>
      <c r="AI24" s="2523"/>
      <c r="AJ24" s="2523"/>
      <c r="AK24" s="2523"/>
      <c r="AL24" s="2523"/>
      <c r="AM24" s="2524"/>
      <c r="AN24" s="2522" cm="1">
        <f t="array" ref="AN24">SUMPRODUCT((Application!$B$714:$B$738 = 'CalHFA Addendum'!AN$18)*(Application!$AC$714:$AC$738 = 'CalHFA Addendum'!$B24),Application!$G$714:$G$738)</f>
        <v>0</v>
      </c>
      <c r="AO24" s="2523"/>
      <c r="AP24" s="2523"/>
      <c r="AQ24" s="2523"/>
      <c r="AR24" s="2523"/>
      <c r="AS24" s="2524"/>
      <c r="AT24" s="2525">
        <f t="shared" si="1"/>
        <v>0</v>
      </c>
      <c r="AU24" s="2526"/>
      <c r="AV24" s="2526"/>
      <c r="AW24" s="2526"/>
      <c r="AX24" s="2526"/>
      <c r="AY24" s="2527"/>
      <c r="AZ24" s="1209"/>
      <c r="BA24" s="1209"/>
      <c r="BB24" s="1209"/>
      <c r="BC24" s="1209"/>
      <c r="BD24" s="1209"/>
      <c r="BE24" s="1205"/>
    </row>
    <row r="25" spans="1:58" ht="14.6">
      <c r="A25" s="1209"/>
      <c r="B25" s="2519">
        <v>0.9</v>
      </c>
      <c r="C25" s="2520"/>
      <c r="D25" s="2520"/>
      <c r="E25" s="2520"/>
      <c r="F25" s="2520"/>
      <c r="G25" s="2520"/>
      <c r="H25" s="2520"/>
      <c r="I25" s="2521"/>
      <c r="J25" s="2522">
        <f t="shared" si="0"/>
        <v>0</v>
      </c>
      <c r="K25" s="2523"/>
      <c r="L25" s="2523"/>
      <c r="M25" s="2523"/>
      <c r="N25" s="2523"/>
      <c r="O25" s="2524"/>
      <c r="P25" s="2522" cm="1">
        <f t="array" ref="P25">SUMPRODUCT((Application!$B$714:$B$738 = 'CalHFA Addendum'!P$18)*(Application!$AC$714:$AC$738 = 'CalHFA Addendum'!$B25),Application!$G$714:$G$738)</f>
        <v>0</v>
      </c>
      <c r="Q25" s="2523"/>
      <c r="R25" s="2523"/>
      <c r="S25" s="2523"/>
      <c r="T25" s="2523"/>
      <c r="U25" s="2524"/>
      <c r="V25" s="2522" cm="1">
        <f t="array" ref="V25">SUMPRODUCT((Application!$B$714:$B$738 = 'CalHFA Addendum'!V$18)*(Application!$AC$714:$AC$738 = 'CalHFA Addendum'!$B25),Application!$G$714:$G$738)</f>
        <v>0</v>
      </c>
      <c r="W25" s="2523"/>
      <c r="X25" s="2523"/>
      <c r="Y25" s="2523"/>
      <c r="Z25" s="2523"/>
      <c r="AA25" s="2524"/>
      <c r="AB25" s="2522" cm="1">
        <f t="array" ref="AB25">SUMPRODUCT((Application!$B$714:$B$738 = 'CalHFA Addendum'!AB$18)*(Application!$AC$714:$AC$738 = 'CalHFA Addendum'!$B25),Application!$G$714:$G$738)</f>
        <v>0</v>
      </c>
      <c r="AC25" s="2523"/>
      <c r="AD25" s="2523"/>
      <c r="AE25" s="2523"/>
      <c r="AF25" s="2523"/>
      <c r="AG25" s="2524"/>
      <c r="AH25" s="2522" cm="1">
        <f t="array" ref="AH25">SUMPRODUCT((Application!$B$714:$B$738 = 'CalHFA Addendum'!AH$18)*(Application!$AC$714:$AC$738 = 'CalHFA Addendum'!$B25),Application!$G$714:$G$738)</f>
        <v>0</v>
      </c>
      <c r="AI25" s="2523"/>
      <c r="AJ25" s="2523"/>
      <c r="AK25" s="2523"/>
      <c r="AL25" s="2523"/>
      <c r="AM25" s="2524"/>
      <c r="AN25" s="2522" cm="1">
        <f t="array" ref="AN25">SUMPRODUCT((Application!$B$714:$B$738 = 'CalHFA Addendum'!AN$18)*(Application!$AC$714:$AC$738 = 'CalHFA Addendum'!$B25),Application!$G$714:$G$738)</f>
        <v>0</v>
      </c>
      <c r="AO25" s="2523"/>
      <c r="AP25" s="2523"/>
      <c r="AQ25" s="2523"/>
      <c r="AR25" s="2523"/>
      <c r="AS25" s="2524"/>
      <c r="AT25" s="2525">
        <f t="shared" si="1"/>
        <v>0</v>
      </c>
      <c r="AU25" s="2526"/>
      <c r="AV25" s="2526"/>
      <c r="AW25" s="2526"/>
      <c r="AX25" s="2526"/>
      <c r="AY25" s="2527"/>
      <c r="AZ25" s="1209"/>
      <c r="BA25" s="1209"/>
      <c r="BB25" s="1209"/>
      <c r="BC25" s="1209"/>
      <c r="BD25" s="1209"/>
      <c r="BE25" s="1205"/>
    </row>
    <row r="26" spans="1:58" ht="14.6">
      <c r="A26" s="1209"/>
      <c r="B26" s="2519">
        <v>1</v>
      </c>
      <c r="C26" s="2520"/>
      <c r="D26" s="2520"/>
      <c r="E26" s="2520"/>
      <c r="F26" s="2520"/>
      <c r="G26" s="2520"/>
      <c r="H26" s="2520"/>
      <c r="I26" s="2521"/>
      <c r="J26" s="2522">
        <f t="shared" si="0"/>
        <v>0</v>
      </c>
      <c r="K26" s="2523"/>
      <c r="L26" s="2523"/>
      <c r="M26" s="2523"/>
      <c r="N26" s="2523"/>
      <c r="O26" s="2524"/>
      <c r="P26" s="2522" cm="1">
        <f t="array" ref="P26">SUMPRODUCT((Application!$B$714:$B$738 = 'CalHFA Addendum'!P$18)*(Application!$AC$714:$AC$738 = 'CalHFA Addendum'!$B26),Application!$G$714:$G$738)</f>
        <v>0</v>
      </c>
      <c r="Q26" s="2523"/>
      <c r="R26" s="2523"/>
      <c r="S26" s="2523"/>
      <c r="T26" s="2523"/>
      <c r="U26" s="2524"/>
      <c r="V26" s="2522" cm="1">
        <f t="array" ref="V26">SUMPRODUCT((Application!$B$714:$B$738 = 'CalHFA Addendum'!V$18)*(Application!$AC$714:$AC$738 = 'CalHFA Addendum'!$B26),Application!$G$714:$G$738)</f>
        <v>0</v>
      </c>
      <c r="W26" s="2523"/>
      <c r="X26" s="2523"/>
      <c r="Y26" s="2523"/>
      <c r="Z26" s="2523"/>
      <c r="AA26" s="2524"/>
      <c r="AB26" s="2522" cm="1">
        <f t="array" ref="AB26">SUMPRODUCT((Application!$B$714:$B$738 = 'CalHFA Addendum'!AB$18)*(Application!$AC$714:$AC$738 = 'CalHFA Addendum'!$B26),Application!$G$714:$G$738)</f>
        <v>0</v>
      </c>
      <c r="AC26" s="2523"/>
      <c r="AD26" s="2523"/>
      <c r="AE26" s="2523"/>
      <c r="AF26" s="2523"/>
      <c r="AG26" s="2524"/>
      <c r="AH26" s="2522" cm="1">
        <f t="array" ref="AH26">SUMPRODUCT((Application!$B$714:$B$738 = 'CalHFA Addendum'!AH$18)*(Application!$AC$714:$AC$738 = 'CalHFA Addendum'!$B26),Application!$G$714:$G$738)</f>
        <v>0</v>
      </c>
      <c r="AI26" s="2523"/>
      <c r="AJ26" s="2523"/>
      <c r="AK26" s="2523"/>
      <c r="AL26" s="2523"/>
      <c r="AM26" s="2524"/>
      <c r="AN26" s="2522" cm="1">
        <f t="array" ref="AN26">SUMPRODUCT((Application!$B$714:$B$738 = 'CalHFA Addendum'!AN$18)*(Application!$AC$714:$AC$738 = 'CalHFA Addendum'!$B26),Application!$G$714:$G$738)</f>
        <v>0</v>
      </c>
      <c r="AO26" s="2523"/>
      <c r="AP26" s="2523"/>
      <c r="AQ26" s="2523"/>
      <c r="AR26" s="2523"/>
      <c r="AS26" s="2524"/>
      <c r="AT26" s="2525">
        <f t="shared" si="1"/>
        <v>0</v>
      </c>
      <c r="AU26" s="2526"/>
      <c r="AV26" s="2526"/>
      <c r="AW26" s="2526"/>
      <c r="AX26" s="2526"/>
      <c r="AY26" s="2527"/>
      <c r="AZ26" s="1209"/>
      <c r="BA26" s="1209"/>
      <c r="BB26" s="1209"/>
      <c r="BC26" s="1209"/>
      <c r="BD26" s="1209"/>
      <c r="BE26" s="1205"/>
    </row>
    <row r="27" spans="1:58" ht="14.6">
      <c r="A27" s="1209"/>
      <c r="B27" s="2519">
        <v>1.1000000000000001</v>
      </c>
      <c r="C27" s="2520"/>
      <c r="D27" s="2520"/>
      <c r="E27" s="2520"/>
      <c r="F27" s="2520"/>
      <c r="G27" s="2520"/>
      <c r="H27" s="2520"/>
      <c r="I27" s="2521"/>
      <c r="J27" s="2522">
        <f t="shared" si="0"/>
        <v>0</v>
      </c>
      <c r="K27" s="2523"/>
      <c r="L27" s="2523"/>
      <c r="M27" s="2523"/>
      <c r="N27" s="2523"/>
      <c r="O27" s="2524"/>
      <c r="P27" s="2522" cm="1">
        <f t="array" ref="P27">SUMPRODUCT((Application!$B$714:$B$738 = 'CalHFA Addendum'!P$18)*(Application!$AC$714:$AC$738 = 'CalHFA Addendum'!$B27),Application!$G$714:$G$738)</f>
        <v>0</v>
      </c>
      <c r="Q27" s="2523"/>
      <c r="R27" s="2523"/>
      <c r="S27" s="2523"/>
      <c r="T27" s="2523"/>
      <c r="U27" s="2524"/>
      <c r="V27" s="2522" cm="1">
        <f t="array" ref="V27">SUMPRODUCT((Application!$B$714:$B$738 = 'CalHFA Addendum'!V$18)*(Application!$AC$714:$AC$738 = 'CalHFA Addendum'!$B27),Application!$G$714:$G$738)</f>
        <v>0</v>
      </c>
      <c r="W27" s="2523"/>
      <c r="X27" s="2523"/>
      <c r="Y27" s="2523"/>
      <c r="Z27" s="2523"/>
      <c r="AA27" s="2524"/>
      <c r="AB27" s="2522" cm="1">
        <f t="array" ref="AB27">SUMPRODUCT((Application!$B$714:$B$738 = 'CalHFA Addendum'!AB$18)*(Application!$AC$714:$AC$738 = 'CalHFA Addendum'!$B27),Application!$G$714:$G$738)</f>
        <v>0</v>
      </c>
      <c r="AC27" s="2523"/>
      <c r="AD27" s="2523"/>
      <c r="AE27" s="2523"/>
      <c r="AF27" s="2523"/>
      <c r="AG27" s="2524"/>
      <c r="AH27" s="2522" cm="1">
        <f t="array" ref="AH27">SUMPRODUCT((Application!$B$714:$B$738 = 'CalHFA Addendum'!AH$18)*(Application!$AC$714:$AC$738 = 'CalHFA Addendum'!$B27),Application!$G$714:$G$738)</f>
        <v>0</v>
      </c>
      <c r="AI27" s="2523"/>
      <c r="AJ27" s="2523"/>
      <c r="AK27" s="2523"/>
      <c r="AL27" s="2523"/>
      <c r="AM27" s="2524"/>
      <c r="AN27" s="2522" cm="1">
        <f t="array" ref="AN27">SUMPRODUCT((Application!$B$714:$B$738 = 'CalHFA Addendum'!AN$18)*(Application!$AC$714:$AC$738 = 'CalHFA Addendum'!$B27),Application!$G$714:$G$738)</f>
        <v>0</v>
      </c>
      <c r="AO27" s="2523"/>
      <c r="AP27" s="2523"/>
      <c r="AQ27" s="2523"/>
      <c r="AR27" s="2523"/>
      <c r="AS27" s="2524"/>
      <c r="AT27" s="2525">
        <f t="shared" si="1"/>
        <v>0</v>
      </c>
      <c r="AU27" s="2526"/>
      <c r="AV27" s="2526"/>
      <c r="AW27" s="2526"/>
      <c r="AX27" s="2526"/>
      <c r="AY27" s="2527"/>
      <c r="AZ27" s="1209"/>
      <c r="BA27" s="1209"/>
      <c r="BB27" s="1209"/>
      <c r="BC27" s="1209"/>
      <c r="BD27" s="1209"/>
      <c r="BE27" s="1205"/>
    </row>
    <row r="28" spans="1:58" ht="15" thickBot="1">
      <c r="A28" s="1209"/>
      <c r="B28" s="2528" t="s">
        <v>1800</v>
      </c>
      <c r="C28" s="2529"/>
      <c r="D28" s="2529"/>
      <c r="E28" s="2529"/>
      <c r="F28" s="2529"/>
      <c r="G28" s="2529"/>
      <c r="H28" s="2529"/>
      <c r="I28" s="2530"/>
      <c r="J28" s="2531">
        <f t="shared" si="0"/>
        <v>0</v>
      </c>
      <c r="K28" s="2532"/>
      <c r="L28" s="2532"/>
      <c r="M28" s="2532"/>
      <c r="N28" s="2532"/>
      <c r="O28" s="2533"/>
      <c r="P28" s="2531">
        <f>_xlfn.IFNA(VLOOKUP(P$18,Application!$J$758:$S$761,6,FALSE), 0)</f>
        <v>0</v>
      </c>
      <c r="Q28" s="2532"/>
      <c r="R28" s="2532"/>
      <c r="S28" s="2532"/>
      <c r="T28" s="2532"/>
      <c r="U28" s="2533"/>
      <c r="V28" s="2531">
        <f>_xlfn.IFNA(VLOOKUP(V$18,Application!$J$758:$S$761,6,FALSE), 0)</f>
        <v>0</v>
      </c>
      <c r="W28" s="2532"/>
      <c r="X28" s="2532"/>
      <c r="Y28" s="2532"/>
      <c r="Z28" s="2532"/>
      <c r="AA28" s="2533"/>
      <c r="AB28" s="2531">
        <f>_xlfn.IFNA(VLOOKUP(AB$18,Application!$J$758:$S$761,6,FALSE), 0)</f>
        <v>0</v>
      </c>
      <c r="AC28" s="2532"/>
      <c r="AD28" s="2532"/>
      <c r="AE28" s="2532"/>
      <c r="AF28" s="2532"/>
      <c r="AG28" s="2533"/>
      <c r="AH28" s="2531">
        <f>_xlfn.IFNA(VLOOKUP(AH$18,Application!$J$758:$S$761,6,FALSE), 0)</f>
        <v>0</v>
      </c>
      <c r="AI28" s="2532"/>
      <c r="AJ28" s="2532"/>
      <c r="AK28" s="2532"/>
      <c r="AL28" s="2532"/>
      <c r="AM28" s="2533"/>
      <c r="AN28" s="2531">
        <f>_xlfn.IFNA(VLOOKUP(AN$18,Application!$J$758:$S$761,6,FALSE), 0)</f>
        <v>0</v>
      </c>
      <c r="AO28" s="2532"/>
      <c r="AP28" s="2532"/>
      <c r="AQ28" s="2532"/>
      <c r="AR28" s="2532"/>
      <c r="AS28" s="2533"/>
      <c r="AT28" s="2534">
        <f t="shared" si="1"/>
        <v>0</v>
      </c>
      <c r="AU28" s="2535"/>
      <c r="AV28" s="2535"/>
      <c r="AW28" s="2535"/>
      <c r="AX28" s="2535"/>
      <c r="AY28" s="2536"/>
      <c r="AZ28" s="1209"/>
      <c r="BA28" s="1209"/>
      <c r="BB28" s="1209"/>
      <c r="BC28" s="1209"/>
      <c r="BD28" s="1209"/>
      <c r="BE28" s="1205"/>
    </row>
    <row r="29" spans="1:58" ht="15" thickBot="1">
      <c r="A29" s="1209"/>
      <c r="B29" s="2508" t="s">
        <v>1699</v>
      </c>
      <c r="C29" s="2486"/>
      <c r="D29" s="2486"/>
      <c r="E29" s="2486"/>
      <c r="F29" s="2486"/>
      <c r="G29" s="2486"/>
      <c r="H29" s="2486"/>
      <c r="I29" s="2487"/>
      <c r="J29" s="2485">
        <f>SUM(J19:O28)</f>
        <v>140</v>
      </c>
      <c r="K29" s="2486"/>
      <c r="L29" s="2486"/>
      <c r="M29" s="2486"/>
      <c r="N29" s="2486"/>
      <c r="O29" s="2487"/>
      <c r="P29" s="2485">
        <f>SUM(P19:U28)</f>
        <v>140</v>
      </c>
      <c r="Q29" s="2486"/>
      <c r="R29" s="2486"/>
      <c r="S29" s="2486"/>
      <c r="T29" s="2486"/>
      <c r="U29" s="2487"/>
      <c r="V29" s="2485">
        <f>SUM(V19:AA28)</f>
        <v>0</v>
      </c>
      <c r="W29" s="2486"/>
      <c r="X29" s="2486"/>
      <c r="Y29" s="2486"/>
      <c r="Z29" s="2486"/>
      <c r="AA29" s="2487"/>
      <c r="AB29" s="2485">
        <f>SUM(AB19:AG28)</f>
        <v>0</v>
      </c>
      <c r="AC29" s="2486"/>
      <c r="AD29" s="2486"/>
      <c r="AE29" s="2486"/>
      <c r="AF29" s="2486"/>
      <c r="AG29" s="2487"/>
      <c r="AH29" s="2485">
        <f>SUM(AH19:AM28)</f>
        <v>0</v>
      </c>
      <c r="AI29" s="2486"/>
      <c r="AJ29" s="2486"/>
      <c r="AK29" s="2486"/>
      <c r="AL29" s="2486"/>
      <c r="AM29" s="2487"/>
      <c r="AN29" s="2485">
        <f>SUM(AN19:AS28)</f>
        <v>0</v>
      </c>
      <c r="AO29" s="2486"/>
      <c r="AP29" s="2486"/>
      <c r="AQ29" s="2486"/>
      <c r="AR29" s="2486"/>
      <c r="AS29" s="2487"/>
      <c r="AT29" s="2501">
        <f t="shared" si="1"/>
        <v>1</v>
      </c>
      <c r="AU29" s="2502"/>
      <c r="AV29" s="2502"/>
      <c r="AW29" s="2502"/>
      <c r="AX29" s="2502"/>
      <c r="AY29" s="2503"/>
      <c r="AZ29" s="1209"/>
      <c r="BA29" s="1209"/>
      <c r="BB29" s="1209"/>
      <c r="BC29" s="1209"/>
      <c r="BD29" s="1209"/>
      <c r="BE29" s="1205"/>
    </row>
    <row r="30" spans="1:58" ht="15"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5" thickBot="1">
      <c r="A31" s="1209"/>
      <c r="B31" s="2489" t="s">
        <v>1801</v>
      </c>
      <c r="C31" s="2490"/>
      <c r="D31" s="2490"/>
      <c r="E31" s="2490"/>
      <c r="F31" s="2490"/>
      <c r="G31" s="2490"/>
      <c r="H31" s="2490"/>
      <c r="I31" s="2490"/>
      <c r="J31" s="2490"/>
      <c r="K31" s="2490"/>
      <c r="L31" s="2490"/>
      <c r="M31" s="2490"/>
      <c r="N31" s="2490"/>
      <c r="O31" s="2490"/>
      <c r="P31" s="2490"/>
      <c r="Q31" s="2490"/>
      <c r="R31" s="2490"/>
      <c r="S31" s="2490"/>
      <c r="T31" s="2490"/>
      <c r="U31" s="2490"/>
      <c r="V31" s="2490"/>
      <c r="W31" s="2490"/>
      <c r="X31" s="2490"/>
      <c r="Y31" s="2490"/>
      <c r="Z31" s="2490"/>
      <c r="AA31" s="2490"/>
      <c r="AB31" s="2490"/>
      <c r="AC31" s="2490"/>
      <c r="AD31" s="2490"/>
      <c r="AE31" s="2490"/>
      <c r="AF31" s="2490"/>
      <c r="AG31" s="2490"/>
      <c r="AH31" s="2490"/>
      <c r="AI31" s="2490"/>
      <c r="AJ31" s="2490"/>
      <c r="AK31" s="2490"/>
      <c r="AL31" s="2490"/>
      <c r="AM31" s="2490"/>
      <c r="AN31" s="2490"/>
      <c r="AO31" s="2490"/>
      <c r="AP31" s="2490"/>
      <c r="AQ31" s="2490"/>
      <c r="AR31" s="2490"/>
      <c r="AS31" s="2490"/>
      <c r="AT31" s="2490"/>
      <c r="AU31" s="2490"/>
      <c r="AV31" s="2490"/>
      <c r="AW31" s="2490"/>
      <c r="AX31" s="2490"/>
      <c r="AY31" s="2490"/>
      <c r="AZ31" s="2490"/>
      <c r="BA31" s="2490"/>
      <c r="BB31" s="2490"/>
      <c r="BC31" s="2490"/>
      <c r="BD31" s="2491"/>
      <c r="BE31" s="1205"/>
    </row>
    <row r="32" spans="1:58" ht="15" thickBot="1">
      <c r="A32" s="1209"/>
      <c r="B32" s="2504" t="s">
        <v>2474</v>
      </c>
      <c r="C32" s="2505"/>
      <c r="D32" s="2505"/>
      <c r="E32" s="2505"/>
      <c r="F32" s="2505"/>
      <c r="G32" s="2505"/>
      <c r="H32" s="2505"/>
      <c r="I32" s="2505"/>
      <c r="J32" s="2537" t="s">
        <v>2475</v>
      </c>
      <c r="K32" s="2538"/>
      <c r="L32" s="2538"/>
      <c r="M32" s="2538"/>
      <c r="N32" s="2537" t="s">
        <v>1802</v>
      </c>
      <c r="O32" s="2538"/>
      <c r="P32" s="2538"/>
      <c r="Q32" s="2540"/>
      <c r="R32" s="2498" t="s">
        <v>1803</v>
      </c>
      <c r="S32" s="2499"/>
      <c r="T32" s="2499"/>
      <c r="U32" s="2499"/>
      <c r="V32" s="2499"/>
      <c r="W32" s="2499"/>
      <c r="X32" s="2499"/>
      <c r="Y32" s="2499"/>
      <c r="Z32" s="2499"/>
      <c r="AA32" s="2499"/>
      <c r="AB32" s="2499"/>
      <c r="AC32" s="2499"/>
      <c r="AD32" s="2499"/>
      <c r="AE32" s="2499"/>
      <c r="AF32" s="2499"/>
      <c r="AG32" s="2499"/>
      <c r="AH32" s="2499"/>
      <c r="AI32" s="2499"/>
      <c r="AJ32" s="2499"/>
      <c r="AK32" s="2499"/>
      <c r="AL32" s="2499"/>
      <c r="AM32" s="2499"/>
      <c r="AN32" s="2499"/>
      <c r="AO32" s="2499"/>
      <c r="AP32" s="2499"/>
      <c r="AQ32" s="2499"/>
      <c r="AR32" s="2499"/>
      <c r="AS32" s="2499"/>
      <c r="AT32" s="2499"/>
      <c r="AU32" s="2499"/>
      <c r="AV32" s="2499"/>
      <c r="AW32" s="2499"/>
      <c r="AX32" s="2499"/>
      <c r="AY32" s="2499"/>
      <c r="AZ32" s="2499"/>
      <c r="BA32" s="2499"/>
      <c r="BB32" s="2499"/>
      <c r="BC32" s="2499"/>
      <c r="BD32" s="2500"/>
      <c r="BE32" s="1205"/>
    </row>
    <row r="33" spans="1:58" ht="15" customHeight="1">
      <c r="A33" s="1209"/>
      <c r="B33" s="2506"/>
      <c r="C33" s="2507"/>
      <c r="D33" s="2507"/>
      <c r="E33" s="2507"/>
      <c r="F33" s="2507"/>
      <c r="G33" s="2507"/>
      <c r="H33" s="2507"/>
      <c r="I33" s="2507"/>
      <c r="J33" s="2539"/>
      <c r="K33" s="2539"/>
      <c r="L33" s="2539"/>
      <c r="M33" s="2539"/>
      <c r="N33" s="2539"/>
      <c r="O33" s="2539"/>
      <c r="P33" s="2539"/>
      <c r="Q33" s="2541"/>
      <c r="R33" s="2492" t="s">
        <v>1804</v>
      </c>
      <c r="S33" s="2493"/>
      <c r="T33" s="2493"/>
      <c r="U33" s="2493"/>
      <c r="V33" s="2493"/>
      <c r="W33" s="2493"/>
      <c r="X33" s="2493"/>
      <c r="Y33" s="2493"/>
      <c r="Z33" s="2493"/>
      <c r="AA33" s="2493"/>
      <c r="AB33" s="2493"/>
      <c r="AC33" s="2493"/>
      <c r="AD33" s="2493"/>
      <c r="AE33" s="2493"/>
      <c r="AF33" s="2493"/>
      <c r="AG33" s="2493"/>
      <c r="AH33" s="2493"/>
      <c r="AI33" s="2493"/>
      <c r="AJ33" s="2493"/>
      <c r="AK33" s="2493"/>
      <c r="AL33" s="2493"/>
      <c r="AM33" s="2493"/>
      <c r="AN33" s="2493"/>
      <c r="AO33" s="2493"/>
      <c r="AP33" s="2493"/>
      <c r="AQ33" s="2493"/>
      <c r="AR33" s="2493"/>
      <c r="AS33" s="2493"/>
      <c r="AT33" s="2493"/>
      <c r="AU33" s="2493"/>
      <c r="AV33" s="2493"/>
      <c r="AW33" s="2493"/>
      <c r="AX33" s="2493"/>
      <c r="AY33" s="2493"/>
      <c r="AZ33" s="2493"/>
      <c r="BA33" s="2493"/>
      <c r="BB33" s="2493"/>
      <c r="BC33" s="2493"/>
      <c r="BD33" s="2494"/>
      <c r="BE33" s="1205"/>
    </row>
    <row r="34" spans="1:58" ht="15.75" customHeight="1" thickBot="1">
      <c r="A34" s="1209"/>
      <c r="B34" s="2506"/>
      <c r="C34" s="2507"/>
      <c r="D34" s="2507"/>
      <c r="E34" s="2507"/>
      <c r="F34" s="2507"/>
      <c r="G34" s="2507"/>
      <c r="H34" s="2507"/>
      <c r="I34" s="2507"/>
      <c r="J34" s="2539"/>
      <c r="K34" s="2539"/>
      <c r="L34" s="2539"/>
      <c r="M34" s="2539"/>
      <c r="N34" s="2539"/>
      <c r="O34" s="2539"/>
      <c r="P34" s="2539"/>
      <c r="Q34" s="2541"/>
      <c r="R34" s="2495"/>
      <c r="S34" s="2496"/>
      <c r="T34" s="2496"/>
      <c r="U34" s="2496"/>
      <c r="V34" s="2496"/>
      <c r="W34" s="2496"/>
      <c r="X34" s="2496"/>
      <c r="Y34" s="2496"/>
      <c r="Z34" s="2496"/>
      <c r="AA34" s="2496"/>
      <c r="AB34" s="2496"/>
      <c r="AC34" s="2496"/>
      <c r="AD34" s="2496"/>
      <c r="AE34" s="2496"/>
      <c r="AF34" s="2496"/>
      <c r="AG34" s="2496"/>
      <c r="AH34" s="2496"/>
      <c r="AI34" s="2496"/>
      <c r="AJ34" s="2496"/>
      <c r="AK34" s="2496"/>
      <c r="AL34" s="2496"/>
      <c r="AM34" s="2496"/>
      <c r="AN34" s="2496"/>
      <c r="AO34" s="2496"/>
      <c r="AP34" s="2496"/>
      <c r="AQ34" s="2496"/>
      <c r="AR34" s="2496"/>
      <c r="AS34" s="2496"/>
      <c r="AT34" s="2496"/>
      <c r="AU34" s="2496"/>
      <c r="AV34" s="2496"/>
      <c r="AW34" s="2496"/>
      <c r="AX34" s="2496"/>
      <c r="AY34" s="2496"/>
      <c r="AZ34" s="2496"/>
      <c r="BA34" s="2496"/>
      <c r="BB34" s="2496"/>
      <c r="BC34" s="2496"/>
      <c r="BD34" s="2497"/>
      <c r="BE34" s="1205"/>
    </row>
    <row r="35" spans="1:58" ht="15.75" customHeight="1">
      <c r="A35" s="1209"/>
      <c r="B35" s="2506"/>
      <c r="C35" s="2507"/>
      <c r="D35" s="2507"/>
      <c r="E35" s="2507"/>
      <c r="F35" s="2507"/>
      <c r="G35" s="2507"/>
      <c r="H35" s="2507"/>
      <c r="I35" s="2507"/>
      <c r="J35" s="2539"/>
      <c r="K35" s="2539"/>
      <c r="L35" s="2539"/>
      <c r="M35" s="2539"/>
      <c r="N35" s="2539"/>
      <c r="O35" s="2539"/>
      <c r="P35" s="2539"/>
      <c r="Q35" s="2539"/>
      <c r="R35" s="2488">
        <v>0.3</v>
      </c>
      <c r="S35" s="2488"/>
      <c r="T35" s="2488"/>
      <c r="U35" s="2488"/>
      <c r="V35" s="2488">
        <v>0.4</v>
      </c>
      <c r="W35" s="2488"/>
      <c r="X35" s="2488"/>
      <c r="Y35" s="2488"/>
      <c r="Z35" s="2488">
        <v>0.5</v>
      </c>
      <c r="AA35" s="2488"/>
      <c r="AB35" s="2488"/>
      <c r="AC35" s="2488"/>
      <c r="AD35" s="2488">
        <v>0.6</v>
      </c>
      <c r="AE35" s="2488"/>
      <c r="AF35" s="2488"/>
      <c r="AG35" s="2488"/>
      <c r="AH35" s="2488">
        <v>0.7</v>
      </c>
      <c r="AI35" s="2488"/>
      <c r="AJ35" s="2488"/>
      <c r="AK35" s="2488"/>
      <c r="AL35" s="2509">
        <v>0.8</v>
      </c>
      <c r="AM35" s="2510"/>
      <c r="AN35" s="2510"/>
      <c r="AO35" s="2511"/>
      <c r="AP35" s="2512">
        <v>1.2</v>
      </c>
      <c r="AQ35" s="2513"/>
      <c r="AR35" s="2514"/>
      <c r="AS35" s="2515" t="s">
        <v>1805</v>
      </c>
      <c r="AT35" s="2516"/>
      <c r="AU35" s="2516"/>
      <c r="AV35" s="2516"/>
      <c r="AW35" s="2516"/>
      <c r="AX35" s="2517"/>
      <c r="AY35" s="2515" t="s">
        <v>1806</v>
      </c>
      <c r="AZ35" s="2516"/>
      <c r="BA35" s="2516"/>
      <c r="BB35" s="2516"/>
      <c r="BC35" s="2516"/>
      <c r="BD35" s="2518"/>
      <c r="BE35" s="1205"/>
    </row>
    <row r="36" spans="1:58" ht="15.75" customHeight="1">
      <c r="A36" s="1209"/>
      <c r="B36" s="2246" t="s">
        <v>1807</v>
      </c>
      <c r="C36" s="2247"/>
      <c r="D36" s="2247"/>
      <c r="E36" s="2247"/>
      <c r="F36" s="2247"/>
      <c r="G36" s="2247"/>
      <c r="H36" s="2247"/>
      <c r="I36" s="2247"/>
      <c r="J36" s="2478" t="s">
        <v>1808</v>
      </c>
      <c r="K36" s="2478"/>
      <c r="L36" s="2478"/>
      <c r="M36" s="2478"/>
      <c r="N36" s="2478">
        <v>55</v>
      </c>
      <c r="O36" s="2478"/>
      <c r="P36" s="2478"/>
      <c r="Q36" s="2478"/>
      <c r="R36" s="2224">
        <v>0</v>
      </c>
      <c r="S36" s="2224"/>
      <c r="T36" s="2224"/>
      <c r="U36" s="2224"/>
      <c r="V36" s="2224">
        <v>0</v>
      </c>
      <c r="W36" s="2224"/>
      <c r="X36" s="2224"/>
      <c r="Y36" s="2224"/>
      <c r="Z36" s="2224">
        <v>10</v>
      </c>
      <c r="AA36" s="2224"/>
      <c r="AB36" s="2224"/>
      <c r="AC36" s="2224"/>
      <c r="AD36" s="2224">
        <v>10</v>
      </c>
      <c r="AE36" s="2224"/>
      <c r="AF36" s="2224"/>
      <c r="AG36" s="2224"/>
      <c r="AH36" s="2224">
        <v>30</v>
      </c>
      <c r="AI36" s="2224"/>
      <c r="AJ36" s="2224"/>
      <c r="AK36" s="2224"/>
      <c r="AL36" s="2225">
        <v>0</v>
      </c>
      <c r="AM36" s="2226"/>
      <c r="AN36" s="2226"/>
      <c r="AO36" s="2227"/>
      <c r="AP36" s="2225">
        <v>0</v>
      </c>
      <c r="AQ36" s="2226"/>
      <c r="AR36" s="2227"/>
      <c r="AS36" s="2228">
        <f t="shared" ref="AS36:AS47" si="2">SUM(R36:AR36)</f>
        <v>50</v>
      </c>
      <c r="AT36" s="2229"/>
      <c r="AU36" s="2229"/>
      <c r="AV36" s="2229"/>
      <c r="AW36" s="2229"/>
      <c r="AX36" s="2230"/>
      <c r="AY36" s="2482">
        <f t="shared" ref="AY36:AY47" si="3">AS36/$J$29</f>
        <v>0.35714285714285715</v>
      </c>
      <c r="AZ36" s="2483"/>
      <c r="BA36" s="2483"/>
      <c r="BB36" s="2483"/>
      <c r="BC36" s="2483"/>
      <c r="BD36" s="2484"/>
      <c r="BE36" s="1205"/>
    </row>
    <row r="37" spans="1:58" ht="15.75" customHeight="1">
      <c r="A37" s="1209"/>
      <c r="B37" s="2246" t="s">
        <v>2476</v>
      </c>
      <c r="C37" s="2247"/>
      <c r="D37" s="2247"/>
      <c r="E37" s="2247"/>
      <c r="F37" s="2247"/>
      <c r="G37" s="2247"/>
      <c r="H37" s="2247"/>
      <c r="I37" s="2247"/>
      <c r="J37" s="2478" t="s">
        <v>1809</v>
      </c>
      <c r="K37" s="2478"/>
      <c r="L37" s="2478"/>
      <c r="M37" s="2478"/>
      <c r="N37" s="2478">
        <v>55</v>
      </c>
      <c r="O37" s="2478"/>
      <c r="P37" s="2478"/>
      <c r="Q37" s="2478"/>
      <c r="R37" s="2224">
        <v>10</v>
      </c>
      <c r="S37" s="2224"/>
      <c r="T37" s="2224"/>
      <c r="U37" s="2224"/>
      <c r="V37" s="2224"/>
      <c r="W37" s="2224"/>
      <c r="X37" s="2224"/>
      <c r="Y37" s="2224"/>
      <c r="Z37" s="2224"/>
      <c r="AA37" s="2224"/>
      <c r="AB37" s="2224"/>
      <c r="AC37" s="2224"/>
      <c r="AD37" s="2224"/>
      <c r="AE37" s="2224"/>
      <c r="AF37" s="2224"/>
      <c r="AG37" s="2224"/>
      <c r="AH37" s="2224"/>
      <c r="AI37" s="2224"/>
      <c r="AJ37" s="2224"/>
      <c r="AK37" s="2224"/>
      <c r="AL37" s="2225"/>
      <c r="AM37" s="2226"/>
      <c r="AN37" s="2226"/>
      <c r="AO37" s="2227"/>
      <c r="AP37" s="2225"/>
      <c r="AQ37" s="2226"/>
      <c r="AR37" s="2227"/>
      <c r="AS37" s="2228">
        <f t="shared" si="2"/>
        <v>10</v>
      </c>
      <c r="AT37" s="2229"/>
      <c r="AU37" s="2229"/>
      <c r="AV37" s="2229"/>
      <c r="AW37" s="2229"/>
      <c r="AX37" s="2230"/>
      <c r="AY37" s="2482">
        <f t="shared" si="3"/>
        <v>7.1428571428571425E-2</v>
      </c>
      <c r="AZ37" s="2483"/>
      <c r="BA37" s="2483"/>
      <c r="BB37" s="2483"/>
      <c r="BC37" s="2483"/>
      <c r="BD37" s="2484"/>
      <c r="BE37" s="1205"/>
    </row>
    <row r="38" spans="1:58" ht="15.75" customHeight="1">
      <c r="A38" s="1209"/>
      <c r="B38" s="2246" t="s">
        <v>2415</v>
      </c>
      <c r="C38" s="2247"/>
      <c r="D38" s="2247"/>
      <c r="E38" s="2247"/>
      <c r="F38" s="2247"/>
      <c r="G38" s="2247"/>
      <c r="H38" s="2247"/>
      <c r="I38" s="2247"/>
      <c r="J38" s="2478" t="s">
        <v>1810</v>
      </c>
      <c r="K38" s="2478"/>
      <c r="L38" s="2478"/>
      <c r="M38" s="2478"/>
      <c r="N38" s="2478">
        <v>55</v>
      </c>
      <c r="O38" s="2478"/>
      <c r="P38" s="2478"/>
      <c r="Q38" s="2478"/>
      <c r="R38" s="2224"/>
      <c r="S38" s="2224"/>
      <c r="T38" s="2224"/>
      <c r="U38" s="2224"/>
      <c r="V38" s="2224"/>
      <c r="W38" s="2224"/>
      <c r="X38" s="2224"/>
      <c r="Y38" s="2224"/>
      <c r="Z38" s="2224"/>
      <c r="AA38" s="2224"/>
      <c r="AB38" s="2224"/>
      <c r="AC38" s="2224"/>
      <c r="AD38" s="2224"/>
      <c r="AE38" s="2224"/>
      <c r="AF38" s="2224"/>
      <c r="AG38" s="2224"/>
      <c r="AH38" s="2224"/>
      <c r="AI38" s="2224"/>
      <c r="AJ38" s="2224"/>
      <c r="AK38" s="2224"/>
      <c r="AL38" s="2225"/>
      <c r="AM38" s="2226"/>
      <c r="AN38" s="2226"/>
      <c r="AO38" s="2227"/>
      <c r="AP38" s="2225"/>
      <c r="AQ38" s="2226"/>
      <c r="AR38" s="2227"/>
      <c r="AS38" s="2228">
        <f t="shared" si="2"/>
        <v>0</v>
      </c>
      <c r="AT38" s="2229"/>
      <c r="AU38" s="2229"/>
      <c r="AV38" s="2229"/>
      <c r="AW38" s="2229"/>
      <c r="AX38" s="2230"/>
      <c r="AY38" s="2482">
        <f t="shared" si="3"/>
        <v>0</v>
      </c>
      <c r="AZ38" s="2483"/>
      <c r="BA38" s="2483"/>
      <c r="BB38" s="2483"/>
      <c r="BC38" s="2483"/>
      <c r="BD38" s="2484"/>
      <c r="BE38" s="1205"/>
    </row>
    <row r="39" spans="1:58" ht="15.75" customHeight="1">
      <c r="A39" s="1209"/>
      <c r="B39" s="2246" t="s">
        <v>1811</v>
      </c>
      <c r="C39" s="2247"/>
      <c r="D39" s="2247"/>
      <c r="E39" s="2247"/>
      <c r="F39" s="2247"/>
      <c r="G39" s="2247"/>
      <c r="H39" s="2247"/>
      <c r="I39" s="2247"/>
      <c r="J39" s="2478"/>
      <c r="K39" s="2478"/>
      <c r="L39" s="2478"/>
      <c r="M39" s="2478"/>
      <c r="N39" s="2478"/>
      <c r="O39" s="2478"/>
      <c r="P39" s="2478"/>
      <c r="Q39" s="2478"/>
      <c r="R39" s="2224"/>
      <c r="S39" s="2224"/>
      <c r="T39" s="2224"/>
      <c r="U39" s="2224"/>
      <c r="V39" s="2224"/>
      <c r="W39" s="2224"/>
      <c r="X39" s="2224"/>
      <c r="Y39" s="2224"/>
      <c r="Z39" s="2224"/>
      <c r="AA39" s="2224"/>
      <c r="AB39" s="2224"/>
      <c r="AC39" s="2224"/>
      <c r="AD39" s="2224"/>
      <c r="AE39" s="2224"/>
      <c r="AF39" s="2224"/>
      <c r="AG39" s="2224"/>
      <c r="AH39" s="2224"/>
      <c r="AI39" s="2224"/>
      <c r="AJ39" s="2224"/>
      <c r="AK39" s="2224"/>
      <c r="AL39" s="2225"/>
      <c r="AM39" s="2226"/>
      <c r="AN39" s="2226"/>
      <c r="AO39" s="2227"/>
      <c r="AP39" s="2225"/>
      <c r="AQ39" s="2226"/>
      <c r="AR39" s="2227"/>
      <c r="AS39" s="2228">
        <f t="shared" si="2"/>
        <v>0</v>
      </c>
      <c r="AT39" s="2229"/>
      <c r="AU39" s="2229"/>
      <c r="AV39" s="2229"/>
      <c r="AW39" s="2229"/>
      <c r="AX39" s="2230"/>
      <c r="AY39" s="2482">
        <f t="shared" si="3"/>
        <v>0</v>
      </c>
      <c r="AZ39" s="2483"/>
      <c r="BA39" s="2483"/>
      <c r="BB39" s="2483"/>
      <c r="BC39" s="2483"/>
      <c r="BD39" s="2484"/>
      <c r="BE39" s="1205"/>
    </row>
    <row r="40" spans="1:58" ht="15.75" customHeight="1">
      <c r="A40" s="1209"/>
      <c r="B40" s="2246" t="s">
        <v>1811</v>
      </c>
      <c r="C40" s="2247"/>
      <c r="D40" s="2247"/>
      <c r="E40" s="2247"/>
      <c r="F40" s="2247"/>
      <c r="G40" s="2247"/>
      <c r="H40" s="2247"/>
      <c r="I40" s="2247"/>
      <c r="J40" s="2478"/>
      <c r="K40" s="2478"/>
      <c r="L40" s="2478"/>
      <c r="M40" s="2478"/>
      <c r="N40" s="2478"/>
      <c r="O40" s="2478"/>
      <c r="P40" s="2478"/>
      <c r="Q40" s="2478"/>
      <c r="R40" s="2224"/>
      <c r="S40" s="2224"/>
      <c r="T40" s="2224"/>
      <c r="U40" s="2224"/>
      <c r="V40" s="2224"/>
      <c r="W40" s="2224"/>
      <c r="X40" s="2224"/>
      <c r="Y40" s="2224"/>
      <c r="Z40" s="2224"/>
      <c r="AA40" s="2224"/>
      <c r="AB40" s="2224"/>
      <c r="AC40" s="2224"/>
      <c r="AD40" s="2224"/>
      <c r="AE40" s="2224"/>
      <c r="AF40" s="2224"/>
      <c r="AG40" s="2224"/>
      <c r="AH40" s="2224"/>
      <c r="AI40" s="2224"/>
      <c r="AJ40" s="2224"/>
      <c r="AK40" s="2224"/>
      <c r="AL40" s="2225"/>
      <c r="AM40" s="2226"/>
      <c r="AN40" s="2226"/>
      <c r="AO40" s="2227"/>
      <c r="AP40" s="2225"/>
      <c r="AQ40" s="2226"/>
      <c r="AR40" s="2227"/>
      <c r="AS40" s="2228">
        <f t="shared" si="2"/>
        <v>0</v>
      </c>
      <c r="AT40" s="2229"/>
      <c r="AU40" s="2229"/>
      <c r="AV40" s="2229"/>
      <c r="AW40" s="2229"/>
      <c r="AX40" s="2230"/>
      <c r="AY40" s="2482">
        <f t="shared" si="3"/>
        <v>0</v>
      </c>
      <c r="AZ40" s="2483"/>
      <c r="BA40" s="2483"/>
      <c r="BB40" s="2483"/>
      <c r="BC40" s="2483"/>
      <c r="BD40" s="2484"/>
      <c r="BE40" s="1205"/>
    </row>
    <row r="41" spans="1:58" ht="15.75" customHeight="1">
      <c r="A41" s="1209"/>
      <c r="B41" s="2246" t="s">
        <v>1812</v>
      </c>
      <c r="C41" s="2247"/>
      <c r="D41" s="2247"/>
      <c r="E41" s="2247"/>
      <c r="F41" s="2247"/>
      <c r="G41" s="2247"/>
      <c r="H41" s="2247"/>
      <c r="I41" s="2247"/>
      <c r="J41" s="2478"/>
      <c r="K41" s="2478"/>
      <c r="L41" s="2478"/>
      <c r="M41" s="2478"/>
      <c r="N41" s="2478"/>
      <c r="O41" s="2478"/>
      <c r="P41" s="2478"/>
      <c r="Q41" s="2478"/>
      <c r="R41" s="2224"/>
      <c r="S41" s="2224"/>
      <c r="T41" s="2224"/>
      <c r="U41" s="2224"/>
      <c r="V41" s="2224"/>
      <c r="W41" s="2224"/>
      <c r="X41" s="2224"/>
      <c r="Y41" s="2224"/>
      <c r="Z41" s="2224"/>
      <c r="AA41" s="2224"/>
      <c r="AB41" s="2224"/>
      <c r="AC41" s="2224"/>
      <c r="AD41" s="2224"/>
      <c r="AE41" s="2224"/>
      <c r="AF41" s="2224"/>
      <c r="AG41" s="2224"/>
      <c r="AH41" s="2224"/>
      <c r="AI41" s="2224"/>
      <c r="AJ41" s="2224"/>
      <c r="AK41" s="2224"/>
      <c r="AL41" s="2225"/>
      <c r="AM41" s="2226"/>
      <c r="AN41" s="2226"/>
      <c r="AO41" s="2227"/>
      <c r="AP41" s="2225"/>
      <c r="AQ41" s="2226"/>
      <c r="AR41" s="2227"/>
      <c r="AS41" s="2228">
        <f t="shared" si="2"/>
        <v>0</v>
      </c>
      <c r="AT41" s="2229"/>
      <c r="AU41" s="2229"/>
      <c r="AV41" s="2229"/>
      <c r="AW41" s="2229"/>
      <c r="AX41" s="2230"/>
      <c r="AY41" s="2482">
        <f t="shared" si="3"/>
        <v>0</v>
      </c>
      <c r="AZ41" s="2483"/>
      <c r="BA41" s="2483"/>
      <c r="BB41" s="2483"/>
      <c r="BC41" s="2483"/>
      <c r="BD41" s="2484"/>
      <c r="BE41" s="1205"/>
    </row>
    <row r="42" spans="1:58" ht="15.75" customHeight="1">
      <c r="A42" s="1209"/>
      <c r="B42" s="2246" t="s">
        <v>1812</v>
      </c>
      <c r="C42" s="2247"/>
      <c r="D42" s="2247"/>
      <c r="E42" s="2247"/>
      <c r="F42" s="2247"/>
      <c r="G42" s="2247"/>
      <c r="H42" s="2247"/>
      <c r="I42" s="2247"/>
      <c r="J42" s="2478"/>
      <c r="K42" s="2478"/>
      <c r="L42" s="2478"/>
      <c r="M42" s="2478"/>
      <c r="N42" s="2478"/>
      <c r="O42" s="2478"/>
      <c r="P42" s="2478"/>
      <c r="Q42" s="2478"/>
      <c r="R42" s="2224"/>
      <c r="S42" s="2224"/>
      <c r="T42" s="2224"/>
      <c r="U42" s="2224"/>
      <c r="V42" s="2224"/>
      <c r="W42" s="2224"/>
      <c r="X42" s="2224"/>
      <c r="Y42" s="2224"/>
      <c r="Z42" s="2224"/>
      <c r="AA42" s="2224"/>
      <c r="AB42" s="2224"/>
      <c r="AC42" s="2224"/>
      <c r="AD42" s="2224"/>
      <c r="AE42" s="2224"/>
      <c r="AF42" s="2224"/>
      <c r="AG42" s="2224"/>
      <c r="AH42" s="2224"/>
      <c r="AI42" s="2224"/>
      <c r="AJ42" s="2224"/>
      <c r="AK42" s="2224"/>
      <c r="AL42" s="2225"/>
      <c r="AM42" s="2226"/>
      <c r="AN42" s="2226"/>
      <c r="AO42" s="2227"/>
      <c r="AP42" s="2225"/>
      <c r="AQ42" s="2226"/>
      <c r="AR42" s="2227"/>
      <c r="AS42" s="2228">
        <f t="shared" si="2"/>
        <v>0</v>
      </c>
      <c r="AT42" s="2229"/>
      <c r="AU42" s="2229"/>
      <c r="AV42" s="2229"/>
      <c r="AW42" s="2229"/>
      <c r="AX42" s="2230"/>
      <c r="AY42" s="2482">
        <f t="shared" si="3"/>
        <v>0</v>
      </c>
      <c r="AZ42" s="2483"/>
      <c r="BA42" s="2483"/>
      <c r="BB42" s="2483"/>
      <c r="BC42" s="2483"/>
      <c r="BD42" s="2484"/>
      <c r="BE42" s="1205"/>
    </row>
    <row r="43" spans="1:58" ht="15.75" customHeight="1">
      <c r="A43" s="1209"/>
      <c r="B43" s="2217" t="s">
        <v>1813</v>
      </c>
      <c r="C43" s="2218"/>
      <c r="D43" s="2218"/>
      <c r="E43" s="2218"/>
      <c r="F43" s="2218"/>
      <c r="G43" s="2218"/>
      <c r="H43" s="2218"/>
      <c r="I43" s="2218"/>
      <c r="J43" s="2478"/>
      <c r="K43" s="2478"/>
      <c r="L43" s="2478"/>
      <c r="M43" s="2478"/>
      <c r="N43" s="2478"/>
      <c r="O43" s="2478"/>
      <c r="P43" s="2478"/>
      <c r="Q43" s="2478"/>
      <c r="R43" s="2224"/>
      <c r="S43" s="2224"/>
      <c r="T43" s="2224"/>
      <c r="U43" s="2224"/>
      <c r="V43" s="2224"/>
      <c r="W43" s="2224"/>
      <c r="X43" s="2224"/>
      <c r="Y43" s="2224"/>
      <c r="Z43" s="2224"/>
      <c r="AA43" s="2224"/>
      <c r="AB43" s="2224"/>
      <c r="AC43" s="2224"/>
      <c r="AD43" s="2224"/>
      <c r="AE43" s="2224"/>
      <c r="AF43" s="2224"/>
      <c r="AG43" s="2224"/>
      <c r="AH43" s="2224"/>
      <c r="AI43" s="2224"/>
      <c r="AJ43" s="2224"/>
      <c r="AK43" s="2224"/>
      <c r="AL43" s="2225"/>
      <c r="AM43" s="2226"/>
      <c r="AN43" s="2226"/>
      <c r="AO43" s="2227"/>
      <c r="AP43" s="2225"/>
      <c r="AQ43" s="2226"/>
      <c r="AR43" s="2227"/>
      <c r="AS43" s="2228">
        <f t="shared" si="2"/>
        <v>0</v>
      </c>
      <c r="AT43" s="2229"/>
      <c r="AU43" s="2229"/>
      <c r="AV43" s="2229"/>
      <c r="AW43" s="2229"/>
      <c r="AX43" s="2230"/>
      <c r="AY43" s="2482">
        <f t="shared" si="3"/>
        <v>0</v>
      </c>
      <c r="AZ43" s="2483"/>
      <c r="BA43" s="2483"/>
      <c r="BB43" s="2483"/>
      <c r="BC43" s="2483"/>
      <c r="BD43" s="2484"/>
      <c r="BE43" s="1205"/>
    </row>
    <row r="44" spans="1:58" ht="15.75" customHeight="1">
      <c r="A44" s="1209"/>
      <c r="B44" s="2217" t="s">
        <v>1814</v>
      </c>
      <c r="C44" s="2218"/>
      <c r="D44" s="2218"/>
      <c r="E44" s="2218"/>
      <c r="F44" s="2218"/>
      <c r="G44" s="2218"/>
      <c r="H44" s="2218"/>
      <c r="I44" s="2218"/>
      <c r="J44" s="2478"/>
      <c r="K44" s="2478"/>
      <c r="L44" s="2478"/>
      <c r="M44" s="2478"/>
      <c r="N44" s="2478"/>
      <c r="O44" s="2478"/>
      <c r="P44" s="2478"/>
      <c r="Q44" s="2478"/>
      <c r="R44" s="2224"/>
      <c r="S44" s="2224"/>
      <c r="T44" s="2224"/>
      <c r="U44" s="2224"/>
      <c r="V44" s="2224"/>
      <c r="W44" s="2224"/>
      <c r="X44" s="2224"/>
      <c r="Y44" s="2224"/>
      <c r="Z44" s="2224"/>
      <c r="AA44" s="2224"/>
      <c r="AB44" s="2224"/>
      <c r="AC44" s="2224"/>
      <c r="AD44" s="2224"/>
      <c r="AE44" s="2224"/>
      <c r="AF44" s="2224"/>
      <c r="AG44" s="2224"/>
      <c r="AH44" s="2224"/>
      <c r="AI44" s="2224"/>
      <c r="AJ44" s="2224"/>
      <c r="AK44" s="2224"/>
      <c r="AL44" s="2225"/>
      <c r="AM44" s="2226"/>
      <c r="AN44" s="2226"/>
      <c r="AO44" s="2227"/>
      <c r="AP44" s="2225"/>
      <c r="AQ44" s="2226"/>
      <c r="AR44" s="2227"/>
      <c r="AS44" s="2228">
        <f t="shared" si="2"/>
        <v>0</v>
      </c>
      <c r="AT44" s="2229"/>
      <c r="AU44" s="2229"/>
      <c r="AV44" s="2229"/>
      <c r="AW44" s="2229"/>
      <c r="AX44" s="2230"/>
      <c r="AY44" s="2482">
        <f t="shared" si="3"/>
        <v>0</v>
      </c>
      <c r="AZ44" s="2483"/>
      <c r="BA44" s="2483"/>
      <c r="BB44" s="2483"/>
      <c r="BC44" s="2483"/>
      <c r="BD44" s="2484"/>
      <c r="BE44" s="1205"/>
    </row>
    <row r="45" spans="1:58" ht="15.75" customHeight="1">
      <c r="A45" s="1209"/>
      <c r="B45" s="2217" t="s">
        <v>1815</v>
      </c>
      <c r="C45" s="2218"/>
      <c r="D45" s="2218"/>
      <c r="E45" s="2218"/>
      <c r="F45" s="2218"/>
      <c r="G45" s="2218"/>
      <c r="H45" s="2218"/>
      <c r="I45" s="2218"/>
      <c r="J45" s="2478"/>
      <c r="K45" s="2478"/>
      <c r="L45" s="2478"/>
      <c r="M45" s="2478"/>
      <c r="N45" s="2478"/>
      <c r="O45" s="2478"/>
      <c r="P45" s="2478"/>
      <c r="Q45" s="2478"/>
      <c r="R45" s="2224"/>
      <c r="S45" s="2224"/>
      <c r="T45" s="2224"/>
      <c r="U45" s="2224"/>
      <c r="V45" s="2224"/>
      <c r="W45" s="2224"/>
      <c r="X45" s="2224"/>
      <c r="Y45" s="2224"/>
      <c r="Z45" s="2224"/>
      <c r="AA45" s="2224"/>
      <c r="AB45" s="2224"/>
      <c r="AC45" s="2224"/>
      <c r="AD45" s="2224"/>
      <c r="AE45" s="2224"/>
      <c r="AF45" s="2224"/>
      <c r="AG45" s="2224"/>
      <c r="AH45" s="2224"/>
      <c r="AI45" s="2224"/>
      <c r="AJ45" s="2224"/>
      <c r="AK45" s="2224"/>
      <c r="AL45" s="2225"/>
      <c r="AM45" s="2226"/>
      <c r="AN45" s="2226"/>
      <c r="AO45" s="2227"/>
      <c r="AP45" s="2225"/>
      <c r="AQ45" s="2226"/>
      <c r="AR45" s="2227"/>
      <c r="AS45" s="2228">
        <f t="shared" si="2"/>
        <v>0</v>
      </c>
      <c r="AT45" s="2229"/>
      <c r="AU45" s="2229"/>
      <c r="AV45" s="2229"/>
      <c r="AW45" s="2229"/>
      <c r="AX45" s="2230"/>
      <c r="AY45" s="2482">
        <f t="shared" si="3"/>
        <v>0</v>
      </c>
      <c r="AZ45" s="2483"/>
      <c r="BA45" s="2483"/>
      <c r="BB45" s="2483"/>
      <c r="BC45" s="2483"/>
      <c r="BD45" s="2484"/>
      <c r="BE45" s="1205"/>
    </row>
    <row r="46" spans="1:58" ht="15.75" customHeight="1">
      <c r="A46" s="1209"/>
      <c r="B46" s="2217" t="s">
        <v>1816</v>
      </c>
      <c r="C46" s="2218"/>
      <c r="D46" s="2218"/>
      <c r="E46" s="2218"/>
      <c r="F46" s="2218"/>
      <c r="G46" s="2218"/>
      <c r="H46" s="2218"/>
      <c r="I46" s="2218"/>
      <c r="J46" s="2478"/>
      <c r="K46" s="2478"/>
      <c r="L46" s="2478"/>
      <c r="M46" s="2478"/>
      <c r="N46" s="2478">
        <v>99</v>
      </c>
      <c r="O46" s="2478"/>
      <c r="P46" s="2478"/>
      <c r="Q46" s="2478"/>
      <c r="R46" s="2224"/>
      <c r="S46" s="2224"/>
      <c r="T46" s="2224"/>
      <c r="U46" s="2224"/>
      <c r="V46" s="2224"/>
      <c r="W46" s="2224"/>
      <c r="X46" s="2224"/>
      <c r="Y46" s="2224"/>
      <c r="Z46" s="2224"/>
      <c r="AA46" s="2224"/>
      <c r="AB46" s="2224"/>
      <c r="AC46" s="2224"/>
      <c r="AD46" s="2224"/>
      <c r="AE46" s="2224"/>
      <c r="AF46" s="2224"/>
      <c r="AG46" s="2224"/>
      <c r="AH46" s="2224"/>
      <c r="AI46" s="2224"/>
      <c r="AJ46" s="2224"/>
      <c r="AK46" s="2224"/>
      <c r="AL46" s="2225"/>
      <c r="AM46" s="2226"/>
      <c r="AN46" s="2226"/>
      <c r="AO46" s="2227"/>
      <c r="AP46" s="2225"/>
      <c r="AQ46" s="2226"/>
      <c r="AR46" s="2227"/>
      <c r="AS46" s="2228">
        <f t="shared" si="2"/>
        <v>0</v>
      </c>
      <c r="AT46" s="2229"/>
      <c r="AU46" s="2229"/>
      <c r="AV46" s="2229"/>
      <c r="AW46" s="2229"/>
      <c r="AX46" s="2230"/>
      <c r="AY46" s="2482">
        <f t="shared" si="3"/>
        <v>0</v>
      </c>
      <c r="AZ46" s="2483"/>
      <c r="BA46" s="2483"/>
      <c r="BB46" s="2483"/>
      <c r="BC46" s="2483"/>
      <c r="BD46" s="2484"/>
      <c r="BE46" s="1205"/>
    </row>
    <row r="47" spans="1:58" ht="15.75" customHeight="1" thickBot="1">
      <c r="A47" s="1209"/>
      <c r="B47" s="2475" t="s">
        <v>301</v>
      </c>
      <c r="C47" s="2476"/>
      <c r="D47" s="2476"/>
      <c r="E47" s="2476"/>
      <c r="F47" s="2476"/>
      <c r="G47" s="2476"/>
      <c r="H47" s="2476"/>
      <c r="I47" s="2476"/>
      <c r="J47" s="2477"/>
      <c r="K47" s="2477"/>
      <c r="L47" s="2477"/>
      <c r="M47" s="2477"/>
      <c r="N47" s="2477"/>
      <c r="O47" s="2477"/>
      <c r="P47" s="2477"/>
      <c r="Q47" s="2477"/>
      <c r="R47" s="2471"/>
      <c r="S47" s="2471"/>
      <c r="T47" s="2471"/>
      <c r="U47" s="2471"/>
      <c r="V47" s="2471"/>
      <c r="W47" s="2471"/>
      <c r="X47" s="2471"/>
      <c r="Y47" s="2471"/>
      <c r="Z47" s="2471"/>
      <c r="AA47" s="2471"/>
      <c r="AB47" s="2471"/>
      <c r="AC47" s="2471"/>
      <c r="AD47" s="2471"/>
      <c r="AE47" s="2471"/>
      <c r="AF47" s="2471"/>
      <c r="AG47" s="2471"/>
      <c r="AH47" s="2471"/>
      <c r="AI47" s="2471"/>
      <c r="AJ47" s="2471"/>
      <c r="AK47" s="2471"/>
      <c r="AL47" s="2472"/>
      <c r="AM47" s="2473"/>
      <c r="AN47" s="2473"/>
      <c r="AO47" s="2474"/>
      <c r="AP47" s="2472"/>
      <c r="AQ47" s="2473"/>
      <c r="AR47" s="2474"/>
      <c r="AS47" s="2228">
        <f t="shared" si="2"/>
        <v>0</v>
      </c>
      <c r="AT47" s="2229"/>
      <c r="AU47" s="2229"/>
      <c r="AV47" s="2229"/>
      <c r="AW47" s="2229"/>
      <c r="AX47" s="2230"/>
      <c r="AY47" s="2479">
        <f t="shared" si="3"/>
        <v>0</v>
      </c>
      <c r="AZ47" s="2480"/>
      <c r="BA47" s="2480"/>
      <c r="BB47" s="2480"/>
      <c r="BC47" s="2480"/>
      <c r="BD47" s="2481"/>
      <c r="BE47" s="1205"/>
    </row>
    <row r="48" spans="1:58" ht="15.75" customHeight="1">
      <c r="A48" s="1209"/>
      <c r="B48" s="1257" t="s">
        <v>2477</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2185</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19" t="s">
        <v>1817</v>
      </c>
      <c r="C50" s="2215"/>
      <c r="D50" s="2215"/>
      <c r="E50" s="2215"/>
      <c r="F50" s="2215"/>
      <c r="G50" s="2215"/>
      <c r="H50" s="2215"/>
      <c r="I50" s="2215"/>
      <c r="J50" s="2215"/>
      <c r="K50" s="2215"/>
      <c r="L50" s="2215"/>
      <c r="M50" s="2215"/>
      <c r="N50" s="2215"/>
      <c r="O50" s="2215"/>
      <c r="P50" s="2215"/>
      <c r="Q50" s="2215"/>
      <c r="R50" s="2215"/>
      <c r="S50" s="2215"/>
      <c r="T50" s="2215"/>
      <c r="U50" s="2215"/>
      <c r="V50" s="2215"/>
      <c r="W50" s="2215"/>
      <c r="X50" s="2215"/>
      <c r="Y50" s="2215"/>
      <c r="Z50" s="2215"/>
      <c r="AA50" s="2215"/>
      <c r="AB50" s="2215"/>
      <c r="AC50" s="2215"/>
      <c r="AD50" s="2215"/>
      <c r="AE50" s="2215"/>
      <c r="AF50" s="2215"/>
      <c r="AG50" s="2215"/>
      <c r="AH50" s="2215"/>
      <c r="AI50" s="2215"/>
      <c r="AJ50" s="2215"/>
      <c r="AK50" s="2215"/>
      <c r="AL50" s="2215"/>
      <c r="AM50" s="2215"/>
      <c r="AN50" s="2215"/>
      <c r="AO50" s="2216"/>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77" t="s">
        <v>1818</v>
      </c>
      <c r="C51" s="2178"/>
      <c r="D51" s="2178"/>
      <c r="E51" s="2178"/>
      <c r="F51" s="2178"/>
      <c r="G51" s="2178"/>
      <c r="H51" s="2178"/>
      <c r="I51" s="2178"/>
      <c r="J51" s="2178" t="s">
        <v>2478</v>
      </c>
      <c r="K51" s="2178"/>
      <c r="L51" s="2178"/>
      <c r="M51" s="2178"/>
      <c r="N51" s="2178"/>
      <c r="O51" s="2178"/>
      <c r="P51" s="2178"/>
      <c r="Q51" s="2178"/>
      <c r="R51" s="2469" t="s">
        <v>2479</v>
      </c>
      <c r="S51" s="2469"/>
      <c r="T51" s="2469"/>
      <c r="U51" s="2469"/>
      <c r="V51" s="2469"/>
      <c r="W51" s="2469"/>
      <c r="X51" s="2469"/>
      <c r="Y51" s="2469"/>
      <c r="Z51" s="2469" t="s">
        <v>1819</v>
      </c>
      <c r="AA51" s="2469"/>
      <c r="AB51" s="2469"/>
      <c r="AC51" s="2469"/>
      <c r="AD51" s="2469"/>
      <c r="AE51" s="2469"/>
      <c r="AF51" s="2469"/>
      <c r="AG51" s="2469"/>
      <c r="AH51" s="2469" t="s">
        <v>1820</v>
      </c>
      <c r="AI51" s="2469"/>
      <c r="AJ51" s="2469"/>
      <c r="AK51" s="2469"/>
      <c r="AL51" s="2469"/>
      <c r="AM51" s="2469"/>
      <c r="AN51" s="2469"/>
      <c r="AO51" s="2470"/>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17" t="s">
        <v>2186</v>
      </c>
      <c r="C52" s="2218"/>
      <c r="D52" s="2218"/>
      <c r="E52" s="2218"/>
      <c r="F52" s="2218"/>
      <c r="G52" s="2218"/>
      <c r="H52" s="2218"/>
      <c r="I52" s="2218"/>
      <c r="J52" s="2351">
        <v>0</v>
      </c>
      <c r="K52" s="2351"/>
      <c r="L52" s="2351"/>
      <c r="M52" s="2351"/>
      <c r="N52" s="2351"/>
      <c r="O52" s="2351"/>
      <c r="P52" s="2351"/>
      <c r="Q52" s="2351"/>
      <c r="R52" s="2457">
        <v>0</v>
      </c>
      <c r="S52" s="2457"/>
      <c r="T52" s="2457"/>
      <c r="U52" s="2457"/>
      <c r="V52" s="2457"/>
      <c r="W52" s="2457"/>
      <c r="X52" s="2457"/>
      <c r="Y52" s="2457"/>
      <c r="Z52" s="2458">
        <v>0</v>
      </c>
      <c r="AA52" s="2458"/>
      <c r="AB52" s="2458"/>
      <c r="AC52" s="2458"/>
      <c r="AD52" s="2458"/>
      <c r="AE52" s="2458"/>
      <c r="AF52" s="2458"/>
      <c r="AG52" s="2458"/>
      <c r="AH52" s="2459"/>
      <c r="AI52" s="2459"/>
      <c r="AJ52" s="2459"/>
      <c r="AK52" s="2459"/>
      <c r="AL52" s="2459"/>
      <c r="AM52" s="2459"/>
      <c r="AN52" s="2459"/>
      <c r="AO52" s="2460"/>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17" t="s">
        <v>2187</v>
      </c>
      <c r="C53" s="2218"/>
      <c r="D53" s="2218"/>
      <c r="E53" s="2218"/>
      <c r="F53" s="2218"/>
      <c r="G53" s="2218"/>
      <c r="H53" s="2218"/>
      <c r="I53" s="2218"/>
      <c r="J53" s="2351">
        <v>0</v>
      </c>
      <c r="K53" s="2351"/>
      <c r="L53" s="2351"/>
      <c r="M53" s="2351"/>
      <c r="N53" s="2351"/>
      <c r="O53" s="2351"/>
      <c r="P53" s="2351"/>
      <c r="Q53" s="2351"/>
      <c r="R53" s="2457">
        <v>0</v>
      </c>
      <c r="S53" s="2457"/>
      <c r="T53" s="2457"/>
      <c r="U53" s="2457"/>
      <c r="V53" s="2457"/>
      <c r="W53" s="2457"/>
      <c r="X53" s="2457"/>
      <c r="Y53" s="2457"/>
      <c r="Z53" s="2458">
        <v>0</v>
      </c>
      <c r="AA53" s="2458"/>
      <c r="AB53" s="2458"/>
      <c r="AC53" s="2458"/>
      <c r="AD53" s="2458"/>
      <c r="AE53" s="2458"/>
      <c r="AF53" s="2458"/>
      <c r="AG53" s="2458"/>
      <c r="AH53" s="2459"/>
      <c r="AI53" s="2459"/>
      <c r="AJ53" s="2459"/>
      <c r="AK53" s="2459"/>
      <c r="AL53" s="2459"/>
      <c r="AM53" s="2459"/>
      <c r="AN53" s="2459"/>
      <c r="AO53" s="2460"/>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17"/>
      <c r="C54" s="2218"/>
      <c r="D54" s="2218"/>
      <c r="E54" s="2218"/>
      <c r="F54" s="2218"/>
      <c r="G54" s="2218"/>
      <c r="H54" s="2218"/>
      <c r="I54" s="2218"/>
      <c r="J54" s="2351"/>
      <c r="K54" s="2351"/>
      <c r="L54" s="2351"/>
      <c r="M54" s="2351"/>
      <c r="N54" s="2351"/>
      <c r="O54" s="2351"/>
      <c r="P54" s="2351"/>
      <c r="Q54" s="2351"/>
      <c r="R54" s="2457"/>
      <c r="S54" s="2457"/>
      <c r="T54" s="2457"/>
      <c r="U54" s="2457"/>
      <c r="V54" s="2457"/>
      <c r="W54" s="2457"/>
      <c r="X54" s="2457"/>
      <c r="Y54" s="2457"/>
      <c r="Z54" s="2458"/>
      <c r="AA54" s="2458"/>
      <c r="AB54" s="2458"/>
      <c r="AC54" s="2458"/>
      <c r="AD54" s="2458"/>
      <c r="AE54" s="2458"/>
      <c r="AF54" s="2458"/>
      <c r="AG54" s="2458"/>
      <c r="AH54" s="2459"/>
      <c r="AI54" s="2459"/>
      <c r="AJ54" s="2459"/>
      <c r="AK54" s="2459"/>
      <c r="AL54" s="2459"/>
      <c r="AM54" s="2459"/>
      <c r="AN54" s="2459"/>
      <c r="AO54" s="2460"/>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17"/>
      <c r="C55" s="2218"/>
      <c r="D55" s="2218"/>
      <c r="E55" s="2218"/>
      <c r="F55" s="2218"/>
      <c r="G55" s="2218"/>
      <c r="H55" s="2218"/>
      <c r="I55" s="2218"/>
      <c r="J55" s="2351"/>
      <c r="K55" s="2351"/>
      <c r="L55" s="2351"/>
      <c r="M55" s="2351"/>
      <c r="N55" s="2351"/>
      <c r="O55" s="2351"/>
      <c r="P55" s="2351"/>
      <c r="Q55" s="2351"/>
      <c r="R55" s="2457"/>
      <c r="S55" s="2457"/>
      <c r="T55" s="2457"/>
      <c r="U55" s="2457"/>
      <c r="V55" s="2457"/>
      <c r="W55" s="2457"/>
      <c r="X55" s="2457"/>
      <c r="Y55" s="2457"/>
      <c r="Z55" s="2458"/>
      <c r="AA55" s="2458"/>
      <c r="AB55" s="2458"/>
      <c r="AC55" s="2458"/>
      <c r="AD55" s="2458"/>
      <c r="AE55" s="2458"/>
      <c r="AF55" s="2458"/>
      <c r="AG55" s="2458"/>
      <c r="AH55" s="2459"/>
      <c r="AI55" s="2459"/>
      <c r="AJ55" s="2459"/>
      <c r="AK55" s="2459"/>
      <c r="AL55" s="2459"/>
      <c r="AM55" s="2459"/>
      <c r="AN55" s="2459"/>
      <c r="AO55" s="2460"/>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217"/>
      <c r="C56" s="2218"/>
      <c r="D56" s="2218"/>
      <c r="E56" s="2218"/>
      <c r="F56" s="2218"/>
      <c r="G56" s="2218"/>
      <c r="H56" s="2218"/>
      <c r="I56" s="2218"/>
      <c r="J56" s="2351"/>
      <c r="K56" s="2351"/>
      <c r="L56" s="2351"/>
      <c r="M56" s="2351"/>
      <c r="N56" s="2351"/>
      <c r="O56" s="2351"/>
      <c r="P56" s="2351"/>
      <c r="Q56" s="2351"/>
      <c r="R56" s="2457"/>
      <c r="S56" s="2457"/>
      <c r="T56" s="2457"/>
      <c r="U56" s="2457"/>
      <c r="V56" s="2457"/>
      <c r="W56" s="2457"/>
      <c r="X56" s="2457"/>
      <c r="Y56" s="2457"/>
      <c r="Z56" s="2458"/>
      <c r="AA56" s="2458"/>
      <c r="AB56" s="2458"/>
      <c r="AC56" s="2458"/>
      <c r="AD56" s="2458"/>
      <c r="AE56" s="2458"/>
      <c r="AF56" s="2458"/>
      <c r="AG56" s="2458"/>
      <c r="AH56" s="2459"/>
      <c r="AI56" s="2459"/>
      <c r="AJ56" s="2459"/>
      <c r="AK56" s="2459"/>
      <c r="AL56" s="2459"/>
      <c r="AM56" s="2459"/>
      <c r="AN56" s="2459"/>
      <c r="AO56" s="2460"/>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71" t="s">
        <v>1699</v>
      </c>
      <c r="C57" s="2172"/>
      <c r="D57" s="2172"/>
      <c r="E57" s="2172"/>
      <c r="F57" s="2172"/>
      <c r="G57" s="2172"/>
      <c r="H57" s="2172"/>
      <c r="I57" s="2172"/>
      <c r="J57" s="2172"/>
      <c r="K57" s="2172"/>
      <c r="L57" s="2172"/>
      <c r="M57" s="2172"/>
      <c r="N57" s="2172"/>
      <c r="O57" s="2172"/>
      <c r="P57" s="2172"/>
      <c r="Q57" s="2172"/>
      <c r="R57" s="2461">
        <f>SUM(R52:Y56)</f>
        <v>0</v>
      </c>
      <c r="S57" s="2461"/>
      <c r="T57" s="2461"/>
      <c r="U57" s="2461"/>
      <c r="V57" s="2461"/>
      <c r="W57" s="2461"/>
      <c r="X57" s="2461"/>
      <c r="Y57" s="2461"/>
      <c r="Z57" s="2462">
        <f>SUM(Z52:AG56)</f>
        <v>0</v>
      </c>
      <c r="AA57" s="2462"/>
      <c r="AB57" s="2462"/>
      <c r="AC57" s="2462"/>
      <c r="AD57" s="2462"/>
      <c r="AE57" s="2462"/>
      <c r="AF57" s="2462"/>
      <c r="AG57" s="2462"/>
      <c r="AH57" s="2463"/>
      <c r="AI57" s="2463"/>
      <c r="AJ57" s="2463"/>
      <c r="AK57" s="2463"/>
      <c r="AL57" s="2463"/>
      <c r="AM57" s="2463"/>
      <c r="AN57" s="2463"/>
      <c r="AO57" s="2464"/>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65" t="s">
        <v>1818</v>
      </c>
      <c r="C59" s="2466"/>
      <c r="D59" s="2466"/>
      <c r="E59" s="2466"/>
      <c r="F59" s="2466"/>
      <c r="G59" s="2466"/>
      <c r="H59" s="2466"/>
      <c r="I59" s="2467"/>
      <c r="J59" s="2431" t="s">
        <v>2480</v>
      </c>
      <c r="K59" s="2431"/>
      <c r="L59" s="2431"/>
      <c r="M59" s="2431"/>
      <c r="N59" s="2431"/>
      <c r="O59" s="2431"/>
      <c r="P59" s="2431"/>
      <c r="Q59" s="2431"/>
      <c r="R59" s="2431"/>
      <c r="S59" s="2431"/>
      <c r="T59" s="2431"/>
      <c r="U59" s="2431"/>
      <c r="V59" s="2431"/>
      <c r="W59" s="2431"/>
      <c r="X59" s="2431"/>
      <c r="Y59" s="2431"/>
      <c r="Z59" s="2431"/>
      <c r="AA59" s="2431"/>
      <c r="AB59" s="2431"/>
      <c r="AC59" s="2431"/>
      <c r="AD59" s="2431"/>
      <c r="AE59" s="2431"/>
      <c r="AF59" s="2431"/>
      <c r="AG59" s="2431"/>
      <c r="AH59" s="2431"/>
      <c r="AI59" s="2431"/>
      <c r="AJ59" s="2431"/>
      <c r="AK59" s="2431"/>
      <c r="AL59" s="2431"/>
      <c r="AM59" s="2431"/>
      <c r="AN59" s="2431"/>
      <c r="AO59" s="2431"/>
      <c r="AP59" s="2431"/>
      <c r="AQ59" s="2431"/>
      <c r="AR59" s="2431"/>
      <c r="AS59" s="2431"/>
      <c r="AT59" s="2431"/>
      <c r="AU59" s="2431"/>
      <c r="AV59" s="2431"/>
      <c r="AW59" s="2432"/>
      <c r="AX59" s="1209"/>
      <c r="AY59" s="1209"/>
      <c r="AZ59" s="1209"/>
      <c r="BA59" s="1209"/>
      <c r="BB59" s="1209"/>
      <c r="BC59" s="1209"/>
      <c r="BD59" s="1209"/>
      <c r="BE59" s="1205"/>
    </row>
    <row r="60" spans="1:58" ht="15.75" customHeight="1">
      <c r="A60" s="1209"/>
      <c r="B60" s="2450" t="str">
        <f>IF(B52="", "", B52)</f>
        <v>Services Company 1</v>
      </c>
      <c r="C60" s="2451"/>
      <c r="D60" s="2451"/>
      <c r="E60" s="2451"/>
      <c r="F60" s="2451"/>
      <c r="G60" s="2451"/>
      <c r="H60" s="2451"/>
      <c r="I60" s="2452"/>
      <c r="J60" s="2453"/>
      <c r="K60" s="2354"/>
      <c r="L60" s="2354"/>
      <c r="M60" s="2354"/>
      <c r="N60" s="2354"/>
      <c r="O60" s="2354"/>
      <c r="P60" s="2354"/>
      <c r="Q60" s="2354"/>
      <c r="R60" s="2354"/>
      <c r="S60" s="2354"/>
      <c r="T60" s="2354"/>
      <c r="U60" s="2354"/>
      <c r="V60" s="2354"/>
      <c r="W60" s="2354"/>
      <c r="X60" s="2354"/>
      <c r="Y60" s="2354"/>
      <c r="Z60" s="2354"/>
      <c r="AA60" s="2354"/>
      <c r="AB60" s="2354"/>
      <c r="AC60" s="2354"/>
      <c r="AD60" s="2354"/>
      <c r="AE60" s="2354"/>
      <c r="AF60" s="2354"/>
      <c r="AG60" s="2354"/>
      <c r="AH60" s="2354"/>
      <c r="AI60" s="2354"/>
      <c r="AJ60" s="2354"/>
      <c r="AK60" s="2354"/>
      <c r="AL60" s="2354"/>
      <c r="AM60" s="2354"/>
      <c r="AN60" s="2354"/>
      <c r="AO60" s="2354"/>
      <c r="AP60" s="2354"/>
      <c r="AQ60" s="2354"/>
      <c r="AR60" s="2354"/>
      <c r="AS60" s="2354"/>
      <c r="AT60" s="2354"/>
      <c r="AU60" s="2354"/>
      <c r="AV60" s="2354"/>
      <c r="AW60" s="2355"/>
      <c r="AX60" s="1209"/>
      <c r="AY60" s="1209"/>
      <c r="AZ60" s="1209"/>
      <c r="BA60" s="1209"/>
      <c r="BB60" s="1209"/>
      <c r="BC60" s="1209"/>
      <c r="BD60" s="1209"/>
      <c r="BE60" s="1205"/>
    </row>
    <row r="61" spans="1:58" ht="15.75" customHeight="1">
      <c r="A61" s="1209"/>
      <c r="B61" s="2450" t="str">
        <f>IF(B53="", "", B53)</f>
        <v>Services Company 2</v>
      </c>
      <c r="C61" s="2451"/>
      <c r="D61" s="2451"/>
      <c r="E61" s="2451"/>
      <c r="F61" s="2451"/>
      <c r="G61" s="2451"/>
      <c r="H61" s="2451"/>
      <c r="I61" s="2452"/>
      <c r="J61" s="2453"/>
      <c r="K61" s="2354"/>
      <c r="L61" s="2354"/>
      <c r="M61" s="2354"/>
      <c r="N61" s="2354"/>
      <c r="O61" s="2354"/>
      <c r="P61" s="2354"/>
      <c r="Q61" s="2354"/>
      <c r="R61" s="2354"/>
      <c r="S61" s="2354"/>
      <c r="T61" s="2354"/>
      <c r="U61" s="2354"/>
      <c r="V61" s="2354"/>
      <c r="W61" s="2354"/>
      <c r="X61" s="2354"/>
      <c r="Y61" s="2354"/>
      <c r="Z61" s="2354"/>
      <c r="AA61" s="2354"/>
      <c r="AB61" s="2354"/>
      <c r="AC61" s="2354"/>
      <c r="AD61" s="2354"/>
      <c r="AE61" s="2354"/>
      <c r="AF61" s="2354"/>
      <c r="AG61" s="2354"/>
      <c r="AH61" s="2354"/>
      <c r="AI61" s="2354"/>
      <c r="AJ61" s="2354"/>
      <c r="AK61" s="2354"/>
      <c r="AL61" s="2354"/>
      <c r="AM61" s="2354"/>
      <c r="AN61" s="2354"/>
      <c r="AO61" s="2354"/>
      <c r="AP61" s="2354"/>
      <c r="AQ61" s="2354"/>
      <c r="AR61" s="2354"/>
      <c r="AS61" s="2354"/>
      <c r="AT61" s="2354"/>
      <c r="AU61" s="2354"/>
      <c r="AV61" s="2354"/>
      <c r="AW61" s="2355"/>
      <c r="AX61" s="1209"/>
      <c r="AY61" s="1209"/>
      <c r="AZ61" s="1209"/>
      <c r="BA61" s="1209"/>
      <c r="BB61" s="1209"/>
      <c r="BC61" s="1209"/>
      <c r="BD61" s="1209"/>
      <c r="BE61" s="1205"/>
    </row>
    <row r="62" spans="1:58" ht="15.75" customHeight="1">
      <c r="A62" s="1209"/>
      <c r="B62" s="2450" t="str">
        <f>IF(B54="", "", B54)</f>
        <v/>
      </c>
      <c r="C62" s="2451"/>
      <c r="D62" s="2451"/>
      <c r="E62" s="2451"/>
      <c r="F62" s="2451"/>
      <c r="G62" s="2451"/>
      <c r="H62" s="2451"/>
      <c r="I62" s="2452"/>
      <c r="J62" s="2453"/>
      <c r="K62" s="2354"/>
      <c r="L62" s="2354"/>
      <c r="M62" s="2354"/>
      <c r="N62" s="2354"/>
      <c r="O62" s="2354"/>
      <c r="P62" s="2354"/>
      <c r="Q62" s="2354"/>
      <c r="R62" s="2354"/>
      <c r="S62" s="2354"/>
      <c r="T62" s="2354"/>
      <c r="U62" s="2354"/>
      <c r="V62" s="2354"/>
      <c r="W62" s="2354"/>
      <c r="X62" s="2354"/>
      <c r="Y62" s="2354"/>
      <c r="Z62" s="2354"/>
      <c r="AA62" s="2354"/>
      <c r="AB62" s="2354"/>
      <c r="AC62" s="2354"/>
      <c r="AD62" s="2354"/>
      <c r="AE62" s="2354"/>
      <c r="AF62" s="2354"/>
      <c r="AG62" s="2354"/>
      <c r="AH62" s="2354"/>
      <c r="AI62" s="2354"/>
      <c r="AJ62" s="2354"/>
      <c r="AK62" s="2354"/>
      <c r="AL62" s="2354"/>
      <c r="AM62" s="2354"/>
      <c r="AN62" s="2354"/>
      <c r="AO62" s="2354"/>
      <c r="AP62" s="2354"/>
      <c r="AQ62" s="2354"/>
      <c r="AR62" s="2354"/>
      <c r="AS62" s="2354"/>
      <c r="AT62" s="2354"/>
      <c r="AU62" s="2354"/>
      <c r="AV62" s="2354"/>
      <c r="AW62" s="2355"/>
      <c r="AX62" s="1209"/>
      <c r="AY62" s="1209"/>
      <c r="AZ62" s="1209"/>
      <c r="BA62" s="1209"/>
      <c r="BB62" s="1209"/>
      <c r="BC62" s="1209"/>
      <c r="BD62" s="1209"/>
      <c r="BE62" s="1205"/>
    </row>
    <row r="63" spans="1:58" ht="15.75" customHeight="1">
      <c r="A63" s="1209"/>
      <c r="B63" s="2450" t="str">
        <f>IF(B55="", "", B55)</f>
        <v/>
      </c>
      <c r="C63" s="2451"/>
      <c r="D63" s="2451"/>
      <c r="E63" s="2451"/>
      <c r="F63" s="2451"/>
      <c r="G63" s="2451"/>
      <c r="H63" s="2451"/>
      <c r="I63" s="2452"/>
      <c r="J63" s="2453"/>
      <c r="K63" s="2354"/>
      <c r="L63" s="2354"/>
      <c r="M63" s="2354"/>
      <c r="N63" s="2354"/>
      <c r="O63" s="2354"/>
      <c r="P63" s="2354"/>
      <c r="Q63" s="2354"/>
      <c r="R63" s="2354"/>
      <c r="S63" s="2354"/>
      <c r="T63" s="2354"/>
      <c r="U63" s="2354"/>
      <c r="V63" s="2354"/>
      <c r="W63" s="2354"/>
      <c r="X63" s="2354"/>
      <c r="Y63" s="2354"/>
      <c r="Z63" s="2354"/>
      <c r="AA63" s="2354"/>
      <c r="AB63" s="2354"/>
      <c r="AC63" s="2354"/>
      <c r="AD63" s="2354"/>
      <c r="AE63" s="2354"/>
      <c r="AF63" s="2354"/>
      <c r="AG63" s="2354"/>
      <c r="AH63" s="2354"/>
      <c r="AI63" s="2354"/>
      <c r="AJ63" s="2354"/>
      <c r="AK63" s="2354"/>
      <c r="AL63" s="2354"/>
      <c r="AM63" s="2354"/>
      <c r="AN63" s="2354"/>
      <c r="AO63" s="2354"/>
      <c r="AP63" s="2354"/>
      <c r="AQ63" s="2354"/>
      <c r="AR63" s="2354"/>
      <c r="AS63" s="2354"/>
      <c r="AT63" s="2354"/>
      <c r="AU63" s="2354"/>
      <c r="AV63" s="2354"/>
      <c r="AW63" s="2355"/>
      <c r="AX63" s="1209"/>
      <c r="AY63" s="1209"/>
      <c r="AZ63" s="1209"/>
      <c r="BA63" s="1209"/>
      <c r="BB63" s="1209"/>
      <c r="BC63" s="1209"/>
      <c r="BD63" s="1209"/>
      <c r="BE63" s="1205"/>
    </row>
    <row r="64" spans="1:58" ht="15.75" customHeight="1" thickBot="1">
      <c r="A64" s="1209"/>
      <c r="B64" s="2454" t="str">
        <f>IF(B56="", "", B56)</f>
        <v/>
      </c>
      <c r="C64" s="2455"/>
      <c r="D64" s="2455"/>
      <c r="E64" s="2455"/>
      <c r="F64" s="2455"/>
      <c r="G64" s="2455"/>
      <c r="H64" s="2455"/>
      <c r="I64" s="2456"/>
      <c r="J64" s="2468"/>
      <c r="K64" s="2448"/>
      <c r="L64" s="2448"/>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c r="AS64" s="2448"/>
      <c r="AT64" s="2448"/>
      <c r="AU64" s="2448"/>
      <c r="AV64" s="2448"/>
      <c r="AW64" s="2449"/>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1821</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30" t="s">
        <v>1822</v>
      </c>
      <c r="C68" s="2431"/>
      <c r="D68" s="2431"/>
      <c r="E68" s="2431"/>
      <c r="F68" s="2431"/>
      <c r="G68" s="2431"/>
      <c r="H68" s="2431"/>
      <c r="I68" s="2431"/>
      <c r="J68" s="2431"/>
      <c r="K68" s="2431"/>
      <c r="L68" s="2431"/>
      <c r="M68" s="2431"/>
      <c r="N68" s="2431"/>
      <c r="O68" s="2431"/>
      <c r="P68" s="2431"/>
      <c r="Q68" s="2431"/>
      <c r="R68" s="2431"/>
      <c r="S68" s="2431"/>
      <c r="T68" s="2431"/>
      <c r="U68" s="2431"/>
      <c r="V68" s="2431"/>
      <c r="W68" s="2431"/>
      <c r="X68" s="2431"/>
      <c r="Y68" s="2431"/>
      <c r="Z68" s="2431"/>
      <c r="AA68" s="2432"/>
      <c r="AB68" s="1209"/>
      <c r="AC68" s="2182" t="s">
        <v>1823</v>
      </c>
      <c r="AD68" s="2183"/>
      <c r="AE68" s="2183"/>
      <c r="AF68" s="2183"/>
      <c r="AG68" s="2183"/>
      <c r="AH68" s="2183"/>
      <c r="AI68" s="2183"/>
      <c r="AJ68" s="2183"/>
      <c r="AK68" s="2183"/>
      <c r="AL68" s="2183"/>
      <c r="AM68" s="2183"/>
      <c r="AN68" s="2183"/>
      <c r="AO68" s="2183"/>
      <c r="AP68" s="2183"/>
      <c r="AQ68" s="2183"/>
      <c r="AR68" s="2183"/>
      <c r="AS68" s="2183"/>
      <c r="AT68" s="2183"/>
      <c r="AU68" s="2183"/>
      <c r="AV68" s="2233" t="s">
        <v>678</v>
      </c>
      <c r="AW68" s="2234"/>
      <c r="AX68" s="2234"/>
      <c r="AY68" s="2234"/>
      <c r="AZ68" s="2234"/>
      <c r="BA68" s="2234"/>
      <c r="BB68" s="2234"/>
      <c r="BC68" s="2235"/>
      <c r="BD68" s="1209"/>
      <c r="BE68" s="1205"/>
      <c r="BM68" s="1254" t="s">
        <v>2481</v>
      </c>
    </row>
    <row r="69" spans="1:65" ht="15.75" customHeight="1" thickTop="1" thickBot="1">
      <c r="A69" s="1209"/>
      <c r="B69" s="2236" t="s">
        <v>1824</v>
      </c>
      <c r="C69" s="2237"/>
      <c r="D69" s="2237"/>
      <c r="E69" s="2237"/>
      <c r="F69" s="2237"/>
      <c r="G69" s="2237"/>
      <c r="H69" s="2237"/>
      <c r="I69" s="2237"/>
      <c r="J69" s="2237"/>
      <c r="K69" s="2237"/>
      <c r="L69" s="2237"/>
      <c r="M69" s="2237"/>
      <c r="N69" s="2237"/>
      <c r="O69" s="2238" t="s">
        <v>1825</v>
      </c>
      <c r="P69" s="2239"/>
      <c r="Q69" s="2239"/>
      <c r="R69" s="2239"/>
      <c r="S69" s="2239"/>
      <c r="T69" s="2239"/>
      <c r="U69" s="2239"/>
      <c r="V69" s="2239"/>
      <c r="W69" s="2239"/>
      <c r="X69" s="2239"/>
      <c r="Y69" s="2239"/>
      <c r="Z69" s="2239"/>
      <c r="AA69" s="2240"/>
      <c r="AB69" s="1209"/>
      <c r="AC69" s="2241" t="s">
        <v>1826</v>
      </c>
      <c r="AD69" s="2242"/>
      <c r="AE69" s="2242"/>
      <c r="AF69" s="2242"/>
      <c r="AG69" s="2242"/>
      <c r="AH69" s="2242"/>
      <c r="AI69" s="2242"/>
      <c r="AJ69" s="2242"/>
      <c r="AK69" s="2242"/>
      <c r="AL69" s="2242"/>
      <c r="AM69" s="2242"/>
      <c r="AN69" s="2242"/>
      <c r="AO69" s="2242"/>
      <c r="AP69" s="2242"/>
      <c r="AQ69" s="2242"/>
      <c r="AR69" s="2242"/>
      <c r="AS69" s="2242"/>
      <c r="AT69" s="2242"/>
      <c r="AU69" s="2242"/>
      <c r="AV69" s="2243"/>
      <c r="AW69" s="2244"/>
      <c r="AX69" s="2244"/>
      <c r="AY69" s="2244"/>
      <c r="AZ69" s="2244"/>
      <c r="BA69" s="2244"/>
      <c r="BB69" s="2244"/>
      <c r="BC69" s="2245"/>
      <c r="BD69" s="1209"/>
      <c r="BE69" s="1205"/>
      <c r="BM69" s="1253" t="s">
        <v>554</v>
      </c>
    </row>
    <row r="70" spans="1:65" ht="15.75" customHeight="1">
      <c r="A70" s="1209"/>
      <c r="B70" s="2246" t="s">
        <v>2482</v>
      </c>
      <c r="C70" s="2247"/>
      <c r="D70" s="2247"/>
      <c r="E70" s="2247"/>
      <c r="F70" s="2247"/>
      <c r="G70" s="2247"/>
      <c r="H70" s="2247"/>
      <c r="I70" s="2247"/>
      <c r="J70" s="2247"/>
      <c r="K70" s="2247"/>
      <c r="L70" s="2247"/>
      <c r="M70" s="2247"/>
      <c r="N70" s="2247"/>
      <c r="O70" s="2211">
        <v>0</v>
      </c>
      <c r="P70" s="2211"/>
      <c r="Q70" s="2211"/>
      <c r="R70" s="2211"/>
      <c r="S70" s="2211"/>
      <c r="T70" s="2211"/>
      <c r="U70" s="2211"/>
      <c r="V70" s="2211"/>
      <c r="W70" s="2211"/>
      <c r="X70" s="2211"/>
      <c r="Y70" s="2211"/>
      <c r="Z70" s="2211"/>
      <c r="AA70" s="2212"/>
      <c r="AB70" s="1209"/>
      <c r="AC70" s="2419" t="s">
        <v>1827</v>
      </c>
      <c r="AD70" s="2215"/>
      <c r="AE70" s="2215"/>
      <c r="AF70" s="2444"/>
      <c r="AG70" s="2444"/>
      <c r="AH70" s="2444"/>
      <c r="AI70" s="2444"/>
      <c r="AJ70" s="2444"/>
      <c r="AK70" s="2444"/>
      <c r="AL70" s="2444"/>
      <c r="AM70" s="2444"/>
      <c r="AN70" s="2444"/>
      <c r="AO70" s="2444"/>
      <c r="AP70" s="2444"/>
      <c r="AQ70" s="2444"/>
      <c r="AR70" s="2444"/>
      <c r="AS70" s="2444"/>
      <c r="AT70" s="2444"/>
      <c r="AU70" s="2445"/>
      <c r="AV70" s="1209"/>
      <c r="AW70" s="1209"/>
      <c r="AX70" s="1209"/>
      <c r="AY70" s="1209"/>
      <c r="AZ70" s="1209"/>
      <c r="BA70" s="1209"/>
      <c r="BB70" s="1209"/>
      <c r="BC70" s="1209"/>
      <c r="BD70" s="1209"/>
      <c r="BE70" s="1205"/>
      <c r="BM70" s="1252" t="s">
        <v>678</v>
      </c>
    </row>
    <row r="71" spans="1:65" ht="15.75" customHeight="1" thickBot="1">
      <c r="A71" s="1209"/>
      <c r="B71" s="2246" t="s">
        <v>2483</v>
      </c>
      <c r="C71" s="2247"/>
      <c r="D71" s="2247"/>
      <c r="E71" s="2247"/>
      <c r="F71" s="2247"/>
      <c r="G71" s="2247"/>
      <c r="H71" s="2247"/>
      <c r="I71" s="2247"/>
      <c r="J71" s="2247"/>
      <c r="K71" s="2247"/>
      <c r="L71" s="2247"/>
      <c r="M71" s="2247"/>
      <c r="N71" s="2247"/>
      <c r="O71" s="2211">
        <v>0</v>
      </c>
      <c r="P71" s="2211"/>
      <c r="Q71" s="2211"/>
      <c r="R71" s="2211"/>
      <c r="S71" s="2211"/>
      <c r="T71" s="2211"/>
      <c r="U71" s="2211"/>
      <c r="V71" s="2211"/>
      <c r="W71" s="2211"/>
      <c r="X71" s="2211"/>
      <c r="Y71" s="2211"/>
      <c r="Z71" s="2211"/>
      <c r="AA71" s="2212"/>
      <c r="AB71" s="1209"/>
      <c r="AC71" s="2446" t="s">
        <v>1828</v>
      </c>
      <c r="AD71" s="2447"/>
      <c r="AE71" s="2447"/>
      <c r="AF71" s="2448"/>
      <c r="AG71" s="2448"/>
      <c r="AH71" s="2448"/>
      <c r="AI71" s="2448"/>
      <c r="AJ71" s="2448"/>
      <c r="AK71" s="2448"/>
      <c r="AL71" s="2448"/>
      <c r="AM71" s="2448"/>
      <c r="AN71" s="2448"/>
      <c r="AO71" s="2448"/>
      <c r="AP71" s="2448"/>
      <c r="AQ71" s="2448"/>
      <c r="AR71" s="2448"/>
      <c r="AS71" s="2448"/>
      <c r="AT71" s="2448"/>
      <c r="AU71" s="2449"/>
      <c r="AV71" s="1209"/>
      <c r="AW71" s="1209"/>
      <c r="AX71" s="1209"/>
      <c r="AY71" s="1209"/>
      <c r="AZ71" s="1209"/>
      <c r="BA71" s="1209"/>
      <c r="BB71" s="1209"/>
      <c r="BC71" s="1209"/>
      <c r="BD71" s="1209"/>
      <c r="BE71" s="1205"/>
      <c r="BM71" s="1200" t="s">
        <v>2484</v>
      </c>
    </row>
    <row r="72" spans="1:65" ht="15.75" customHeight="1">
      <c r="A72" s="1209"/>
      <c r="B72" s="2246" t="s">
        <v>2485</v>
      </c>
      <c r="C72" s="2247"/>
      <c r="D72" s="2247"/>
      <c r="E72" s="2247"/>
      <c r="F72" s="2247"/>
      <c r="G72" s="2247"/>
      <c r="H72" s="2247"/>
      <c r="I72" s="2247"/>
      <c r="J72" s="2247"/>
      <c r="K72" s="2247"/>
      <c r="L72" s="2247"/>
      <c r="M72" s="2247"/>
      <c r="N72" s="2247"/>
      <c r="O72" s="2211">
        <v>0</v>
      </c>
      <c r="P72" s="2211"/>
      <c r="Q72" s="2211"/>
      <c r="R72" s="2211"/>
      <c r="S72" s="2211"/>
      <c r="T72" s="2211"/>
      <c r="U72" s="2211"/>
      <c r="V72" s="2211"/>
      <c r="W72" s="2211"/>
      <c r="X72" s="2211"/>
      <c r="Y72" s="2211"/>
      <c r="Z72" s="2211"/>
      <c r="AA72" s="2212"/>
      <c r="AB72" s="1209"/>
      <c r="AC72" s="2213" t="s">
        <v>2486</v>
      </c>
      <c r="AD72" s="2214"/>
      <c r="AE72" s="2214"/>
      <c r="AF72" s="2214"/>
      <c r="AG72" s="2214"/>
      <c r="AH72" s="2214"/>
      <c r="AI72" s="2214"/>
      <c r="AJ72" s="2214"/>
      <c r="AK72" s="2214"/>
      <c r="AL72" s="2214"/>
      <c r="AM72" s="2214"/>
      <c r="AN72" s="2214"/>
      <c r="AO72" s="2214"/>
      <c r="AP72" s="2214"/>
      <c r="AQ72" s="2214"/>
      <c r="AR72" s="2214"/>
      <c r="AS72" s="2214"/>
      <c r="AT72" s="2214"/>
      <c r="AU72" s="2214"/>
      <c r="AV72" s="2215"/>
      <c r="AW72" s="2215"/>
      <c r="AX72" s="2215"/>
      <c r="AY72" s="2215"/>
      <c r="AZ72" s="2215"/>
      <c r="BA72" s="2215"/>
      <c r="BB72" s="2215"/>
      <c r="BC72" s="2216"/>
      <c r="BD72" s="1209"/>
      <c r="BE72" s="1205"/>
    </row>
    <row r="73" spans="1:65" ht="15.75" customHeight="1">
      <c r="A73" s="1209"/>
      <c r="B73" s="2217" t="s">
        <v>2487</v>
      </c>
      <c r="C73" s="2218"/>
      <c r="D73" s="2218"/>
      <c r="E73" s="2218"/>
      <c r="F73" s="2218"/>
      <c r="G73" s="2218"/>
      <c r="H73" s="2218"/>
      <c r="I73" s="2218"/>
      <c r="J73" s="2218"/>
      <c r="K73" s="2218"/>
      <c r="L73" s="2218"/>
      <c r="M73" s="2218"/>
      <c r="N73" s="2218"/>
      <c r="O73" s="2211">
        <v>0</v>
      </c>
      <c r="P73" s="2211"/>
      <c r="Q73" s="2211"/>
      <c r="R73" s="2211"/>
      <c r="S73" s="2211"/>
      <c r="T73" s="2211"/>
      <c r="U73" s="2211"/>
      <c r="V73" s="2211"/>
      <c r="W73" s="2211"/>
      <c r="X73" s="2211"/>
      <c r="Y73" s="2211"/>
      <c r="Z73" s="2211"/>
      <c r="AA73" s="2212"/>
      <c r="AB73" s="1209"/>
      <c r="AC73" s="2401" t="s">
        <v>2188</v>
      </c>
      <c r="AD73" s="2402"/>
      <c r="AE73" s="2402"/>
      <c r="AF73" s="2402"/>
      <c r="AG73" s="2402"/>
      <c r="AH73" s="2402"/>
      <c r="AI73" s="2402"/>
      <c r="AJ73" s="2402"/>
      <c r="AK73" s="2402"/>
      <c r="AL73" s="2402"/>
      <c r="AM73" s="2402"/>
      <c r="AN73" s="2402"/>
      <c r="AO73" s="2402"/>
      <c r="AP73" s="2402"/>
      <c r="AQ73" s="2402"/>
      <c r="AR73" s="2402"/>
      <c r="AS73" s="2402"/>
      <c r="AT73" s="2402"/>
      <c r="AU73" s="2402"/>
      <c r="AV73" s="2402"/>
      <c r="AW73" s="2402"/>
      <c r="AX73" s="2402"/>
      <c r="AY73" s="2402"/>
      <c r="AZ73" s="2402"/>
      <c r="BA73" s="2402"/>
      <c r="BB73" s="2402"/>
      <c r="BC73" s="2403"/>
      <c r="BD73" s="1209"/>
      <c r="BE73" s="1205"/>
    </row>
    <row r="74" spans="1:65" ht="15.75" customHeight="1">
      <c r="A74" s="1209"/>
      <c r="B74" s="2350"/>
      <c r="C74" s="2351"/>
      <c r="D74" s="2351"/>
      <c r="E74" s="2351"/>
      <c r="F74" s="2351"/>
      <c r="G74" s="2351"/>
      <c r="H74" s="2351"/>
      <c r="I74" s="2351"/>
      <c r="J74" s="2351"/>
      <c r="K74" s="2351"/>
      <c r="L74" s="2351"/>
      <c r="M74" s="2351"/>
      <c r="N74" s="2351"/>
      <c r="O74" s="2211"/>
      <c r="P74" s="2211"/>
      <c r="Q74" s="2211"/>
      <c r="R74" s="2211"/>
      <c r="S74" s="2211"/>
      <c r="T74" s="2211"/>
      <c r="U74" s="2211"/>
      <c r="V74" s="2211"/>
      <c r="W74" s="2211"/>
      <c r="X74" s="2211"/>
      <c r="Y74" s="2211"/>
      <c r="Z74" s="2211"/>
      <c r="AA74" s="2212"/>
      <c r="AB74" s="1209"/>
      <c r="AC74" s="2401"/>
      <c r="AD74" s="2402"/>
      <c r="AE74" s="2402"/>
      <c r="AF74" s="2402"/>
      <c r="AG74" s="2402"/>
      <c r="AH74" s="2402"/>
      <c r="AI74" s="2402"/>
      <c r="AJ74" s="2402"/>
      <c r="AK74" s="2402"/>
      <c r="AL74" s="2402"/>
      <c r="AM74" s="2402"/>
      <c r="AN74" s="2402"/>
      <c r="AO74" s="2402"/>
      <c r="AP74" s="2402"/>
      <c r="AQ74" s="2402"/>
      <c r="AR74" s="2402"/>
      <c r="AS74" s="2402"/>
      <c r="AT74" s="2402"/>
      <c r="AU74" s="2402"/>
      <c r="AV74" s="2402"/>
      <c r="AW74" s="2402"/>
      <c r="AX74" s="2402"/>
      <c r="AY74" s="2402"/>
      <c r="AZ74" s="2402"/>
      <c r="BA74" s="2402"/>
      <c r="BB74" s="2402"/>
      <c r="BC74" s="2403"/>
      <c r="BD74" s="1209"/>
      <c r="BE74" s="1205"/>
    </row>
    <row r="75" spans="1:65" ht="15.75" customHeight="1" thickBot="1">
      <c r="A75" s="1209"/>
      <c r="B75" s="2442" t="s">
        <v>124</v>
      </c>
      <c r="C75" s="2443"/>
      <c r="D75" s="2443"/>
      <c r="E75" s="2443"/>
      <c r="F75" s="2443"/>
      <c r="G75" s="2443"/>
      <c r="H75" s="2443"/>
      <c r="I75" s="2443"/>
      <c r="J75" s="2443"/>
      <c r="K75" s="2443"/>
      <c r="L75" s="2443"/>
      <c r="M75" s="2443"/>
      <c r="N75" s="2443"/>
      <c r="O75" s="2219">
        <f>SUM(O70:AA74)</f>
        <v>0</v>
      </c>
      <c r="P75" s="2219"/>
      <c r="Q75" s="2219"/>
      <c r="R75" s="2219"/>
      <c r="S75" s="2219"/>
      <c r="T75" s="2219"/>
      <c r="U75" s="2219"/>
      <c r="V75" s="2219"/>
      <c r="W75" s="2219"/>
      <c r="X75" s="2219"/>
      <c r="Y75" s="2219"/>
      <c r="Z75" s="2219"/>
      <c r="AA75" s="2220"/>
      <c r="AB75" s="1209"/>
      <c r="AC75" s="2401"/>
      <c r="AD75" s="2402"/>
      <c r="AE75" s="2402"/>
      <c r="AF75" s="2402"/>
      <c r="AG75" s="2402"/>
      <c r="AH75" s="2402"/>
      <c r="AI75" s="2402"/>
      <c r="AJ75" s="2402"/>
      <c r="AK75" s="2402"/>
      <c r="AL75" s="2402"/>
      <c r="AM75" s="2402"/>
      <c r="AN75" s="2402"/>
      <c r="AO75" s="2402"/>
      <c r="AP75" s="2402"/>
      <c r="AQ75" s="2402"/>
      <c r="AR75" s="2402"/>
      <c r="AS75" s="2402"/>
      <c r="AT75" s="2402"/>
      <c r="AU75" s="2402"/>
      <c r="AV75" s="2402"/>
      <c r="AW75" s="2402"/>
      <c r="AX75" s="2402"/>
      <c r="AY75" s="2402"/>
      <c r="AZ75" s="2402"/>
      <c r="BA75" s="2402"/>
      <c r="BB75" s="2402"/>
      <c r="BC75" s="2403"/>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01"/>
      <c r="AD76" s="2402"/>
      <c r="AE76" s="2402"/>
      <c r="AF76" s="2402"/>
      <c r="AG76" s="2402"/>
      <c r="AH76" s="2402"/>
      <c r="AI76" s="2402"/>
      <c r="AJ76" s="2402"/>
      <c r="AK76" s="2402"/>
      <c r="AL76" s="2402"/>
      <c r="AM76" s="2402"/>
      <c r="AN76" s="2402"/>
      <c r="AO76" s="2402"/>
      <c r="AP76" s="2402"/>
      <c r="AQ76" s="2402"/>
      <c r="AR76" s="2402"/>
      <c r="AS76" s="2402"/>
      <c r="AT76" s="2402"/>
      <c r="AU76" s="2402"/>
      <c r="AV76" s="2402"/>
      <c r="AW76" s="2402"/>
      <c r="AX76" s="2402"/>
      <c r="AY76" s="2402"/>
      <c r="AZ76" s="2402"/>
      <c r="BA76" s="2402"/>
      <c r="BB76" s="2402"/>
      <c r="BC76" s="2403"/>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4"/>
      <c r="AD77" s="2405"/>
      <c r="AE77" s="2405"/>
      <c r="AF77" s="2405"/>
      <c r="AG77" s="2405"/>
      <c r="AH77" s="2405"/>
      <c r="AI77" s="2405"/>
      <c r="AJ77" s="2405"/>
      <c r="AK77" s="2405"/>
      <c r="AL77" s="2405"/>
      <c r="AM77" s="2405"/>
      <c r="AN77" s="2405"/>
      <c r="AO77" s="2405"/>
      <c r="AP77" s="2405"/>
      <c r="AQ77" s="2405"/>
      <c r="AR77" s="2405"/>
      <c r="AS77" s="2405"/>
      <c r="AT77" s="2405"/>
      <c r="AU77" s="2405"/>
      <c r="AV77" s="2405"/>
      <c r="AW77" s="2405"/>
      <c r="AX77" s="2405"/>
      <c r="AY77" s="2405"/>
      <c r="AZ77" s="2405"/>
      <c r="BA77" s="2405"/>
      <c r="BB77" s="2405"/>
      <c r="BC77" s="2406"/>
      <c r="BD77" s="1209"/>
      <c r="BE77" s="1205"/>
    </row>
    <row r="78" spans="1:65" ht="15.75" customHeight="1" thickBot="1">
      <c r="A78" s="1209"/>
      <c r="B78" s="1240" t="s">
        <v>2623</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1863</v>
      </c>
      <c r="C79" s="1239"/>
      <c r="D79" s="1239"/>
      <c r="E79" s="1251"/>
      <c r="F79" s="2231"/>
      <c r="G79" s="2232"/>
      <c r="H79" s="2232"/>
      <c r="I79" s="2232"/>
      <c r="J79" s="2232"/>
      <c r="K79" s="2232"/>
      <c r="L79" s="2232"/>
      <c r="M79" s="2199"/>
      <c r="N79" s="2199"/>
      <c r="O79" s="2199"/>
      <c r="P79" s="2199"/>
      <c r="Q79" s="2200"/>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2615</v>
      </c>
      <c r="C80" s="1243"/>
      <c r="D80" s="1242"/>
      <c r="E80" s="1242"/>
      <c r="F80" s="1242"/>
      <c r="G80" s="1242"/>
      <c r="H80" s="1242"/>
      <c r="I80" s="1242"/>
      <c r="J80" s="1242"/>
      <c r="K80" s="1242"/>
      <c r="L80" s="1241"/>
      <c r="M80" s="1242"/>
      <c r="N80" s="1241"/>
      <c r="O80" s="2204" t="e">
        <f>BR96/SUM($BR$96:$BR$98)</f>
        <v>#DIV/0!</v>
      </c>
      <c r="P80" s="2205"/>
      <c r="Q80" s="2206"/>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2622</v>
      </c>
      <c r="C81" s="1247"/>
      <c r="D81" s="1229"/>
      <c r="E81" s="1229"/>
      <c r="F81" s="1229"/>
      <c r="G81" s="1229"/>
      <c r="H81" s="1229"/>
      <c r="I81" s="1229"/>
      <c r="J81" s="1229"/>
      <c r="K81" s="1229"/>
      <c r="L81" s="1229"/>
      <c r="M81" s="1229"/>
      <c r="N81" s="1249"/>
      <c r="O81" s="2195" t="s">
        <v>2554</v>
      </c>
      <c r="P81" s="2196"/>
      <c r="Q81" s="2197"/>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81" t="s">
        <v>2171</v>
      </c>
      <c r="C83" s="2582"/>
      <c r="D83" s="2582"/>
      <c r="E83" s="2582"/>
      <c r="F83" s="2582"/>
      <c r="G83" s="2582"/>
      <c r="H83" s="2582"/>
      <c r="I83" s="2582"/>
      <c r="J83" s="2582"/>
      <c r="K83" s="2582"/>
      <c r="L83" s="2582"/>
      <c r="M83" s="2582"/>
      <c r="N83" s="2582"/>
      <c r="O83" s="2582"/>
      <c r="P83" s="2582"/>
      <c r="Q83" s="2582"/>
      <c r="R83" s="2582"/>
      <c r="S83" s="2582"/>
      <c r="T83" s="2582"/>
      <c r="U83" s="2582"/>
      <c r="V83" s="2582"/>
      <c r="W83" s="2582"/>
      <c r="X83" s="2582"/>
      <c r="Y83" s="2582"/>
      <c r="Z83" s="2582"/>
      <c r="AA83" s="2582"/>
      <c r="AB83" s="2582"/>
      <c r="AC83" s="2582"/>
      <c r="AD83" s="2582"/>
      <c r="AE83" s="2582"/>
      <c r="AF83" s="2582"/>
      <c r="AG83" s="2582"/>
      <c r="AH83" s="2583"/>
      <c r="AI83" s="1209"/>
      <c r="AJ83" s="2185" t="s">
        <v>2621</v>
      </c>
      <c r="AK83" s="2186"/>
      <c r="AL83" s="2186"/>
      <c r="AM83" s="2186"/>
      <c r="AN83" s="2186"/>
      <c r="AO83" s="2186"/>
      <c r="AP83" s="2186"/>
      <c r="AQ83" s="2186"/>
      <c r="AR83" s="2186"/>
      <c r="AS83" s="2186"/>
      <c r="AT83" s="2186"/>
      <c r="AU83" s="2186"/>
      <c r="AV83" s="2186"/>
      <c r="AW83" s="2186"/>
      <c r="AX83" s="2186"/>
      <c r="AY83" s="2207" t="s">
        <v>554</v>
      </c>
      <c r="AZ83" s="2207"/>
      <c r="BA83" s="2207"/>
      <c r="BB83" s="2208"/>
      <c r="BC83" s="1209"/>
      <c r="BD83" s="1209"/>
      <c r="BE83" s="1205"/>
    </row>
    <row r="84" spans="1:70" ht="15.75" customHeight="1">
      <c r="A84" s="1209"/>
      <c r="B84" s="2177"/>
      <c r="C84" s="2178"/>
      <c r="D84" s="2178"/>
      <c r="E84" s="2178"/>
      <c r="F84" s="2178"/>
      <c r="G84" s="2178"/>
      <c r="H84" s="2178"/>
      <c r="I84" s="2178" t="s">
        <v>1829</v>
      </c>
      <c r="J84" s="2178"/>
      <c r="K84" s="2178"/>
      <c r="L84" s="2178"/>
      <c r="M84" s="2178"/>
      <c r="N84" s="2178"/>
      <c r="O84" s="2178" t="s">
        <v>1830</v>
      </c>
      <c r="P84" s="2178"/>
      <c r="Q84" s="2178"/>
      <c r="R84" s="2178"/>
      <c r="S84" s="2178"/>
      <c r="T84" s="2178"/>
      <c r="U84" s="2178"/>
      <c r="V84" s="2179" t="s">
        <v>2189</v>
      </c>
      <c r="W84" s="2179"/>
      <c r="X84" s="2179"/>
      <c r="Y84" s="2179"/>
      <c r="Z84" s="2179"/>
      <c r="AA84" s="2179"/>
      <c r="AB84" s="2180" t="s">
        <v>1831</v>
      </c>
      <c r="AC84" s="2180"/>
      <c r="AD84" s="2180"/>
      <c r="AE84" s="2180"/>
      <c r="AF84" s="2180"/>
      <c r="AG84" s="2180"/>
      <c r="AH84" s="2181"/>
      <c r="AI84" s="1209"/>
      <c r="AJ84" s="2187"/>
      <c r="AK84" s="2188"/>
      <c r="AL84" s="2188"/>
      <c r="AM84" s="2188"/>
      <c r="AN84" s="2188"/>
      <c r="AO84" s="2188"/>
      <c r="AP84" s="2188"/>
      <c r="AQ84" s="2188"/>
      <c r="AR84" s="2188"/>
      <c r="AS84" s="2188"/>
      <c r="AT84" s="2188"/>
      <c r="AU84" s="2188"/>
      <c r="AV84" s="2188"/>
      <c r="AW84" s="2188"/>
      <c r="AX84" s="2188"/>
      <c r="AY84" s="2209"/>
      <c r="AZ84" s="2209"/>
      <c r="BA84" s="2209"/>
      <c r="BB84" s="2210"/>
      <c r="BC84" s="1209"/>
      <c r="BD84" s="1209"/>
      <c r="BE84" s="1205"/>
    </row>
    <row r="85" spans="1:70" ht="15.75" customHeight="1">
      <c r="A85" s="1209"/>
      <c r="B85" s="2177"/>
      <c r="C85" s="2178"/>
      <c r="D85" s="2178"/>
      <c r="E85" s="2178"/>
      <c r="F85" s="2178"/>
      <c r="G85" s="2178"/>
      <c r="H85" s="2178"/>
      <c r="I85" s="2178"/>
      <c r="J85" s="2178"/>
      <c r="K85" s="2178"/>
      <c r="L85" s="2178"/>
      <c r="M85" s="2178"/>
      <c r="N85" s="2178"/>
      <c r="O85" s="2178"/>
      <c r="P85" s="2178"/>
      <c r="Q85" s="2178"/>
      <c r="R85" s="2178"/>
      <c r="S85" s="2178"/>
      <c r="T85" s="2178"/>
      <c r="U85" s="2178"/>
      <c r="V85" s="2179"/>
      <c r="W85" s="2179"/>
      <c r="X85" s="2179"/>
      <c r="Y85" s="2179"/>
      <c r="Z85" s="2179"/>
      <c r="AA85" s="2179"/>
      <c r="AB85" s="2180"/>
      <c r="AC85" s="2180"/>
      <c r="AD85" s="2180"/>
      <c r="AE85" s="2180"/>
      <c r="AF85" s="2180"/>
      <c r="AG85" s="2180"/>
      <c r="AH85" s="2181"/>
      <c r="AI85" s="1209"/>
      <c r="AJ85" s="2187"/>
      <c r="AK85" s="2188"/>
      <c r="AL85" s="2188"/>
      <c r="AM85" s="2188"/>
      <c r="AN85" s="2188"/>
      <c r="AO85" s="2188"/>
      <c r="AP85" s="2188"/>
      <c r="AQ85" s="2188"/>
      <c r="AR85" s="2188"/>
      <c r="AS85" s="2188"/>
      <c r="AT85" s="2188"/>
      <c r="AU85" s="2188"/>
      <c r="AV85" s="2188"/>
      <c r="AW85" s="2188"/>
      <c r="AX85" s="2188"/>
      <c r="AY85" s="2209"/>
      <c r="AZ85" s="2209"/>
      <c r="BA85" s="2209"/>
      <c r="BB85" s="2210"/>
      <c r="BC85" s="1209"/>
      <c r="BD85" s="1209"/>
      <c r="BE85" s="1205"/>
    </row>
    <row r="86" spans="1:70" ht="15.75" customHeight="1">
      <c r="A86" s="1209"/>
      <c r="B86" s="2177" t="s">
        <v>2172</v>
      </c>
      <c r="C86" s="2178"/>
      <c r="D86" s="2178"/>
      <c r="E86" s="2178"/>
      <c r="F86" s="2178"/>
      <c r="G86" s="2178"/>
      <c r="H86" s="2178"/>
      <c r="I86" s="2175">
        <v>0</v>
      </c>
      <c r="J86" s="2175"/>
      <c r="K86" s="2175"/>
      <c r="L86" s="2175"/>
      <c r="M86" s="2175"/>
      <c r="N86" s="2175"/>
      <c r="O86" s="2175">
        <v>0</v>
      </c>
      <c r="P86" s="2175"/>
      <c r="Q86" s="2175"/>
      <c r="R86" s="2175"/>
      <c r="S86" s="2175"/>
      <c r="T86" s="2175"/>
      <c r="U86" s="2175"/>
      <c r="V86" s="2175">
        <v>0</v>
      </c>
      <c r="W86" s="2175"/>
      <c r="X86" s="2175"/>
      <c r="Y86" s="2175"/>
      <c r="Z86" s="2175"/>
      <c r="AA86" s="2175"/>
      <c r="AB86" s="2175">
        <v>0</v>
      </c>
      <c r="AC86" s="2175"/>
      <c r="AD86" s="2175"/>
      <c r="AE86" s="2175"/>
      <c r="AF86" s="2175"/>
      <c r="AG86" s="2175"/>
      <c r="AH86" s="2176"/>
      <c r="AI86" s="1209"/>
      <c r="AJ86" s="2187"/>
      <c r="AK86" s="2188"/>
      <c r="AL86" s="2188"/>
      <c r="AM86" s="2188"/>
      <c r="AN86" s="2188"/>
      <c r="AO86" s="2188"/>
      <c r="AP86" s="2188"/>
      <c r="AQ86" s="2188"/>
      <c r="AR86" s="2188"/>
      <c r="AS86" s="2188"/>
      <c r="AT86" s="2188"/>
      <c r="AU86" s="2188"/>
      <c r="AV86" s="2188"/>
      <c r="AW86" s="2188"/>
      <c r="AX86" s="2188"/>
      <c r="AY86" s="2209"/>
      <c r="AZ86" s="2209"/>
      <c r="BA86" s="2209"/>
      <c r="BB86" s="2210"/>
      <c r="BC86" s="1209"/>
      <c r="BD86" s="1209"/>
      <c r="BE86" s="1205"/>
    </row>
    <row r="87" spans="1:70" ht="15.75" customHeight="1">
      <c r="A87" s="1209"/>
      <c r="B87" s="2177" t="s">
        <v>2173</v>
      </c>
      <c r="C87" s="2178"/>
      <c r="D87" s="2178"/>
      <c r="E87" s="2178"/>
      <c r="F87" s="2178"/>
      <c r="G87" s="2178"/>
      <c r="H87" s="2178"/>
      <c r="I87" s="2175">
        <v>0</v>
      </c>
      <c r="J87" s="2175"/>
      <c r="K87" s="2175"/>
      <c r="L87" s="2175"/>
      <c r="M87" s="2175"/>
      <c r="N87" s="2175"/>
      <c r="O87" s="2175">
        <v>0</v>
      </c>
      <c r="P87" s="2175"/>
      <c r="Q87" s="2175"/>
      <c r="R87" s="2175"/>
      <c r="S87" s="2175"/>
      <c r="T87" s="2175"/>
      <c r="U87" s="2175"/>
      <c r="V87" s="2175">
        <v>0</v>
      </c>
      <c r="W87" s="2175"/>
      <c r="X87" s="2175"/>
      <c r="Y87" s="2175"/>
      <c r="Z87" s="2175"/>
      <c r="AA87" s="2175"/>
      <c r="AB87" s="2175">
        <v>0</v>
      </c>
      <c r="AC87" s="2175"/>
      <c r="AD87" s="2175"/>
      <c r="AE87" s="2175"/>
      <c r="AF87" s="2175"/>
      <c r="AG87" s="2175"/>
      <c r="AH87" s="2176"/>
      <c r="AI87" s="1209"/>
      <c r="AJ87" s="2189" t="s">
        <v>2488</v>
      </c>
      <c r="AK87" s="2190"/>
      <c r="AL87" s="2190"/>
      <c r="AM87" s="2190"/>
      <c r="AN87" s="2190"/>
      <c r="AO87" s="2190"/>
      <c r="AP87" s="2190"/>
      <c r="AQ87" s="2190"/>
      <c r="AR87" s="2190"/>
      <c r="AS87" s="2190"/>
      <c r="AT87" s="2190"/>
      <c r="AU87" s="2190"/>
      <c r="AV87" s="2190"/>
      <c r="AW87" s="2190"/>
      <c r="AX87" s="2190"/>
      <c r="AY87" s="2190"/>
      <c r="AZ87" s="2190"/>
      <c r="BA87" s="2190"/>
      <c r="BB87" s="2191"/>
      <c r="BC87" s="1209"/>
      <c r="BD87" s="1209"/>
      <c r="BE87" s="1205"/>
    </row>
    <row r="88" spans="1:70" ht="15.75" customHeight="1" thickBot="1">
      <c r="A88" s="1209"/>
      <c r="B88" s="2171" t="s">
        <v>1832</v>
      </c>
      <c r="C88" s="2172"/>
      <c r="D88" s="2172"/>
      <c r="E88" s="2172"/>
      <c r="F88" s="2172"/>
      <c r="G88" s="2172"/>
      <c r="H88" s="2172"/>
      <c r="I88" s="2173">
        <v>0</v>
      </c>
      <c r="J88" s="2173"/>
      <c r="K88" s="2173"/>
      <c r="L88" s="2173"/>
      <c r="M88" s="2173"/>
      <c r="N88" s="2173"/>
      <c r="O88" s="2173">
        <v>0</v>
      </c>
      <c r="P88" s="2173"/>
      <c r="Q88" s="2173"/>
      <c r="R88" s="2173"/>
      <c r="S88" s="2173"/>
      <c r="T88" s="2173"/>
      <c r="U88" s="2173"/>
      <c r="V88" s="2173">
        <v>0</v>
      </c>
      <c r="W88" s="2173"/>
      <c r="X88" s="2173"/>
      <c r="Y88" s="2173"/>
      <c r="Z88" s="2173"/>
      <c r="AA88" s="2173"/>
      <c r="AB88" s="2173">
        <v>0</v>
      </c>
      <c r="AC88" s="2173"/>
      <c r="AD88" s="2173"/>
      <c r="AE88" s="2173"/>
      <c r="AF88" s="2173"/>
      <c r="AG88" s="2173"/>
      <c r="AH88" s="2174"/>
      <c r="AI88" s="1209"/>
      <c r="AJ88" s="2192"/>
      <c r="AK88" s="2193"/>
      <c r="AL88" s="2193"/>
      <c r="AM88" s="2193"/>
      <c r="AN88" s="2193"/>
      <c r="AO88" s="2193"/>
      <c r="AP88" s="2193"/>
      <c r="AQ88" s="2193"/>
      <c r="AR88" s="2193"/>
      <c r="AS88" s="2193"/>
      <c r="AT88" s="2193"/>
      <c r="AU88" s="2193"/>
      <c r="AV88" s="2193"/>
      <c r="AW88" s="2193"/>
      <c r="AX88" s="2193"/>
      <c r="AY88" s="2193"/>
      <c r="AZ88" s="2193"/>
      <c r="BA88" s="2193"/>
      <c r="BB88" s="2194"/>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2620</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1863</v>
      </c>
      <c r="C92" s="1237"/>
      <c r="D92" s="1236"/>
      <c r="E92" s="1235"/>
      <c r="F92" s="2198"/>
      <c r="G92" s="2199"/>
      <c r="H92" s="2199"/>
      <c r="I92" s="2199"/>
      <c r="J92" s="2199"/>
      <c r="K92" s="2199"/>
      <c r="L92" s="2199"/>
      <c r="M92" s="2199"/>
      <c r="N92" s="2199"/>
      <c r="O92" s="2199"/>
      <c r="P92" s="2199"/>
      <c r="Q92" s="2200"/>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2615</v>
      </c>
      <c r="C93" s="1243"/>
      <c r="D93" s="1242"/>
      <c r="E93" s="1242"/>
      <c r="F93" s="1242"/>
      <c r="G93" s="1242"/>
      <c r="H93" s="1242"/>
      <c r="I93" s="1242"/>
      <c r="J93" s="1242"/>
      <c r="K93" s="1242"/>
      <c r="L93" s="1241"/>
      <c r="M93" s="1242"/>
      <c r="N93" s="1241"/>
      <c r="O93" s="2204" t="e">
        <f>BR97/SUM($BR$96:$BR$98)</f>
        <v>#DIV/0!</v>
      </c>
      <c r="P93" s="2205"/>
      <c r="Q93" s="2206"/>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2619</v>
      </c>
      <c r="C94" s="1247"/>
      <c r="D94" s="1229"/>
      <c r="E94" s="1229"/>
      <c r="F94" s="1229"/>
      <c r="G94" s="1229"/>
      <c r="H94" s="1229"/>
      <c r="I94" s="1229"/>
      <c r="J94" s="1229"/>
      <c r="K94" s="1229"/>
      <c r="L94" s="1229"/>
      <c r="M94" s="1229"/>
      <c r="N94" s="1249"/>
      <c r="O94" s="2195" t="s">
        <v>2554</v>
      </c>
      <c r="P94" s="2196"/>
      <c r="Q94" s="2197"/>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81" t="s">
        <v>2618</v>
      </c>
      <c r="C96" s="2582"/>
      <c r="D96" s="2582"/>
      <c r="E96" s="2582"/>
      <c r="F96" s="2582"/>
      <c r="G96" s="2582"/>
      <c r="H96" s="2582"/>
      <c r="I96" s="2582"/>
      <c r="J96" s="2582"/>
      <c r="K96" s="2582"/>
      <c r="L96" s="2582"/>
      <c r="M96" s="2582"/>
      <c r="N96" s="2582"/>
      <c r="O96" s="2582"/>
      <c r="P96" s="2582"/>
      <c r="Q96" s="2582"/>
      <c r="R96" s="2582"/>
      <c r="S96" s="2582"/>
      <c r="T96" s="2582"/>
      <c r="U96" s="2582"/>
      <c r="V96" s="2582"/>
      <c r="W96" s="2582"/>
      <c r="X96" s="2582"/>
      <c r="Y96" s="2582"/>
      <c r="Z96" s="2582"/>
      <c r="AA96" s="2582"/>
      <c r="AB96" s="2582"/>
      <c r="AC96" s="2582"/>
      <c r="AD96" s="2582"/>
      <c r="AE96" s="2582"/>
      <c r="AF96" s="2582"/>
      <c r="AG96" s="2582"/>
      <c r="AH96" s="2583"/>
      <c r="AI96" s="1209"/>
      <c r="AJ96" s="2185" t="s">
        <v>2617</v>
      </c>
      <c r="AK96" s="2186"/>
      <c r="AL96" s="2186"/>
      <c r="AM96" s="2186"/>
      <c r="AN96" s="2186"/>
      <c r="AO96" s="2186"/>
      <c r="AP96" s="2186"/>
      <c r="AQ96" s="2186"/>
      <c r="AR96" s="2186"/>
      <c r="AS96" s="2186"/>
      <c r="AT96" s="2186"/>
      <c r="AU96" s="2186"/>
      <c r="AV96" s="2186"/>
      <c r="AW96" s="2186"/>
      <c r="AX96" s="2186"/>
      <c r="AY96" s="2207" t="s">
        <v>554</v>
      </c>
      <c r="AZ96" s="2207"/>
      <c r="BA96" s="2207"/>
      <c r="BB96" s="2208"/>
      <c r="BC96" s="1209"/>
      <c r="BD96" s="1209"/>
      <c r="BE96" s="1205"/>
      <c r="BQ96" s="1248" t="str">
        <f>Application!M243</f>
        <v>CSH Edes Avenue I LLC</v>
      </c>
      <c r="BR96" s="1248">
        <f>Application!AH245</f>
        <v>0</v>
      </c>
    </row>
    <row r="97" spans="1:70" ht="15.75" customHeight="1">
      <c r="A97" s="1209"/>
      <c r="B97" s="2177"/>
      <c r="C97" s="2178"/>
      <c r="D97" s="2178"/>
      <c r="E97" s="2178"/>
      <c r="F97" s="2178"/>
      <c r="G97" s="2178"/>
      <c r="H97" s="2178"/>
      <c r="I97" s="2178" t="s">
        <v>1829</v>
      </c>
      <c r="J97" s="2178"/>
      <c r="K97" s="2178"/>
      <c r="L97" s="2178"/>
      <c r="M97" s="2178"/>
      <c r="N97" s="2178"/>
      <c r="O97" s="2178" t="s">
        <v>1830</v>
      </c>
      <c r="P97" s="2178"/>
      <c r="Q97" s="2178"/>
      <c r="R97" s="2178"/>
      <c r="S97" s="2178"/>
      <c r="T97" s="2178"/>
      <c r="U97" s="2178"/>
      <c r="V97" s="2179" t="s">
        <v>2189</v>
      </c>
      <c r="W97" s="2179"/>
      <c r="X97" s="2179"/>
      <c r="Y97" s="2179"/>
      <c r="Z97" s="2179"/>
      <c r="AA97" s="2179"/>
      <c r="AB97" s="2180" t="s">
        <v>1831</v>
      </c>
      <c r="AC97" s="2180"/>
      <c r="AD97" s="2180"/>
      <c r="AE97" s="2180"/>
      <c r="AF97" s="2180"/>
      <c r="AG97" s="2180"/>
      <c r="AH97" s="2181"/>
      <c r="AI97" s="1209"/>
      <c r="AJ97" s="2187"/>
      <c r="AK97" s="2188"/>
      <c r="AL97" s="2188"/>
      <c r="AM97" s="2188"/>
      <c r="AN97" s="2188"/>
      <c r="AO97" s="2188"/>
      <c r="AP97" s="2188"/>
      <c r="AQ97" s="2188"/>
      <c r="AR97" s="2188"/>
      <c r="AS97" s="2188"/>
      <c r="AT97" s="2188"/>
      <c r="AU97" s="2188"/>
      <c r="AV97" s="2188"/>
      <c r="AW97" s="2188"/>
      <c r="AX97" s="2188"/>
      <c r="AY97" s="2209"/>
      <c r="AZ97" s="2209"/>
      <c r="BA97" s="2209"/>
      <c r="BB97" s="2210"/>
      <c r="BC97" s="1209"/>
      <c r="BD97" s="1209"/>
      <c r="BE97" s="1205"/>
      <c r="BQ97" s="1248" t="str">
        <f>Application!M251</f>
        <v>California Supportive Housing</v>
      </c>
      <c r="BR97" s="1248">
        <f>Application!AH253</f>
        <v>0</v>
      </c>
    </row>
    <row r="98" spans="1:70" ht="15.75" customHeight="1">
      <c r="A98" s="1209"/>
      <c r="B98" s="2177"/>
      <c r="C98" s="2178"/>
      <c r="D98" s="2178"/>
      <c r="E98" s="2178"/>
      <c r="F98" s="2178"/>
      <c r="G98" s="2178"/>
      <c r="H98" s="2178"/>
      <c r="I98" s="2178"/>
      <c r="J98" s="2178"/>
      <c r="K98" s="2178"/>
      <c r="L98" s="2178"/>
      <c r="M98" s="2178"/>
      <c r="N98" s="2178"/>
      <c r="O98" s="2178"/>
      <c r="P98" s="2178"/>
      <c r="Q98" s="2178"/>
      <c r="R98" s="2178"/>
      <c r="S98" s="2178"/>
      <c r="T98" s="2178"/>
      <c r="U98" s="2178"/>
      <c r="V98" s="2179"/>
      <c r="W98" s="2179"/>
      <c r="X98" s="2179"/>
      <c r="Y98" s="2179"/>
      <c r="Z98" s="2179"/>
      <c r="AA98" s="2179"/>
      <c r="AB98" s="2180"/>
      <c r="AC98" s="2180"/>
      <c r="AD98" s="2180"/>
      <c r="AE98" s="2180"/>
      <c r="AF98" s="2180"/>
      <c r="AG98" s="2180"/>
      <c r="AH98" s="2181"/>
      <c r="AI98" s="1209"/>
      <c r="AJ98" s="2187"/>
      <c r="AK98" s="2188"/>
      <c r="AL98" s="2188"/>
      <c r="AM98" s="2188"/>
      <c r="AN98" s="2188"/>
      <c r="AO98" s="2188"/>
      <c r="AP98" s="2188"/>
      <c r="AQ98" s="2188"/>
      <c r="AR98" s="2188"/>
      <c r="AS98" s="2188"/>
      <c r="AT98" s="2188"/>
      <c r="AU98" s="2188"/>
      <c r="AV98" s="2188"/>
      <c r="AW98" s="2188"/>
      <c r="AX98" s="2188"/>
      <c r="AY98" s="2209"/>
      <c r="AZ98" s="2209"/>
      <c r="BA98" s="2209"/>
      <c r="BB98" s="2210"/>
      <c r="BC98" s="1209"/>
      <c r="BD98" s="1209"/>
      <c r="BE98" s="1205"/>
      <c r="BQ98" s="1248">
        <f>Application!M259</f>
        <v>0</v>
      </c>
      <c r="BR98" s="1248">
        <f>Application!AH261</f>
        <v>0</v>
      </c>
    </row>
    <row r="99" spans="1:70" ht="15.75" customHeight="1">
      <c r="A99" s="1209"/>
      <c r="B99" s="2177" t="s">
        <v>2172</v>
      </c>
      <c r="C99" s="2178"/>
      <c r="D99" s="2178"/>
      <c r="E99" s="2178"/>
      <c r="F99" s="2178"/>
      <c r="G99" s="2178"/>
      <c r="H99" s="2178"/>
      <c r="I99" s="2175">
        <v>0</v>
      </c>
      <c r="J99" s="2175"/>
      <c r="K99" s="2175"/>
      <c r="L99" s="2175"/>
      <c r="M99" s="2175"/>
      <c r="N99" s="2175"/>
      <c r="O99" s="2175">
        <v>0</v>
      </c>
      <c r="P99" s="2175"/>
      <c r="Q99" s="2175"/>
      <c r="R99" s="2175"/>
      <c r="S99" s="2175"/>
      <c r="T99" s="2175"/>
      <c r="U99" s="2175"/>
      <c r="V99" s="2175">
        <v>0</v>
      </c>
      <c r="W99" s="2175"/>
      <c r="X99" s="2175"/>
      <c r="Y99" s="2175"/>
      <c r="Z99" s="2175"/>
      <c r="AA99" s="2175"/>
      <c r="AB99" s="2175">
        <v>0</v>
      </c>
      <c r="AC99" s="2175"/>
      <c r="AD99" s="2175"/>
      <c r="AE99" s="2175"/>
      <c r="AF99" s="2175"/>
      <c r="AG99" s="2175"/>
      <c r="AH99" s="2176"/>
      <c r="AI99" s="1209"/>
      <c r="AJ99" s="2187"/>
      <c r="AK99" s="2188"/>
      <c r="AL99" s="2188"/>
      <c r="AM99" s="2188"/>
      <c r="AN99" s="2188"/>
      <c r="AO99" s="2188"/>
      <c r="AP99" s="2188"/>
      <c r="AQ99" s="2188"/>
      <c r="AR99" s="2188"/>
      <c r="AS99" s="2188"/>
      <c r="AT99" s="2188"/>
      <c r="AU99" s="2188"/>
      <c r="AV99" s="2188"/>
      <c r="AW99" s="2188"/>
      <c r="AX99" s="2188"/>
      <c r="AY99" s="2209"/>
      <c r="AZ99" s="2209"/>
      <c r="BA99" s="2209"/>
      <c r="BB99" s="2210"/>
      <c r="BC99" s="1209"/>
      <c r="BD99" s="1209"/>
      <c r="BE99" s="1205"/>
    </row>
    <row r="100" spans="1:70" ht="15.75" customHeight="1">
      <c r="A100" s="1209"/>
      <c r="B100" s="2177" t="s">
        <v>2173</v>
      </c>
      <c r="C100" s="2178"/>
      <c r="D100" s="2178"/>
      <c r="E100" s="2178"/>
      <c r="F100" s="2178"/>
      <c r="G100" s="2178"/>
      <c r="H100" s="2178"/>
      <c r="I100" s="2175">
        <v>0</v>
      </c>
      <c r="J100" s="2175"/>
      <c r="K100" s="2175"/>
      <c r="L100" s="2175"/>
      <c r="M100" s="2175"/>
      <c r="N100" s="2175"/>
      <c r="O100" s="2175">
        <v>0</v>
      </c>
      <c r="P100" s="2175"/>
      <c r="Q100" s="2175"/>
      <c r="R100" s="2175"/>
      <c r="S100" s="2175"/>
      <c r="T100" s="2175"/>
      <c r="U100" s="2175"/>
      <c r="V100" s="2175">
        <v>0</v>
      </c>
      <c r="W100" s="2175"/>
      <c r="X100" s="2175"/>
      <c r="Y100" s="2175"/>
      <c r="Z100" s="2175"/>
      <c r="AA100" s="2175"/>
      <c r="AB100" s="2175">
        <v>0</v>
      </c>
      <c r="AC100" s="2175"/>
      <c r="AD100" s="2175"/>
      <c r="AE100" s="2175"/>
      <c r="AF100" s="2175"/>
      <c r="AG100" s="2175"/>
      <c r="AH100" s="2176"/>
      <c r="AI100" s="1209"/>
      <c r="AJ100" s="2189" t="s">
        <v>2488</v>
      </c>
      <c r="AK100" s="2190"/>
      <c r="AL100" s="2190"/>
      <c r="AM100" s="2190"/>
      <c r="AN100" s="2190"/>
      <c r="AO100" s="2190"/>
      <c r="AP100" s="2190"/>
      <c r="AQ100" s="2190"/>
      <c r="AR100" s="2190"/>
      <c r="AS100" s="2190"/>
      <c r="AT100" s="2190"/>
      <c r="AU100" s="2190"/>
      <c r="AV100" s="2190"/>
      <c r="AW100" s="2190"/>
      <c r="AX100" s="2190"/>
      <c r="AY100" s="2190"/>
      <c r="AZ100" s="2190"/>
      <c r="BA100" s="2190"/>
      <c r="BB100" s="2191"/>
      <c r="BC100" s="1209"/>
      <c r="BD100" s="1209"/>
      <c r="BE100" s="1205"/>
    </row>
    <row r="101" spans="1:70" ht="15.75" customHeight="1" thickBot="1">
      <c r="A101" s="1209"/>
      <c r="B101" s="2171" t="s">
        <v>1832</v>
      </c>
      <c r="C101" s="2172"/>
      <c r="D101" s="2172"/>
      <c r="E101" s="2172"/>
      <c r="F101" s="2172"/>
      <c r="G101" s="2172"/>
      <c r="H101" s="2172"/>
      <c r="I101" s="2173">
        <v>0</v>
      </c>
      <c r="J101" s="2173"/>
      <c r="K101" s="2173"/>
      <c r="L101" s="2173"/>
      <c r="M101" s="2173"/>
      <c r="N101" s="2173"/>
      <c r="O101" s="2173">
        <v>0</v>
      </c>
      <c r="P101" s="2173"/>
      <c r="Q101" s="2173"/>
      <c r="R101" s="2173"/>
      <c r="S101" s="2173"/>
      <c r="T101" s="2173"/>
      <c r="U101" s="2173"/>
      <c r="V101" s="2173">
        <v>0</v>
      </c>
      <c r="W101" s="2173"/>
      <c r="X101" s="2173"/>
      <c r="Y101" s="2173"/>
      <c r="Z101" s="2173"/>
      <c r="AA101" s="2173"/>
      <c r="AB101" s="2173">
        <v>0</v>
      </c>
      <c r="AC101" s="2173"/>
      <c r="AD101" s="2173"/>
      <c r="AE101" s="2173"/>
      <c r="AF101" s="2173"/>
      <c r="AG101" s="2173"/>
      <c r="AH101" s="2174"/>
      <c r="AI101" s="1209"/>
      <c r="AJ101" s="2192"/>
      <c r="AK101" s="2193"/>
      <c r="AL101" s="2193"/>
      <c r="AM101" s="2193"/>
      <c r="AN101" s="2193"/>
      <c r="AO101" s="2193"/>
      <c r="AP101" s="2193"/>
      <c r="AQ101" s="2193"/>
      <c r="AR101" s="2193"/>
      <c r="AS101" s="2193"/>
      <c r="AT101" s="2193"/>
      <c r="AU101" s="2193"/>
      <c r="AV101" s="2193"/>
      <c r="AW101" s="2193"/>
      <c r="AX101" s="2193"/>
      <c r="AY101" s="2193"/>
      <c r="AZ101" s="2193"/>
      <c r="BA101" s="2193"/>
      <c r="BB101" s="2194"/>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2616</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1863</v>
      </c>
      <c r="C104" s="1237"/>
      <c r="D104" s="1236"/>
      <c r="E104" s="1235"/>
      <c r="F104" s="2201"/>
      <c r="G104" s="2202"/>
      <c r="H104" s="2202"/>
      <c r="I104" s="2202"/>
      <c r="J104" s="2202"/>
      <c r="K104" s="2202"/>
      <c r="L104" s="2202"/>
      <c r="M104" s="2202"/>
      <c r="N104" s="2202"/>
      <c r="O104" s="2202"/>
      <c r="P104" s="2202"/>
      <c r="Q104" s="2202"/>
      <c r="R104" s="2203"/>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2615</v>
      </c>
      <c r="C105" s="1243"/>
      <c r="D105" s="1242"/>
      <c r="E105" s="1242"/>
      <c r="F105" s="1242"/>
      <c r="G105" s="1242"/>
      <c r="H105" s="1242"/>
      <c r="I105" s="1242"/>
      <c r="J105" s="1242"/>
      <c r="K105" s="1242"/>
      <c r="L105" s="1241"/>
      <c r="M105" s="1242"/>
      <c r="N105" s="1241"/>
      <c r="O105" s="2195" t="e">
        <f>BR98/SUM(BR96:BR98)</f>
        <v>#DIV/0!</v>
      </c>
      <c r="P105" s="2196"/>
      <c r="Q105" s="2196"/>
      <c r="R105" s="2197"/>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82" t="s">
        <v>2614</v>
      </c>
      <c r="C107" s="2183"/>
      <c r="D107" s="2183"/>
      <c r="E107" s="2183"/>
      <c r="F107" s="2183"/>
      <c r="G107" s="2183"/>
      <c r="H107" s="2183"/>
      <c r="I107" s="2183"/>
      <c r="J107" s="2183"/>
      <c r="K107" s="2183"/>
      <c r="L107" s="2183"/>
      <c r="M107" s="2183"/>
      <c r="N107" s="2183"/>
      <c r="O107" s="2183"/>
      <c r="P107" s="2183"/>
      <c r="Q107" s="2183"/>
      <c r="R107" s="2183"/>
      <c r="S107" s="2183"/>
      <c r="T107" s="2183"/>
      <c r="U107" s="2183"/>
      <c r="V107" s="2183"/>
      <c r="W107" s="2183"/>
      <c r="X107" s="2183"/>
      <c r="Y107" s="2183"/>
      <c r="Z107" s="2183"/>
      <c r="AA107" s="2183"/>
      <c r="AB107" s="2183"/>
      <c r="AC107" s="2183"/>
      <c r="AD107" s="2183"/>
      <c r="AE107" s="2183"/>
      <c r="AF107" s="2183"/>
      <c r="AG107" s="2183"/>
      <c r="AH107" s="2184"/>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77"/>
      <c r="C108" s="2178"/>
      <c r="D108" s="2178"/>
      <c r="E108" s="2178"/>
      <c r="F108" s="2178"/>
      <c r="G108" s="2178"/>
      <c r="H108" s="2178"/>
      <c r="I108" s="2178" t="s">
        <v>1829</v>
      </c>
      <c r="J108" s="2178"/>
      <c r="K108" s="2178"/>
      <c r="L108" s="2178"/>
      <c r="M108" s="2178"/>
      <c r="N108" s="2178"/>
      <c r="O108" s="2178" t="s">
        <v>1830</v>
      </c>
      <c r="P108" s="2178"/>
      <c r="Q108" s="2178"/>
      <c r="R108" s="2178"/>
      <c r="S108" s="2178"/>
      <c r="T108" s="2178"/>
      <c r="U108" s="2178"/>
      <c r="V108" s="2179" t="s">
        <v>2189</v>
      </c>
      <c r="W108" s="2179"/>
      <c r="X108" s="2179"/>
      <c r="Y108" s="2179"/>
      <c r="Z108" s="2179"/>
      <c r="AA108" s="2179"/>
      <c r="AB108" s="2180" t="s">
        <v>1831</v>
      </c>
      <c r="AC108" s="2180"/>
      <c r="AD108" s="2180"/>
      <c r="AE108" s="2180"/>
      <c r="AF108" s="2180"/>
      <c r="AG108" s="2180"/>
      <c r="AH108" s="2181"/>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77"/>
      <c r="C109" s="2178"/>
      <c r="D109" s="2178"/>
      <c r="E109" s="2178"/>
      <c r="F109" s="2178"/>
      <c r="G109" s="2178"/>
      <c r="H109" s="2178"/>
      <c r="I109" s="2178"/>
      <c r="J109" s="2178"/>
      <c r="K109" s="2178"/>
      <c r="L109" s="2178"/>
      <c r="M109" s="2178"/>
      <c r="N109" s="2178"/>
      <c r="O109" s="2178"/>
      <c r="P109" s="2178"/>
      <c r="Q109" s="2178"/>
      <c r="R109" s="2178"/>
      <c r="S109" s="2178"/>
      <c r="T109" s="2178"/>
      <c r="U109" s="2178"/>
      <c r="V109" s="2179"/>
      <c r="W109" s="2179"/>
      <c r="X109" s="2179"/>
      <c r="Y109" s="2179"/>
      <c r="Z109" s="2179"/>
      <c r="AA109" s="2179"/>
      <c r="AB109" s="2180"/>
      <c r="AC109" s="2180"/>
      <c r="AD109" s="2180"/>
      <c r="AE109" s="2180"/>
      <c r="AF109" s="2180"/>
      <c r="AG109" s="2180"/>
      <c r="AH109" s="2181"/>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77" t="s">
        <v>2172</v>
      </c>
      <c r="C110" s="2178"/>
      <c r="D110" s="2178"/>
      <c r="E110" s="2178"/>
      <c r="F110" s="2178"/>
      <c r="G110" s="2178"/>
      <c r="H110" s="2178"/>
      <c r="I110" s="2175">
        <v>0</v>
      </c>
      <c r="J110" s="2175"/>
      <c r="K110" s="2175"/>
      <c r="L110" s="2175"/>
      <c r="M110" s="2175"/>
      <c r="N110" s="2175"/>
      <c r="O110" s="2175">
        <v>0</v>
      </c>
      <c r="P110" s="2175"/>
      <c r="Q110" s="2175"/>
      <c r="R110" s="2175"/>
      <c r="S110" s="2175"/>
      <c r="T110" s="2175"/>
      <c r="U110" s="2175"/>
      <c r="V110" s="2175">
        <v>0</v>
      </c>
      <c r="W110" s="2175"/>
      <c r="X110" s="2175"/>
      <c r="Y110" s="2175"/>
      <c r="Z110" s="2175"/>
      <c r="AA110" s="2175"/>
      <c r="AB110" s="2175">
        <v>0</v>
      </c>
      <c r="AC110" s="2175"/>
      <c r="AD110" s="2175"/>
      <c r="AE110" s="2175"/>
      <c r="AF110" s="2175"/>
      <c r="AG110" s="2175"/>
      <c r="AH110" s="2176"/>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77" t="s">
        <v>2173</v>
      </c>
      <c r="C111" s="2178"/>
      <c r="D111" s="2178"/>
      <c r="E111" s="2178"/>
      <c r="F111" s="2178"/>
      <c r="G111" s="2178"/>
      <c r="H111" s="2178"/>
      <c r="I111" s="2175">
        <v>0</v>
      </c>
      <c r="J111" s="2175"/>
      <c r="K111" s="2175"/>
      <c r="L111" s="2175"/>
      <c r="M111" s="2175"/>
      <c r="N111" s="2175"/>
      <c r="O111" s="2175">
        <v>0</v>
      </c>
      <c r="P111" s="2175"/>
      <c r="Q111" s="2175"/>
      <c r="R111" s="2175"/>
      <c r="S111" s="2175"/>
      <c r="T111" s="2175"/>
      <c r="U111" s="2175"/>
      <c r="V111" s="2175">
        <v>0</v>
      </c>
      <c r="W111" s="2175"/>
      <c r="X111" s="2175"/>
      <c r="Y111" s="2175"/>
      <c r="Z111" s="2175"/>
      <c r="AA111" s="2175"/>
      <c r="AB111" s="2175">
        <v>0</v>
      </c>
      <c r="AC111" s="2175"/>
      <c r="AD111" s="2175"/>
      <c r="AE111" s="2175"/>
      <c r="AF111" s="2175"/>
      <c r="AG111" s="2175"/>
      <c r="AH111" s="2176"/>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71" t="s">
        <v>1832</v>
      </c>
      <c r="C112" s="2172"/>
      <c r="D112" s="2172"/>
      <c r="E112" s="2172"/>
      <c r="F112" s="2172"/>
      <c r="G112" s="2172"/>
      <c r="H112" s="2172"/>
      <c r="I112" s="2173">
        <v>0</v>
      </c>
      <c r="J112" s="2173"/>
      <c r="K112" s="2173"/>
      <c r="L112" s="2173"/>
      <c r="M112" s="2173"/>
      <c r="N112" s="2173"/>
      <c r="O112" s="2173">
        <v>0</v>
      </c>
      <c r="P112" s="2173"/>
      <c r="Q112" s="2173"/>
      <c r="R112" s="2173"/>
      <c r="S112" s="2173"/>
      <c r="T112" s="2173"/>
      <c r="U112" s="2173"/>
      <c r="V112" s="2173">
        <v>0</v>
      </c>
      <c r="W112" s="2173"/>
      <c r="X112" s="2173"/>
      <c r="Y112" s="2173"/>
      <c r="Z112" s="2173"/>
      <c r="AA112" s="2173"/>
      <c r="AB112" s="2173">
        <v>0</v>
      </c>
      <c r="AC112" s="2173"/>
      <c r="AD112" s="2173"/>
      <c r="AE112" s="2173"/>
      <c r="AF112" s="2173"/>
      <c r="AG112" s="2173"/>
      <c r="AH112" s="2174"/>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2613</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1863</v>
      </c>
      <c r="C115" s="1237"/>
      <c r="D115" s="1236"/>
      <c r="E115" s="1235"/>
      <c r="F115" s="2201"/>
      <c r="G115" s="2202"/>
      <c r="H115" s="2202"/>
      <c r="I115" s="2202"/>
      <c r="J115" s="2202"/>
      <c r="K115" s="2202"/>
      <c r="L115" s="2202"/>
      <c r="M115" s="2202"/>
      <c r="N115" s="2202"/>
      <c r="O115" s="2202"/>
      <c r="P115" s="2202"/>
      <c r="Q115" s="2202"/>
      <c r="R115" s="2203"/>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85" t="s">
        <v>2489</v>
      </c>
      <c r="C117" s="2186"/>
      <c r="D117" s="2186"/>
      <c r="E117" s="2186"/>
      <c r="F117" s="2186"/>
      <c r="G117" s="2186"/>
      <c r="H117" s="2186"/>
      <c r="I117" s="2186"/>
      <c r="J117" s="2186"/>
      <c r="K117" s="2186"/>
      <c r="L117" s="2186"/>
      <c r="M117" s="2186"/>
      <c r="N117" s="2186"/>
      <c r="O117" s="2186"/>
      <c r="P117" s="2186"/>
      <c r="Q117" s="2207" t="s">
        <v>554</v>
      </c>
      <c r="R117" s="2207"/>
      <c r="S117" s="2207"/>
      <c r="T117" s="2208"/>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87"/>
      <c r="C118" s="2188"/>
      <c r="D118" s="2188"/>
      <c r="E118" s="2188"/>
      <c r="F118" s="2188"/>
      <c r="G118" s="2188"/>
      <c r="H118" s="2188"/>
      <c r="I118" s="2188"/>
      <c r="J118" s="2188"/>
      <c r="K118" s="2188"/>
      <c r="L118" s="2188"/>
      <c r="M118" s="2188"/>
      <c r="N118" s="2188"/>
      <c r="O118" s="2188"/>
      <c r="P118" s="2188"/>
      <c r="Q118" s="2209"/>
      <c r="R118" s="2209"/>
      <c r="S118" s="2209"/>
      <c r="T118" s="2210"/>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87"/>
      <c r="C119" s="2188"/>
      <c r="D119" s="2188"/>
      <c r="E119" s="2188"/>
      <c r="F119" s="2188"/>
      <c r="G119" s="2188"/>
      <c r="H119" s="2188"/>
      <c r="I119" s="2188"/>
      <c r="J119" s="2188"/>
      <c r="K119" s="2188"/>
      <c r="L119" s="2188"/>
      <c r="M119" s="2188"/>
      <c r="N119" s="2188"/>
      <c r="O119" s="2188"/>
      <c r="P119" s="2188"/>
      <c r="Q119" s="2209"/>
      <c r="R119" s="2209"/>
      <c r="S119" s="2209"/>
      <c r="T119" s="2210"/>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87"/>
      <c r="C120" s="2188"/>
      <c r="D120" s="2188"/>
      <c r="E120" s="2188"/>
      <c r="F120" s="2188"/>
      <c r="G120" s="2188"/>
      <c r="H120" s="2188"/>
      <c r="I120" s="2188"/>
      <c r="J120" s="2188"/>
      <c r="K120" s="2188"/>
      <c r="L120" s="2188"/>
      <c r="M120" s="2188"/>
      <c r="N120" s="2188"/>
      <c r="O120" s="2188"/>
      <c r="P120" s="2188"/>
      <c r="Q120" s="2209"/>
      <c r="R120" s="2209"/>
      <c r="S120" s="2209"/>
      <c r="T120" s="2210"/>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89" t="s">
        <v>2190</v>
      </c>
      <c r="C121" s="2190"/>
      <c r="D121" s="2190"/>
      <c r="E121" s="2190"/>
      <c r="F121" s="2190"/>
      <c r="G121" s="2190"/>
      <c r="H121" s="2190"/>
      <c r="I121" s="2190"/>
      <c r="J121" s="2190"/>
      <c r="K121" s="2190"/>
      <c r="L121" s="2190"/>
      <c r="M121" s="2190"/>
      <c r="N121" s="2190"/>
      <c r="O121" s="2190"/>
      <c r="P121" s="2190"/>
      <c r="Q121" s="2190"/>
      <c r="R121" s="2190"/>
      <c r="S121" s="2190"/>
      <c r="T121" s="2191"/>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92"/>
      <c r="C122" s="2193"/>
      <c r="D122" s="2193"/>
      <c r="E122" s="2193"/>
      <c r="F122" s="2193"/>
      <c r="G122" s="2193"/>
      <c r="H122" s="2193"/>
      <c r="I122" s="2193"/>
      <c r="J122" s="2193"/>
      <c r="K122" s="2193"/>
      <c r="L122" s="2193"/>
      <c r="M122" s="2193"/>
      <c r="N122" s="2193"/>
      <c r="O122" s="2193"/>
      <c r="P122" s="2193"/>
      <c r="Q122" s="2193"/>
      <c r="R122" s="2193"/>
      <c r="S122" s="2193"/>
      <c r="T122" s="2194"/>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1833</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85" t="s">
        <v>2174</v>
      </c>
      <c r="Y125" s="2186"/>
      <c r="Z125" s="2186"/>
      <c r="AA125" s="2186"/>
      <c r="AB125" s="2186"/>
      <c r="AC125" s="2186"/>
      <c r="AD125" s="2186"/>
      <c r="AE125" s="2186"/>
      <c r="AF125" s="2186"/>
      <c r="AG125" s="2186"/>
      <c r="AH125" s="2186"/>
      <c r="AI125" s="2186"/>
      <c r="AJ125" s="2186"/>
      <c r="AK125" s="2186"/>
      <c r="AL125" s="2186"/>
      <c r="AM125" s="2186"/>
      <c r="AN125" s="2186"/>
      <c r="AO125" s="2186"/>
      <c r="AP125" s="2186"/>
      <c r="AQ125" s="2186"/>
      <c r="AR125" s="2186"/>
      <c r="AS125" s="2186"/>
      <c r="AT125" s="2186"/>
      <c r="AU125" s="2186"/>
      <c r="AV125" s="2186"/>
      <c r="AW125" s="2186"/>
      <c r="AX125" s="2186"/>
      <c r="AY125" s="2186"/>
      <c r="AZ125" s="2186"/>
      <c r="BA125" s="2186"/>
      <c r="BB125" s="2186"/>
      <c r="BC125" s="2186"/>
      <c r="BD125" s="2433"/>
      <c r="BE125" s="1205"/>
    </row>
    <row r="126" spans="1:57" ht="15.75" customHeight="1">
      <c r="A126" s="1209"/>
      <c r="B126" s="2435" t="s">
        <v>1689</v>
      </c>
      <c r="C126" s="2436"/>
      <c r="D126" s="2436"/>
      <c r="E126" s="2436"/>
      <c r="F126" s="2436"/>
      <c r="G126" s="2436"/>
      <c r="H126" s="2436"/>
      <c r="I126" s="2436"/>
      <c r="J126" s="2436"/>
      <c r="K126" s="2436"/>
      <c r="L126" s="2436"/>
      <c r="M126" s="2436"/>
      <c r="N126" s="2436"/>
      <c r="O126" s="2436"/>
      <c r="P126" s="2436"/>
      <c r="Q126" s="2436"/>
      <c r="R126" s="2436"/>
      <c r="S126" s="2436"/>
      <c r="T126" s="2436"/>
      <c r="U126" s="2437"/>
      <c r="V126" s="1209"/>
      <c r="W126" s="1209"/>
      <c r="X126" s="2187"/>
      <c r="Y126" s="2188"/>
      <c r="Z126" s="2188"/>
      <c r="AA126" s="2188"/>
      <c r="AB126" s="2188"/>
      <c r="AC126" s="2188"/>
      <c r="AD126" s="2188"/>
      <c r="AE126" s="2188"/>
      <c r="AF126" s="2188"/>
      <c r="AG126" s="2188"/>
      <c r="AH126" s="2188"/>
      <c r="AI126" s="2188"/>
      <c r="AJ126" s="2188"/>
      <c r="AK126" s="2188"/>
      <c r="AL126" s="2188"/>
      <c r="AM126" s="2188"/>
      <c r="AN126" s="2188"/>
      <c r="AO126" s="2188"/>
      <c r="AP126" s="2188"/>
      <c r="AQ126" s="2188"/>
      <c r="AR126" s="2188"/>
      <c r="AS126" s="2188"/>
      <c r="AT126" s="2188"/>
      <c r="AU126" s="2188"/>
      <c r="AV126" s="2188"/>
      <c r="AW126" s="2188"/>
      <c r="AX126" s="2188"/>
      <c r="AY126" s="2188"/>
      <c r="AZ126" s="2188"/>
      <c r="BA126" s="2188"/>
      <c r="BB126" s="2188"/>
      <c r="BC126" s="2188"/>
      <c r="BD126" s="2434"/>
      <c r="BE126" s="1205"/>
    </row>
    <row r="127" spans="1:57" ht="15.75" customHeight="1">
      <c r="A127" s="1209"/>
      <c r="B127" s="2398"/>
      <c r="C127" s="2399"/>
      <c r="D127" s="2399"/>
      <c r="E127" s="2399"/>
      <c r="F127" s="2399"/>
      <c r="G127" s="2399"/>
      <c r="H127" s="2399"/>
      <c r="I127" s="2178" t="s">
        <v>2175</v>
      </c>
      <c r="J127" s="2178"/>
      <c r="K127" s="2178"/>
      <c r="L127" s="2178"/>
      <c r="M127" s="2178"/>
      <c r="N127" s="2178"/>
      <c r="O127" s="2438" t="s">
        <v>2176</v>
      </c>
      <c r="P127" s="2438"/>
      <c r="Q127" s="2438"/>
      <c r="R127" s="2438"/>
      <c r="S127" s="2438"/>
      <c r="T127" s="2438"/>
      <c r="U127" s="2439"/>
      <c r="V127" s="1209"/>
      <c r="W127" s="1209"/>
      <c r="X127" s="2401" t="s">
        <v>2188</v>
      </c>
      <c r="Y127" s="2402"/>
      <c r="Z127" s="2402"/>
      <c r="AA127" s="2402"/>
      <c r="AB127" s="2402"/>
      <c r="AC127" s="2402"/>
      <c r="AD127" s="2402"/>
      <c r="AE127" s="2402"/>
      <c r="AF127" s="2402"/>
      <c r="AG127" s="2402"/>
      <c r="AH127" s="2402"/>
      <c r="AI127" s="2402"/>
      <c r="AJ127" s="2402"/>
      <c r="AK127" s="2402"/>
      <c r="AL127" s="2402"/>
      <c r="AM127" s="2402"/>
      <c r="AN127" s="2402"/>
      <c r="AO127" s="2402"/>
      <c r="AP127" s="2402"/>
      <c r="AQ127" s="2402"/>
      <c r="AR127" s="2402"/>
      <c r="AS127" s="2402"/>
      <c r="AT127" s="2402"/>
      <c r="AU127" s="2402"/>
      <c r="AV127" s="2402"/>
      <c r="AW127" s="2402"/>
      <c r="AX127" s="2402"/>
      <c r="AY127" s="2402"/>
      <c r="AZ127" s="2402"/>
      <c r="BA127" s="2402"/>
      <c r="BB127" s="2402"/>
      <c r="BC127" s="2402"/>
      <c r="BD127" s="2403"/>
      <c r="BE127" s="1205"/>
    </row>
    <row r="128" spans="1:57" ht="15.75" customHeight="1">
      <c r="A128" s="1209"/>
      <c r="B128" s="2415" t="s">
        <v>2177</v>
      </c>
      <c r="C128" s="2416"/>
      <c r="D128" s="2416"/>
      <c r="E128" s="2416"/>
      <c r="F128" s="2416"/>
      <c r="G128" s="2416"/>
      <c r="H128" s="2416"/>
      <c r="I128" s="2175">
        <v>0</v>
      </c>
      <c r="J128" s="2175"/>
      <c r="K128" s="2175"/>
      <c r="L128" s="2175"/>
      <c r="M128" s="2175"/>
      <c r="N128" s="2175"/>
      <c r="O128" s="2175">
        <v>0</v>
      </c>
      <c r="P128" s="2175"/>
      <c r="Q128" s="2175"/>
      <c r="R128" s="2175"/>
      <c r="S128" s="2175"/>
      <c r="T128" s="2175"/>
      <c r="U128" s="2176"/>
      <c r="V128" s="1209"/>
      <c r="W128" s="1209"/>
      <c r="X128" s="2401"/>
      <c r="Y128" s="2402"/>
      <c r="Z128" s="2402"/>
      <c r="AA128" s="2402"/>
      <c r="AB128" s="2402"/>
      <c r="AC128" s="2402"/>
      <c r="AD128" s="2402"/>
      <c r="AE128" s="2402"/>
      <c r="AF128" s="2402"/>
      <c r="AG128" s="2402"/>
      <c r="AH128" s="2402"/>
      <c r="AI128" s="2402"/>
      <c r="AJ128" s="2402"/>
      <c r="AK128" s="2402"/>
      <c r="AL128" s="2402"/>
      <c r="AM128" s="2402"/>
      <c r="AN128" s="2402"/>
      <c r="AO128" s="2402"/>
      <c r="AP128" s="2402"/>
      <c r="AQ128" s="2402"/>
      <c r="AR128" s="2402"/>
      <c r="AS128" s="2402"/>
      <c r="AT128" s="2402"/>
      <c r="AU128" s="2402"/>
      <c r="AV128" s="2402"/>
      <c r="AW128" s="2402"/>
      <c r="AX128" s="2402"/>
      <c r="AY128" s="2402"/>
      <c r="AZ128" s="2402"/>
      <c r="BA128" s="2402"/>
      <c r="BB128" s="2402"/>
      <c r="BC128" s="2402"/>
      <c r="BD128" s="2403"/>
      <c r="BE128" s="1205"/>
    </row>
    <row r="129" spans="1:57" ht="15.75" customHeight="1" thickBot="1">
      <c r="A129" s="1209"/>
      <c r="B129" s="2417" t="s">
        <v>2178</v>
      </c>
      <c r="C129" s="2418"/>
      <c r="D129" s="2418"/>
      <c r="E129" s="2418"/>
      <c r="F129" s="2418"/>
      <c r="G129" s="2418"/>
      <c r="H129" s="2418"/>
      <c r="I129" s="2173">
        <v>0</v>
      </c>
      <c r="J129" s="2173"/>
      <c r="K129" s="2173"/>
      <c r="L129" s="2173"/>
      <c r="M129" s="2173"/>
      <c r="N129" s="2173"/>
      <c r="O129" s="2440"/>
      <c r="P129" s="2440"/>
      <c r="Q129" s="2440"/>
      <c r="R129" s="2440"/>
      <c r="S129" s="2440"/>
      <c r="T129" s="2440"/>
      <c r="U129" s="2441"/>
      <c r="V129" s="1209"/>
      <c r="W129" s="1209"/>
      <c r="X129" s="2401"/>
      <c r="Y129" s="2402"/>
      <c r="Z129" s="2402"/>
      <c r="AA129" s="2402"/>
      <c r="AB129" s="2402"/>
      <c r="AC129" s="2402"/>
      <c r="AD129" s="2402"/>
      <c r="AE129" s="2402"/>
      <c r="AF129" s="2402"/>
      <c r="AG129" s="2402"/>
      <c r="AH129" s="2402"/>
      <c r="AI129" s="2402"/>
      <c r="AJ129" s="2402"/>
      <c r="AK129" s="2402"/>
      <c r="AL129" s="2402"/>
      <c r="AM129" s="2402"/>
      <c r="AN129" s="2402"/>
      <c r="AO129" s="2402"/>
      <c r="AP129" s="2402"/>
      <c r="AQ129" s="2402"/>
      <c r="AR129" s="2402"/>
      <c r="AS129" s="2402"/>
      <c r="AT129" s="2402"/>
      <c r="AU129" s="2402"/>
      <c r="AV129" s="2402"/>
      <c r="AW129" s="2402"/>
      <c r="AX129" s="2402"/>
      <c r="AY129" s="2402"/>
      <c r="AZ129" s="2402"/>
      <c r="BA129" s="2402"/>
      <c r="BB129" s="2402"/>
      <c r="BC129" s="2402"/>
      <c r="BD129" s="2403"/>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01"/>
      <c r="Y130" s="2402"/>
      <c r="Z130" s="2402"/>
      <c r="AA130" s="2402"/>
      <c r="AB130" s="2402"/>
      <c r="AC130" s="2402"/>
      <c r="AD130" s="2402"/>
      <c r="AE130" s="2402"/>
      <c r="AF130" s="2402"/>
      <c r="AG130" s="2402"/>
      <c r="AH130" s="2402"/>
      <c r="AI130" s="2402"/>
      <c r="AJ130" s="2402"/>
      <c r="AK130" s="2402"/>
      <c r="AL130" s="2402"/>
      <c r="AM130" s="2402"/>
      <c r="AN130" s="2402"/>
      <c r="AO130" s="2402"/>
      <c r="AP130" s="2402"/>
      <c r="AQ130" s="2402"/>
      <c r="AR130" s="2402"/>
      <c r="AS130" s="2402"/>
      <c r="AT130" s="2402"/>
      <c r="AU130" s="2402"/>
      <c r="AV130" s="2402"/>
      <c r="AW130" s="2402"/>
      <c r="AX130" s="2402"/>
      <c r="AY130" s="2402"/>
      <c r="AZ130" s="2402"/>
      <c r="BA130" s="2402"/>
      <c r="BB130" s="2402"/>
      <c r="BC130" s="2402"/>
      <c r="BD130" s="2403"/>
      <c r="BE130" s="1205"/>
    </row>
    <row r="131" spans="1:57" ht="15.75" customHeight="1" thickBot="1">
      <c r="A131" s="1209"/>
      <c r="B131" s="1231" t="s">
        <v>1834</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401"/>
      <c r="Y131" s="2402"/>
      <c r="Z131" s="2402"/>
      <c r="AA131" s="2402"/>
      <c r="AB131" s="2402"/>
      <c r="AC131" s="2402"/>
      <c r="AD131" s="2402"/>
      <c r="AE131" s="2402"/>
      <c r="AF131" s="2402"/>
      <c r="AG131" s="2402"/>
      <c r="AH131" s="2402"/>
      <c r="AI131" s="2402"/>
      <c r="AJ131" s="2402"/>
      <c r="AK131" s="2402"/>
      <c r="AL131" s="2402"/>
      <c r="AM131" s="2402"/>
      <c r="AN131" s="2402"/>
      <c r="AO131" s="2402"/>
      <c r="AP131" s="2402"/>
      <c r="AQ131" s="2402"/>
      <c r="AR131" s="2402"/>
      <c r="AS131" s="2402"/>
      <c r="AT131" s="2402"/>
      <c r="AU131" s="2402"/>
      <c r="AV131" s="2402"/>
      <c r="AW131" s="2402"/>
      <c r="AX131" s="2402"/>
      <c r="AY131" s="2402"/>
      <c r="AZ131" s="2402"/>
      <c r="BA131" s="2402"/>
      <c r="BB131" s="2402"/>
      <c r="BC131" s="2402"/>
      <c r="BD131" s="2403"/>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01"/>
      <c r="Y132" s="2402"/>
      <c r="Z132" s="2402"/>
      <c r="AA132" s="2402"/>
      <c r="AB132" s="2402"/>
      <c r="AC132" s="2402"/>
      <c r="AD132" s="2402"/>
      <c r="AE132" s="2402"/>
      <c r="AF132" s="2402"/>
      <c r="AG132" s="2402"/>
      <c r="AH132" s="2402"/>
      <c r="AI132" s="2402"/>
      <c r="AJ132" s="2402"/>
      <c r="AK132" s="2402"/>
      <c r="AL132" s="2402"/>
      <c r="AM132" s="2402"/>
      <c r="AN132" s="2402"/>
      <c r="AO132" s="2402"/>
      <c r="AP132" s="2402"/>
      <c r="AQ132" s="2402"/>
      <c r="AR132" s="2402"/>
      <c r="AS132" s="2402"/>
      <c r="AT132" s="2402"/>
      <c r="AU132" s="2402"/>
      <c r="AV132" s="2402"/>
      <c r="AW132" s="2402"/>
      <c r="AX132" s="2402"/>
      <c r="AY132" s="2402"/>
      <c r="AZ132" s="2402"/>
      <c r="BA132" s="2402"/>
      <c r="BB132" s="2402"/>
      <c r="BC132" s="2402"/>
      <c r="BD132" s="2403"/>
      <c r="BE132" s="1205"/>
    </row>
    <row r="133" spans="1:57" ht="15.75" customHeight="1">
      <c r="A133" s="1209"/>
      <c r="B133" s="2430" t="s">
        <v>1835</v>
      </c>
      <c r="C133" s="2431"/>
      <c r="D133" s="2431"/>
      <c r="E133" s="2431"/>
      <c r="F133" s="2431"/>
      <c r="G133" s="2431"/>
      <c r="H133" s="2431"/>
      <c r="I133" s="2431"/>
      <c r="J133" s="2431"/>
      <c r="K133" s="2431"/>
      <c r="L133" s="2431"/>
      <c r="M133" s="2431"/>
      <c r="N133" s="2431"/>
      <c r="O133" s="2431"/>
      <c r="P133" s="2431"/>
      <c r="Q133" s="2431"/>
      <c r="R133" s="2431"/>
      <c r="S133" s="2431"/>
      <c r="T133" s="2431"/>
      <c r="U133" s="2432"/>
      <c r="V133" s="1209"/>
      <c r="W133" s="1209"/>
      <c r="X133" s="2401"/>
      <c r="Y133" s="2402"/>
      <c r="Z133" s="2402"/>
      <c r="AA133" s="2402"/>
      <c r="AB133" s="2402"/>
      <c r="AC133" s="2402"/>
      <c r="AD133" s="2402"/>
      <c r="AE133" s="2402"/>
      <c r="AF133" s="2402"/>
      <c r="AG133" s="2402"/>
      <c r="AH133" s="2402"/>
      <c r="AI133" s="2402"/>
      <c r="AJ133" s="2402"/>
      <c r="AK133" s="2402"/>
      <c r="AL133" s="2402"/>
      <c r="AM133" s="2402"/>
      <c r="AN133" s="2402"/>
      <c r="AO133" s="2402"/>
      <c r="AP133" s="2402"/>
      <c r="AQ133" s="2402"/>
      <c r="AR133" s="2402"/>
      <c r="AS133" s="2402"/>
      <c r="AT133" s="2402"/>
      <c r="AU133" s="2402"/>
      <c r="AV133" s="2402"/>
      <c r="AW133" s="2402"/>
      <c r="AX133" s="2402"/>
      <c r="AY133" s="2402"/>
      <c r="AZ133" s="2402"/>
      <c r="BA133" s="2402"/>
      <c r="BB133" s="2402"/>
      <c r="BC133" s="2402"/>
      <c r="BD133" s="2403"/>
      <c r="BE133" s="1205"/>
    </row>
    <row r="134" spans="1:57" ht="15.75" customHeight="1">
      <c r="A134" s="1209"/>
      <c r="B134" s="2398"/>
      <c r="C134" s="2399"/>
      <c r="D134" s="2399"/>
      <c r="E134" s="2399"/>
      <c r="F134" s="2399"/>
      <c r="G134" s="2399"/>
      <c r="H134" s="2399"/>
      <c r="I134" s="2413" t="s">
        <v>1830</v>
      </c>
      <c r="J134" s="2413"/>
      <c r="K134" s="2413"/>
      <c r="L134" s="2413"/>
      <c r="M134" s="2413"/>
      <c r="N134" s="2413"/>
      <c r="O134" s="2413"/>
      <c r="P134" s="2413" t="s">
        <v>2189</v>
      </c>
      <c r="Q134" s="2413"/>
      <c r="R134" s="2413"/>
      <c r="S134" s="2413"/>
      <c r="T134" s="2413"/>
      <c r="U134" s="2414"/>
      <c r="V134" s="1209"/>
      <c r="W134" s="1209"/>
      <c r="X134" s="2401"/>
      <c r="Y134" s="2402"/>
      <c r="Z134" s="2402"/>
      <c r="AA134" s="2402"/>
      <c r="AB134" s="2402"/>
      <c r="AC134" s="2402"/>
      <c r="AD134" s="2402"/>
      <c r="AE134" s="2402"/>
      <c r="AF134" s="2402"/>
      <c r="AG134" s="2402"/>
      <c r="AH134" s="2402"/>
      <c r="AI134" s="2402"/>
      <c r="AJ134" s="2402"/>
      <c r="AK134" s="2402"/>
      <c r="AL134" s="2402"/>
      <c r="AM134" s="2402"/>
      <c r="AN134" s="2402"/>
      <c r="AO134" s="2402"/>
      <c r="AP134" s="2402"/>
      <c r="AQ134" s="2402"/>
      <c r="AR134" s="2402"/>
      <c r="AS134" s="2402"/>
      <c r="AT134" s="2402"/>
      <c r="AU134" s="2402"/>
      <c r="AV134" s="2402"/>
      <c r="AW134" s="2402"/>
      <c r="AX134" s="2402"/>
      <c r="AY134" s="2402"/>
      <c r="AZ134" s="2402"/>
      <c r="BA134" s="2402"/>
      <c r="BB134" s="2402"/>
      <c r="BC134" s="2402"/>
      <c r="BD134" s="2403"/>
      <c r="BE134" s="1205"/>
    </row>
    <row r="135" spans="1:57" ht="15.75" customHeight="1">
      <c r="A135" s="1209"/>
      <c r="B135" s="2398"/>
      <c r="C135" s="2399"/>
      <c r="D135" s="2399"/>
      <c r="E135" s="2399"/>
      <c r="F135" s="2399"/>
      <c r="G135" s="2399"/>
      <c r="H135" s="2399"/>
      <c r="I135" s="2413"/>
      <c r="J135" s="2413"/>
      <c r="K135" s="2413"/>
      <c r="L135" s="2413"/>
      <c r="M135" s="2413"/>
      <c r="N135" s="2413"/>
      <c r="O135" s="2413"/>
      <c r="P135" s="2413"/>
      <c r="Q135" s="2413"/>
      <c r="R135" s="2413"/>
      <c r="S135" s="2413"/>
      <c r="T135" s="2413"/>
      <c r="U135" s="2414"/>
      <c r="V135" s="1209"/>
      <c r="W135" s="1209"/>
      <c r="X135" s="2401"/>
      <c r="Y135" s="2402"/>
      <c r="Z135" s="2402"/>
      <c r="AA135" s="2402"/>
      <c r="AB135" s="2402"/>
      <c r="AC135" s="2402"/>
      <c r="AD135" s="2402"/>
      <c r="AE135" s="2402"/>
      <c r="AF135" s="2402"/>
      <c r="AG135" s="2402"/>
      <c r="AH135" s="2402"/>
      <c r="AI135" s="2402"/>
      <c r="AJ135" s="2402"/>
      <c r="AK135" s="2402"/>
      <c r="AL135" s="2402"/>
      <c r="AM135" s="2402"/>
      <c r="AN135" s="2402"/>
      <c r="AO135" s="2402"/>
      <c r="AP135" s="2402"/>
      <c r="AQ135" s="2402"/>
      <c r="AR135" s="2402"/>
      <c r="AS135" s="2402"/>
      <c r="AT135" s="2402"/>
      <c r="AU135" s="2402"/>
      <c r="AV135" s="2402"/>
      <c r="AW135" s="2402"/>
      <c r="AX135" s="2402"/>
      <c r="AY135" s="2402"/>
      <c r="AZ135" s="2402"/>
      <c r="BA135" s="2402"/>
      <c r="BB135" s="2402"/>
      <c r="BC135" s="2402"/>
      <c r="BD135" s="2403"/>
      <c r="BE135" s="1205"/>
    </row>
    <row r="136" spans="1:57" ht="15.75" customHeight="1">
      <c r="A136" s="1209"/>
      <c r="B136" s="2415" t="s">
        <v>2177</v>
      </c>
      <c r="C136" s="2416"/>
      <c r="D136" s="2416"/>
      <c r="E136" s="2416"/>
      <c r="F136" s="2416"/>
      <c r="G136" s="2416"/>
      <c r="H136" s="2416"/>
      <c r="I136" s="2175">
        <v>0</v>
      </c>
      <c r="J136" s="2175"/>
      <c r="K136" s="2175"/>
      <c r="L136" s="2175"/>
      <c r="M136" s="2175"/>
      <c r="N136" s="2175"/>
      <c r="O136" s="2175"/>
      <c r="P136" s="2175">
        <v>0</v>
      </c>
      <c r="Q136" s="2175"/>
      <c r="R136" s="2175"/>
      <c r="S136" s="2175"/>
      <c r="T136" s="2175"/>
      <c r="U136" s="2176"/>
      <c r="V136" s="1209"/>
      <c r="W136" s="1209"/>
      <c r="X136" s="2401"/>
      <c r="Y136" s="2402"/>
      <c r="Z136" s="2402"/>
      <c r="AA136" s="2402"/>
      <c r="AB136" s="2402"/>
      <c r="AC136" s="2402"/>
      <c r="AD136" s="2402"/>
      <c r="AE136" s="2402"/>
      <c r="AF136" s="2402"/>
      <c r="AG136" s="2402"/>
      <c r="AH136" s="2402"/>
      <c r="AI136" s="2402"/>
      <c r="AJ136" s="2402"/>
      <c r="AK136" s="2402"/>
      <c r="AL136" s="2402"/>
      <c r="AM136" s="2402"/>
      <c r="AN136" s="2402"/>
      <c r="AO136" s="2402"/>
      <c r="AP136" s="2402"/>
      <c r="AQ136" s="2402"/>
      <c r="AR136" s="2402"/>
      <c r="AS136" s="2402"/>
      <c r="AT136" s="2402"/>
      <c r="AU136" s="2402"/>
      <c r="AV136" s="2402"/>
      <c r="AW136" s="2402"/>
      <c r="AX136" s="2402"/>
      <c r="AY136" s="2402"/>
      <c r="AZ136" s="2402"/>
      <c r="BA136" s="2402"/>
      <c r="BB136" s="2402"/>
      <c r="BC136" s="2402"/>
      <c r="BD136" s="2403"/>
      <c r="BE136" s="1205"/>
    </row>
    <row r="137" spans="1:57" ht="15.75" customHeight="1" thickBot="1">
      <c r="A137" s="1209"/>
      <c r="B137" s="2417" t="s">
        <v>2178</v>
      </c>
      <c r="C137" s="2418"/>
      <c r="D137" s="2418"/>
      <c r="E137" s="2418"/>
      <c r="F137" s="2418"/>
      <c r="G137" s="2418"/>
      <c r="H137" s="2418"/>
      <c r="I137" s="2173">
        <v>0</v>
      </c>
      <c r="J137" s="2173"/>
      <c r="K137" s="2173"/>
      <c r="L137" s="2173"/>
      <c r="M137" s="2173"/>
      <c r="N137" s="2173"/>
      <c r="O137" s="2173"/>
      <c r="P137" s="2173">
        <v>0</v>
      </c>
      <c r="Q137" s="2173"/>
      <c r="R137" s="2173"/>
      <c r="S137" s="2173"/>
      <c r="T137" s="2173"/>
      <c r="U137" s="2174"/>
      <c r="V137" s="1209"/>
      <c r="W137" s="1209"/>
      <c r="X137" s="2404"/>
      <c r="Y137" s="2405"/>
      <c r="Z137" s="2405"/>
      <c r="AA137" s="2405"/>
      <c r="AB137" s="2405"/>
      <c r="AC137" s="2405"/>
      <c r="AD137" s="2405"/>
      <c r="AE137" s="2405"/>
      <c r="AF137" s="2405"/>
      <c r="AG137" s="2405"/>
      <c r="AH137" s="2405"/>
      <c r="AI137" s="2405"/>
      <c r="AJ137" s="2405"/>
      <c r="AK137" s="2405"/>
      <c r="AL137" s="2405"/>
      <c r="AM137" s="2405"/>
      <c r="AN137" s="2405"/>
      <c r="AO137" s="2405"/>
      <c r="AP137" s="2405"/>
      <c r="AQ137" s="2405"/>
      <c r="AR137" s="2405"/>
      <c r="AS137" s="2405"/>
      <c r="AT137" s="2405"/>
      <c r="AU137" s="2405"/>
      <c r="AV137" s="2405"/>
      <c r="AW137" s="2405"/>
      <c r="AX137" s="2405"/>
      <c r="AY137" s="2405"/>
      <c r="AZ137" s="2405"/>
      <c r="BA137" s="2405"/>
      <c r="BB137" s="2405"/>
      <c r="BC137" s="2405"/>
      <c r="BD137" s="2406"/>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395" t="s">
        <v>1836</v>
      </c>
      <c r="C139" s="2396"/>
      <c r="D139" s="2396"/>
      <c r="E139" s="2396"/>
      <c r="F139" s="2396"/>
      <c r="G139" s="2396"/>
      <c r="H139" s="2396"/>
      <c r="I139" s="2396"/>
      <c r="J139" s="2396"/>
      <c r="K139" s="2396"/>
      <c r="L139" s="2396"/>
      <c r="M139" s="2396"/>
      <c r="N139" s="2396"/>
      <c r="O139" s="2396"/>
      <c r="P139" s="2396"/>
      <c r="Q139" s="2396"/>
      <c r="R139" s="2396"/>
      <c r="S139" s="2396"/>
      <c r="T139" s="2396"/>
      <c r="U139" s="2396"/>
      <c r="V139" s="2396"/>
      <c r="W139" s="2396"/>
      <c r="X139" s="2396"/>
      <c r="Y139" s="2396"/>
      <c r="Z139" s="2396"/>
      <c r="AA139" s="2396"/>
      <c r="AB139" s="2396"/>
      <c r="AC139" s="2396"/>
      <c r="AD139" s="2396"/>
      <c r="AE139" s="2396"/>
      <c r="AF139" s="2396"/>
      <c r="AG139" s="2396"/>
      <c r="AH139" s="2234" t="s">
        <v>554</v>
      </c>
      <c r="AI139" s="2234"/>
      <c r="AJ139" s="2234"/>
      <c r="AK139" s="2234"/>
      <c r="AL139" s="2234"/>
      <c r="AM139" s="2234"/>
      <c r="AN139" s="2234"/>
      <c r="AO139" s="2234"/>
      <c r="AP139" s="2234"/>
      <c r="AQ139" s="2234"/>
      <c r="AR139" s="2234"/>
      <c r="AS139" s="2234"/>
      <c r="AT139" s="2234"/>
      <c r="AU139" s="2234"/>
      <c r="AV139" s="2234"/>
      <c r="AW139" s="2234"/>
      <c r="AX139" s="2235"/>
      <c r="AY139" s="1209"/>
      <c r="AZ139" s="1209"/>
      <c r="BA139" s="1209"/>
      <c r="BB139" s="1209"/>
      <c r="BC139" s="1209"/>
      <c r="BD139" s="1209"/>
      <c r="BE139" s="1205"/>
    </row>
    <row r="140" spans="1:57" ht="15.75" customHeight="1">
      <c r="A140" s="1209"/>
      <c r="B140" s="2420" t="s">
        <v>1837</v>
      </c>
      <c r="C140" s="2421"/>
      <c r="D140" s="2421"/>
      <c r="E140" s="2421"/>
      <c r="F140" s="2421"/>
      <c r="G140" s="2421"/>
      <c r="H140" s="2421"/>
      <c r="I140" s="2421"/>
      <c r="J140" s="2421"/>
      <c r="K140" s="2421"/>
      <c r="L140" s="2421"/>
      <c r="M140" s="2421"/>
      <c r="N140" s="2421"/>
      <c r="O140" s="2421"/>
      <c r="P140" s="2421"/>
      <c r="Q140" s="2421"/>
      <c r="R140" s="2422" t="s">
        <v>2191</v>
      </c>
      <c r="S140" s="2422"/>
      <c r="T140" s="2422"/>
      <c r="U140" s="2422"/>
      <c r="V140" s="2422"/>
      <c r="W140" s="2422"/>
      <c r="X140" s="2422"/>
      <c r="Y140" s="2422"/>
      <c r="Z140" s="2422"/>
      <c r="AA140" s="2422"/>
      <c r="AB140" s="2422"/>
      <c r="AC140" s="2422"/>
      <c r="AD140" s="2422"/>
      <c r="AE140" s="2422"/>
      <c r="AF140" s="2422"/>
      <c r="AG140" s="2422"/>
      <c r="AH140" s="2422"/>
      <c r="AI140" s="2422"/>
      <c r="AJ140" s="2422"/>
      <c r="AK140" s="2422"/>
      <c r="AL140" s="2422"/>
      <c r="AM140" s="2422"/>
      <c r="AN140" s="2422"/>
      <c r="AO140" s="2422"/>
      <c r="AP140" s="2422"/>
      <c r="AQ140" s="2422"/>
      <c r="AR140" s="2422"/>
      <c r="AS140" s="2422"/>
      <c r="AT140" s="2422"/>
      <c r="AU140" s="2422"/>
      <c r="AV140" s="2422"/>
      <c r="AW140" s="2422"/>
      <c r="AX140" s="2423"/>
      <c r="AY140" s="1209"/>
      <c r="AZ140" s="1209"/>
      <c r="BA140" s="1209"/>
      <c r="BB140" s="1209"/>
      <c r="BC140" s="1209" t="s">
        <v>251</v>
      </c>
      <c r="BD140" s="1209"/>
      <c r="BE140" s="1205"/>
    </row>
    <row r="141" spans="1:57" ht="15.75" customHeight="1">
      <c r="A141" s="1209"/>
      <c r="B141" s="2424" t="s">
        <v>2192</v>
      </c>
      <c r="C141" s="2425"/>
      <c r="D141" s="2425"/>
      <c r="E141" s="2425"/>
      <c r="F141" s="2425"/>
      <c r="G141" s="2425"/>
      <c r="H141" s="2425"/>
      <c r="I141" s="2425"/>
      <c r="J141" s="2425"/>
      <c r="K141" s="2425"/>
      <c r="L141" s="2425"/>
      <c r="M141" s="2425"/>
      <c r="N141" s="2425"/>
      <c r="O141" s="2425"/>
      <c r="P141" s="2425"/>
      <c r="Q141" s="2425"/>
      <c r="R141" s="2425"/>
      <c r="S141" s="2425"/>
      <c r="T141" s="2425"/>
      <c r="U141" s="2425"/>
      <c r="V141" s="2425"/>
      <c r="W141" s="2425"/>
      <c r="X141" s="2425"/>
      <c r="Y141" s="2425"/>
      <c r="Z141" s="2425"/>
      <c r="AA141" s="2425"/>
      <c r="AB141" s="2425"/>
      <c r="AC141" s="2425"/>
      <c r="AD141" s="2425"/>
      <c r="AE141" s="2425"/>
      <c r="AF141" s="2425"/>
      <c r="AG141" s="2425"/>
      <c r="AH141" s="2425"/>
      <c r="AI141" s="2425"/>
      <c r="AJ141" s="2425"/>
      <c r="AK141" s="2425"/>
      <c r="AL141" s="2425"/>
      <c r="AM141" s="2425"/>
      <c r="AN141" s="2425"/>
      <c r="AO141" s="2425"/>
      <c r="AP141" s="2425"/>
      <c r="AQ141" s="2425"/>
      <c r="AR141" s="2425"/>
      <c r="AS141" s="2425"/>
      <c r="AT141" s="2425"/>
      <c r="AU141" s="2425"/>
      <c r="AV141" s="2425"/>
      <c r="AW141" s="2425"/>
      <c r="AX141" s="2426"/>
      <c r="AY141" s="1209"/>
      <c r="AZ141" s="1209"/>
      <c r="BA141" s="1209"/>
      <c r="BB141" s="1209"/>
      <c r="BC141" s="1209"/>
      <c r="BD141" s="1209"/>
      <c r="BE141" s="1205"/>
    </row>
    <row r="142" spans="1:57" ht="15.75" customHeight="1">
      <c r="A142" s="1209"/>
      <c r="B142" s="2424"/>
      <c r="C142" s="2425"/>
      <c r="D142" s="2425"/>
      <c r="E142" s="2425"/>
      <c r="F142" s="2425"/>
      <c r="G142" s="2425"/>
      <c r="H142" s="2425"/>
      <c r="I142" s="2425"/>
      <c r="J142" s="2425"/>
      <c r="K142" s="2425"/>
      <c r="L142" s="2425"/>
      <c r="M142" s="2425"/>
      <c r="N142" s="2425"/>
      <c r="O142" s="2425"/>
      <c r="P142" s="2425"/>
      <c r="Q142" s="2425"/>
      <c r="R142" s="2425"/>
      <c r="S142" s="2425"/>
      <c r="T142" s="2425"/>
      <c r="U142" s="2425"/>
      <c r="V142" s="2425"/>
      <c r="W142" s="2425"/>
      <c r="X142" s="2425"/>
      <c r="Y142" s="2425"/>
      <c r="Z142" s="2425"/>
      <c r="AA142" s="2425"/>
      <c r="AB142" s="2425"/>
      <c r="AC142" s="2425"/>
      <c r="AD142" s="2425"/>
      <c r="AE142" s="2425"/>
      <c r="AF142" s="2425"/>
      <c r="AG142" s="2425"/>
      <c r="AH142" s="2425"/>
      <c r="AI142" s="2425"/>
      <c r="AJ142" s="2425"/>
      <c r="AK142" s="2425"/>
      <c r="AL142" s="2425"/>
      <c r="AM142" s="2425"/>
      <c r="AN142" s="2425"/>
      <c r="AO142" s="2425"/>
      <c r="AP142" s="2425"/>
      <c r="AQ142" s="2425"/>
      <c r="AR142" s="2425"/>
      <c r="AS142" s="2425"/>
      <c r="AT142" s="2425"/>
      <c r="AU142" s="2425"/>
      <c r="AV142" s="2425"/>
      <c r="AW142" s="2425"/>
      <c r="AX142" s="2426"/>
      <c r="AY142" s="1209"/>
      <c r="AZ142" s="1209"/>
      <c r="BA142" s="1209"/>
      <c r="BB142" s="1209"/>
      <c r="BC142" s="1209"/>
      <c r="BD142" s="1209"/>
      <c r="BE142" s="1205"/>
    </row>
    <row r="143" spans="1:57" ht="15.75" customHeight="1">
      <c r="A143" s="1209"/>
      <c r="B143" s="2424"/>
      <c r="C143" s="2425"/>
      <c r="D143" s="2425"/>
      <c r="E143" s="2425"/>
      <c r="F143" s="2425"/>
      <c r="G143" s="2425"/>
      <c r="H143" s="2425"/>
      <c r="I143" s="2425"/>
      <c r="J143" s="2425"/>
      <c r="K143" s="2425"/>
      <c r="L143" s="2425"/>
      <c r="M143" s="2425"/>
      <c r="N143" s="2425"/>
      <c r="O143" s="2425"/>
      <c r="P143" s="2425"/>
      <c r="Q143" s="2425"/>
      <c r="R143" s="2425"/>
      <c r="S143" s="2425"/>
      <c r="T143" s="2425"/>
      <c r="U143" s="2425"/>
      <c r="V143" s="2425"/>
      <c r="W143" s="2425"/>
      <c r="X143" s="2425"/>
      <c r="Y143" s="2425"/>
      <c r="Z143" s="2425"/>
      <c r="AA143" s="2425"/>
      <c r="AB143" s="2425"/>
      <c r="AC143" s="2425"/>
      <c r="AD143" s="2425"/>
      <c r="AE143" s="2425"/>
      <c r="AF143" s="2425"/>
      <c r="AG143" s="2425"/>
      <c r="AH143" s="2425"/>
      <c r="AI143" s="2425"/>
      <c r="AJ143" s="2425"/>
      <c r="AK143" s="2425"/>
      <c r="AL143" s="2425"/>
      <c r="AM143" s="2425"/>
      <c r="AN143" s="2425"/>
      <c r="AO143" s="2425"/>
      <c r="AP143" s="2425"/>
      <c r="AQ143" s="2425"/>
      <c r="AR143" s="2425"/>
      <c r="AS143" s="2425"/>
      <c r="AT143" s="2425"/>
      <c r="AU143" s="2425"/>
      <c r="AV143" s="2425"/>
      <c r="AW143" s="2425"/>
      <c r="AX143" s="2426"/>
      <c r="AY143" s="1209"/>
      <c r="AZ143" s="1209"/>
      <c r="BA143" s="1209"/>
      <c r="BB143" s="1209"/>
      <c r="BC143" s="1209"/>
      <c r="BD143" s="1209"/>
      <c r="BE143" s="1205"/>
    </row>
    <row r="144" spans="1:57" ht="15.75" customHeight="1">
      <c r="A144" s="1209"/>
      <c r="B144" s="2424"/>
      <c r="C144" s="2425"/>
      <c r="D144" s="2425"/>
      <c r="E144" s="2425"/>
      <c r="F144" s="2425"/>
      <c r="G144" s="2425"/>
      <c r="H144" s="2425"/>
      <c r="I144" s="2425"/>
      <c r="J144" s="2425"/>
      <c r="K144" s="2425"/>
      <c r="L144" s="2425"/>
      <c r="M144" s="2425"/>
      <c r="N144" s="2425"/>
      <c r="O144" s="2425"/>
      <c r="P144" s="2425"/>
      <c r="Q144" s="2425"/>
      <c r="R144" s="2425"/>
      <c r="S144" s="2425"/>
      <c r="T144" s="2425"/>
      <c r="U144" s="2425"/>
      <c r="V144" s="2425"/>
      <c r="W144" s="2425"/>
      <c r="X144" s="2425"/>
      <c r="Y144" s="2425"/>
      <c r="Z144" s="2425"/>
      <c r="AA144" s="2425"/>
      <c r="AB144" s="2425"/>
      <c r="AC144" s="2425"/>
      <c r="AD144" s="2425"/>
      <c r="AE144" s="2425"/>
      <c r="AF144" s="2425"/>
      <c r="AG144" s="2425"/>
      <c r="AH144" s="2425"/>
      <c r="AI144" s="2425"/>
      <c r="AJ144" s="2425"/>
      <c r="AK144" s="2425"/>
      <c r="AL144" s="2425"/>
      <c r="AM144" s="2425"/>
      <c r="AN144" s="2425"/>
      <c r="AO144" s="2425"/>
      <c r="AP144" s="2425"/>
      <c r="AQ144" s="2425"/>
      <c r="AR144" s="2425"/>
      <c r="AS144" s="2425"/>
      <c r="AT144" s="2425"/>
      <c r="AU144" s="2425"/>
      <c r="AV144" s="2425"/>
      <c r="AW144" s="2425"/>
      <c r="AX144" s="2426"/>
      <c r="AY144" s="1209"/>
      <c r="AZ144" s="1209"/>
      <c r="BA144" s="1209"/>
      <c r="BB144" s="1209"/>
      <c r="BC144" s="1209"/>
      <c r="BD144" s="1209"/>
      <c r="BE144" s="1205"/>
    </row>
    <row r="145" spans="1:57" ht="15.75" customHeight="1">
      <c r="A145" s="1209"/>
      <c r="B145" s="2424"/>
      <c r="C145" s="2425"/>
      <c r="D145" s="2425"/>
      <c r="E145" s="2425"/>
      <c r="F145" s="2425"/>
      <c r="G145" s="2425"/>
      <c r="H145" s="2425"/>
      <c r="I145" s="2425"/>
      <c r="J145" s="2425"/>
      <c r="K145" s="2425"/>
      <c r="L145" s="2425"/>
      <c r="M145" s="2425"/>
      <c r="N145" s="2425"/>
      <c r="O145" s="2425"/>
      <c r="P145" s="2425"/>
      <c r="Q145" s="2425"/>
      <c r="R145" s="2425"/>
      <c r="S145" s="2425"/>
      <c r="T145" s="2425"/>
      <c r="U145" s="2425"/>
      <c r="V145" s="2425"/>
      <c r="W145" s="2425"/>
      <c r="X145" s="2425"/>
      <c r="Y145" s="2425"/>
      <c r="Z145" s="2425"/>
      <c r="AA145" s="2425"/>
      <c r="AB145" s="2425"/>
      <c r="AC145" s="2425"/>
      <c r="AD145" s="2425"/>
      <c r="AE145" s="2425"/>
      <c r="AF145" s="2425"/>
      <c r="AG145" s="2425"/>
      <c r="AH145" s="2425"/>
      <c r="AI145" s="2425"/>
      <c r="AJ145" s="2425"/>
      <c r="AK145" s="2425"/>
      <c r="AL145" s="2425"/>
      <c r="AM145" s="2425"/>
      <c r="AN145" s="2425"/>
      <c r="AO145" s="2425"/>
      <c r="AP145" s="2425"/>
      <c r="AQ145" s="2425"/>
      <c r="AR145" s="2425"/>
      <c r="AS145" s="2425"/>
      <c r="AT145" s="2425"/>
      <c r="AU145" s="2425"/>
      <c r="AV145" s="2425"/>
      <c r="AW145" s="2425"/>
      <c r="AX145" s="2426"/>
      <c r="AY145" s="1209"/>
      <c r="AZ145" s="1209"/>
      <c r="BA145" s="1209"/>
      <c r="BB145" s="1209"/>
      <c r="BC145" s="1209"/>
      <c r="BD145" s="1209"/>
      <c r="BE145" s="1205"/>
    </row>
    <row r="146" spans="1:57" ht="15.75" customHeight="1">
      <c r="A146" s="1209"/>
      <c r="B146" s="2424"/>
      <c r="C146" s="2425"/>
      <c r="D146" s="2425"/>
      <c r="E146" s="2425"/>
      <c r="F146" s="2425"/>
      <c r="G146" s="2425"/>
      <c r="H146" s="2425"/>
      <c r="I146" s="2425"/>
      <c r="J146" s="2425"/>
      <c r="K146" s="2425"/>
      <c r="L146" s="2425"/>
      <c r="M146" s="2425"/>
      <c r="N146" s="2425"/>
      <c r="O146" s="2425"/>
      <c r="P146" s="2425"/>
      <c r="Q146" s="2425"/>
      <c r="R146" s="2425"/>
      <c r="S146" s="2425"/>
      <c r="T146" s="2425"/>
      <c r="U146" s="2425"/>
      <c r="V146" s="2425"/>
      <c r="W146" s="2425"/>
      <c r="X146" s="2425"/>
      <c r="Y146" s="2425"/>
      <c r="Z146" s="2425"/>
      <c r="AA146" s="2425"/>
      <c r="AB146" s="2425"/>
      <c r="AC146" s="2425"/>
      <c r="AD146" s="2425"/>
      <c r="AE146" s="2425"/>
      <c r="AF146" s="2425"/>
      <c r="AG146" s="2425"/>
      <c r="AH146" s="2425"/>
      <c r="AI146" s="2425"/>
      <c r="AJ146" s="2425"/>
      <c r="AK146" s="2425"/>
      <c r="AL146" s="2425"/>
      <c r="AM146" s="2425"/>
      <c r="AN146" s="2425"/>
      <c r="AO146" s="2425"/>
      <c r="AP146" s="2425"/>
      <c r="AQ146" s="2425"/>
      <c r="AR146" s="2425"/>
      <c r="AS146" s="2425"/>
      <c r="AT146" s="2425"/>
      <c r="AU146" s="2425"/>
      <c r="AV146" s="2425"/>
      <c r="AW146" s="2425"/>
      <c r="AX146" s="2426"/>
      <c r="AY146" s="1209"/>
      <c r="AZ146" s="1209"/>
      <c r="BA146" s="1209"/>
      <c r="BB146" s="1209"/>
      <c r="BC146" s="1209"/>
      <c r="BD146" s="1209"/>
      <c r="BE146" s="1205"/>
    </row>
    <row r="147" spans="1:57" ht="15.75" customHeight="1">
      <c r="A147" s="1209"/>
      <c r="B147" s="2424"/>
      <c r="C147" s="2425"/>
      <c r="D147" s="2425"/>
      <c r="E147" s="2425"/>
      <c r="F147" s="2425"/>
      <c r="G147" s="2425"/>
      <c r="H147" s="2425"/>
      <c r="I147" s="2425"/>
      <c r="J147" s="2425"/>
      <c r="K147" s="2425"/>
      <c r="L147" s="2425"/>
      <c r="M147" s="2425"/>
      <c r="N147" s="2425"/>
      <c r="O147" s="2425"/>
      <c r="P147" s="2425"/>
      <c r="Q147" s="2425"/>
      <c r="R147" s="2425"/>
      <c r="S147" s="2425"/>
      <c r="T147" s="2425"/>
      <c r="U147" s="2425"/>
      <c r="V147" s="2425"/>
      <c r="W147" s="2425"/>
      <c r="X147" s="2425"/>
      <c r="Y147" s="2425"/>
      <c r="Z147" s="2425"/>
      <c r="AA147" s="2425"/>
      <c r="AB147" s="2425"/>
      <c r="AC147" s="2425"/>
      <c r="AD147" s="2425"/>
      <c r="AE147" s="2425"/>
      <c r="AF147" s="2425"/>
      <c r="AG147" s="2425"/>
      <c r="AH147" s="2425"/>
      <c r="AI147" s="2425"/>
      <c r="AJ147" s="2425"/>
      <c r="AK147" s="2425"/>
      <c r="AL147" s="2425"/>
      <c r="AM147" s="2425"/>
      <c r="AN147" s="2425"/>
      <c r="AO147" s="2425"/>
      <c r="AP147" s="2425"/>
      <c r="AQ147" s="2425"/>
      <c r="AR147" s="2425"/>
      <c r="AS147" s="2425"/>
      <c r="AT147" s="2425"/>
      <c r="AU147" s="2425"/>
      <c r="AV147" s="2425"/>
      <c r="AW147" s="2425"/>
      <c r="AX147" s="2426"/>
      <c r="AY147" s="1209"/>
      <c r="AZ147" s="1209"/>
      <c r="BA147" s="1209"/>
      <c r="BB147" s="1209"/>
      <c r="BC147" s="1209"/>
      <c r="BD147" s="1209"/>
      <c r="BE147" s="1205"/>
    </row>
    <row r="148" spans="1:57" ht="15.75" customHeight="1">
      <c r="A148" s="1209"/>
      <c r="B148" s="2424"/>
      <c r="C148" s="2425"/>
      <c r="D148" s="2425"/>
      <c r="E148" s="2425"/>
      <c r="F148" s="2425"/>
      <c r="G148" s="2425"/>
      <c r="H148" s="2425"/>
      <c r="I148" s="2425"/>
      <c r="J148" s="2425"/>
      <c r="K148" s="2425"/>
      <c r="L148" s="2425"/>
      <c r="M148" s="2425"/>
      <c r="N148" s="2425"/>
      <c r="O148" s="2425"/>
      <c r="P148" s="2425"/>
      <c r="Q148" s="2425"/>
      <c r="R148" s="2425"/>
      <c r="S148" s="2425"/>
      <c r="T148" s="2425"/>
      <c r="U148" s="2425"/>
      <c r="V148" s="2425"/>
      <c r="W148" s="2425"/>
      <c r="X148" s="2425"/>
      <c r="Y148" s="2425"/>
      <c r="Z148" s="2425"/>
      <c r="AA148" s="2425"/>
      <c r="AB148" s="2425"/>
      <c r="AC148" s="2425"/>
      <c r="AD148" s="2425"/>
      <c r="AE148" s="2425"/>
      <c r="AF148" s="2425"/>
      <c r="AG148" s="2425"/>
      <c r="AH148" s="2425"/>
      <c r="AI148" s="2425"/>
      <c r="AJ148" s="2425"/>
      <c r="AK148" s="2425"/>
      <c r="AL148" s="2425"/>
      <c r="AM148" s="2425"/>
      <c r="AN148" s="2425"/>
      <c r="AO148" s="2425"/>
      <c r="AP148" s="2425"/>
      <c r="AQ148" s="2425"/>
      <c r="AR148" s="2425"/>
      <c r="AS148" s="2425"/>
      <c r="AT148" s="2425"/>
      <c r="AU148" s="2425"/>
      <c r="AV148" s="2425"/>
      <c r="AW148" s="2425"/>
      <c r="AX148" s="2426"/>
      <c r="AY148" s="1209"/>
      <c r="AZ148" s="1209"/>
      <c r="BA148" s="1209"/>
      <c r="BB148" s="1209"/>
      <c r="BC148" s="1209"/>
      <c r="BD148" s="1209"/>
      <c r="BE148" s="1205"/>
    </row>
    <row r="149" spans="1:57" ht="15.75" customHeight="1">
      <c r="A149" s="1209"/>
      <c r="B149" s="2424"/>
      <c r="C149" s="2425"/>
      <c r="D149" s="2425"/>
      <c r="E149" s="2425"/>
      <c r="F149" s="2425"/>
      <c r="G149" s="2425"/>
      <c r="H149" s="2425"/>
      <c r="I149" s="2425"/>
      <c r="J149" s="2425"/>
      <c r="K149" s="2425"/>
      <c r="L149" s="2425"/>
      <c r="M149" s="2425"/>
      <c r="N149" s="2425"/>
      <c r="O149" s="2425"/>
      <c r="P149" s="2425"/>
      <c r="Q149" s="2425"/>
      <c r="R149" s="2425"/>
      <c r="S149" s="2425"/>
      <c r="T149" s="2425"/>
      <c r="U149" s="2425"/>
      <c r="V149" s="2425"/>
      <c r="W149" s="2425"/>
      <c r="X149" s="2425"/>
      <c r="Y149" s="2425"/>
      <c r="Z149" s="2425"/>
      <c r="AA149" s="2425"/>
      <c r="AB149" s="2425"/>
      <c r="AC149" s="2425"/>
      <c r="AD149" s="2425"/>
      <c r="AE149" s="2425"/>
      <c r="AF149" s="2425"/>
      <c r="AG149" s="2425"/>
      <c r="AH149" s="2425"/>
      <c r="AI149" s="2425"/>
      <c r="AJ149" s="2425"/>
      <c r="AK149" s="2425"/>
      <c r="AL149" s="2425"/>
      <c r="AM149" s="2425"/>
      <c r="AN149" s="2425"/>
      <c r="AO149" s="2425"/>
      <c r="AP149" s="2425"/>
      <c r="AQ149" s="2425"/>
      <c r="AR149" s="2425"/>
      <c r="AS149" s="2425"/>
      <c r="AT149" s="2425"/>
      <c r="AU149" s="2425"/>
      <c r="AV149" s="2425"/>
      <c r="AW149" s="2425"/>
      <c r="AX149" s="2426"/>
      <c r="AY149" s="1209"/>
      <c r="AZ149" s="1209"/>
      <c r="BA149" s="1209"/>
      <c r="BB149" s="1209"/>
      <c r="BC149" s="1209"/>
      <c r="BD149" s="1209"/>
      <c r="BE149" s="1205"/>
    </row>
    <row r="150" spans="1:57" ht="15.75" customHeight="1" thickBot="1">
      <c r="A150" s="1209"/>
      <c r="B150" s="2427"/>
      <c r="C150" s="2428"/>
      <c r="D150" s="2428"/>
      <c r="E150" s="2428"/>
      <c r="F150" s="2428"/>
      <c r="G150" s="2428"/>
      <c r="H150" s="2428"/>
      <c r="I150" s="2428"/>
      <c r="J150" s="2428"/>
      <c r="K150" s="2428"/>
      <c r="L150" s="2428"/>
      <c r="M150" s="2428"/>
      <c r="N150" s="2428"/>
      <c r="O150" s="2428"/>
      <c r="P150" s="2428"/>
      <c r="Q150" s="2428"/>
      <c r="R150" s="2428"/>
      <c r="S150" s="2428"/>
      <c r="T150" s="2428"/>
      <c r="U150" s="2428"/>
      <c r="V150" s="2428"/>
      <c r="W150" s="2428"/>
      <c r="X150" s="2428"/>
      <c r="Y150" s="2428"/>
      <c r="Z150" s="2428"/>
      <c r="AA150" s="2428"/>
      <c r="AB150" s="2428"/>
      <c r="AC150" s="2428"/>
      <c r="AD150" s="2428"/>
      <c r="AE150" s="2428"/>
      <c r="AF150" s="2428"/>
      <c r="AG150" s="2428"/>
      <c r="AH150" s="2428"/>
      <c r="AI150" s="2428"/>
      <c r="AJ150" s="2428"/>
      <c r="AK150" s="2428"/>
      <c r="AL150" s="2428"/>
      <c r="AM150" s="2428"/>
      <c r="AN150" s="2428"/>
      <c r="AO150" s="2428"/>
      <c r="AP150" s="2428"/>
      <c r="AQ150" s="2428"/>
      <c r="AR150" s="2428"/>
      <c r="AS150" s="2428"/>
      <c r="AT150" s="2428"/>
      <c r="AU150" s="2428"/>
      <c r="AV150" s="2428"/>
      <c r="AW150" s="2428"/>
      <c r="AX150" s="2429"/>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1838</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2193</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19" t="s">
        <v>1839</v>
      </c>
      <c r="C154" s="2215"/>
      <c r="D154" s="2215"/>
      <c r="E154" s="2215"/>
      <c r="F154" s="2215"/>
      <c r="G154" s="2215"/>
      <c r="H154" s="2215"/>
      <c r="I154" s="2215"/>
      <c r="J154" s="2215"/>
      <c r="K154" s="2215"/>
      <c r="L154" s="2215"/>
      <c r="M154" s="2215"/>
      <c r="N154" s="2215"/>
      <c r="O154" s="2215"/>
      <c r="P154" s="2215"/>
      <c r="Q154" s="2215"/>
      <c r="R154" s="2215"/>
      <c r="S154" s="2215"/>
      <c r="T154" s="2215"/>
      <c r="U154" s="2216"/>
      <c r="V154" s="1209"/>
      <c r="W154" s="1217"/>
      <c r="X154" s="2419" t="s">
        <v>2194</v>
      </c>
      <c r="Y154" s="2215"/>
      <c r="Z154" s="2215"/>
      <c r="AA154" s="2215"/>
      <c r="AB154" s="2215"/>
      <c r="AC154" s="2215"/>
      <c r="AD154" s="2215"/>
      <c r="AE154" s="2215"/>
      <c r="AF154" s="2215"/>
      <c r="AG154" s="2215"/>
      <c r="AH154" s="2215"/>
      <c r="AI154" s="2215"/>
      <c r="AJ154" s="2215"/>
      <c r="AK154" s="2215"/>
      <c r="AL154" s="2215"/>
      <c r="AM154" s="2215"/>
      <c r="AN154" s="2215"/>
      <c r="AO154" s="2215"/>
      <c r="AP154" s="2215"/>
      <c r="AQ154" s="2216"/>
      <c r="AR154" s="1209"/>
      <c r="AS154" s="1209"/>
      <c r="AT154" s="1209"/>
      <c r="AU154" s="1209"/>
      <c r="AV154" s="1209"/>
      <c r="AW154" s="1209"/>
      <c r="AX154" s="1209"/>
      <c r="AY154" s="1209"/>
      <c r="AZ154" s="1209"/>
      <c r="BA154" s="1209"/>
      <c r="BB154" s="1209"/>
      <c r="BC154" s="1209"/>
      <c r="BD154" s="1209"/>
      <c r="BE154" s="1205"/>
    </row>
    <row r="155" spans="1:57" ht="15.75" customHeight="1">
      <c r="A155" s="1209"/>
      <c r="B155" s="2398"/>
      <c r="C155" s="2399"/>
      <c r="D155" s="2399"/>
      <c r="E155" s="2399"/>
      <c r="F155" s="2399"/>
      <c r="G155" s="2399"/>
      <c r="H155" s="2399"/>
      <c r="I155" s="2413" t="s">
        <v>1830</v>
      </c>
      <c r="J155" s="2413"/>
      <c r="K155" s="2413"/>
      <c r="L155" s="2413"/>
      <c r="M155" s="2413"/>
      <c r="N155" s="2413"/>
      <c r="O155" s="2413"/>
      <c r="P155" s="2413" t="s">
        <v>2195</v>
      </c>
      <c r="Q155" s="2413"/>
      <c r="R155" s="2413"/>
      <c r="S155" s="2413"/>
      <c r="T155" s="2413"/>
      <c r="U155" s="2414"/>
      <c r="V155" s="1209"/>
      <c r="W155" s="1209"/>
      <c r="X155" s="2398"/>
      <c r="Y155" s="2399"/>
      <c r="Z155" s="2399"/>
      <c r="AA155" s="2399"/>
      <c r="AB155" s="2399"/>
      <c r="AC155" s="2399"/>
      <c r="AD155" s="2399"/>
      <c r="AE155" s="2413" t="s">
        <v>1830</v>
      </c>
      <c r="AF155" s="2413"/>
      <c r="AG155" s="2413"/>
      <c r="AH155" s="2413"/>
      <c r="AI155" s="2413"/>
      <c r="AJ155" s="2413"/>
      <c r="AK155" s="2413"/>
      <c r="AL155" s="2413" t="s">
        <v>2189</v>
      </c>
      <c r="AM155" s="2413"/>
      <c r="AN155" s="2413"/>
      <c r="AO155" s="2413"/>
      <c r="AP155" s="2413"/>
      <c r="AQ155" s="2414"/>
      <c r="AR155" s="1209"/>
      <c r="AS155" s="1209"/>
      <c r="AT155" s="1209"/>
      <c r="AU155" s="1209"/>
      <c r="AV155" s="1209"/>
      <c r="AW155" s="1209"/>
      <c r="AX155" s="1209"/>
      <c r="AY155" s="1209"/>
      <c r="AZ155" s="1209"/>
      <c r="BA155" s="1209"/>
      <c r="BB155" s="1209"/>
      <c r="BC155" s="1209"/>
      <c r="BD155" s="1209"/>
      <c r="BE155" s="1205"/>
    </row>
    <row r="156" spans="1:57" ht="15.75" customHeight="1">
      <c r="A156" s="1209"/>
      <c r="B156" s="2398"/>
      <c r="C156" s="2399"/>
      <c r="D156" s="2399"/>
      <c r="E156" s="2399"/>
      <c r="F156" s="2399"/>
      <c r="G156" s="2399"/>
      <c r="H156" s="2399"/>
      <c r="I156" s="2413"/>
      <c r="J156" s="2413"/>
      <c r="K156" s="2413"/>
      <c r="L156" s="2413"/>
      <c r="M156" s="2413"/>
      <c r="N156" s="2413"/>
      <c r="O156" s="2413"/>
      <c r="P156" s="2413"/>
      <c r="Q156" s="2413"/>
      <c r="R156" s="2413"/>
      <c r="S156" s="2413"/>
      <c r="T156" s="2413"/>
      <c r="U156" s="2414"/>
      <c r="V156" s="1209"/>
      <c r="W156" s="1209"/>
      <c r="X156" s="2398"/>
      <c r="Y156" s="2399"/>
      <c r="Z156" s="2399"/>
      <c r="AA156" s="2399"/>
      <c r="AB156" s="2399"/>
      <c r="AC156" s="2399"/>
      <c r="AD156" s="2399"/>
      <c r="AE156" s="2413"/>
      <c r="AF156" s="2413"/>
      <c r="AG156" s="2413"/>
      <c r="AH156" s="2413"/>
      <c r="AI156" s="2413"/>
      <c r="AJ156" s="2413"/>
      <c r="AK156" s="2413"/>
      <c r="AL156" s="2413"/>
      <c r="AM156" s="2413"/>
      <c r="AN156" s="2413"/>
      <c r="AO156" s="2413"/>
      <c r="AP156" s="2413"/>
      <c r="AQ156" s="2414"/>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5" t="s">
        <v>2177</v>
      </c>
      <c r="C157" s="2416"/>
      <c r="D157" s="2416"/>
      <c r="E157" s="2416"/>
      <c r="F157" s="2416"/>
      <c r="G157" s="2416"/>
      <c r="H157" s="2416"/>
      <c r="I157" s="2175">
        <v>0</v>
      </c>
      <c r="J157" s="2175"/>
      <c r="K157" s="2175"/>
      <c r="L157" s="2175"/>
      <c r="M157" s="2175"/>
      <c r="N157" s="2175"/>
      <c r="O157" s="2175"/>
      <c r="P157" s="2175">
        <v>0</v>
      </c>
      <c r="Q157" s="2175"/>
      <c r="R157" s="2175"/>
      <c r="S157" s="2175"/>
      <c r="T157" s="2175"/>
      <c r="U157" s="2176"/>
      <c r="V157" s="1209"/>
      <c r="W157" s="1209"/>
      <c r="X157" s="2417" t="s">
        <v>2177</v>
      </c>
      <c r="Y157" s="2418"/>
      <c r="Z157" s="2418"/>
      <c r="AA157" s="2418"/>
      <c r="AB157" s="2418"/>
      <c r="AC157" s="2418"/>
      <c r="AD157" s="2418"/>
      <c r="AE157" s="2173">
        <v>0</v>
      </c>
      <c r="AF157" s="2173"/>
      <c r="AG157" s="2173"/>
      <c r="AH157" s="2173"/>
      <c r="AI157" s="2173"/>
      <c r="AJ157" s="2173"/>
      <c r="AK157" s="2173"/>
      <c r="AL157" s="2173">
        <v>0</v>
      </c>
      <c r="AM157" s="2173"/>
      <c r="AN157" s="2173"/>
      <c r="AO157" s="2173"/>
      <c r="AP157" s="2173"/>
      <c r="AQ157" s="2174"/>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17" t="s">
        <v>2178</v>
      </c>
      <c r="C158" s="2418"/>
      <c r="D158" s="2418"/>
      <c r="E158" s="2418"/>
      <c r="F158" s="2418"/>
      <c r="G158" s="2418"/>
      <c r="H158" s="2418"/>
      <c r="I158" s="2173">
        <v>0</v>
      </c>
      <c r="J158" s="2173"/>
      <c r="K158" s="2173"/>
      <c r="L158" s="2173"/>
      <c r="M158" s="2173"/>
      <c r="N158" s="2173"/>
      <c r="O158" s="2173"/>
      <c r="P158" s="2173">
        <v>0</v>
      </c>
      <c r="Q158" s="2173"/>
      <c r="R158" s="2173"/>
      <c r="S158" s="2173"/>
      <c r="T158" s="2173"/>
      <c r="U158" s="2174"/>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19" t="s">
        <v>2179</v>
      </c>
      <c r="D160" s="2215"/>
      <c r="E160" s="2215"/>
      <c r="F160" s="2215"/>
      <c r="G160" s="2215"/>
      <c r="H160" s="2215"/>
      <c r="I160" s="2215"/>
      <c r="J160" s="2215"/>
      <c r="K160" s="2215"/>
      <c r="L160" s="2215"/>
      <c r="M160" s="2215"/>
      <c r="N160" s="2215"/>
      <c r="O160" s="2215"/>
      <c r="P160" s="2215"/>
      <c r="Q160" s="2215"/>
      <c r="R160" s="2215"/>
      <c r="S160" s="2215"/>
      <c r="T160" s="2215"/>
      <c r="U160" s="2215"/>
      <c r="V160" s="2215"/>
      <c r="W160" s="2215"/>
      <c r="X160" s="2215"/>
      <c r="Y160" s="2215"/>
      <c r="Z160" s="2215"/>
      <c r="AA160" s="2215"/>
      <c r="AB160" s="2215"/>
      <c r="AC160" s="2215"/>
      <c r="AD160" s="2215"/>
      <c r="AE160" s="2215"/>
      <c r="AF160" s="2215"/>
      <c r="AG160" s="2216"/>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398" t="s">
        <v>1840</v>
      </c>
      <c r="D161" s="2399"/>
      <c r="E161" s="2399"/>
      <c r="F161" s="2399"/>
      <c r="G161" s="2399"/>
      <c r="H161" s="2399"/>
      <c r="I161" s="2399"/>
      <c r="J161" s="2399"/>
      <c r="K161" s="2399"/>
      <c r="L161" s="2399"/>
      <c r="M161" s="2399"/>
      <c r="N161" s="2399"/>
      <c r="O161" s="2399"/>
      <c r="P161" s="2399"/>
      <c r="Q161" s="2399" t="s">
        <v>1841</v>
      </c>
      <c r="R161" s="2399"/>
      <c r="S161" s="2399"/>
      <c r="T161" s="2180" t="s">
        <v>2180</v>
      </c>
      <c r="U161" s="2180"/>
      <c r="V161" s="2180"/>
      <c r="W161" s="2180"/>
      <c r="X161" s="2180"/>
      <c r="Y161" s="2180"/>
      <c r="Z161" s="2180"/>
      <c r="AA161" s="2180"/>
      <c r="AB161" s="2399" t="s">
        <v>1842</v>
      </c>
      <c r="AC161" s="2399"/>
      <c r="AD161" s="2399"/>
      <c r="AE161" s="2399"/>
      <c r="AF161" s="2399"/>
      <c r="AG161" s="2400"/>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07" t="s">
        <v>1843</v>
      </c>
      <c r="D162" s="2408"/>
      <c r="E162" s="2408"/>
      <c r="F162" s="2408"/>
      <c r="G162" s="2408"/>
      <c r="H162" s="2408"/>
      <c r="I162" s="2408"/>
      <c r="J162" s="2408"/>
      <c r="K162" s="2408"/>
      <c r="L162" s="2408"/>
      <c r="M162" s="2408"/>
      <c r="N162" s="2408"/>
      <c r="O162" s="2408"/>
      <c r="P162" s="2408"/>
      <c r="Q162" s="2357">
        <v>55</v>
      </c>
      <c r="R162" s="2357"/>
      <c r="S162" s="2357"/>
      <c r="T162" s="2371"/>
      <c r="U162" s="2371"/>
      <c r="V162" s="2371"/>
      <c r="W162" s="2371"/>
      <c r="X162" s="2371"/>
      <c r="Y162" s="2371"/>
      <c r="Z162" s="2371"/>
      <c r="AA162" s="2371"/>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07" t="s">
        <v>1844</v>
      </c>
      <c r="D163" s="2408"/>
      <c r="E163" s="2408"/>
      <c r="F163" s="2408"/>
      <c r="G163" s="2408"/>
      <c r="H163" s="2408"/>
      <c r="I163" s="2408"/>
      <c r="J163" s="2408"/>
      <c r="K163" s="2408"/>
      <c r="L163" s="2408"/>
      <c r="M163" s="2408"/>
      <c r="N163" s="2408"/>
      <c r="O163" s="2408"/>
      <c r="P163" s="2408"/>
      <c r="Q163" s="2357">
        <v>55</v>
      </c>
      <c r="R163" s="2357"/>
      <c r="S163" s="2357"/>
      <c r="T163" s="2410"/>
      <c r="U163" s="2410"/>
      <c r="V163" s="2410"/>
      <c r="W163" s="2410"/>
      <c r="X163" s="2410"/>
      <c r="Y163" s="2410"/>
      <c r="Z163" s="2410"/>
      <c r="AA163" s="2410"/>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07" t="s">
        <v>1845</v>
      </c>
      <c r="D164" s="2408"/>
      <c r="E164" s="2408"/>
      <c r="F164" s="2408"/>
      <c r="G164" s="2408"/>
      <c r="H164" s="2408"/>
      <c r="I164" s="2408"/>
      <c r="J164" s="2408"/>
      <c r="K164" s="2408"/>
      <c r="L164" s="2408"/>
      <c r="M164" s="2408"/>
      <c r="N164" s="2408"/>
      <c r="O164" s="2408"/>
      <c r="P164" s="2408"/>
      <c r="Q164" s="2357">
        <v>55</v>
      </c>
      <c r="R164" s="2357"/>
      <c r="S164" s="2357"/>
      <c r="T164" s="2371"/>
      <c r="U164" s="2371"/>
      <c r="V164" s="2371"/>
      <c r="W164" s="2371"/>
      <c r="X164" s="2371"/>
      <c r="Y164" s="2371"/>
      <c r="Z164" s="2371"/>
      <c r="AA164" s="2371"/>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07" t="s">
        <v>1816</v>
      </c>
      <c r="D165" s="2408"/>
      <c r="E165" s="2408"/>
      <c r="F165" s="2408"/>
      <c r="G165" s="2408"/>
      <c r="H165" s="2408"/>
      <c r="I165" s="2408"/>
      <c r="J165" s="2408"/>
      <c r="K165" s="2408"/>
      <c r="L165" s="2408"/>
      <c r="M165" s="2408"/>
      <c r="N165" s="2408"/>
      <c r="O165" s="2408"/>
      <c r="P165" s="2408"/>
      <c r="Q165" s="2357">
        <v>55</v>
      </c>
      <c r="R165" s="2357"/>
      <c r="S165" s="2357"/>
      <c r="T165" s="2371"/>
      <c r="U165" s="2371"/>
      <c r="V165" s="2371"/>
      <c r="W165" s="2371"/>
      <c r="X165" s="2371"/>
      <c r="Y165" s="2371"/>
      <c r="Z165" s="2371"/>
      <c r="AA165" s="2371"/>
      <c r="AB165" s="2411">
        <v>0</v>
      </c>
      <c r="AC165" s="2411"/>
      <c r="AD165" s="2411"/>
      <c r="AE165" s="2411"/>
      <c r="AF165" s="2411"/>
      <c r="AG165" s="2412"/>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07" t="s">
        <v>170</v>
      </c>
      <c r="D166" s="2408"/>
      <c r="E166" s="2408"/>
      <c r="F166" s="2409" t="s">
        <v>1846</v>
      </c>
      <c r="G166" s="2409"/>
      <c r="H166" s="2409"/>
      <c r="I166" s="2409"/>
      <c r="J166" s="2409"/>
      <c r="K166" s="2409"/>
      <c r="L166" s="2409"/>
      <c r="M166" s="2409"/>
      <c r="N166" s="2409"/>
      <c r="O166" s="2409"/>
      <c r="P166" s="2409"/>
      <c r="Q166" s="2357">
        <v>55</v>
      </c>
      <c r="R166" s="2357"/>
      <c r="S166" s="2357"/>
      <c r="T166" s="2410"/>
      <c r="U166" s="2410"/>
      <c r="V166" s="2410"/>
      <c r="W166" s="2410"/>
      <c r="X166" s="2410"/>
      <c r="Y166" s="2410"/>
      <c r="Z166" s="2410"/>
      <c r="AA166" s="2410"/>
      <c r="AB166" s="2411">
        <v>0</v>
      </c>
      <c r="AC166" s="2411"/>
      <c r="AD166" s="2411"/>
      <c r="AE166" s="2411"/>
      <c r="AF166" s="2411"/>
      <c r="AG166" s="2412"/>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07" t="s">
        <v>170</v>
      </c>
      <c r="D167" s="2408"/>
      <c r="E167" s="2408"/>
      <c r="F167" s="2409" t="s">
        <v>1846</v>
      </c>
      <c r="G167" s="2409"/>
      <c r="H167" s="2409"/>
      <c r="I167" s="2409"/>
      <c r="J167" s="2409"/>
      <c r="K167" s="2409"/>
      <c r="L167" s="2409"/>
      <c r="M167" s="2409"/>
      <c r="N167" s="2409"/>
      <c r="O167" s="2409"/>
      <c r="P167" s="2409"/>
      <c r="Q167" s="2357">
        <v>55</v>
      </c>
      <c r="R167" s="2357"/>
      <c r="S167" s="2357"/>
      <c r="T167" s="2410"/>
      <c r="U167" s="2410"/>
      <c r="V167" s="2410"/>
      <c r="W167" s="2410"/>
      <c r="X167" s="2410"/>
      <c r="Y167" s="2410"/>
      <c r="Z167" s="2410"/>
      <c r="AA167" s="2410"/>
      <c r="AB167" s="2411">
        <v>0</v>
      </c>
      <c r="AC167" s="2411"/>
      <c r="AD167" s="2411"/>
      <c r="AE167" s="2411"/>
      <c r="AF167" s="2411"/>
      <c r="AG167" s="2412"/>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78" t="s">
        <v>170</v>
      </c>
      <c r="D168" s="2379"/>
      <c r="E168" s="2379"/>
      <c r="F168" s="2380" t="s">
        <v>1846</v>
      </c>
      <c r="G168" s="2380"/>
      <c r="H168" s="2380"/>
      <c r="I168" s="2380"/>
      <c r="J168" s="2380"/>
      <c r="K168" s="2380"/>
      <c r="L168" s="2380"/>
      <c r="M168" s="2380"/>
      <c r="N168" s="2380"/>
      <c r="O168" s="2380"/>
      <c r="P168" s="2380"/>
      <c r="Q168" s="2381">
        <v>55</v>
      </c>
      <c r="R168" s="2381"/>
      <c r="S168" s="2381"/>
      <c r="T168" s="2382"/>
      <c r="U168" s="2382"/>
      <c r="V168" s="2382"/>
      <c r="W168" s="2382"/>
      <c r="X168" s="2382"/>
      <c r="Y168" s="2382"/>
      <c r="Z168" s="2382"/>
      <c r="AA168" s="2382"/>
      <c r="AB168" s="2383">
        <v>0</v>
      </c>
      <c r="AC168" s="2383"/>
      <c r="AD168" s="2383"/>
      <c r="AE168" s="2383"/>
      <c r="AF168" s="2383"/>
      <c r="AG168" s="2384"/>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82" t="s">
        <v>1847</v>
      </c>
      <c r="D170" s="2183"/>
      <c r="E170" s="2183"/>
      <c r="F170" s="2183"/>
      <c r="G170" s="2183"/>
      <c r="H170" s="2183"/>
      <c r="I170" s="2183"/>
      <c r="J170" s="2183"/>
      <c r="K170" s="2183"/>
      <c r="L170" s="2183"/>
      <c r="M170" s="2183"/>
      <c r="N170" s="2184"/>
      <c r="O170" s="1209"/>
      <c r="P170" s="2395" t="s">
        <v>1848</v>
      </c>
      <c r="Q170" s="2396"/>
      <c r="R170" s="2396"/>
      <c r="S170" s="2396"/>
      <c r="T170" s="2396"/>
      <c r="U170" s="2396"/>
      <c r="V170" s="2396"/>
      <c r="W170" s="2396"/>
      <c r="X170" s="2396"/>
      <c r="Y170" s="2396"/>
      <c r="Z170" s="2396"/>
      <c r="AA170" s="2396"/>
      <c r="AB170" s="2396"/>
      <c r="AC170" s="2396"/>
      <c r="AD170" s="2396"/>
      <c r="AE170" s="2396"/>
      <c r="AF170" s="2396"/>
      <c r="AG170" s="2396"/>
      <c r="AH170" s="2396"/>
      <c r="AI170" s="2396"/>
      <c r="AJ170" s="2396"/>
      <c r="AK170" s="2396"/>
      <c r="AL170" s="2396"/>
      <c r="AM170" s="2396"/>
      <c r="AN170" s="2396"/>
      <c r="AO170" s="2397"/>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398" t="s">
        <v>1849</v>
      </c>
      <c r="D171" s="2399"/>
      <c r="E171" s="2399"/>
      <c r="F171" s="2399"/>
      <c r="G171" s="2399"/>
      <c r="H171" s="2399"/>
      <c r="I171" s="2399" t="s">
        <v>1850</v>
      </c>
      <c r="J171" s="2399"/>
      <c r="K171" s="2399"/>
      <c r="L171" s="2399"/>
      <c r="M171" s="2399"/>
      <c r="N171" s="2400"/>
      <c r="O171" s="1209"/>
      <c r="P171" s="2401" t="s">
        <v>2188</v>
      </c>
      <c r="Q171" s="2402"/>
      <c r="R171" s="2402"/>
      <c r="S171" s="2402"/>
      <c r="T171" s="2402"/>
      <c r="U171" s="2402"/>
      <c r="V171" s="2402"/>
      <c r="W171" s="2402"/>
      <c r="X171" s="2402"/>
      <c r="Y171" s="2402"/>
      <c r="Z171" s="2402"/>
      <c r="AA171" s="2402"/>
      <c r="AB171" s="2402"/>
      <c r="AC171" s="2402"/>
      <c r="AD171" s="2402"/>
      <c r="AE171" s="2402"/>
      <c r="AF171" s="2402"/>
      <c r="AG171" s="2402"/>
      <c r="AH171" s="2402"/>
      <c r="AI171" s="2402"/>
      <c r="AJ171" s="2402"/>
      <c r="AK171" s="2402"/>
      <c r="AL171" s="2402"/>
      <c r="AM171" s="2402"/>
      <c r="AN171" s="2402"/>
      <c r="AO171" s="2403"/>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50"/>
      <c r="D172" s="2351"/>
      <c r="E172" s="2351"/>
      <c r="F172" s="2351"/>
      <c r="G172" s="2351"/>
      <c r="H172" s="2351"/>
      <c r="I172" s="2371"/>
      <c r="J172" s="2371"/>
      <c r="K172" s="2371"/>
      <c r="L172" s="2371"/>
      <c r="M172" s="2371"/>
      <c r="N172" s="2372"/>
      <c r="O172" s="1209"/>
      <c r="P172" s="2401"/>
      <c r="Q172" s="2402"/>
      <c r="R172" s="2402"/>
      <c r="S172" s="2402"/>
      <c r="T172" s="2402"/>
      <c r="U172" s="2402"/>
      <c r="V172" s="2402"/>
      <c r="W172" s="2402"/>
      <c r="X172" s="2402"/>
      <c r="Y172" s="2402"/>
      <c r="Z172" s="2402"/>
      <c r="AA172" s="2402"/>
      <c r="AB172" s="2402"/>
      <c r="AC172" s="2402"/>
      <c r="AD172" s="2402"/>
      <c r="AE172" s="2402"/>
      <c r="AF172" s="2402"/>
      <c r="AG172" s="2402"/>
      <c r="AH172" s="2402"/>
      <c r="AI172" s="2402"/>
      <c r="AJ172" s="2402"/>
      <c r="AK172" s="2402"/>
      <c r="AL172" s="2402"/>
      <c r="AM172" s="2402"/>
      <c r="AN172" s="2402"/>
      <c r="AO172" s="2403"/>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50"/>
      <c r="D173" s="2351"/>
      <c r="E173" s="2351"/>
      <c r="F173" s="2351"/>
      <c r="G173" s="2351"/>
      <c r="H173" s="2351"/>
      <c r="I173" s="2371"/>
      <c r="J173" s="2371"/>
      <c r="K173" s="2371"/>
      <c r="L173" s="2371"/>
      <c r="M173" s="2371"/>
      <c r="N173" s="2372"/>
      <c r="O173" s="1209"/>
      <c r="P173" s="2401"/>
      <c r="Q173" s="2402"/>
      <c r="R173" s="2402"/>
      <c r="S173" s="2402"/>
      <c r="T173" s="2402"/>
      <c r="U173" s="2402"/>
      <c r="V173" s="2402"/>
      <c r="W173" s="2402"/>
      <c r="X173" s="2402"/>
      <c r="Y173" s="2402"/>
      <c r="Z173" s="2402"/>
      <c r="AA173" s="2402"/>
      <c r="AB173" s="2402"/>
      <c r="AC173" s="2402"/>
      <c r="AD173" s="2402"/>
      <c r="AE173" s="2402"/>
      <c r="AF173" s="2402"/>
      <c r="AG173" s="2402"/>
      <c r="AH173" s="2402"/>
      <c r="AI173" s="2402"/>
      <c r="AJ173" s="2402"/>
      <c r="AK173" s="2402"/>
      <c r="AL173" s="2402"/>
      <c r="AM173" s="2402"/>
      <c r="AN173" s="2402"/>
      <c r="AO173" s="2403"/>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50"/>
      <c r="D174" s="2351"/>
      <c r="E174" s="2351"/>
      <c r="F174" s="2351"/>
      <c r="G174" s="2351"/>
      <c r="H174" s="2351"/>
      <c r="I174" s="2371"/>
      <c r="J174" s="2371"/>
      <c r="K174" s="2371"/>
      <c r="L174" s="2371"/>
      <c r="M174" s="2371"/>
      <c r="N174" s="2372"/>
      <c r="O174" s="1209"/>
      <c r="P174" s="2401"/>
      <c r="Q174" s="2402"/>
      <c r="R174" s="2402"/>
      <c r="S174" s="2402"/>
      <c r="T174" s="2402"/>
      <c r="U174" s="2402"/>
      <c r="V174" s="2402"/>
      <c r="W174" s="2402"/>
      <c r="X174" s="2402"/>
      <c r="Y174" s="2402"/>
      <c r="Z174" s="2402"/>
      <c r="AA174" s="2402"/>
      <c r="AB174" s="2402"/>
      <c r="AC174" s="2402"/>
      <c r="AD174" s="2402"/>
      <c r="AE174" s="2402"/>
      <c r="AF174" s="2402"/>
      <c r="AG174" s="2402"/>
      <c r="AH174" s="2402"/>
      <c r="AI174" s="2402"/>
      <c r="AJ174" s="2402"/>
      <c r="AK174" s="2402"/>
      <c r="AL174" s="2402"/>
      <c r="AM174" s="2402"/>
      <c r="AN174" s="2402"/>
      <c r="AO174" s="2403"/>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50"/>
      <c r="D175" s="2351"/>
      <c r="E175" s="2351"/>
      <c r="F175" s="2351"/>
      <c r="G175" s="2351"/>
      <c r="H175" s="2351"/>
      <c r="I175" s="2371"/>
      <c r="J175" s="2371"/>
      <c r="K175" s="2371"/>
      <c r="L175" s="2371"/>
      <c r="M175" s="2371"/>
      <c r="N175" s="2372"/>
      <c r="O175" s="1209"/>
      <c r="P175" s="2401"/>
      <c r="Q175" s="2402"/>
      <c r="R175" s="2402"/>
      <c r="S175" s="2402"/>
      <c r="T175" s="2402"/>
      <c r="U175" s="2402"/>
      <c r="V175" s="2402"/>
      <c r="W175" s="2402"/>
      <c r="X175" s="2402"/>
      <c r="Y175" s="2402"/>
      <c r="Z175" s="2402"/>
      <c r="AA175" s="2402"/>
      <c r="AB175" s="2402"/>
      <c r="AC175" s="2402"/>
      <c r="AD175" s="2402"/>
      <c r="AE175" s="2402"/>
      <c r="AF175" s="2402"/>
      <c r="AG175" s="2402"/>
      <c r="AH175" s="2402"/>
      <c r="AI175" s="2402"/>
      <c r="AJ175" s="2402"/>
      <c r="AK175" s="2402"/>
      <c r="AL175" s="2402"/>
      <c r="AM175" s="2402"/>
      <c r="AN175" s="2402"/>
      <c r="AO175" s="2403"/>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50"/>
      <c r="D176" s="2351"/>
      <c r="E176" s="2351"/>
      <c r="F176" s="2351"/>
      <c r="G176" s="2351"/>
      <c r="H176" s="2351"/>
      <c r="I176" s="2371"/>
      <c r="J176" s="2371"/>
      <c r="K176" s="2371"/>
      <c r="L176" s="2371"/>
      <c r="M176" s="2371"/>
      <c r="N176" s="2372"/>
      <c r="O176" s="1209"/>
      <c r="P176" s="2401"/>
      <c r="Q176" s="2402"/>
      <c r="R176" s="2402"/>
      <c r="S176" s="2402"/>
      <c r="T176" s="2402"/>
      <c r="U176" s="2402"/>
      <c r="V176" s="2402"/>
      <c r="W176" s="2402"/>
      <c r="X176" s="2402"/>
      <c r="Y176" s="2402"/>
      <c r="Z176" s="2402"/>
      <c r="AA176" s="2402"/>
      <c r="AB176" s="2402"/>
      <c r="AC176" s="2402"/>
      <c r="AD176" s="2402"/>
      <c r="AE176" s="2402"/>
      <c r="AF176" s="2402"/>
      <c r="AG176" s="2402"/>
      <c r="AH176" s="2402"/>
      <c r="AI176" s="2402"/>
      <c r="AJ176" s="2402"/>
      <c r="AK176" s="2402"/>
      <c r="AL176" s="2402"/>
      <c r="AM176" s="2402"/>
      <c r="AN176" s="2402"/>
      <c r="AO176" s="2403"/>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50"/>
      <c r="D177" s="2351"/>
      <c r="E177" s="2351"/>
      <c r="F177" s="2351"/>
      <c r="G177" s="2351"/>
      <c r="H177" s="2351"/>
      <c r="I177" s="2371"/>
      <c r="J177" s="2371"/>
      <c r="K177" s="2371"/>
      <c r="L177" s="2371"/>
      <c r="M177" s="2371"/>
      <c r="N177" s="2372"/>
      <c r="O177" s="1209"/>
      <c r="P177" s="2401"/>
      <c r="Q177" s="2402"/>
      <c r="R177" s="2402"/>
      <c r="S177" s="2402"/>
      <c r="T177" s="2402"/>
      <c r="U177" s="2402"/>
      <c r="V177" s="2402"/>
      <c r="W177" s="2402"/>
      <c r="X177" s="2402"/>
      <c r="Y177" s="2402"/>
      <c r="Z177" s="2402"/>
      <c r="AA177" s="2402"/>
      <c r="AB177" s="2402"/>
      <c r="AC177" s="2402"/>
      <c r="AD177" s="2402"/>
      <c r="AE177" s="2402"/>
      <c r="AF177" s="2402"/>
      <c r="AG177" s="2402"/>
      <c r="AH177" s="2402"/>
      <c r="AI177" s="2402"/>
      <c r="AJ177" s="2402"/>
      <c r="AK177" s="2402"/>
      <c r="AL177" s="2402"/>
      <c r="AM177" s="2402"/>
      <c r="AN177" s="2402"/>
      <c r="AO177" s="2403"/>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85"/>
      <c r="D178" s="2386"/>
      <c r="E178" s="2386"/>
      <c r="F178" s="2386"/>
      <c r="G178" s="2386"/>
      <c r="H178" s="2386"/>
      <c r="I178" s="2387"/>
      <c r="J178" s="2387"/>
      <c r="K178" s="2387"/>
      <c r="L178" s="2387"/>
      <c r="M178" s="2387"/>
      <c r="N178" s="2388"/>
      <c r="O178" s="1209"/>
      <c r="P178" s="2404"/>
      <c r="Q178" s="2405"/>
      <c r="R178" s="2405"/>
      <c r="S178" s="2405"/>
      <c r="T178" s="2405"/>
      <c r="U178" s="2405"/>
      <c r="V178" s="2405"/>
      <c r="W178" s="2405"/>
      <c r="X178" s="2405"/>
      <c r="Y178" s="2405"/>
      <c r="Z178" s="2405"/>
      <c r="AA178" s="2405"/>
      <c r="AB178" s="2405"/>
      <c r="AC178" s="2405"/>
      <c r="AD178" s="2405"/>
      <c r="AE178" s="2405"/>
      <c r="AF178" s="2405"/>
      <c r="AG178" s="2405"/>
      <c r="AH178" s="2405"/>
      <c r="AI178" s="2405"/>
      <c r="AJ178" s="2405"/>
      <c r="AK178" s="2405"/>
      <c r="AL178" s="2405"/>
      <c r="AM178" s="2405"/>
      <c r="AN178" s="2405"/>
      <c r="AO178" s="2406"/>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89" t="s">
        <v>2490</v>
      </c>
      <c r="D180" s="2390"/>
      <c r="E180" s="2390"/>
      <c r="F180" s="2390"/>
      <c r="G180" s="2390"/>
      <c r="H180" s="2390"/>
      <c r="I180" s="2390"/>
      <c r="J180" s="2390"/>
      <c r="K180" s="2390"/>
      <c r="L180" s="2390"/>
      <c r="M180" s="2390"/>
      <c r="N180" s="2390"/>
      <c r="O180" s="2390"/>
      <c r="P180" s="2390"/>
      <c r="Q180" s="2390"/>
      <c r="R180" s="2390"/>
      <c r="S180" s="2390"/>
      <c r="T180" s="2390"/>
      <c r="U180" s="2390"/>
      <c r="V180" s="2390"/>
      <c r="W180" s="2390"/>
      <c r="X180" s="2390"/>
      <c r="Y180" s="2390"/>
      <c r="Z180" s="2390"/>
      <c r="AA180" s="2390"/>
      <c r="AB180" s="2390"/>
      <c r="AC180" s="2390"/>
      <c r="AD180" s="2390"/>
      <c r="AE180" s="2391"/>
      <c r="AF180" s="1209"/>
      <c r="AG180" s="1209"/>
      <c r="AH180" s="2584" t="s">
        <v>2607</v>
      </c>
      <c r="AI180" s="2585"/>
      <c r="AJ180" s="2585"/>
      <c r="AK180" s="2585"/>
      <c r="AL180" s="2585"/>
      <c r="AM180" s="2585"/>
      <c r="AN180" s="2585"/>
      <c r="AO180" s="2585"/>
      <c r="AP180" s="2585"/>
      <c r="AQ180" s="2585"/>
      <c r="AR180" s="2585"/>
      <c r="AS180" s="2585"/>
      <c r="AT180" s="2585"/>
      <c r="AU180" s="2585"/>
      <c r="AV180" s="2585"/>
      <c r="AW180" s="2585"/>
      <c r="AX180" s="2585"/>
      <c r="AY180" s="2585"/>
      <c r="AZ180" s="2585"/>
      <c r="BA180" s="2585"/>
      <c r="BB180" s="2585"/>
      <c r="BC180" s="2585"/>
      <c r="BD180" s="2585"/>
      <c r="BE180" s="2586"/>
    </row>
    <row r="181" spans="1:57" ht="15.75" customHeight="1" thickBot="1">
      <c r="A181" s="1209"/>
      <c r="B181" s="1209"/>
      <c r="C181" s="2392"/>
      <c r="D181" s="2393"/>
      <c r="E181" s="2393"/>
      <c r="F181" s="2393"/>
      <c r="G181" s="2393"/>
      <c r="H181" s="2393"/>
      <c r="I181" s="2393"/>
      <c r="J181" s="2393"/>
      <c r="K181" s="2393"/>
      <c r="L181" s="2393"/>
      <c r="M181" s="2393"/>
      <c r="N181" s="2393"/>
      <c r="O181" s="2393"/>
      <c r="P181" s="2393"/>
      <c r="Q181" s="2393"/>
      <c r="R181" s="2393"/>
      <c r="S181" s="2393"/>
      <c r="T181" s="2393"/>
      <c r="U181" s="2393"/>
      <c r="V181" s="2393"/>
      <c r="W181" s="2393"/>
      <c r="X181" s="2393"/>
      <c r="Y181" s="2393"/>
      <c r="Z181" s="2393"/>
      <c r="AA181" s="2393"/>
      <c r="AB181" s="2393"/>
      <c r="AC181" s="2393"/>
      <c r="AD181" s="2393"/>
      <c r="AE181" s="2394"/>
      <c r="AF181" s="1209"/>
      <c r="AG181" s="1209"/>
      <c r="AH181" s="2587" t="s">
        <v>2628</v>
      </c>
      <c r="AI181" s="2587"/>
      <c r="AJ181" s="2587"/>
      <c r="AK181" s="2587"/>
      <c r="AL181" s="2587"/>
      <c r="AM181" s="2587"/>
      <c r="AN181" s="2587"/>
      <c r="AO181" s="2587"/>
      <c r="AP181" s="2587"/>
      <c r="AQ181" s="2587"/>
      <c r="AR181" s="2587"/>
      <c r="AS181" s="2587"/>
      <c r="AT181" s="2587"/>
      <c r="AU181" s="2587"/>
      <c r="AV181" s="2587"/>
      <c r="AW181" s="2587"/>
      <c r="AX181" s="2587"/>
      <c r="AY181" s="2587"/>
      <c r="AZ181" s="2587"/>
      <c r="BA181" s="2587"/>
      <c r="BB181" s="2587"/>
      <c r="BC181" s="2587"/>
      <c r="BD181" s="2587"/>
      <c r="BE181" s="2587"/>
    </row>
    <row r="182" spans="1:57" ht="15.75" customHeight="1">
      <c r="A182" s="1209"/>
      <c r="B182" s="1209"/>
      <c r="C182" s="2182" t="s">
        <v>1840</v>
      </c>
      <c r="D182" s="2183"/>
      <c r="E182" s="2183"/>
      <c r="F182" s="2183"/>
      <c r="G182" s="2183"/>
      <c r="H182" s="2183"/>
      <c r="I182" s="2183"/>
      <c r="J182" s="2183"/>
      <c r="K182" s="2183"/>
      <c r="L182" s="2183"/>
      <c r="M182" s="2183"/>
      <c r="N182" s="2183" t="s">
        <v>1851</v>
      </c>
      <c r="O182" s="2183"/>
      <c r="P182" s="2183"/>
      <c r="Q182" s="2183"/>
      <c r="R182" s="2183"/>
      <c r="S182" s="2183"/>
      <c r="T182" s="2183"/>
      <c r="U182" s="2215" t="s">
        <v>1840</v>
      </c>
      <c r="V182" s="2215"/>
      <c r="W182" s="2215"/>
      <c r="X182" s="2215"/>
      <c r="Y182" s="2215"/>
      <c r="Z182" s="2215"/>
      <c r="AA182" s="2215"/>
      <c r="AB182" s="2215"/>
      <c r="AC182" s="2215"/>
      <c r="AD182" s="2215"/>
      <c r="AE182" s="2216"/>
      <c r="AF182" s="1209"/>
      <c r="AG182" s="1209"/>
      <c r="AH182" s="2370" t="s">
        <v>2612</v>
      </c>
      <c r="AI182" s="2370"/>
      <c r="AJ182" s="2370"/>
      <c r="AK182" s="2370"/>
      <c r="AL182" s="2370"/>
      <c r="AM182" s="2370"/>
      <c r="AN182" s="2370"/>
      <c r="AO182" s="2370"/>
      <c r="AP182" s="2370"/>
      <c r="AQ182" s="2370"/>
      <c r="AR182" s="2370"/>
      <c r="AS182" s="2370"/>
      <c r="AT182" s="2370"/>
      <c r="AU182" s="2595">
        <v>2500000</v>
      </c>
      <c r="AV182" s="2595"/>
      <c r="AW182" s="2595"/>
      <c r="AX182" s="2595"/>
      <c r="AY182" s="2595"/>
      <c r="AZ182" s="2595"/>
      <c r="BA182" s="2595"/>
      <c r="BB182" s="2595"/>
      <c r="BC182" s="2599"/>
      <c r="BD182" s="2600"/>
      <c r="BE182" s="2601"/>
    </row>
    <row r="183" spans="1:57" ht="15.75" customHeight="1">
      <c r="A183" s="1209"/>
      <c r="B183" s="1209"/>
      <c r="C183" s="2359" t="s">
        <v>2491</v>
      </c>
      <c r="D183" s="2360"/>
      <c r="E183" s="2360"/>
      <c r="F183" s="2360"/>
      <c r="G183" s="2360"/>
      <c r="H183" s="2360"/>
      <c r="I183" s="2360"/>
      <c r="J183" s="2360"/>
      <c r="K183" s="2360"/>
      <c r="L183" s="2360"/>
      <c r="M183" s="2360"/>
      <c r="N183" s="2373">
        <f>'Sources and Uses Budget'!B105</f>
        <v>61902399</v>
      </c>
      <c r="O183" s="2373"/>
      <c r="P183" s="2373"/>
      <c r="Q183" s="2373"/>
      <c r="R183" s="2373"/>
      <c r="S183" s="2373"/>
      <c r="T183" s="2373"/>
      <c r="U183" s="2374"/>
      <c r="V183" s="2374"/>
      <c r="W183" s="2374"/>
      <c r="X183" s="2374"/>
      <c r="Y183" s="2374"/>
      <c r="Z183" s="2374"/>
      <c r="AA183" s="2374"/>
      <c r="AB183" s="2374"/>
      <c r="AC183" s="2374"/>
      <c r="AD183" s="2374"/>
      <c r="AE183" s="2375"/>
      <c r="AF183" s="1209"/>
      <c r="AG183" s="1209"/>
      <c r="AH183" s="2370" t="s">
        <v>2611</v>
      </c>
      <c r="AI183" s="2370"/>
      <c r="AJ183" s="2370"/>
      <c r="AK183" s="2370"/>
      <c r="AL183" s="2370"/>
      <c r="AM183" s="2370"/>
      <c r="AN183" s="2370"/>
      <c r="AO183" s="2370"/>
      <c r="AP183" s="2370"/>
      <c r="AQ183" s="2370"/>
      <c r="AR183" s="2370"/>
      <c r="AS183" s="2370"/>
      <c r="AT183" s="2370"/>
      <c r="AU183" s="2596">
        <f>MAX(0,Application!AG439-100)*20000</f>
        <v>800000</v>
      </c>
      <c r="AV183" s="2596"/>
      <c r="AW183" s="2596"/>
      <c r="AX183" s="2596"/>
      <c r="AY183" s="2596"/>
      <c r="AZ183" s="2596"/>
      <c r="BA183" s="2596"/>
      <c r="BB183" s="2596"/>
      <c r="BC183" s="2329"/>
      <c r="BD183" s="2330"/>
      <c r="BE183" s="2331"/>
    </row>
    <row r="184" spans="1:57" ht="15.75" customHeight="1">
      <c r="A184" s="1209"/>
      <c r="B184" s="1209"/>
      <c r="C184" s="2359" t="s">
        <v>2492</v>
      </c>
      <c r="D184" s="2360"/>
      <c r="E184" s="2360"/>
      <c r="F184" s="2360"/>
      <c r="G184" s="2360"/>
      <c r="H184" s="2360"/>
      <c r="I184" s="2360"/>
      <c r="J184" s="2360"/>
      <c r="K184" s="2360"/>
      <c r="L184" s="2360"/>
      <c r="M184" s="2360"/>
      <c r="N184" s="2373">
        <f>N183/J29</f>
        <v>442159.99285714288</v>
      </c>
      <c r="O184" s="2373"/>
      <c r="P184" s="2373"/>
      <c r="Q184" s="2373"/>
      <c r="R184" s="2373"/>
      <c r="S184" s="2373"/>
      <c r="T184" s="2373"/>
      <c r="U184" s="1225"/>
      <c r="V184" s="1225"/>
      <c r="W184" s="1225"/>
      <c r="X184" s="1225"/>
      <c r="Y184" s="1225"/>
      <c r="Z184" s="1225"/>
      <c r="AA184" s="1225"/>
      <c r="AB184" s="1225"/>
      <c r="AC184" s="1225"/>
      <c r="AD184" s="1225"/>
      <c r="AE184" s="1224"/>
      <c r="AF184" s="1209"/>
      <c r="AG184" s="1209"/>
      <c r="AH184" s="2588" t="s">
        <v>2610</v>
      </c>
      <c r="AI184" s="2588"/>
      <c r="AJ184" s="2588"/>
      <c r="AK184" s="2588"/>
      <c r="AL184" s="2588"/>
      <c r="AM184" s="2588"/>
      <c r="AN184" s="2588"/>
      <c r="AO184" s="2588"/>
      <c r="AP184" s="2588"/>
      <c r="AQ184" s="2588"/>
      <c r="AR184" s="2588"/>
      <c r="AS184" s="2588"/>
      <c r="AT184" s="2588"/>
      <c r="AU184" s="2328">
        <f>AU182+AU183</f>
        <v>3300000</v>
      </c>
      <c r="AV184" s="2328"/>
      <c r="AW184" s="2328"/>
      <c r="AX184" s="2328"/>
      <c r="AY184" s="2328"/>
      <c r="AZ184" s="2328"/>
      <c r="BA184" s="2328"/>
      <c r="BB184" s="2328"/>
      <c r="BC184" s="2329"/>
      <c r="BD184" s="2330"/>
      <c r="BE184" s="2331"/>
    </row>
    <row r="185" spans="1:57" ht="15.75" customHeight="1">
      <c r="A185" s="1209"/>
      <c r="B185" s="1209"/>
      <c r="C185" s="2376" t="s">
        <v>2493</v>
      </c>
      <c r="D185" s="2377"/>
      <c r="E185" s="2377"/>
      <c r="F185" s="2377"/>
      <c r="G185" s="2377"/>
      <c r="H185" s="2377"/>
      <c r="I185" s="2377"/>
      <c r="J185" s="2377"/>
      <c r="K185" s="2377"/>
      <c r="L185" s="2377"/>
      <c r="M185" s="2377"/>
      <c r="N185" s="2211">
        <v>0</v>
      </c>
      <c r="O185" s="2211"/>
      <c r="P185" s="2211"/>
      <c r="Q185" s="2211"/>
      <c r="R185" s="2211"/>
      <c r="S185" s="2211"/>
      <c r="T185" s="2211"/>
      <c r="U185" s="2354"/>
      <c r="V185" s="2354"/>
      <c r="W185" s="2354"/>
      <c r="X185" s="2354"/>
      <c r="Y185" s="2354"/>
      <c r="Z185" s="2354"/>
      <c r="AA185" s="2354"/>
      <c r="AB185" s="2354"/>
      <c r="AC185" s="2354"/>
      <c r="AD185" s="2354"/>
      <c r="AE185" s="2355"/>
      <c r="AF185" s="1209"/>
      <c r="AG185" s="1209"/>
      <c r="AH185" s="2598" t="s">
        <v>2609</v>
      </c>
      <c r="AI185" s="2598"/>
      <c r="AJ185" s="2598"/>
      <c r="AK185" s="2598"/>
      <c r="AL185" s="2598"/>
      <c r="AM185" s="2598"/>
      <c r="AN185" s="2598"/>
      <c r="AO185" s="2598"/>
      <c r="AP185" s="2598"/>
      <c r="AQ185" s="2598"/>
      <c r="AR185" s="2598"/>
      <c r="AS185" s="2598"/>
      <c r="AT185" s="2598"/>
      <c r="AU185" s="2597" t="str">
        <f>IF(AU189-AU192&lt;=AU184,"Y","N")</f>
        <v>Y</v>
      </c>
      <c r="AV185" s="2597"/>
      <c r="AW185" s="2597"/>
      <c r="AX185" s="2597"/>
      <c r="AY185" s="2597"/>
      <c r="AZ185" s="2597"/>
      <c r="BA185" s="2597"/>
      <c r="BB185" s="2597"/>
      <c r="BC185" s="2329"/>
      <c r="BD185" s="2330"/>
      <c r="BE185" s="2331"/>
    </row>
    <row r="186" spans="1:57" ht="15.75" customHeight="1" thickBot="1">
      <c r="A186" s="1209"/>
      <c r="B186" s="1209"/>
      <c r="C186" s="2359" t="s">
        <v>2494</v>
      </c>
      <c r="D186" s="2360"/>
      <c r="E186" s="2360"/>
      <c r="F186" s="2360"/>
      <c r="G186" s="2360"/>
      <c r="H186" s="2360"/>
      <c r="I186" s="2360"/>
      <c r="J186" s="2360"/>
      <c r="K186" s="2360"/>
      <c r="L186" s="2360"/>
      <c r="M186" s="2360"/>
      <c r="N186" s="2361">
        <f>SUM('Sources and Uses Budget'!B85:B86)</f>
        <v>285384</v>
      </c>
      <c r="O186" s="2361"/>
      <c r="P186" s="2361"/>
      <c r="Q186" s="2361"/>
      <c r="R186" s="2361"/>
      <c r="S186" s="2361"/>
      <c r="T186" s="2361"/>
      <c r="U186" s="2354"/>
      <c r="V186" s="2354"/>
      <c r="W186" s="2354"/>
      <c r="X186" s="2354"/>
      <c r="Y186" s="2354"/>
      <c r="Z186" s="2354"/>
      <c r="AA186" s="2354"/>
      <c r="AB186" s="2354"/>
      <c r="AC186" s="2354"/>
      <c r="AD186" s="2354"/>
      <c r="AE186" s="2355"/>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59" t="s">
        <v>2495</v>
      </c>
      <c r="D187" s="2360"/>
      <c r="E187" s="2360"/>
      <c r="F187" s="2360"/>
      <c r="G187" s="2360"/>
      <c r="H187" s="2360"/>
      <c r="I187" s="2360"/>
      <c r="J187" s="2360"/>
      <c r="K187" s="2360"/>
      <c r="L187" s="2360"/>
      <c r="M187" s="2360"/>
      <c r="N187" s="2361">
        <f>'Sources and Uses Budget'!B8</f>
        <v>3248711</v>
      </c>
      <c r="O187" s="2361"/>
      <c r="P187" s="2361"/>
      <c r="Q187" s="2361"/>
      <c r="R187" s="2361"/>
      <c r="S187" s="2361"/>
      <c r="T187" s="2361"/>
      <c r="U187" s="2354"/>
      <c r="V187" s="2354"/>
      <c r="W187" s="2354"/>
      <c r="X187" s="2354"/>
      <c r="Y187" s="2354"/>
      <c r="Z187" s="2354"/>
      <c r="AA187" s="2354"/>
      <c r="AB187" s="2354"/>
      <c r="AC187" s="2354"/>
      <c r="AD187" s="2354"/>
      <c r="AE187" s="2355"/>
      <c r="AF187" s="1209"/>
      <c r="AG187" s="1209"/>
      <c r="AH187" s="2362" t="s">
        <v>1852</v>
      </c>
      <c r="AI187" s="2363"/>
      <c r="AJ187" s="2363"/>
      <c r="AK187" s="2363"/>
      <c r="AL187" s="2363"/>
      <c r="AM187" s="2363"/>
      <c r="AN187" s="2363"/>
      <c r="AO187" s="2363"/>
      <c r="AP187" s="2363"/>
      <c r="AQ187" s="2363"/>
      <c r="AR187" s="2363"/>
      <c r="AS187" s="2363"/>
      <c r="AT187" s="2363"/>
      <c r="AU187" s="2363"/>
      <c r="AV187" s="2363"/>
      <c r="AW187" s="2363"/>
      <c r="AX187" s="2363"/>
      <c r="AY187" s="2363"/>
      <c r="AZ187" s="2363"/>
      <c r="BA187" s="2363"/>
      <c r="BB187" s="2363"/>
      <c r="BC187" s="2363"/>
      <c r="BD187" s="2363"/>
      <c r="BE187" s="2364"/>
    </row>
    <row r="188" spans="1:57" ht="15.75" customHeight="1">
      <c r="A188" s="1209"/>
      <c r="B188" s="1209"/>
      <c r="C188" s="2359" t="s">
        <v>2496</v>
      </c>
      <c r="D188" s="2360"/>
      <c r="E188" s="2360"/>
      <c r="F188" s="2360"/>
      <c r="G188" s="2360"/>
      <c r="H188" s="2360"/>
      <c r="I188" s="2360"/>
      <c r="J188" s="2360"/>
      <c r="K188" s="2360"/>
      <c r="L188" s="2360"/>
      <c r="M188" s="2360"/>
      <c r="N188" s="2353">
        <v>0</v>
      </c>
      <c r="O188" s="2353"/>
      <c r="P188" s="2353"/>
      <c r="Q188" s="2353"/>
      <c r="R188" s="2353"/>
      <c r="S188" s="2353"/>
      <c r="T188" s="2353"/>
      <c r="U188" s="2354"/>
      <c r="V188" s="2354"/>
      <c r="W188" s="2354"/>
      <c r="X188" s="2354"/>
      <c r="Y188" s="2354"/>
      <c r="Z188" s="2354"/>
      <c r="AA188" s="2354"/>
      <c r="AB188" s="2354"/>
      <c r="AC188" s="2354"/>
      <c r="AD188" s="2354"/>
      <c r="AE188" s="2355"/>
      <c r="AF188" s="1209"/>
      <c r="AG188" s="1209"/>
      <c r="AH188" s="2365" t="s">
        <v>1852</v>
      </c>
      <c r="AI188" s="2365"/>
      <c r="AJ188" s="2365"/>
      <c r="AK188" s="2365"/>
      <c r="AL188" s="2365"/>
      <c r="AM188" s="2365"/>
      <c r="AN188" s="2365"/>
      <c r="AO188" s="2365"/>
      <c r="AP188" s="2365"/>
      <c r="AQ188" s="2365"/>
      <c r="AR188" s="2365"/>
      <c r="AS188" s="2365"/>
      <c r="AT188" s="2365"/>
      <c r="AU188" s="2366">
        <v>0</v>
      </c>
      <c r="AV188" s="2366"/>
      <c r="AW188" s="2366"/>
      <c r="AX188" s="2366"/>
      <c r="AY188" s="2366"/>
      <c r="AZ188" s="2366"/>
      <c r="BA188" s="2366"/>
      <c r="BB188" s="2366"/>
      <c r="BC188" s="2367"/>
      <c r="BD188" s="2368"/>
      <c r="BE188" s="2369"/>
    </row>
    <row r="189" spans="1:57" ht="15.75" customHeight="1">
      <c r="A189" s="1209"/>
      <c r="B189" s="1209"/>
      <c r="C189" s="2359" t="s">
        <v>2497</v>
      </c>
      <c r="D189" s="2360"/>
      <c r="E189" s="2360"/>
      <c r="F189" s="2360"/>
      <c r="G189" s="2360"/>
      <c r="H189" s="2360"/>
      <c r="I189" s="2360"/>
      <c r="J189" s="2360"/>
      <c r="K189" s="2360"/>
      <c r="L189" s="2360"/>
      <c r="M189" s="2360"/>
      <c r="N189" s="2353">
        <v>0</v>
      </c>
      <c r="O189" s="2353"/>
      <c r="P189" s="2353"/>
      <c r="Q189" s="2353"/>
      <c r="R189" s="2353"/>
      <c r="S189" s="2353"/>
      <c r="T189" s="2353"/>
      <c r="U189" s="2354"/>
      <c r="V189" s="2354"/>
      <c r="W189" s="2354"/>
      <c r="X189" s="2354"/>
      <c r="Y189" s="2354"/>
      <c r="Z189" s="2354"/>
      <c r="AA189" s="2354"/>
      <c r="AB189" s="2354"/>
      <c r="AC189" s="2354"/>
      <c r="AD189" s="2354"/>
      <c r="AE189" s="2355"/>
      <c r="AF189" s="1209"/>
      <c r="AG189" s="1209"/>
      <c r="AH189" s="2370" t="s">
        <v>2608</v>
      </c>
      <c r="AI189" s="2370"/>
      <c r="AJ189" s="2370"/>
      <c r="AK189" s="2370"/>
      <c r="AL189" s="2370"/>
      <c r="AM189" s="2370"/>
      <c r="AN189" s="2370"/>
      <c r="AO189" s="2370"/>
      <c r="AP189" s="2370"/>
      <c r="AQ189" s="2370"/>
      <c r="AR189" s="2370"/>
      <c r="AS189" s="2370"/>
      <c r="AT189" s="2370"/>
      <c r="AU189" s="2358"/>
      <c r="AV189" s="2358"/>
      <c r="AW189" s="2358"/>
      <c r="AX189" s="2358"/>
      <c r="AY189" s="2358"/>
      <c r="AZ189" s="2358"/>
      <c r="BA189" s="2358"/>
      <c r="BB189" s="2358"/>
      <c r="BC189" s="2329"/>
      <c r="BD189" s="2330"/>
      <c r="BE189" s="2331"/>
    </row>
    <row r="190" spans="1:57" ht="15.75" customHeight="1">
      <c r="A190" s="1209"/>
      <c r="B190" s="1209"/>
      <c r="C190" s="2356" t="s">
        <v>301</v>
      </c>
      <c r="D190" s="2357"/>
      <c r="E190" s="2352" t="s">
        <v>1846</v>
      </c>
      <c r="F190" s="2352"/>
      <c r="G190" s="2352"/>
      <c r="H190" s="2352"/>
      <c r="I190" s="2352"/>
      <c r="J190" s="2352"/>
      <c r="K190" s="2352"/>
      <c r="L190" s="2352"/>
      <c r="M190" s="2352"/>
      <c r="N190" s="2353">
        <v>0</v>
      </c>
      <c r="O190" s="2353"/>
      <c r="P190" s="2353"/>
      <c r="Q190" s="2353"/>
      <c r="R190" s="2353"/>
      <c r="S190" s="2353"/>
      <c r="T190" s="2353"/>
      <c r="U190" s="2354"/>
      <c r="V190" s="2354"/>
      <c r="W190" s="2354"/>
      <c r="X190" s="2354"/>
      <c r="Y190" s="2354"/>
      <c r="Z190" s="2354"/>
      <c r="AA190" s="2354"/>
      <c r="AB190" s="2354"/>
      <c r="AC190" s="2354"/>
      <c r="AD190" s="2354"/>
      <c r="AE190" s="2355"/>
      <c r="AF190" s="1209"/>
      <c r="AG190" s="1209"/>
      <c r="AH190" s="2588" t="s">
        <v>2607</v>
      </c>
      <c r="AI190" s="2588"/>
      <c r="AJ190" s="2588"/>
      <c r="AK190" s="2588"/>
      <c r="AL190" s="2588"/>
      <c r="AM190" s="2588"/>
      <c r="AN190" s="2588"/>
      <c r="AO190" s="2588"/>
      <c r="AP190" s="2588"/>
      <c r="AQ190" s="2588"/>
      <c r="AR190" s="2588"/>
      <c r="AS190" s="2588"/>
      <c r="AT190" s="2588"/>
      <c r="AU190" s="2328">
        <f>SUM(AU188:BB189)</f>
        <v>0</v>
      </c>
      <c r="AV190" s="2328"/>
      <c r="AW190" s="2328"/>
      <c r="AX190" s="2328"/>
      <c r="AY190" s="2328"/>
      <c r="AZ190" s="2328"/>
      <c r="BA190" s="2328"/>
      <c r="BB190" s="2328"/>
      <c r="BC190" s="2329"/>
      <c r="BD190" s="2330"/>
      <c r="BE190" s="2331"/>
    </row>
    <row r="191" spans="1:57" ht="15.75" customHeight="1" thickBot="1">
      <c r="A191" s="1209"/>
      <c r="B191" s="1209"/>
      <c r="C191" s="2350" t="s">
        <v>301</v>
      </c>
      <c r="D191" s="2351"/>
      <c r="E191" s="2352" t="s">
        <v>1846</v>
      </c>
      <c r="F191" s="2352"/>
      <c r="G191" s="2352"/>
      <c r="H191" s="2352"/>
      <c r="I191" s="2352"/>
      <c r="J191" s="2352"/>
      <c r="K191" s="2352"/>
      <c r="L191" s="2352"/>
      <c r="M191" s="2352"/>
      <c r="N191" s="2353">
        <v>0</v>
      </c>
      <c r="O191" s="2353"/>
      <c r="P191" s="2353"/>
      <c r="Q191" s="2353"/>
      <c r="R191" s="2353"/>
      <c r="S191" s="2353"/>
      <c r="T191" s="2353"/>
      <c r="U191" s="2354"/>
      <c r="V191" s="2354"/>
      <c r="W191" s="2354"/>
      <c r="X191" s="2354"/>
      <c r="Y191" s="2354"/>
      <c r="Z191" s="2354"/>
      <c r="AA191" s="2354"/>
      <c r="AB191" s="2354"/>
      <c r="AC191" s="2354"/>
      <c r="AD191" s="2354"/>
      <c r="AE191" s="2355"/>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32"/>
      <c r="BD191" s="2333"/>
      <c r="BE191" s="2334"/>
    </row>
    <row r="192" spans="1:57" ht="15.75" customHeight="1" thickBot="1">
      <c r="A192" s="1209"/>
      <c r="B192" s="1209"/>
      <c r="C192" s="2339" t="s">
        <v>301</v>
      </c>
      <c r="D192" s="2340"/>
      <c r="E192" s="2341" t="s">
        <v>1846</v>
      </c>
      <c r="F192" s="2341"/>
      <c r="G192" s="2341"/>
      <c r="H192" s="2341"/>
      <c r="I192" s="2341"/>
      <c r="J192" s="2341"/>
      <c r="K192" s="2341"/>
      <c r="L192" s="2341"/>
      <c r="M192" s="2342"/>
      <c r="N192" s="2343">
        <v>0</v>
      </c>
      <c r="O192" s="2343"/>
      <c r="P192" s="2343"/>
      <c r="Q192" s="2343"/>
      <c r="R192" s="2343"/>
      <c r="S192" s="2343"/>
      <c r="T192" s="2344"/>
      <c r="U192" s="2345"/>
      <c r="V192" s="2346"/>
      <c r="W192" s="2346"/>
      <c r="X192" s="2346"/>
      <c r="Y192" s="2346"/>
      <c r="Z192" s="2346"/>
      <c r="AA192" s="2346"/>
      <c r="AB192" s="2346"/>
      <c r="AC192" s="2346"/>
      <c r="AD192" s="2346"/>
      <c r="AE192" s="2347"/>
      <c r="AF192" s="1209"/>
      <c r="AG192" s="1209"/>
      <c r="AH192" s="2313" t="s">
        <v>1853</v>
      </c>
      <c r="AI192" s="2314"/>
      <c r="AJ192" s="2314"/>
      <c r="AK192" s="2314"/>
      <c r="AL192" s="2314"/>
      <c r="AM192" s="2314"/>
      <c r="AN192" s="2314"/>
      <c r="AO192" s="2314"/>
      <c r="AP192" s="2314"/>
      <c r="AQ192" s="2314"/>
      <c r="AR192" s="2314"/>
      <c r="AS192" s="2314"/>
      <c r="AT192" s="2314"/>
      <c r="AU192" s="2323"/>
      <c r="AV192" s="2323"/>
      <c r="AW192" s="2323"/>
      <c r="AX192" s="2323"/>
      <c r="AY192" s="2323"/>
      <c r="AZ192" s="2323"/>
      <c r="BA192" s="2323"/>
      <c r="BB192" s="2323"/>
      <c r="BC192" s="1222"/>
      <c r="BD192" s="1222"/>
      <c r="BE192" s="1221"/>
    </row>
    <row r="193" spans="1:57" ht="15.75" customHeight="1">
      <c r="A193" s="1209"/>
      <c r="B193" s="1209"/>
      <c r="C193" s="2335" t="s">
        <v>1854</v>
      </c>
      <c r="D193" s="2336"/>
      <c r="E193" s="2336"/>
      <c r="F193" s="2336"/>
      <c r="G193" s="2336"/>
      <c r="H193" s="2336"/>
      <c r="I193" s="2336"/>
      <c r="J193" s="2336"/>
      <c r="K193" s="2336"/>
      <c r="L193" s="2336"/>
      <c r="M193" s="2336"/>
      <c r="N193" s="2337">
        <f>SUM(N185:T192)</f>
        <v>3534095</v>
      </c>
      <c r="O193" s="2337"/>
      <c r="P193" s="2337"/>
      <c r="Q193" s="2337"/>
      <c r="R193" s="2337"/>
      <c r="S193" s="2337"/>
      <c r="T193" s="2338"/>
      <c r="U193" s="1209"/>
      <c r="V193" s="1209"/>
      <c r="W193" s="1209"/>
      <c r="X193" s="1209"/>
      <c r="Y193" s="1209"/>
      <c r="Z193" s="1209"/>
      <c r="AA193" s="1209"/>
      <c r="AB193" s="1209"/>
      <c r="AC193" s="1209"/>
      <c r="AD193" s="1209"/>
      <c r="AE193" s="1209"/>
      <c r="AF193" s="1209"/>
      <c r="AG193" s="1209"/>
      <c r="AH193" s="2348" t="s">
        <v>2606</v>
      </c>
      <c r="AI193" s="2348"/>
      <c r="AJ193" s="2348"/>
      <c r="AK193" s="2348"/>
      <c r="AL193" s="2348"/>
      <c r="AM193" s="2348"/>
      <c r="AN193" s="2348"/>
      <c r="AO193" s="2348"/>
      <c r="AP193" s="2348"/>
      <c r="AQ193" s="2348"/>
      <c r="AR193" s="2348"/>
      <c r="AS193" s="2348"/>
      <c r="AT193" s="2348"/>
      <c r="AU193" s="2348"/>
      <c r="AV193" s="2348"/>
      <c r="AW193" s="2348"/>
      <c r="AX193" s="2348"/>
      <c r="AY193" s="2348"/>
      <c r="AZ193" s="2348"/>
      <c r="BA193" s="2348"/>
      <c r="BB193" s="2348"/>
      <c r="BC193" s="2348"/>
      <c r="BD193" s="2348"/>
      <c r="BE193" s="2349"/>
    </row>
    <row r="194" spans="1:57" ht="15.75" customHeight="1" thickBot="1">
      <c r="A194" s="1209"/>
      <c r="B194" s="1209"/>
      <c r="C194" s="2315" t="s">
        <v>2498</v>
      </c>
      <c r="D194" s="2316"/>
      <c r="E194" s="2316"/>
      <c r="F194" s="2316"/>
      <c r="G194" s="2316"/>
      <c r="H194" s="2316"/>
      <c r="I194" s="2316"/>
      <c r="J194" s="2316"/>
      <c r="K194" s="2316"/>
      <c r="L194" s="2316"/>
      <c r="M194" s="2316"/>
      <c r="N194" s="2317">
        <f>(N183-N193)/J29</f>
        <v>416916.45714285714</v>
      </c>
      <c r="O194" s="2318"/>
      <c r="P194" s="2318"/>
      <c r="Q194" s="2318"/>
      <c r="R194" s="2318"/>
      <c r="S194" s="2318"/>
      <c r="T194" s="2319"/>
      <c r="U194" s="1220"/>
      <c r="V194" s="1209"/>
      <c r="W194" s="1209"/>
      <c r="X194" s="1209"/>
      <c r="Y194" s="1209"/>
      <c r="Z194" s="1209"/>
      <c r="AA194" s="1209"/>
      <c r="AB194" s="1209"/>
      <c r="AC194" s="1209"/>
      <c r="AD194" s="1209"/>
      <c r="AE194" s="1209"/>
      <c r="AF194" s="1209"/>
      <c r="AG194" s="1209"/>
      <c r="AH194" s="2348"/>
      <c r="AI194" s="2348"/>
      <c r="AJ194" s="2348"/>
      <c r="AK194" s="2348"/>
      <c r="AL194" s="2348"/>
      <c r="AM194" s="2348"/>
      <c r="AN194" s="2348"/>
      <c r="AO194" s="2348"/>
      <c r="AP194" s="2348"/>
      <c r="AQ194" s="2348"/>
      <c r="AR194" s="2348"/>
      <c r="AS194" s="2348"/>
      <c r="AT194" s="2348"/>
      <c r="AU194" s="2348"/>
      <c r="AV194" s="2348"/>
      <c r="AW194" s="2348"/>
      <c r="AX194" s="2348"/>
      <c r="AY194" s="2348"/>
      <c r="AZ194" s="2348"/>
      <c r="BA194" s="2348"/>
      <c r="BB194" s="2348"/>
      <c r="BC194" s="2348"/>
      <c r="BD194" s="2348"/>
      <c r="BE194" s="2349"/>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20"/>
      <c r="AI195" s="2320"/>
      <c r="AJ195" s="2320"/>
      <c r="AK195" s="2320"/>
      <c r="AL195" s="2320"/>
      <c r="AM195" s="2320"/>
      <c r="AN195" s="2320"/>
      <c r="AO195" s="2320"/>
      <c r="AP195" s="2320"/>
      <c r="AQ195" s="2320"/>
      <c r="AR195" s="2320"/>
      <c r="AS195" s="2324"/>
      <c r="AT195" s="2324"/>
      <c r="AU195" s="2324"/>
      <c r="AV195" s="2324"/>
      <c r="AW195" s="2324"/>
      <c r="AX195" s="2324"/>
      <c r="AY195" s="2324"/>
      <c r="AZ195" s="2324"/>
      <c r="BA195" s="2324"/>
      <c r="BB195" s="2324"/>
      <c r="BC195" s="2324"/>
      <c r="BD195" s="2324"/>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25" t="s">
        <v>2605</v>
      </c>
      <c r="D197" s="2326"/>
      <c r="E197" s="2326"/>
      <c r="F197" s="2326"/>
      <c r="G197" s="2326"/>
      <c r="H197" s="2326"/>
      <c r="I197" s="2326"/>
      <c r="J197" s="2326"/>
      <c r="K197" s="2326"/>
      <c r="L197" s="2326"/>
      <c r="M197" s="2326"/>
      <c r="N197" s="2326"/>
      <c r="O197" s="2326"/>
      <c r="P197" s="2326"/>
      <c r="Q197" s="2326"/>
      <c r="R197" s="2326"/>
      <c r="S197" s="2326"/>
      <c r="T197" s="2326"/>
      <c r="U197" s="2326"/>
      <c r="V197" s="2326"/>
      <c r="W197" s="2326"/>
      <c r="X197" s="2326"/>
      <c r="Y197" s="2326"/>
      <c r="Z197" s="2326"/>
      <c r="AA197" s="2326"/>
      <c r="AB197" s="2326"/>
      <c r="AC197" s="2326"/>
      <c r="AD197" s="2326"/>
      <c r="AE197" s="2327"/>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591" t="s">
        <v>2604</v>
      </c>
      <c r="D198" s="2591"/>
      <c r="E198" s="2591"/>
      <c r="F198" s="2591"/>
      <c r="G198" s="2591"/>
      <c r="H198" s="2591"/>
      <c r="I198" s="2591"/>
      <c r="J198" s="2591"/>
      <c r="K198" s="2591"/>
      <c r="L198" s="2591"/>
      <c r="M198" s="2591"/>
      <c r="N198" s="2591"/>
      <c r="O198" s="2592" t="s">
        <v>2603</v>
      </c>
      <c r="P198" s="2592"/>
      <c r="Q198" s="2592"/>
      <c r="R198" s="2592"/>
      <c r="S198" s="2592"/>
      <c r="T198" s="2592"/>
      <c r="U198" s="2592"/>
      <c r="V198" s="2592"/>
      <c r="W198" s="2592"/>
      <c r="X198" s="2592" t="s">
        <v>2602</v>
      </c>
      <c r="Y198" s="2592"/>
      <c r="Z198" s="2592"/>
      <c r="AA198" s="2592"/>
      <c r="AB198" s="2592"/>
      <c r="AC198" s="2592"/>
      <c r="AD198" s="2592"/>
      <c r="AE198" s="2592"/>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89" t="s">
        <v>2601</v>
      </c>
      <c r="D199" s="2589"/>
      <c r="E199" s="2589"/>
      <c r="F199" s="2589"/>
      <c r="G199" s="2589"/>
      <c r="H199" s="2589"/>
      <c r="I199" s="2589"/>
      <c r="J199" s="2589"/>
      <c r="K199" s="2589"/>
      <c r="L199" s="2589"/>
      <c r="M199" s="2589"/>
      <c r="N199" s="2589"/>
      <c r="O199" s="2321" t="s">
        <v>2600</v>
      </c>
      <c r="P199" s="2321"/>
      <c r="Q199" s="2321"/>
      <c r="R199" s="2321"/>
      <c r="S199" s="2321"/>
      <c r="T199" s="2321"/>
      <c r="U199" s="2321"/>
      <c r="V199" s="2321"/>
      <c r="W199" s="2321"/>
      <c r="X199" s="2322">
        <v>0.03</v>
      </c>
      <c r="Y199" s="2322"/>
      <c r="Z199" s="2322"/>
      <c r="AA199" s="2322"/>
      <c r="AB199" s="2322"/>
      <c r="AC199" s="2322"/>
      <c r="AD199" s="2322"/>
      <c r="AE199" s="2322"/>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89" t="s">
        <v>866</v>
      </c>
      <c r="D200" s="2589"/>
      <c r="E200" s="2589"/>
      <c r="F200" s="2589"/>
      <c r="G200" s="2589"/>
      <c r="H200" s="2589"/>
      <c r="I200" s="2589"/>
      <c r="J200" s="2589"/>
      <c r="K200" s="2589"/>
      <c r="L200" s="2589"/>
      <c r="M200" s="2589"/>
      <c r="N200" s="2589"/>
      <c r="O200" s="2321" t="s">
        <v>2600</v>
      </c>
      <c r="P200" s="2321"/>
      <c r="Q200" s="2321"/>
      <c r="R200" s="2321"/>
      <c r="S200" s="2321"/>
      <c r="T200" s="2321"/>
      <c r="U200" s="2321"/>
      <c r="V200" s="2321"/>
      <c r="W200" s="2321"/>
      <c r="X200" s="2322">
        <v>0.03</v>
      </c>
      <c r="Y200" s="2322"/>
      <c r="Z200" s="2322"/>
      <c r="AA200" s="2322"/>
      <c r="AB200" s="2322"/>
      <c r="AC200" s="2322"/>
      <c r="AD200" s="2322"/>
      <c r="AE200" s="2322"/>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89" t="s">
        <v>2599</v>
      </c>
      <c r="D201" s="2589"/>
      <c r="E201" s="2589"/>
      <c r="F201" s="2589"/>
      <c r="G201" s="2589"/>
      <c r="H201" s="2589"/>
      <c r="I201" s="2589"/>
      <c r="J201" s="2589"/>
      <c r="K201" s="2589"/>
      <c r="L201" s="2589"/>
      <c r="M201" s="2589"/>
      <c r="N201" s="2589"/>
      <c r="O201" s="2593">
        <f>SUM(O199:W200)</f>
        <v>0</v>
      </c>
      <c r="P201" s="2594"/>
      <c r="Q201" s="2594"/>
      <c r="R201" s="2594"/>
      <c r="S201" s="2594"/>
      <c r="T201" s="2594"/>
      <c r="U201" s="2594"/>
      <c r="V201" s="2594"/>
      <c r="W201" s="2594"/>
      <c r="X201" s="2594" t="s">
        <v>2598</v>
      </c>
      <c r="Y201" s="2594"/>
      <c r="Z201" s="2594"/>
      <c r="AA201" s="2594"/>
      <c r="AB201" s="2594"/>
      <c r="AC201" s="2594"/>
      <c r="AD201" s="2594"/>
      <c r="AE201" s="2594"/>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90" t="s">
        <v>2597</v>
      </c>
      <c r="D202" s="2590"/>
      <c r="E202" s="2590"/>
      <c r="F202" s="2590"/>
      <c r="G202" s="2590"/>
      <c r="H202" s="2590"/>
      <c r="I202" s="2590"/>
      <c r="J202" s="2590"/>
      <c r="K202" s="2590"/>
      <c r="L202" s="2590"/>
      <c r="M202" s="2590"/>
      <c r="N202" s="2590"/>
      <c r="O202" s="2590"/>
      <c r="P202" s="2590"/>
      <c r="Q202" s="2590"/>
      <c r="R202" s="2590"/>
      <c r="S202" s="2590"/>
      <c r="T202" s="2590"/>
      <c r="U202" s="2590"/>
      <c r="V202" s="2590"/>
      <c r="W202" s="2590"/>
      <c r="X202" s="2590"/>
      <c r="Y202" s="2590"/>
      <c r="Z202" s="2590"/>
      <c r="AA202" s="2590"/>
      <c r="AB202" s="2590"/>
      <c r="AC202" s="2590"/>
      <c r="AD202" s="2590"/>
      <c r="AE202" s="2590"/>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300" t="s">
        <v>2596</v>
      </c>
      <c r="D204" s="2301"/>
      <c r="E204" s="2301"/>
      <c r="F204" s="2301"/>
      <c r="G204" s="2301"/>
      <c r="H204" s="2301"/>
      <c r="I204" s="2301"/>
      <c r="J204" s="2301"/>
      <c r="K204" s="2301"/>
      <c r="L204" s="2301"/>
      <c r="M204" s="2301"/>
      <c r="N204" s="2301"/>
      <c r="O204" s="2301"/>
      <c r="P204" s="2301"/>
      <c r="Q204" s="2301"/>
      <c r="R204" s="2301"/>
      <c r="S204" s="2301"/>
      <c r="T204" s="2301"/>
      <c r="U204" s="2301"/>
      <c r="V204" s="2301"/>
      <c r="W204" s="2301"/>
      <c r="X204" s="2301"/>
      <c r="Y204" s="2301"/>
      <c r="Z204" s="2301"/>
      <c r="AA204" s="2301"/>
      <c r="AB204" s="2301"/>
      <c r="AC204" s="2301"/>
      <c r="AD204" s="2301"/>
      <c r="AE204" s="2301"/>
      <c r="AF204" s="2301"/>
      <c r="AG204" s="2301"/>
      <c r="AH204" s="2301"/>
      <c r="AI204" s="2301"/>
      <c r="AJ204" s="2301"/>
      <c r="AK204" s="2302"/>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303" t="s">
        <v>2595</v>
      </c>
      <c r="D205" s="2261"/>
      <c r="E205" s="2261"/>
      <c r="F205" s="2304"/>
      <c r="G205" s="2260" t="s">
        <v>2594</v>
      </c>
      <c r="H205" s="2261"/>
      <c r="I205" s="2261"/>
      <c r="J205" s="2261"/>
      <c r="K205" s="2261"/>
      <c r="L205" s="2261"/>
      <c r="M205" s="2261"/>
      <c r="N205" s="2261"/>
      <c r="O205" s="2304"/>
      <c r="P205" s="2307" t="s">
        <v>2593</v>
      </c>
      <c r="Q205" s="2308"/>
      <c r="R205" s="2308"/>
      <c r="S205" s="2308"/>
      <c r="T205" s="2309"/>
      <c r="U205" s="2254" t="s">
        <v>2592</v>
      </c>
      <c r="V205" s="2255"/>
      <c r="W205" s="2255"/>
      <c r="X205" s="2256"/>
      <c r="Y205" s="2254" t="s">
        <v>2591</v>
      </c>
      <c r="Z205" s="2255"/>
      <c r="AA205" s="2255"/>
      <c r="AB205" s="2256"/>
      <c r="AC205" s="2254" t="s">
        <v>2590</v>
      </c>
      <c r="AD205" s="2255"/>
      <c r="AE205" s="2255"/>
      <c r="AF205" s="2256"/>
      <c r="AG205" s="2260" t="s">
        <v>2589</v>
      </c>
      <c r="AH205" s="2261"/>
      <c r="AI205" s="2261"/>
      <c r="AJ205" s="2261"/>
      <c r="AK205" s="2262"/>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05"/>
      <c r="D206" s="2264"/>
      <c r="E206" s="2264"/>
      <c r="F206" s="2306"/>
      <c r="G206" s="2263"/>
      <c r="H206" s="2264"/>
      <c r="I206" s="2264"/>
      <c r="J206" s="2264"/>
      <c r="K206" s="2264"/>
      <c r="L206" s="2264"/>
      <c r="M206" s="2264"/>
      <c r="N206" s="2264"/>
      <c r="O206" s="2306"/>
      <c r="P206" s="2310"/>
      <c r="Q206" s="2311"/>
      <c r="R206" s="2311"/>
      <c r="S206" s="2311"/>
      <c r="T206" s="2312"/>
      <c r="U206" s="2257"/>
      <c r="V206" s="2258"/>
      <c r="W206" s="2258"/>
      <c r="X206" s="2259"/>
      <c r="Y206" s="2257"/>
      <c r="Z206" s="2258"/>
      <c r="AA206" s="2258"/>
      <c r="AB206" s="2259"/>
      <c r="AC206" s="2257"/>
      <c r="AD206" s="2258"/>
      <c r="AE206" s="2258"/>
      <c r="AF206" s="2259"/>
      <c r="AG206" s="2263"/>
      <c r="AH206" s="2264"/>
      <c r="AI206" s="2264"/>
      <c r="AJ206" s="2264"/>
      <c r="AK206" s="2265"/>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66">
        <v>1</v>
      </c>
      <c r="D207" s="2267"/>
      <c r="E207" s="2267"/>
      <c r="F207" s="2267"/>
      <c r="G207" s="2268" t="s">
        <v>2155</v>
      </c>
      <c r="H207" s="2268"/>
      <c r="I207" s="2268"/>
      <c r="J207" s="2268"/>
      <c r="K207" s="2268"/>
      <c r="L207" s="2268"/>
      <c r="M207" s="2268"/>
      <c r="N207" s="2268"/>
      <c r="O207" s="2268"/>
      <c r="P207" s="2269"/>
      <c r="Q207" s="2270"/>
      <c r="R207" s="2270"/>
      <c r="S207" s="2270"/>
      <c r="T207" s="2270"/>
      <c r="U207" s="2271" t="s">
        <v>2155</v>
      </c>
      <c r="V207" s="2271"/>
      <c r="W207" s="2271"/>
      <c r="X207" s="2271"/>
      <c r="Y207" s="2271" t="s">
        <v>2155</v>
      </c>
      <c r="Z207" s="2271"/>
      <c r="AA207" s="2271"/>
      <c r="AB207" s="2271"/>
      <c r="AC207" s="2272" t="s">
        <v>2155</v>
      </c>
      <c r="AD207" s="2272"/>
      <c r="AE207" s="2272"/>
      <c r="AF207" s="2272"/>
      <c r="AG207" s="2251"/>
      <c r="AH207" s="2252"/>
      <c r="AI207" s="2252"/>
      <c r="AJ207" s="2252"/>
      <c r="AK207" s="2253"/>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66">
        <v>2</v>
      </c>
      <c r="D208" s="2267"/>
      <c r="E208" s="2267"/>
      <c r="F208" s="2267"/>
      <c r="G208" s="2268" t="s">
        <v>2155</v>
      </c>
      <c r="H208" s="2268"/>
      <c r="I208" s="2268"/>
      <c r="J208" s="2268"/>
      <c r="K208" s="2268"/>
      <c r="L208" s="2268"/>
      <c r="M208" s="2268"/>
      <c r="N208" s="2268"/>
      <c r="O208" s="2268"/>
      <c r="P208" s="2269"/>
      <c r="Q208" s="2269"/>
      <c r="R208" s="2269"/>
      <c r="S208" s="2269"/>
      <c r="T208" s="2269"/>
      <c r="U208" s="2271" t="s">
        <v>2155</v>
      </c>
      <c r="V208" s="2271"/>
      <c r="W208" s="2271"/>
      <c r="X208" s="2271"/>
      <c r="Y208" s="2271" t="s">
        <v>2155</v>
      </c>
      <c r="Z208" s="2271"/>
      <c r="AA208" s="2271"/>
      <c r="AB208" s="2271"/>
      <c r="AC208" s="2272" t="s">
        <v>2155</v>
      </c>
      <c r="AD208" s="2272"/>
      <c r="AE208" s="2272"/>
      <c r="AF208" s="2272"/>
      <c r="AG208" s="2251"/>
      <c r="AH208" s="2252"/>
      <c r="AI208" s="2252"/>
      <c r="AJ208" s="2252"/>
      <c r="AK208" s="2253"/>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66">
        <v>3</v>
      </c>
      <c r="D209" s="2267"/>
      <c r="E209" s="2267"/>
      <c r="F209" s="2267"/>
      <c r="G209" s="2268" t="s">
        <v>2155</v>
      </c>
      <c r="H209" s="2268"/>
      <c r="I209" s="2268"/>
      <c r="J209" s="2268"/>
      <c r="K209" s="2268"/>
      <c r="L209" s="2268"/>
      <c r="M209" s="2268"/>
      <c r="N209" s="2268"/>
      <c r="O209" s="2268"/>
      <c r="P209" s="2269"/>
      <c r="Q209" s="2269"/>
      <c r="R209" s="2269"/>
      <c r="S209" s="2269"/>
      <c r="T209" s="2269"/>
      <c r="U209" s="2271" t="s">
        <v>2155</v>
      </c>
      <c r="V209" s="2271"/>
      <c r="W209" s="2271"/>
      <c r="X209" s="2271"/>
      <c r="Y209" s="2271" t="s">
        <v>2155</v>
      </c>
      <c r="Z209" s="2271"/>
      <c r="AA209" s="2271"/>
      <c r="AB209" s="2271"/>
      <c r="AC209" s="2272" t="s">
        <v>2155</v>
      </c>
      <c r="AD209" s="2272"/>
      <c r="AE209" s="2272"/>
      <c r="AF209" s="2272"/>
      <c r="AG209" s="2251"/>
      <c r="AH209" s="2252"/>
      <c r="AI209" s="2252"/>
      <c r="AJ209" s="2252"/>
      <c r="AK209" s="2253"/>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66">
        <v>4</v>
      </c>
      <c r="D210" s="2267"/>
      <c r="E210" s="2267"/>
      <c r="F210" s="2267"/>
      <c r="G210" s="2268" t="s">
        <v>2155</v>
      </c>
      <c r="H210" s="2268"/>
      <c r="I210" s="2268"/>
      <c r="J210" s="2268"/>
      <c r="K210" s="2268"/>
      <c r="L210" s="2268"/>
      <c r="M210" s="2268"/>
      <c r="N210" s="2268"/>
      <c r="O210" s="2268"/>
      <c r="P210" s="2269"/>
      <c r="Q210" s="2269"/>
      <c r="R210" s="2269"/>
      <c r="S210" s="2269"/>
      <c r="T210" s="2269"/>
      <c r="U210" s="2271" t="s">
        <v>2155</v>
      </c>
      <c r="V210" s="2271"/>
      <c r="W210" s="2271"/>
      <c r="X210" s="2271"/>
      <c r="Y210" s="2271" t="s">
        <v>2155</v>
      </c>
      <c r="Z210" s="2271"/>
      <c r="AA210" s="2271"/>
      <c r="AB210" s="2271"/>
      <c r="AC210" s="2272" t="s">
        <v>2155</v>
      </c>
      <c r="AD210" s="2272"/>
      <c r="AE210" s="2272"/>
      <c r="AF210" s="2272"/>
      <c r="AG210" s="2251"/>
      <c r="AH210" s="2252"/>
      <c r="AI210" s="2252"/>
      <c r="AJ210" s="2252"/>
      <c r="AK210" s="2253"/>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66">
        <v>5</v>
      </c>
      <c r="D211" s="2267"/>
      <c r="E211" s="2267"/>
      <c r="F211" s="2267"/>
      <c r="G211" s="2268"/>
      <c r="H211" s="2268"/>
      <c r="I211" s="2268"/>
      <c r="J211" s="2268"/>
      <c r="K211" s="2268"/>
      <c r="L211" s="2268"/>
      <c r="M211" s="2268"/>
      <c r="N211" s="2268"/>
      <c r="O211" s="2268"/>
      <c r="P211" s="2269"/>
      <c r="Q211" s="2269"/>
      <c r="R211" s="2269"/>
      <c r="S211" s="2269"/>
      <c r="T211" s="2269"/>
      <c r="U211" s="2271" t="s">
        <v>2155</v>
      </c>
      <c r="V211" s="2271"/>
      <c r="W211" s="2271"/>
      <c r="X211" s="2271"/>
      <c r="Y211" s="2271" t="s">
        <v>2155</v>
      </c>
      <c r="Z211" s="2271"/>
      <c r="AA211" s="2271"/>
      <c r="AB211" s="2271"/>
      <c r="AC211" s="2272" t="s">
        <v>2155</v>
      </c>
      <c r="AD211" s="2272"/>
      <c r="AE211" s="2272"/>
      <c r="AF211" s="2272"/>
      <c r="AG211" s="2251"/>
      <c r="AH211" s="2252"/>
      <c r="AI211" s="2252"/>
      <c r="AJ211" s="2252"/>
      <c r="AK211" s="2253"/>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66">
        <v>6</v>
      </c>
      <c r="D212" s="2267"/>
      <c r="E212" s="2267"/>
      <c r="F212" s="2267"/>
      <c r="G212" s="2268" t="s">
        <v>2155</v>
      </c>
      <c r="H212" s="2268"/>
      <c r="I212" s="2268"/>
      <c r="J212" s="2268"/>
      <c r="K212" s="2268"/>
      <c r="L212" s="2268"/>
      <c r="M212" s="2268"/>
      <c r="N212" s="2268"/>
      <c r="O212" s="2268"/>
      <c r="P212" s="2269"/>
      <c r="Q212" s="2269"/>
      <c r="R212" s="2269"/>
      <c r="S212" s="2269"/>
      <c r="T212" s="2269"/>
      <c r="U212" s="2271"/>
      <c r="V212" s="2271"/>
      <c r="W212" s="2271"/>
      <c r="X212" s="2271"/>
      <c r="Y212" s="2271"/>
      <c r="Z212" s="2271"/>
      <c r="AA212" s="2271"/>
      <c r="AB212" s="2271"/>
      <c r="AC212" s="2272" t="s">
        <v>2155</v>
      </c>
      <c r="AD212" s="2272"/>
      <c r="AE212" s="2272"/>
      <c r="AF212" s="2272"/>
      <c r="AG212" s="2251"/>
      <c r="AH212" s="2252"/>
      <c r="AI212" s="2252"/>
      <c r="AJ212" s="2252"/>
      <c r="AK212" s="2253"/>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66">
        <v>7</v>
      </c>
      <c r="D213" s="2267"/>
      <c r="E213" s="2267"/>
      <c r="F213" s="2267"/>
      <c r="G213" s="2602"/>
      <c r="H213" s="2603"/>
      <c r="I213" s="2603"/>
      <c r="J213" s="2603"/>
      <c r="K213" s="2603"/>
      <c r="L213" s="2603"/>
      <c r="M213" s="2603"/>
      <c r="N213" s="2603"/>
      <c r="O213" s="2604"/>
      <c r="P213" s="2269"/>
      <c r="Q213" s="2269"/>
      <c r="R213" s="2269"/>
      <c r="S213" s="2269"/>
      <c r="T213" s="2269"/>
      <c r="U213" s="2271"/>
      <c r="V213" s="2271"/>
      <c r="W213" s="2271"/>
      <c r="X213" s="2271"/>
      <c r="Y213" s="2271"/>
      <c r="Z213" s="2271"/>
      <c r="AA213" s="2271"/>
      <c r="AB213" s="2271"/>
      <c r="AC213" s="2272" t="s">
        <v>2155</v>
      </c>
      <c r="AD213" s="2272"/>
      <c r="AE213" s="2272"/>
      <c r="AF213" s="2272"/>
      <c r="AG213" s="2251"/>
      <c r="AH213" s="2252"/>
      <c r="AI213" s="2252"/>
      <c r="AJ213" s="2252"/>
      <c r="AK213" s="2253"/>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05" t="s">
        <v>2588</v>
      </c>
      <c r="D214" s="2606"/>
      <c r="E214" s="2606"/>
      <c r="F214" s="2606"/>
      <c r="G214" s="2606"/>
      <c r="H214" s="2606"/>
      <c r="I214" s="2606"/>
      <c r="J214" s="2606"/>
      <c r="K214" s="2606"/>
      <c r="L214" s="2606"/>
      <c r="M214" s="2606"/>
      <c r="N214" s="2606"/>
      <c r="O214" s="2606"/>
      <c r="P214" s="2607"/>
      <c r="Q214" s="2607"/>
      <c r="R214" s="2607"/>
      <c r="S214" s="2607"/>
      <c r="T214" s="2607"/>
      <c r="U214" s="2608">
        <v>0</v>
      </c>
      <c r="V214" s="2608"/>
      <c r="W214" s="2608"/>
      <c r="X214" s="2608"/>
      <c r="Y214" s="2608">
        <v>0</v>
      </c>
      <c r="Z214" s="2608"/>
      <c r="AA214" s="2608"/>
      <c r="AB214" s="2608"/>
      <c r="AC214" s="2609">
        <v>0</v>
      </c>
      <c r="AD214" s="2609"/>
      <c r="AE214" s="2609"/>
      <c r="AF214" s="2609"/>
      <c r="AG214" s="2248"/>
      <c r="AH214" s="2249"/>
      <c r="AI214" s="2249"/>
      <c r="AJ214" s="2249"/>
      <c r="AK214" s="2250"/>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2587</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76" t="s">
        <v>1855</v>
      </c>
      <c r="C219" s="2277"/>
      <c r="D219" s="2277"/>
      <c r="E219" s="2277"/>
      <c r="F219" s="2277"/>
      <c r="G219" s="2277"/>
      <c r="H219" s="2277"/>
      <c r="I219" s="2277"/>
      <c r="J219" s="2277"/>
      <c r="K219" s="2277"/>
      <c r="L219" s="2277"/>
      <c r="M219" s="2277"/>
      <c r="N219" s="2277"/>
      <c r="O219" s="2277"/>
      <c r="P219" s="2277"/>
      <c r="Q219" s="2277"/>
      <c r="R219" s="2277"/>
      <c r="S219" s="2277"/>
      <c r="T219" s="2277"/>
      <c r="U219" s="2277"/>
      <c r="V219" s="2277"/>
      <c r="W219" s="2277"/>
      <c r="X219" s="2277"/>
      <c r="Y219" s="2277"/>
      <c r="Z219" s="2277"/>
      <c r="AA219" s="2277"/>
      <c r="AB219" s="2277"/>
      <c r="AC219" s="2277"/>
      <c r="AD219" s="2277"/>
      <c r="AE219" s="2277"/>
      <c r="AF219" s="2277"/>
      <c r="AG219" s="2277"/>
      <c r="AH219" s="2277"/>
      <c r="AI219" s="2277"/>
      <c r="AJ219" s="2277"/>
      <c r="AK219" s="2277"/>
      <c r="AL219" s="2277"/>
      <c r="AM219" s="2277"/>
      <c r="AN219" s="2277"/>
      <c r="AO219" s="2277"/>
      <c r="AP219" s="2277"/>
      <c r="AQ219" s="2277"/>
      <c r="AR219" s="2277"/>
      <c r="AS219" s="2277"/>
      <c r="AT219" s="2277"/>
      <c r="AU219" s="2277"/>
      <c r="AV219" s="2277"/>
      <c r="AW219" s="2277"/>
      <c r="AX219" s="2277"/>
      <c r="AY219" s="2277"/>
      <c r="AZ219" s="2277"/>
      <c r="BA219" s="2277"/>
      <c r="BB219" s="2277"/>
      <c r="BC219" s="2277"/>
      <c r="BD219" s="2278"/>
      <c r="BE219" s="1205"/>
    </row>
    <row r="220" spans="1:57" ht="15.75" customHeight="1">
      <c r="A220" s="1209"/>
      <c r="B220" s="2279"/>
      <c r="C220" s="2280"/>
      <c r="D220" s="2280"/>
      <c r="E220" s="2280"/>
      <c r="F220" s="2280"/>
      <c r="G220" s="2280"/>
      <c r="H220" s="2280"/>
      <c r="I220" s="2280"/>
      <c r="J220" s="2280"/>
      <c r="K220" s="2280"/>
      <c r="L220" s="2280"/>
      <c r="M220" s="2280"/>
      <c r="N220" s="2280"/>
      <c r="O220" s="2280"/>
      <c r="P220" s="2280"/>
      <c r="Q220" s="2280"/>
      <c r="R220" s="2280"/>
      <c r="S220" s="2280"/>
      <c r="T220" s="2280"/>
      <c r="U220" s="2280"/>
      <c r="V220" s="2280"/>
      <c r="W220" s="2280"/>
      <c r="X220" s="2280"/>
      <c r="Y220" s="2280"/>
      <c r="Z220" s="2280"/>
      <c r="AA220" s="2280"/>
      <c r="AB220" s="2280"/>
      <c r="AC220" s="2280"/>
      <c r="AD220" s="2280"/>
      <c r="AE220" s="2280"/>
      <c r="AF220" s="2280"/>
      <c r="AG220" s="2280"/>
      <c r="AH220" s="2280"/>
      <c r="AI220" s="2280"/>
      <c r="AJ220" s="2280"/>
      <c r="AK220" s="2280"/>
      <c r="AL220" s="2280"/>
      <c r="AM220" s="2280"/>
      <c r="AN220" s="2280"/>
      <c r="AO220" s="2280"/>
      <c r="AP220" s="2280"/>
      <c r="AQ220" s="2280"/>
      <c r="AR220" s="2280"/>
      <c r="AS220" s="2280"/>
      <c r="AT220" s="2280"/>
      <c r="AU220" s="2280"/>
      <c r="AV220" s="2280"/>
      <c r="AW220" s="2280"/>
      <c r="AX220" s="2280"/>
      <c r="AY220" s="2280"/>
      <c r="AZ220" s="2280"/>
      <c r="BA220" s="2280"/>
      <c r="BB220" s="2280"/>
      <c r="BC220" s="2280"/>
      <c r="BD220" s="2281"/>
      <c r="BE220" s="1205"/>
    </row>
    <row r="221" spans="1:57" ht="15.75" customHeight="1">
      <c r="A221" s="1209"/>
      <c r="B221" s="2282" t="s">
        <v>1856</v>
      </c>
      <c r="C221" s="2283"/>
      <c r="D221" s="2283"/>
      <c r="E221" s="2283"/>
      <c r="F221" s="2283"/>
      <c r="G221" s="2283"/>
      <c r="H221" s="2283"/>
      <c r="I221" s="2283"/>
      <c r="J221" s="2283"/>
      <c r="K221" s="2283"/>
      <c r="L221" s="2283"/>
      <c r="M221" s="2283"/>
      <c r="N221" s="2283"/>
      <c r="O221" s="2283"/>
      <c r="P221" s="2283"/>
      <c r="Q221" s="2283"/>
      <c r="R221" s="2283"/>
      <c r="S221" s="2283"/>
      <c r="T221" s="2283"/>
      <c r="U221" s="2283"/>
      <c r="V221" s="2283"/>
      <c r="W221" s="2283"/>
      <c r="X221" s="2283"/>
      <c r="Y221" s="2283"/>
      <c r="Z221" s="2283"/>
      <c r="AA221" s="2283"/>
      <c r="AB221" s="2283"/>
      <c r="AC221" s="2283"/>
      <c r="AD221" s="2283"/>
      <c r="AE221" s="2283"/>
      <c r="AF221" s="2283"/>
      <c r="AG221" s="2283"/>
      <c r="AH221" s="2283"/>
      <c r="AI221" s="2283"/>
      <c r="AJ221" s="2283"/>
      <c r="AK221" s="2283"/>
      <c r="AL221" s="2283"/>
      <c r="AM221" s="2283"/>
      <c r="AN221" s="2283"/>
      <c r="AO221" s="2283"/>
      <c r="AP221" s="2283"/>
      <c r="AQ221" s="2283"/>
      <c r="AR221" s="2283"/>
      <c r="AS221" s="2283"/>
      <c r="AT221" s="2283"/>
      <c r="AU221" s="2283"/>
      <c r="AV221" s="2283"/>
      <c r="AW221" s="2283"/>
      <c r="AX221" s="2283"/>
      <c r="AY221" s="2283"/>
      <c r="AZ221" s="2283"/>
      <c r="BA221" s="2283"/>
      <c r="BB221" s="2283"/>
      <c r="BC221" s="2283"/>
      <c r="BD221" s="2284"/>
      <c r="BE221" s="1205"/>
    </row>
    <row r="222" spans="1:57" ht="15.75" customHeight="1">
      <c r="A222" s="1209"/>
      <c r="B222" s="2282" t="s">
        <v>1857</v>
      </c>
      <c r="C222" s="2283"/>
      <c r="D222" s="2283"/>
      <c r="E222" s="2283"/>
      <c r="F222" s="2283"/>
      <c r="G222" s="2283"/>
      <c r="H222" s="2283"/>
      <c r="I222" s="2283"/>
      <c r="J222" s="2283"/>
      <c r="K222" s="2283"/>
      <c r="L222" s="2283"/>
      <c r="M222" s="2283"/>
      <c r="N222" s="2283"/>
      <c r="O222" s="2283"/>
      <c r="P222" s="2283"/>
      <c r="Q222" s="2283"/>
      <c r="R222" s="2283"/>
      <c r="S222" s="2283"/>
      <c r="T222" s="2283"/>
      <c r="U222" s="2283"/>
      <c r="V222" s="2283"/>
      <c r="W222" s="2283"/>
      <c r="X222" s="2283"/>
      <c r="Y222" s="2283"/>
      <c r="Z222" s="2283"/>
      <c r="AA222" s="2283"/>
      <c r="AB222" s="2283"/>
      <c r="AC222" s="2283"/>
      <c r="AD222" s="2283"/>
      <c r="AE222" s="2283"/>
      <c r="AF222" s="2283"/>
      <c r="AG222" s="2283"/>
      <c r="AH222" s="2283"/>
      <c r="AI222" s="2283"/>
      <c r="AJ222" s="2283"/>
      <c r="AK222" s="2283"/>
      <c r="AL222" s="2283"/>
      <c r="AM222" s="2283"/>
      <c r="AN222" s="2283"/>
      <c r="AO222" s="2283"/>
      <c r="AP222" s="2283"/>
      <c r="AQ222" s="2283"/>
      <c r="AR222" s="2283"/>
      <c r="AS222" s="2283"/>
      <c r="AT222" s="2283"/>
      <c r="AU222" s="2283"/>
      <c r="AV222" s="2283"/>
      <c r="AW222" s="2283"/>
      <c r="AX222" s="2283"/>
      <c r="AY222" s="2283"/>
      <c r="AZ222" s="2283"/>
      <c r="BA222" s="2283"/>
      <c r="BB222" s="2283"/>
      <c r="BC222" s="2283"/>
      <c r="BD222" s="2284"/>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85" t="s">
        <v>1858</v>
      </c>
      <c r="C224" s="2286"/>
      <c r="D224" s="2286"/>
      <c r="E224" s="2286"/>
      <c r="F224" s="2286"/>
      <c r="G224" s="2286"/>
      <c r="H224" s="2286"/>
      <c r="I224" s="2286"/>
      <c r="J224" s="2286"/>
      <c r="K224" s="2286"/>
      <c r="L224" s="2286"/>
      <c r="M224" s="2286"/>
      <c r="N224" s="2286"/>
      <c r="O224" s="2286"/>
      <c r="P224" s="2286"/>
      <c r="Q224" s="2286"/>
      <c r="R224" s="2286"/>
      <c r="S224" s="2286"/>
      <c r="T224" s="2286"/>
      <c r="U224" s="2286"/>
      <c r="V224" s="2286"/>
      <c r="W224" s="2286"/>
      <c r="X224" s="2286"/>
      <c r="Y224" s="2286"/>
      <c r="Z224" s="2286"/>
      <c r="AA224" s="2286"/>
      <c r="AB224" s="2286"/>
      <c r="AC224" s="2286"/>
      <c r="AD224" s="2286"/>
      <c r="AE224" s="2286"/>
      <c r="AF224" s="2286"/>
      <c r="AG224" s="2286"/>
      <c r="AH224" s="2286"/>
      <c r="AI224" s="2286"/>
      <c r="AJ224" s="2286"/>
      <c r="AK224" s="2286"/>
      <c r="AL224" s="2286"/>
      <c r="AM224" s="2286"/>
      <c r="AN224" s="2286"/>
      <c r="AO224" s="2286"/>
      <c r="AP224" s="2286"/>
      <c r="AQ224" s="2286"/>
      <c r="AR224" s="2286"/>
      <c r="AS224" s="2286"/>
      <c r="AT224" s="2286"/>
      <c r="AU224" s="2286"/>
      <c r="AV224" s="2286"/>
      <c r="AW224" s="2286"/>
      <c r="AX224" s="2286"/>
      <c r="AY224" s="2286"/>
      <c r="AZ224" s="2286"/>
      <c r="BA224" s="2286"/>
      <c r="BB224" s="2286"/>
      <c r="BC224" s="2286"/>
      <c r="BD224" s="2287"/>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1859</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299" t="s">
        <v>1860</v>
      </c>
      <c r="I228" s="2299"/>
      <c r="J228" s="2299"/>
      <c r="K228" s="2299"/>
      <c r="L228" s="2299"/>
      <c r="M228" s="2299"/>
      <c r="N228" s="2299"/>
      <c r="O228" s="2299"/>
      <c r="P228" s="2299"/>
      <c r="Q228" s="2299"/>
      <c r="R228" s="2299"/>
      <c r="S228" s="2299"/>
      <c r="T228" s="2299"/>
      <c r="U228" s="2299"/>
      <c r="V228" s="2299"/>
      <c r="W228" s="2299"/>
      <c r="X228" s="2299"/>
      <c r="Y228" s="2299"/>
      <c r="Z228" s="2299"/>
      <c r="AA228" s="2299"/>
      <c r="AB228" s="2299"/>
      <c r="AC228" s="2299"/>
      <c r="AD228" s="2299"/>
      <c r="AE228" s="2299"/>
      <c r="AF228" s="2299"/>
      <c r="AG228" s="2299"/>
      <c r="AH228" s="2299"/>
      <c r="AI228" s="2299"/>
      <c r="AJ228" s="2299"/>
      <c r="AK228" s="2299"/>
      <c r="AL228" s="2299"/>
      <c r="AM228" s="2299"/>
      <c r="AN228" s="2299"/>
      <c r="AO228" s="2299"/>
      <c r="AP228" s="2299"/>
      <c r="AQ228" s="2299"/>
      <c r="AR228" s="2299"/>
      <c r="AS228" s="2299"/>
      <c r="AT228" s="2299"/>
      <c r="AU228" s="2299"/>
      <c r="AV228" s="2299"/>
      <c r="AW228" s="2299"/>
      <c r="AX228" s="2299"/>
      <c r="AY228" s="2299"/>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298" t="s">
        <v>2499</v>
      </c>
      <c r="I230" s="2298"/>
      <c r="J230" s="2298"/>
      <c r="K230" s="2298"/>
      <c r="L230" s="2298"/>
      <c r="M230" s="2298"/>
      <c r="N230" s="2298"/>
      <c r="O230" s="2298"/>
      <c r="P230" s="2298"/>
      <c r="Q230" s="2298"/>
      <c r="R230" s="2298"/>
      <c r="S230" s="2298"/>
      <c r="T230" s="2298"/>
      <c r="U230" s="2298"/>
      <c r="V230" s="2298"/>
      <c r="W230" s="2298"/>
      <c r="X230" s="2298"/>
      <c r="Y230" s="2298"/>
      <c r="Z230" s="2298"/>
      <c r="AA230" s="2298"/>
      <c r="AB230" s="2298"/>
      <c r="AC230" s="2298"/>
      <c r="AD230" s="2298"/>
      <c r="AE230" s="2298"/>
      <c r="AF230" s="2298"/>
      <c r="AG230" s="2298"/>
      <c r="AH230" s="2298"/>
      <c r="AI230" s="2298"/>
      <c r="AJ230" s="2298"/>
      <c r="AK230" s="2298"/>
      <c r="AL230" s="2298"/>
      <c r="AM230" s="2298"/>
      <c r="AN230" s="2298"/>
      <c r="AO230" s="2298"/>
      <c r="AP230" s="2298"/>
      <c r="AQ230" s="2298"/>
      <c r="AR230" s="2298"/>
      <c r="AS230" s="2298"/>
      <c r="AT230" s="2298"/>
      <c r="AU230" s="2298"/>
      <c r="AV230" s="2298"/>
      <c r="AW230" s="2298"/>
      <c r="AX230" s="2298"/>
      <c r="AY230" s="2298"/>
      <c r="AZ230" s="2298"/>
      <c r="BA230" s="1209"/>
      <c r="BB230" s="1209"/>
      <c r="BC230" s="1209"/>
      <c r="BD230" s="1205"/>
      <c r="BE230" s="1205"/>
    </row>
    <row r="231" spans="1:57" ht="15.75" customHeight="1">
      <c r="A231" s="1209"/>
      <c r="B231" s="1215"/>
      <c r="C231" s="1209"/>
      <c r="D231" s="1209"/>
      <c r="E231" s="1209"/>
      <c r="F231" s="1209"/>
      <c r="G231" s="1209"/>
      <c r="H231" s="2298"/>
      <c r="I231" s="2298"/>
      <c r="J231" s="2298"/>
      <c r="K231" s="2298"/>
      <c r="L231" s="2298"/>
      <c r="M231" s="2298"/>
      <c r="N231" s="2298"/>
      <c r="O231" s="2298"/>
      <c r="P231" s="2298"/>
      <c r="Q231" s="2298"/>
      <c r="R231" s="2298"/>
      <c r="S231" s="2298"/>
      <c r="T231" s="2298"/>
      <c r="U231" s="2298"/>
      <c r="V231" s="2298"/>
      <c r="W231" s="2298"/>
      <c r="X231" s="2298"/>
      <c r="Y231" s="2298"/>
      <c r="Z231" s="2298"/>
      <c r="AA231" s="2298"/>
      <c r="AB231" s="2298"/>
      <c r="AC231" s="2298"/>
      <c r="AD231" s="2298"/>
      <c r="AE231" s="2298"/>
      <c r="AF231" s="2298"/>
      <c r="AG231" s="2298"/>
      <c r="AH231" s="2298"/>
      <c r="AI231" s="2298"/>
      <c r="AJ231" s="2298"/>
      <c r="AK231" s="2298"/>
      <c r="AL231" s="2298"/>
      <c r="AM231" s="2298"/>
      <c r="AN231" s="2298"/>
      <c r="AO231" s="2298"/>
      <c r="AP231" s="2298"/>
      <c r="AQ231" s="2298"/>
      <c r="AR231" s="2298"/>
      <c r="AS231" s="2298"/>
      <c r="AT231" s="2298"/>
      <c r="AU231" s="2298"/>
      <c r="AV231" s="2298"/>
      <c r="AW231" s="2298"/>
      <c r="AX231" s="2298"/>
      <c r="AY231" s="2298"/>
      <c r="AZ231" s="2298"/>
      <c r="BA231" s="1209"/>
      <c r="BB231" s="1209"/>
      <c r="BC231" s="1209"/>
      <c r="BD231" s="1205"/>
      <c r="BE231" s="1205"/>
    </row>
    <row r="232" spans="1:57" ht="15.75" customHeight="1">
      <c r="A232" s="1209"/>
      <c r="B232" s="1215"/>
      <c r="C232" s="1209"/>
      <c r="D232" s="1209"/>
      <c r="E232" s="1209"/>
      <c r="F232" s="1209"/>
      <c r="G232" s="1209"/>
      <c r="H232" s="2298"/>
      <c r="I232" s="2298"/>
      <c r="J232" s="2298"/>
      <c r="K232" s="2298"/>
      <c r="L232" s="2298"/>
      <c r="M232" s="2298"/>
      <c r="N232" s="2298"/>
      <c r="O232" s="2298"/>
      <c r="P232" s="2298"/>
      <c r="Q232" s="2298"/>
      <c r="R232" s="2298"/>
      <c r="S232" s="2298"/>
      <c r="T232" s="2298"/>
      <c r="U232" s="2298"/>
      <c r="V232" s="2298"/>
      <c r="W232" s="2298"/>
      <c r="X232" s="2298"/>
      <c r="Y232" s="2298"/>
      <c r="Z232" s="2298"/>
      <c r="AA232" s="2298"/>
      <c r="AB232" s="2298"/>
      <c r="AC232" s="2298"/>
      <c r="AD232" s="2298"/>
      <c r="AE232" s="2298"/>
      <c r="AF232" s="2298"/>
      <c r="AG232" s="2298"/>
      <c r="AH232" s="2298"/>
      <c r="AI232" s="2298"/>
      <c r="AJ232" s="2298"/>
      <c r="AK232" s="2298"/>
      <c r="AL232" s="2298"/>
      <c r="AM232" s="2298"/>
      <c r="AN232" s="2298"/>
      <c r="AO232" s="2298"/>
      <c r="AP232" s="2298"/>
      <c r="AQ232" s="2298"/>
      <c r="AR232" s="2298"/>
      <c r="AS232" s="2298"/>
      <c r="AT232" s="2298"/>
      <c r="AU232" s="2298"/>
      <c r="AV232" s="2298"/>
      <c r="AW232" s="2298"/>
      <c r="AX232" s="2298"/>
      <c r="AY232" s="2298"/>
      <c r="AZ232" s="2298"/>
      <c r="BA232" s="1209"/>
      <c r="BB232" s="1209"/>
      <c r="BC232" s="1209"/>
      <c r="BD232" s="1205"/>
      <c r="BE232" s="1205"/>
    </row>
    <row r="233" spans="1:57" ht="15.75" customHeight="1">
      <c r="A233" s="1209"/>
      <c r="B233" s="1215"/>
      <c r="C233" s="1209"/>
      <c r="D233" s="1209"/>
      <c r="E233" s="1209"/>
      <c r="F233" s="1209"/>
      <c r="G233" s="1209"/>
      <c r="H233" s="2298"/>
      <c r="I233" s="2298"/>
      <c r="J233" s="2298"/>
      <c r="K233" s="2298"/>
      <c r="L233" s="2298"/>
      <c r="M233" s="2298"/>
      <c r="N233" s="2298"/>
      <c r="O233" s="2298"/>
      <c r="P233" s="2298"/>
      <c r="Q233" s="2298"/>
      <c r="R233" s="2298"/>
      <c r="S233" s="2298"/>
      <c r="T233" s="2298"/>
      <c r="U233" s="2298"/>
      <c r="V233" s="2298"/>
      <c r="W233" s="2298"/>
      <c r="X233" s="2298"/>
      <c r="Y233" s="2298"/>
      <c r="Z233" s="2298"/>
      <c r="AA233" s="2298"/>
      <c r="AB233" s="2298"/>
      <c r="AC233" s="2298"/>
      <c r="AD233" s="2298"/>
      <c r="AE233" s="2298"/>
      <c r="AF233" s="2298"/>
      <c r="AG233" s="2298"/>
      <c r="AH233" s="2298"/>
      <c r="AI233" s="2298"/>
      <c r="AJ233" s="2298"/>
      <c r="AK233" s="2298"/>
      <c r="AL233" s="2298"/>
      <c r="AM233" s="2298"/>
      <c r="AN233" s="2298"/>
      <c r="AO233" s="2298"/>
      <c r="AP233" s="2298"/>
      <c r="AQ233" s="2298"/>
      <c r="AR233" s="2298"/>
      <c r="AS233" s="2298"/>
      <c r="AT233" s="2298"/>
      <c r="AU233" s="2298"/>
      <c r="AV233" s="2298"/>
      <c r="AW233" s="2298"/>
      <c r="AX233" s="2298"/>
      <c r="AY233" s="2298"/>
      <c r="AZ233" s="2298"/>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297" t="s">
        <v>1861</v>
      </c>
      <c r="I235" s="2297"/>
      <c r="J235" s="2297"/>
      <c r="K235" s="2297"/>
      <c r="L235" s="2297"/>
      <c r="M235" s="2297"/>
      <c r="N235" s="2297"/>
      <c r="O235" s="2297"/>
      <c r="P235" s="2297"/>
      <c r="Q235" s="2297"/>
      <c r="R235" s="2297"/>
      <c r="S235" s="2297"/>
      <c r="T235" s="2297"/>
      <c r="U235" s="2297"/>
      <c r="V235" s="2297"/>
      <c r="W235" s="2297"/>
      <c r="X235" s="2297"/>
      <c r="Y235" s="2297"/>
      <c r="Z235" s="2297"/>
      <c r="AA235" s="2297"/>
      <c r="AB235" s="2297"/>
      <c r="AC235" s="2297"/>
      <c r="AD235" s="2297"/>
      <c r="AE235" s="2297"/>
      <c r="AF235" s="2297"/>
      <c r="AG235" s="2297"/>
      <c r="AH235" s="2297"/>
      <c r="AI235" s="2297"/>
      <c r="AJ235" s="2297"/>
      <c r="AK235" s="2297"/>
      <c r="AL235" s="2297"/>
      <c r="AM235" s="2297"/>
      <c r="AN235" s="2297"/>
      <c r="AO235" s="2297"/>
      <c r="AP235" s="2297"/>
      <c r="AQ235" s="2297"/>
      <c r="AR235" s="2297"/>
      <c r="AS235" s="2297"/>
      <c r="AT235" s="2297"/>
      <c r="AU235" s="2297"/>
      <c r="AV235" s="2297"/>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73" t="s">
        <v>1862</v>
      </c>
      <c r="I237" s="2273"/>
      <c r="J237" s="2273"/>
      <c r="K237" s="2273"/>
      <c r="L237" s="1211"/>
      <c r="M237" s="1211"/>
      <c r="N237" s="1211"/>
      <c r="O237" s="1211"/>
      <c r="P237" s="1211"/>
      <c r="Q237" s="1211"/>
      <c r="R237" s="1211"/>
      <c r="S237" s="2294"/>
      <c r="T237" s="2295"/>
      <c r="U237" s="2295"/>
      <c r="V237" s="2295"/>
      <c r="W237" s="2295"/>
      <c r="X237" s="2295"/>
      <c r="Y237" s="2295"/>
      <c r="Z237" s="2295"/>
      <c r="AA237" s="2295"/>
      <c r="AB237" s="2295"/>
      <c r="AC237" s="2295"/>
      <c r="AD237" s="2295"/>
      <c r="AE237" s="2295"/>
      <c r="AF237" s="2295"/>
      <c r="AG237" s="2295"/>
      <c r="AH237" s="2295"/>
      <c r="AI237" s="2295"/>
      <c r="AJ237" s="2296"/>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73" t="s">
        <v>1863</v>
      </c>
      <c r="I239" s="2273"/>
      <c r="J239" s="2273"/>
      <c r="K239" s="1213"/>
      <c r="L239" s="1211"/>
      <c r="M239" s="1211"/>
      <c r="N239" s="1211"/>
      <c r="O239" s="1211"/>
      <c r="P239" s="1211"/>
      <c r="Q239" s="1211"/>
      <c r="R239" s="1211"/>
      <c r="S239" s="2291"/>
      <c r="T239" s="2292"/>
      <c r="U239" s="2292"/>
      <c r="V239" s="2292"/>
      <c r="W239" s="2292"/>
      <c r="X239" s="2292"/>
      <c r="Y239" s="2292"/>
      <c r="Z239" s="2292"/>
      <c r="AA239" s="2292"/>
      <c r="AB239" s="2292"/>
      <c r="AC239" s="2292"/>
      <c r="AD239" s="2292"/>
      <c r="AE239" s="2292"/>
      <c r="AF239" s="2292"/>
      <c r="AG239" s="2292"/>
      <c r="AH239" s="2292"/>
      <c r="AI239" s="2292"/>
      <c r="AJ239" s="2293"/>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73" t="s">
        <v>444</v>
      </c>
      <c r="I241" s="2273"/>
      <c r="J241" s="1213"/>
      <c r="K241" s="1213"/>
      <c r="L241" s="1211"/>
      <c r="M241" s="1211"/>
      <c r="N241" s="1211"/>
      <c r="O241" s="1211"/>
      <c r="P241" s="1211"/>
      <c r="Q241" s="1211"/>
      <c r="R241" s="1211"/>
      <c r="S241" s="2291"/>
      <c r="T241" s="2292"/>
      <c r="U241" s="2292"/>
      <c r="V241" s="2292"/>
      <c r="W241" s="2292"/>
      <c r="X241" s="2292"/>
      <c r="Y241" s="2292"/>
      <c r="Z241" s="2292"/>
      <c r="AA241" s="2292"/>
      <c r="AB241" s="2292"/>
      <c r="AC241" s="2292"/>
      <c r="AD241" s="2292"/>
      <c r="AE241" s="2292"/>
      <c r="AF241" s="2292"/>
      <c r="AG241" s="2292"/>
      <c r="AH241" s="2292"/>
      <c r="AI241" s="2292"/>
      <c r="AJ241" s="2293"/>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74" t="s">
        <v>1864</v>
      </c>
      <c r="I243" s="2274"/>
      <c r="J243" s="2274"/>
      <c r="K243" s="2274"/>
      <c r="L243" s="2274"/>
      <c r="M243" s="2274"/>
      <c r="N243" s="2274"/>
      <c r="O243" s="2274"/>
      <c r="P243" s="1211"/>
      <c r="Q243" s="1211"/>
      <c r="R243" s="1211"/>
      <c r="S243" s="2291"/>
      <c r="T243" s="2292"/>
      <c r="U243" s="2292"/>
      <c r="V243" s="2292"/>
      <c r="W243" s="2292"/>
      <c r="X243" s="2292"/>
      <c r="Y243" s="2292"/>
      <c r="Z243" s="2292"/>
      <c r="AA243" s="2292"/>
      <c r="AB243" s="2292"/>
      <c r="AC243" s="2292"/>
      <c r="AD243" s="2292"/>
      <c r="AE243" s="2292"/>
      <c r="AF243" s="2292"/>
      <c r="AG243" s="2292"/>
      <c r="AH243" s="2292"/>
      <c r="AI243" s="2292"/>
      <c r="AJ243" s="2293"/>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75" t="s">
        <v>1865</v>
      </c>
      <c r="I245" s="2275"/>
      <c r="J245" s="1211"/>
      <c r="K245" s="1211"/>
      <c r="L245" s="1211"/>
      <c r="M245" s="1211"/>
      <c r="N245" s="1211"/>
      <c r="O245" s="1211"/>
      <c r="P245" s="1211"/>
      <c r="Q245" s="1211"/>
      <c r="R245" s="1211"/>
      <c r="S245" s="2288"/>
      <c r="T245" s="2289"/>
      <c r="U245" s="2289"/>
      <c r="V245" s="2289"/>
      <c r="W245" s="2289"/>
      <c r="X245" s="2289"/>
      <c r="Y245" s="2289"/>
      <c r="Z245" s="2289"/>
      <c r="AA245" s="2289"/>
      <c r="AB245" s="2289"/>
      <c r="AC245" s="2289"/>
      <c r="AD245" s="2289"/>
      <c r="AE245" s="2289"/>
      <c r="AF245" s="2289"/>
      <c r="AG245" s="2289"/>
      <c r="AH245" s="2289"/>
      <c r="AI245" s="2289"/>
      <c r="AJ245" s="2290"/>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4"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4" workbookViewId="0">
      <selection activeCell="T23" sqref="T23:AH23"/>
    </sheetView>
  </sheetViews>
  <sheetFormatPr defaultColWidth="0" defaultRowHeight="13" customHeight="1"/>
  <cols>
    <col min="1" max="1" width="1.53515625" style="433" customWidth="1"/>
    <col min="2" max="2" width="0.84375" style="433" customWidth="1"/>
    <col min="3" max="18" width="2.53515625" style="433" customWidth="1"/>
    <col min="19" max="19" width="6.23046875" style="433" customWidth="1"/>
    <col min="20" max="39" width="2.69140625" style="433" customWidth="1"/>
    <col min="40" max="40" width="1.53515625" style="433" customWidth="1"/>
    <col min="41" max="256" width="2.53515625" style="433" hidden="1"/>
    <col min="257" max="257" width="1.53515625" style="433" hidden="1" customWidth="1"/>
    <col min="258" max="258" width="0.84375" style="433" hidden="1" customWidth="1"/>
    <col min="259" max="274" width="2.53515625" style="433" hidden="1" customWidth="1"/>
    <col min="275" max="275" width="4" style="433" hidden="1" customWidth="1"/>
    <col min="276" max="279" width="2.53515625" style="433" hidden="1" customWidth="1"/>
    <col min="280" max="280" width="2.3828125" style="433" hidden="1" customWidth="1"/>
    <col min="281" max="284" width="2.53515625" style="433" hidden="1" customWidth="1"/>
    <col min="285" max="285" width="2.3828125" style="433" hidden="1" customWidth="1"/>
    <col min="286" max="289" width="2.53515625" style="433" hidden="1" customWidth="1"/>
    <col min="290" max="295" width="2.3828125" style="433" hidden="1" customWidth="1"/>
    <col min="296" max="296" width="1.53515625" style="433" hidden="1" customWidth="1"/>
    <col min="297" max="512" width="2.53515625" style="433" hidden="1"/>
    <col min="513" max="513" width="1.53515625" style="433" hidden="1" customWidth="1"/>
    <col min="514" max="514" width="0.84375" style="433" hidden="1" customWidth="1"/>
    <col min="515" max="530" width="2.53515625" style="433" hidden="1" customWidth="1"/>
    <col min="531" max="531" width="4" style="433" hidden="1" customWidth="1"/>
    <col min="532" max="535" width="2.53515625" style="433" hidden="1" customWidth="1"/>
    <col min="536" max="536" width="2.3828125" style="433" hidden="1" customWidth="1"/>
    <col min="537" max="540" width="2.53515625" style="433" hidden="1" customWidth="1"/>
    <col min="541" max="541" width="2.3828125" style="433" hidden="1" customWidth="1"/>
    <col min="542" max="545" width="2.53515625" style="433" hidden="1" customWidth="1"/>
    <col min="546" max="551" width="2.3828125" style="433" hidden="1" customWidth="1"/>
    <col min="552" max="552" width="1.53515625" style="433" hidden="1" customWidth="1"/>
    <col min="553" max="768" width="2.53515625" style="433" hidden="1"/>
    <col min="769" max="769" width="1.53515625" style="433" hidden="1" customWidth="1"/>
    <col min="770" max="770" width="0.84375" style="433" hidden="1" customWidth="1"/>
    <col min="771" max="786" width="2.53515625" style="433" hidden="1" customWidth="1"/>
    <col min="787" max="787" width="4" style="433" hidden="1" customWidth="1"/>
    <col min="788" max="791" width="2.53515625" style="433" hidden="1" customWidth="1"/>
    <col min="792" max="792" width="2.3828125" style="433" hidden="1" customWidth="1"/>
    <col min="793" max="796" width="2.53515625" style="433" hidden="1" customWidth="1"/>
    <col min="797" max="797" width="2.3828125" style="433" hidden="1" customWidth="1"/>
    <col min="798" max="801" width="2.53515625" style="433" hidden="1" customWidth="1"/>
    <col min="802" max="807" width="2.3828125" style="433" hidden="1" customWidth="1"/>
    <col min="808" max="808" width="1.53515625" style="433" hidden="1" customWidth="1"/>
    <col min="809" max="1024" width="2.53515625" style="433" hidden="1"/>
    <col min="1025" max="1025" width="1.53515625" style="433" hidden="1" customWidth="1"/>
    <col min="1026" max="1026" width="0.84375" style="433" hidden="1" customWidth="1"/>
    <col min="1027" max="1042" width="2.53515625" style="433" hidden="1" customWidth="1"/>
    <col min="1043" max="1043" width="4" style="433" hidden="1" customWidth="1"/>
    <col min="1044" max="1047" width="2.53515625" style="433" hidden="1" customWidth="1"/>
    <col min="1048" max="1048" width="2.3828125" style="433" hidden="1" customWidth="1"/>
    <col min="1049" max="1052" width="2.53515625" style="433" hidden="1" customWidth="1"/>
    <col min="1053" max="1053" width="2.3828125" style="433" hidden="1" customWidth="1"/>
    <col min="1054" max="1057" width="2.53515625" style="433" hidden="1" customWidth="1"/>
    <col min="1058" max="1063" width="2.3828125" style="433" hidden="1" customWidth="1"/>
    <col min="1064" max="1064" width="1.53515625" style="433" hidden="1" customWidth="1"/>
    <col min="1065" max="1280" width="2.53515625" style="433" hidden="1"/>
    <col min="1281" max="1281" width="1.53515625" style="433" hidden="1" customWidth="1"/>
    <col min="1282" max="1282" width="0.84375" style="433" hidden="1" customWidth="1"/>
    <col min="1283" max="1298" width="2.53515625" style="433" hidden="1" customWidth="1"/>
    <col min="1299" max="1299" width="4" style="433" hidden="1" customWidth="1"/>
    <col min="1300" max="1303" width="2.53515625" style="433" hidden="1" customWidth="1"/>
    <col min="1304" max="1304" width="2.3828125" style="433" hidden="1" customWidth="1"/>
    <col min="1305" max="1308" width="2.53515625" style="433" hidden="1" customWidth="1"/>
    <col min="1309" max="1309" width="2.3828125" style="433" hidden="1" customWidth="1"/>
    <col min="1310" max="1313" width="2.53515625" style="433" hidden="1" customWidth="1"/>
    <col min="1314" max="1319" width="2.3828125" style="433" hidden="1" customWidth="1"/>
    <col min="1320" max="1320" width="1.53515625" style="433" hidden="1" customWidth="1"/>
    <col min="1321" max="1536" width="2.53515625" style="433" hidden="1"/>
    <col min="1537" max="1537" width="1.53515625" style="433" hidden="1" customWidth="1"/>
    <col min="1538" max="1538" width="0.84375" style="433" hidden="1" customWidth="1"/>
    <col min="1539" max="1554" width="2.53515625" style="433" hidden="1" customWidth="1"/>
    <col min="1555" max="1555" width="4" style="433" hidden="1" customWidth="1"/>
    <col min="1556" max="1559" width="2.53515625" style="433" hidden="1" customWidth="1"/>
    <col min="1560" max="1560" width="2.3828125" style="433" hidden="1" customWidth="1"/>
    <col min="1561" max="1564" width="2.53515625" style="433" hidden="1" customWidth="1"/>
    <col min="1565" max="1565" width="2.3828125" style="433" hidden="1" customWidth="1"/>
    <col min="1566" max="1569" width="2.53515625" style="433" hidden="1" customWidth="1"/>
    <col min="1570" max="1575" width="2.3828125" style="433" hidden="1" customWidth="1"/>
    <col min="1576" max="1576" width="1.53515625" style="433" hidden="1" customWidth="1"/>
    <col min="1577" max="1792" width="2.53515625" style="433" hidden="1"/>
    <col min="1793" max="1793" width="1.53515625" style="433" hidden="1" customWidth="1"/>
    <col min="1794" max="1794" width="0.84375" style="433" hidden="1" customWidth="1"/>
    <col min="1795" max="1810" width="2.53515625" style="433" hidden="1" customWidth="1"/>
    <col min="1811" max="1811" width="4" style="433" hidden="1" customWidth="1"/>
    <col min="1812" max="1815" width="2.53515625" style="433" hidden="1" customWidth="1"/>
    <col min="1816" max="1816" width="2.3828125" style="433" hidden="1" customWidth="1"/>
    <col min="1817" max="1820" width="2.53515625" style="433" hidden="1" customWidth="1"/>
    <col min="1821" max="1821" width="2.3828125" style="433" hidden="1" customWidth="1"/>
    <col min="1822" max="1825" width="2.53515625" style="433" hidden="1" customWidth="1"/>
    <col min="1826" max="1831" width="2.3828125" style="433" hidden="1" customWidth="1"/>
    <col min="1832" max="1832" width="1.53515625" style="433" hidden="1" customWidth="1"/>
    <col min="1833" max="2048" width="2.53515625" style="433" hidden="1"/>
    <col min="2049" max="2049" width="1.53515625" style="433" hidden="1" customWidth="1"/>
    <col min="2050" max="2050" width="0.84375" style="433" hidden="1" customWidth="1"/>
    <col min="2051" max="2066" width="2.53515625" style="433" hidden="1" customWidth="1"/>
    <col min="2067" max="2067" width="4" style="433" hidden="1" customWidth="1"/>
    <col min="2068" max="2071" width="2.53515625" style="433" hidden="1" customWidth="1"/>
    <col min="2072" max="2072" width="2.3828125" style="433" hidden="1" customWidth="1"/>
    <col min="2073" max="2076" width="2.53515625" style="433" hidden="1" customWidth="1"/>
    <col min="2077" max="2077" width="2.3828125" style="433" hidden="1" customWidth="1"/>
    <col min="2078" max="2081" width="2.53515625" style="433" hidden="1" customWidth="1"/>
    <col min="2082" max="2087" width="2.3828125" style="433" hidden="1" customWidth="1"/>
    <col min="2088" max="2088" width="1.53515625" style="433" hidden="1" customWidth="1"/>
    <col min="2089" max="2304" width="2.53515625" style="433" hidden="1"/>
    <col min="2305" max="2305" width="1.53515625" style="433" hidden="1" customWidth="1"/>
    <col min="2306" max="2306" width="0.84375" style="433" hidden="1" customWidth="1"/>
    <col min="2307" max="2322" width="2.53515625" style="433" hidden="1" customWidth="1"/>
    <col min="2323" max="2323" width="4" style="433" hidden="1" customWidth="1"/>
    <col min="2324" max="2327" width="2.53515625" style="433" hidden="1" customWidth="1"/>
    <col min="2328" max="2328" width="2.3828125" style="433" hidden="1" customWidth="1"/>
    <col min="2329" max="2332" width="2.53515625" style="433" hidden="1" customWidth="1"/>
    <col min="2333" max="2333" width="2.3828125" style="433" hidden="1" customWidth="1"/>
    <col min="2334" max="2337" width="2.53515625" style="433" hidden="1" customWidth="1"/>
    <col min="2338" max="2343" width="2.3828125" style="433" hidden="1" customWidth="1"/>
    <col min="2344" max="2344" width="1.53515625" style="433" hidden="1" customWidth="1"/>
    <col min="2345" max="2560" width="2.53515625" style="433" hidden="1"/>
    <col min="2561" max="2561" width="1.53515625" style="433" hidden="1" customWidth="1"/>
    <col min="2562" max="2562" width="0.84375" style="433" hidden="1" customWidth="1"/>
    <col min="2563" max="2578" width="2.53515625" style="433" hidden="1" customWidth="1"/>
    <col min="2579" max="2579" width="4" style="433" hidden="1" customWidth="1"/>
    <col min="2580" max="2583" width="2.53515625" style="433" hidden="1" customWidth="1"/>
    <col min="2584" max="2584" width="2.3828125" style="433" hidden="1" customWidth="1"/>
    <col min="2585" max="2588" width="2.53515625" style="433" hidden="1" customWidth="1"/>
    <col min="2589" max="2589" width="2.3828125" style="433" hidden="1" customWidth="1"/>
    <col min="2590" max="2593" width="2.53515625" style="433" hidden="1" customWidth="1"/>
    <col min="2594" max="2599" width="2.3828125" style="433" hidden="1" customWidth="1"/>
    <col min="2600" max="2600" width="1.53515625" style="433" hidden="1" customWidth="1"/>
    <col min="2601" max="2816" width="2.53515625" style="433" hidden="1"/>
    <col min="2817" max="2817" width="1.53515625" style="433" hidden="1" customWidth="1"/>
    <col min="2818" max="2818" width="0.84375" style="433" hidden="1" customWidth="1"/>
    <col min="2819" max="2834" width="2.53515625" style="433" hidden="1" customWidth="1"/>
    <col min="2835" max="2835" width="4" style="433" hidden="1" customWidth="1"/>
    <col min="2836" max="2839" width="2.53515625" style="433" hidden="1" customWidth="1"/>
    <col min="2840" max="2840" width="2.3828125" style="433" hidden="1" customWidth="1"/>
    <col min="2841" max="2844" width="2.53515625" style="433" hidden="1" customWidth="1"/>
    <col min="2845" max="2845" width="2.3828125" style="433" hidden="1" customWidth="1"/>
    <col min="2846" max="2849" width="2.53515625" style="433" hidden="1" customWidth="1"/>
    <col min="2850" max="2855" width="2.3828125" style="433" hidden="1" customWidth="1"/>
    <col min="2856" max="2856" width="1.53515625" style="433" hidden="1" customWidth="1"/>
    <col min="2857" max="3072" width="2.53515625" style="433" hidden="1"/>
    <col min="3073" max="3073" width="1.53515625" style="433" hidden="1" customWidth="1"/>
    <col min="3074" max="3074" width="0.84375" style="433" hidden="1" customWidth="1"/>
    <col min="3075" max="3090" width="2.53515625" style="433" hidden="1" customWidth="1"/>
    <col min="3091" max="3091" width="4" style="433" hidden="1" customWidth="1"/>
    <col min="3092" max="3095" width="2.53515625" style="433" hidden="1" customWidth="1"/>
    <col min="3096" max="3096" width="2.3828125" style="433" hidden="1" customWidth="1"/>
    <col min="3097" max="3100" width="2.53515625" style="433" hidden="1" customWidth="1"/>
    <col min="3101" max="3101" width="2.3828125" style="433" hidden="1" customWidth="1"/>
    <col min="3102" max="3105" width="2.53515625" style="433" hidden="1" customWidth="1"/>
    <col min="3106" max="3111" width="2.3828125" style="433" hidden="1" customWidth="1"/>
    <col min="3112" max="3112" width="1.53515625" style="433" hidden="1" customWidth="1"/>
    <col min="3113" max="3328" width="2.53515625" style="433" hidden="1"/>
    <col min="3329" max="3329" width="1.53515625" style="433" hidden="1" customWidth="1"/>
    <col min="3330" max="3330" width="0.84375" style="433" hidden="1" customWidth="1"/>
    <col min="3331" max="3346" width="2.53515625" style="433" hidden="1" customWidth="1"/>
    <col min="3347" max="3347" width="4" style="433" hidden="1" customWidth="1"/>
    <col min="3348" max="3351" width="2.53515625" style="433" hidden="1" customWidth="1"/>
    <col min="3352" max="3352" width="2.3828125" style="433" hidden="1" customWidth="1"/>
    <col min="3353" max="3356" width="2.53515625" style="433" hidden="1" customWidth="1"/>
    <col min="3357" max="3357" width="2.3828125" style="433" hidden="1" customWidth="1"/>
    <col min="3358" max="3361" width="2.53515625" style="433" hidden="1" customWidth="1"/>
    <col min="3362" max="3367" width="2.3828125" style="433" hidden="1" customWidth="1"/>
    <col min="3368" max="3368" width="1.53515625" style="433" hidden="1" customWidth="1"/>
    <col min="3369" max="3584" width="2.53515625" style="433" hidden="1"/>
    <col min="3585" max="3585" width="1.53515625" style="433" hidden="1" customWidth="1"/>
    <col min="3586" max="3586" width="0.84375" style="433" hidden="1" customWidth="1"/>
    <col min="3587" max="3602" width="2.53515625" style="433" hidden="1" customWidth="1"/>
    <col min="3603" max="3603" width="4" style="433" hidden="1" customWidth="1"/>
    <col min="3604" max="3607" width="2.53515625" style="433" hidden="1" customWidth="1"/>
    <col min="3608" max="3608" width="2.3828125" style="433" hidden="1" customWidth="1"/>
    <col min="3609" max="3612" width="2.53515625" style="433" hidden="1" customWidth="1"/>
    <col min="3613" max="3613" width="2.3828125" style="433" hidden="1" customWidth="1"/>
    <col min="3614" max="3617" width="2.53515625" style="433" hidden="1" customWidth="1"/>
    <col min="3618" max="3623" width="2.3828125" style="433" hidden="1" customWidth="1"/>
    <col min="3624" max="3624" width="1.53515625" style="433" hidden="1" customWidth="1"/>
    <col min="3625" max="3840" width="2.53515625" style="433" hidden="1"/>
    <col min="3841" max="3841" width="1.53515625" style="433" hidden="1" customWidth="1"/>
    <col min="3842" max="3842" width="0.84375" style="433" hidden="1" customWidth="1"/>
    <col min="3843" max="3858" width="2.53515625" style="433" hidden="1" customWidth="1"/>
    <col min="3859" max="3859" width="4" style="433" hidden="1" customWidth="1"/>
    <col min="3860" max="3863" width="2.53515625" style="433" hidden="1" customWidth="1"/>
    <col min="3864" max="3864" width="2.3828125" style="433" hidden="1" customWidth="1"/>
    <col min="3865" max="3868" width="2.53515625" style="433" hidden="1" customWidth="1"/>
    <col min="3869" max="3869" width="2.3828125" style="433" hidden="1" customWidth="1"/>
    <col min="3870" max="3873" width="2.53515625" style="433" hidden="1" customWidth="1"/>
    <col min="3874" max="3879" width="2.3828125" style="433" hidden="1" customWidth="1"/>
    <col min="3880" max="3880" width="1.53515625" style="433" hidden="1" customWidth="1"/>
    <col min="3881" max="4096" width="2.53515625" style="433" hidden="1"/>
    <col min="4097" max="4097" width="1.53515625" style="433" hidden="1" customWidth="1"/>
    <col min="4098" max="4098" width="0.84375" style="433" hidden="1" customWidth="1"/>
    <col min="4099" max="4114" width="2.53515625" style="433" hidden="1" customWidth="1"/>
    <col min="4115" max="4115" width="4" style="433" hidden="1" customWidth="1"/>
    <col min="4116" max="4119" width="2.53515625" style="433" hidden="1" customWidth="1"/>
    <col min="4120" max="4120" width="2.3828125" style="433" hidden="1" customWidth="1"/>
    <col min="4121" max="4124" width="2.53515625" style="433" hidden="1" customWidth="1"/>
    <col min="4125" max="4125" width="2.3828125" style="433" hidden="1" customWidth="1"/>
    <col min="4126" max="4129" width="2.53515625" style="433" hidden="1" customWidth="1"/>
    <col min="4130" max="4135" width="2.3828125" style="433" hidden="1" customWidth="1"/>
    <col min="4136" max="4136" width="1.53515625" style="433" hidden="1" customWidth="1"/>
    <col min="4137" max="4352" width="2.53515625" style="433" hidden="1"/>
    <col min="4353" max="4353" width="1.53515625" style="433" hidden="1" customWidth="1"/>
    <col min="4354" max="4354" width="0.84375" style="433" hidden="1" customWidth="1"/>
    <col min="4355" max="4370" width="2.53515625" style="433" hidden="1" customWidth="1"/>
    <col min="4371" max="4371" width="4" style="433" hidden="1" customWidth="1"/>
    <col min="4372" max="4375" width="2.53515625" style="433" hidden="1" customWidth="1"/>
    <col min="4376" max="4376" width="2.3828125" style="433" hidden="1" customWidth="1"/>
    <col min="4377" max="4380" width="2.53515625" style="433" hidden="1" customWidth="1"/>
    <col min="4381" max="4381" width="2.3828125" style="433" hidden="1" customWidth="1"/>
    <col min="4382" max="4385" width="2.53515625" style="433" hidden="1" customWidth="1"/>
    <col min="4386" max="4391" width="2.3828125" style="433" hidden="1" customWidth="1"/>
    <col min="4392" max="4392" width="1.53515625" style="433" hidden="1" customWidth="1"/>
    <col min="4393" max="4608" width="2.53515625" style="433" hidden="1"/>
    <col min="4609" max="4609" width="1.53515625" style="433" hidden="1" customWidth="1"/>
    <col min="4610" max="4610" width="0.84375" style="433" hidden="1" customWidth="1"/>
    <col min="4611" max="4626" width="2.53515625" style="433" hidden="1" customWidth="1"/>
    <col min="4627" max="4627" width="4" style="433" hidden="1" customWidth="1"/>
    <col min="4628" max="4631" width="2.53515625" style="433" hidden="1" customWidth="1"/>
    <col min="4632" max="4632" width="2.3828125" style="433" hidden="1" customWidth="1"/>
    <col min="4633" max="4636" width="2.53515625" style="433" hidden="1" customWidth="1"/>
    <col min="4637" max="4637" width="2.3828125" style="433" hidden="1" customWidth="1"/>
    <col min="4638" max="4641" width="2.53515625" style="433" hidden="1" customWidth="1"/>
    <col min="4642" max="4647" width="2.3828125" style="433" hidden="1" customWidth="1"/>
    <col min="4648" max="4648" width="1.53515625" style="433" hidden="1" customWidth="1"/>
    <col min="4649" max="4864" width="2.53515625" style="433" hidden="1"/>
    <col min="4865" max="4865" width="1.53515625" style="433" hidden="1" customWidth="1"/>
    <col min="4866" max="4866" width="0.84375" style="433" hidden="1" customWidth="1"/>
    <col min="4867" max="4882" width="2.53515625" style="433" hidden="1" customWidth="1"/>
    <col min="4883" max="4883" width="4" style="433" hidden="1" customWidth="1"/>
    <col min="4884" max="4887" width="2.53515625" style="433" hidden="1" customWidth="1"/>
    <col min="4888" max="4888" width="2.3828125" style="433" hidden="1" customWidth="1"/>
    <col min="4889" max="4892" width="2.53515625" style="433" hidden="1" customWidth="1"/>
    <col min="4893" max="4893" width="2.3828125" style="433" hidden="1" customWidth="1"/>
    <col min="4894" max="4897" width="2.53515625" style="433" hidden="1" customWidth="1"/>
    <col min="4898" max="4903" width="2.3828125" style="433" hidden="1" customWidth="1"/>
    <col min="4904" max="4904" width="1.53515625" style="433" hidden="1" customWidth="1"/>
    <col min="4905" max="5120" width="2.53515625" style="433" hidden="1"/>
    <col min="5121" max="5121" width="1.53515625" style="433" hidden="1" customWidth="1"/>
    <col min="5122" max="5122" width="0.84375" style="433" hidden="1" customWidth="1"/>
    <col min="5123" max="5138" width="2.53515625" style="433" hidden="1" customWidth="1"/>
    <col min="5139" max="5139" width="4" style="433" hidden="1" customWidth="1"/>
    <col min="5140" max="5143" width="2.53515625" style="433" hidden="1" customWidth="1"/>
    <col min="5144" max="5144" width="2.3828125" style="433" hidden="1" customWidth="1"/>
    <col min="5145" max="5148" width="2.53515625" style="433" hidden="1" customWidth="1"/>
    <col min="5149" max="5149" width="2.3828125" style="433" hidden="1" customWidth="1"/>
    <col min="5150" max="5153" width="2.53515625" style="433" hidden="1" customWidth="1"/>
    <col min="5154" max="5159" width="2.3828125" style="433" hidden="1" customWidth="1"/>
    <col min="5160" max="5160" width="1.53515625" style="433" hidden="1" customWidth="1"/>
    <col min="5161" max="5376" width="2.53515625" style="433" hidden="1"/>
    <col min="5377" max="5377" width="1.53515625" style="433" hidden="1" customWidth="1"/>
    <col min="5378" max="5378" width="0.84375" style="433" hidden="1" customWidth="1"/>
    <col min="5379" max="5394" width="2.53515625" style="433" hidden="1" customWidth="1"/>
    <col min="5395" max="5395" width="4" style="433" hidden="1" customWidth="1"/>
    <col min="5396" max="5399" width="2.53515625" style="433" hidden="1" customWidth="1"/>
    <col min="5400" max="5400" width="2.3828125" style="433" hidden="1" customWidth="1"/>
    <col min="5401" max="5404" width="2.53515625" style="433" hidden="1" customWidth="1"/>
    <col min="5405" max="5405" width="2.3828125" style="433" hidden="1" customWidth="1"/>
    <col min="5406" max="5409" width="2.53515625" style="433" hidden="1" customWidth="1"/>
    <col min="5410" max="5415" width="2.3828125" style="433" hidden="1" customWidth="1"/>
    <col min="5416" max="5416" width="1.53515625" style="433" hidden="1" customWidth="1"/>
    <col min="5417" max="5632" width="2.53515625" style="433" hidden="1"/>
    <col min="5633" max="5633" width="1.53515625" style="433" hidden="1" customWidth="1"/>
    <col min="5634" max="5634" width="0.84375" style="433" hidden="1" customWidth="1"/>
    <col min="5635" max="5650" width="2.53515625" style="433" hidden="1" customWidth="1"/>
    <col min="5651" max="5651" width="4" style="433" hidden="1" customWidth="1"/>
    <col min="5652" max="5655" width="2.53515625" style="433" hidden="1" customWidth="1"/>
    <col min="5656" max="5656" width="2.3828125" style="433" hidden="1" customWidth="1"/>
    <col min="5657" max="5660" width="2.53515625" style="433" hidden="1" customWidth="1"/>
    <col min="5661" max="5661" width="2.3828125" style="433" hidden="1" customWidth="1"/>
    <col min="5662" max="5665" width="2.53515625" style="433" hidden="1" customWidth="1"/>
    <col min="5666" max="5671" width="2.3828125" style="433" hidden="1" customWidth="1"/>
    <col min="5672" max="5672" width="1.53515625" style="433" hidden="1" customWidth="1"/>
    <col min="5673" max="5888" width="2.53515625" style="433" hidden="1"/>
    <col min="5889" max="5889" width="1.53515625" style="433" hidden="1" customWidth="1"/>
    <col min="5890" max="5890" width="0.84375" style="433" hidden="1" customWidth="1"/>
    <col min="5891" max="5906" width="2.53515625" style="433" hidden="1" customWidth="1"/>
    <col min="5907" max="5907" width="4" style="433" hidden="1" customWidth="1"/>
    <col min="5908" max="5911" width="2.53515625" style="433" hidden="1" customWidth="1"/>
    <col min="5912" max="5912" width="2.3828125" style="433" hidden="1" customWidth="1"/>
    <col min="5913" max="5916" width="2.53515625" style="433" hidden="1" customWidth="1"/>
    <col min="5917" max="5917" width="2.3828125" style="433" hidden="1" customWidth="1"/>
    <col min="5918" max="5921" width="2.53515625" style="433" hidden="1" customWidth="1"/>
    <col min="5922" max="5927" width="2.3828125" style="433" hidden="1" customWidth="1"/>
    <col min="5928" max="5928" width="1.53515625" style="433" hidden="1" customWidth="1"/>
    <col min="5929" max="6144" width="2.53515625" style="433" hidden="1"/>
    <col min="6145" max="6145" width="1.53515625" style="433" hidden="1" customWidth="1"/>
    <col min="6146" max="6146" width="0.84375" style="433" hidden="1" customWidth="1"/>
    <col min="6147" max="6162" width="2.53515625" style="433" hidden="1" customWidth="1"/>
    <col min="6163" max="6163" width="4" style="433" hidden="1" customWidth="1"/>
    <col min="6164" max="6167" width="2.53515625" style="433" hidden="1" customWidth="1"/>
    <col min="6168" max="6168" width="2.3828125" style="433" hidden="1" customWidth="1"/>
    <col min="6169" max="6172" width="2.53515625" style="433" hidden="1" customWidth="1"/>
    <col min="6173" max="6173" width="2.3828125" style="433" hidden="1" customWidth="1"/>
    <col min="6174" max="6177" width="2.53515625" style="433" hidden="1" customWidth="1"/>
    <col min="6178" max="6183" width="2.3828125" style="433" hidden="1" customWidth="1"/>
    <col min="6184" max="6184" width="1.53515625" style="433" hidden="1" customWidth="1"/>
    <col min="6185" max="6400" width="2.53515625" style="433" hidden="1"/>
    <col min="6401" max="6401" width="1.53515625" style="433" hidden="1" customWidth="1"/>
    <col min="6402" max="6402" width="0.84375" style="433" hidden="1" customWidth="1"/>
    <col min="6403" max="6418" width="2.53515625" style="433" hidden="1" customWidth="1"/>
    <col min="6419" max="6419" width="4" style="433" hidden="1" customWidth="1"/>
    <col min="6420" max="6423" width="2.53515625" style="433" hidden="1" customWidth="1"/>
    <col min="6424" max="6424" width="2.3828125" style="433" hidden="1" customWidth="1"/>
    <col min="6425" max="6428" width="2.53515625" style="433" hidden="1" customWidth="1"/>
    <col min="6429" max="6429" width="2.3828125" style="433" hidden="1" customWidth="1"/>
    <col min="6430" max="6433" width="2.53515625" style="433" hidden="1" customWidth="1"/>
    <col min="6434" max="6439" width="2.3828125" style="433" hidden="1" customWidth="1"/>
    <col min="6440" max="6440" width="1.53515625" style="433" hidden="1" customWidth="1"/>
    <col min="6441" max="6656" width="2.53515625" style="433" hidden="1"/>
    <col min="6657" max="6657" width="1.53515625" style="433" hidden="1" customWidth="1"/>
    <col min="6658" max="6658" width="0.84375" style="433" hidden="1" customWidth="1"/>
    <col min="6659" max="6674" width="2.53515625" style="433" hidden="1" customWidth="1"/>
    <col min="6675" max="6675" width="4" style="433" hidden="1" customWidth="1"/>
    <col min="6676" max="6679" width="2.53515625" style="433" hidden="1" customWidth="1"/>
    <col min="6680" max="6680" width="2.3828125" style="433" hidden="1" customWidth="1"/>
    <col min="6681" max="6684" width="2.53515625" style="433" hidden="1" customWidth="1"/>
    <col min="6685" max="6685" width="2.3828125" style="433" hidden="1" customWidth="1"/>
    <col min="6686" max="6689" width="2.53515625" style="433" hidden="1" customWidth="1"/>
    <col min="6690" max="6695" width="2.3828125" style="433" hidden="1" customWidth="1"/>
    <col min="6696" max="6696" width="1.53515625" style="433" hidden="1" customWidth="1"/>
    <col min="6697" max="6912" width="2.53515625" style="433" hidden="1"/>
    <col min="6913" max="6913" width="1.53515625" style="433" hidden="1" customWidth="1"/>
    <col min="6914" max="6914" width="0.84375" style="433" hidden="1" customWidth="1"/>
    <col min="6915" max="6930" width="2.53515625" style="433" hidden="1" customWidth="1"/>
    <col min="6931" max="6931" width="4" style="433" hidden="1" customWidth="1"/>
    <col min="6932" max="6935" width="2.53515625" style="433" hidden="1" customWidth="1"/>
    <col min="6936" max="6936" width="2.3828125" style="433" hidden="1" customWidth="1"/>
    <col min="6937" max="6940" width="2.53515625" style="433" hidden="1" customWidth="1"/>
    <col min="6941" max="6941" width="2.3828125" style="433" hidden="1" customWidth="1"/>
    <col min="6942" max="6945" width="2.53515625" style="433" hidden="1" customWidth="1"/>
    <col min="6946" max="6951" width="2.3828125" style="433" hidden="1" customWidth="1"/>
    <col min="6952" max="6952" width="1.53515625" style="433" hidden="1" customWidth="1"/>
    <col min="6953" max="7168" width="2.53515625" style="433" hidden="1"/>
    <col min="7169" max="7169" width="1.53515625" style="433" hidden="1" customWidth="1"/>
    <col min="7170" max="7170" width="0.84375" style="433" hidden="1" customWidth="1"/>
    <col min="7171" max="7186" width="2.53515625" style="433" hidden="1" customWidth="1"/>
    <col min="7187" max="7187" width="4" style="433" hidden="1" customWidth="1"/>
    <col min="7188" max="7191" width="2.53515625" style="433" hidden="1" customWidth="1"/>
    <col min="7192" max="7192" width="2.3828125" style="433" hidden="1" customWidth="1"/>
    <col min="7193" max="7196" width="2.53515625" style="433" hidden="1" customWidth="1"/>
    <col min="7197" max="7197" width="2.3828125" style="433" hidden="1" customWidth="1"/>
    <col min="7198" max="7201" width="2.53515625" style="433" hidden="1" customWidth="1"/>
    <col min="7202" max="7207" width="2.3828125" style="433" hidden="1" customWidth="1"/>
    <col min="7208" max="7208" width="1.53515625" style="433" hidden="1" customWidth="1"/>
    <col min="7209" max="7424" width="2.53515625" style="433" hidden="1"/>
    <col min="7425" max="7425" width="1.53515625" style="433" hidden="1" customWidth="1"/>
    <col min="7426" max="7426" width="0.84375" style="433" hidden="1" customWidth="1"/>
    <col min="7427" max="7442" width="2.53515625" style="433" hidden="1" customWidth="1"/>
    <col min="7443" max="7443" width="4" style="433" hidden="1" customWidth="1"/>
    <col min="7444" max="7447" width="2.53515625" style="433" hidden="1" customWidth="1"/>
    <col min="7448" max="7448" width="2.3828125" style="433" hidden="1" customWidth="1"/>
    <col min="7449" max="7452" width="2.53515625" style="433" hidden="1" customWidth="1"/>
    <col min="7453" max="7453" width="2.3828125" style="433" hidden="1" customWidth="1"/>
    <col min="7454" max="7457" width="2.53515625" style="433" hidden="1" customWidth="1"/>
    <col min="7458" max="7463" width="2.3828125" style="433" hidden="1" customWidth="1"/>
    <col min="7464" max="7464" width="1.53515625" style="433" hidden="1" customWidth="1"/>
    <col min="7465" max="7680" width="2.53515625" style="433" hidden="1"/>
    <col min="7681" max="7681" width="1.53515625" style="433" hidden="1" customWidth="1"/>
    <col min="7682" max="7682" width="0.84375" style="433" hidden="1" customWidth="1"/>
    <col min="7683" max="7698" width="2.53515625" style="433" hidden="1" customWidth="1"/>
    <col min="7699" max="7699" width="4" style="433" hidden="1" customWidth="1"/>
    <col min="7700" max="7703" width="2.53515625" style="433" hidden="1" customWidth="1"/>
    <col min="7704" max="7704" width="2.3828125" style="433" hidden="1" customWidth="1"/>
    <col min="7705" max="7708" width="2.53515625" style="433" hidden="1" customWidth="1"/>
    <col min="7709" max="7709" width="2.3828125" style="433" hidden="1" customWidth="1"/>
    <col min="7710" max="7713" width="2.53515625" style="433" hidden="1" customWidth="1"/>
    <col min="7714" max="7719" width="2.3828125" style="433" hidden="1" customWidth="1"/>
    <col min="7720" max="7720" width="1.53515625" style="433" hidden="1" customWidth="1"/>
    <col min="7721" max="7936" width="2.53515625" style="433" hidden="1"/>
    <col min="7937" max="7937" width="1.53515625" style="433" hidden="1" customWidth="1"/>
    <col min="7938" max="7938" width="0.84375" style="433" hidden="1" customWidth="1"/>
    <col min="7939" max="7954" width="2.53515625" style="433" hidden="1" customWidth="1"/>
    <col min="7955" max="7955" width="4" style="433" hidden="1" customWidth="1"/>
    <col min="7956" max="7959" width="2.53515625" style="433" hidden="1" customWidth="1"/>
    <col min="7960" max="7960" width="2.3828125" style="433" hidden="1" customWidth="1"/>
    <col min="7961" max="7964" width="2.53515625" style="433" hidden="1" customWidth="1"/>
    <col min="7965" max="7965" width="2.3828125" style="433" hidden="1" customWidth="1"/>
    <col min="7966" max="7969" width="2.53515625" style="433" hidden="1" customWidth="1"/>
    <col min="7970" max="7975" width="2.3828125" style="433" hidden="1" customWidth="1"/>
    <col min="7976" max="7976" width="1.53515625" style="433" hidden="1" customWidth="1"/>
    <col min="7977" max="8192" width="2.53515625" style="433" hidden="1"/>
    <col min="8193" max="8193" width="1.53515625" style="433" hidden="1" customWidth="1"/>
    <col min="8194" max="8194" width="0.84375" style="433" hidden="1" customWidth="1"/>
    <col min="8195" max="8210" width="2.53515625" style="433" hidden="1" customWidth="1"/>
    <col min="8211" max="8211" width="4" style="433" hidden="1" customWidth="1"/>
    <col min="8212" max="8215" width="2.53515625" style="433" hidden="1" customWidth="1"/>
    <col min="8216" max="8216" width="2.3828125" style="433" hidden="1" customWidth="1"/>
    <col min="8217" max="8220" width="2.53515625" style="433" hidden="1" customWidth="1"/>
    <col min="8221" max="8221" width="2.3828125" style="433" hidden="1" customWidth="1"/>
    <col min="8222" max="8225" width="2.53515625" style="433" hidden="1" customWidth="1"/>
    <col min="8226" max="8231" width="2.3828125" style="433" hidden="1" customWidth="1"/>
    <col min="8232" max="8232" width="1.53515625" style="433" hidden="1" customWidth="1"/>
    <col min="8233" max="8448" width="2.53515625" style="433" hidden="1"/>
    <col min="8449" max="8449" width="1.53515625" style="433" hidden="1" customWidth="1"/>
    <col min="8450" max="8450" width="0.84375" style="433" hidden="1" customWidth="1"/>
    <col min="8451" max="8466" width="2.53515625" style="433" hidden="1" customWidth="1"/>
    <col min="8467" max="8467" width="4" style="433" hidden="1" customWidth="1"/>
    <col min="8468" max="8471" width="2.53515625" style="433" hidden="1" customWidth="1"/>
    <col min="8472" max="8472" width="2.3828125" style="433" hidden="1" customWidth="1"/>
    <col min="8473" max="8476" width="2.53515625" style="433" hidden="1" customWidth="1"/>
    <col min="8477" max="8477" width="2.3828125" style="433" hidden="1" customWidth="1"/>
    <col min="8478" max="8481" width="2.53515625" style="433" hidden="1" customWidth="1"/>
    <col min="8482" max="8487" width="2.3828125" style="433" hidden="1" customWidth="1"/>
    <col min="8488" max="8488" width="1.53515625" style="433" hidden="1" customWidth="1"/>
    <col min="8489" max="8704" width="2.53515625" style="433" hidden="1"/>
    <col min="8705" max="8705" width="1.53515625" style="433" hidden="1" customWidth="1"/>
    <col min="8706" max="8706" width="0.84375" style="433" hidden="1" customWidth="1"/>
    <col min="8707" max="8722" width="2.53515625" style="433" hidden="1" customWidth="1"/>
    <col min="8723" max="8723" width="4" style="433" hidden="1" customWidth="1"/>
    <col min="8724" max="8727" width="2.53515625" style="433" hidden="1" customWidth="1"/>
    <col min="8728" max="8728" width="2.3828125" style="433" hidden="1" customWidth="1"/>
    <col min="8729" max="8732" width="2.53515625" style="433" hidden="1" customWidth="1"/>
    <col min="8733" max="8733" width="2.3828125" style="433" hidden="1" customWidth="1"/>
    <col min="8734" max="8737" width="2.53515625" style="433" hidden="1" customWidth="1"/>
    <col min="8738" max="8743" width="2.3828125" style="433" hidden="1" customWidth="1"/>
    <col min="8744" max="8744" width="1.53515625" style="433" hidden="1" customWidth="1"/>
    <col min="8745" max="8960" width="2.53515625" style="433" hidden="1"/>
    <col min="8961" max="8961" width="1.53515625" style="433" hidden="1" customWidth="1"/>
    <col min="8962" max="8962" width="0.84375" style="433" hidden="1" customWidth="1"/>
    <col min="8963" max="8978" width="2.53515625" style="433" hidden="1" customWidth="1"/>
    <col min="8979" max="8979" width="4" style="433" hidden="1" customWidth="1"/>
    <col min="8980" max="8983" width="2.53515625" style="433" hidden="1" customWidth="1"/>
    <col min="8984" max="8984" width="2.3828125" style="433" hidden="1" customWidth="1"/>
    <col min="8985" max="8988" width="2.53515625" style="433" hidden="1" customWidth="1"/>
    <col min="8989" max="8989" width="2.3828125" style="433" hidden="1" customWidth="1"/>
    <col min="8990" max="8993" width="2.53515625" style="433" hidden="1" customWidth="1"/>
    <col min="8994" max="8999" width="2.3828125" style="433" hidden="1" customWidth="1"/>
    <col min="9000" max="9000" width="1.53515625" style="433" hidden="1" customWidth="1"/>
    <col min="9001" max="9216" width="2.53515625" style="433" hidden="1"/>
    <col min="9217" max="9217" width="1.53515625" style="433" hidden="1" customWidth="1"/>
    <col min="9218" max="9218" width="0.84375" style="433" hidden="1" customWidth="1"/>
    <col min="9219" max="9234" width="2.53515625" style="433" hidden="1" customWidth="1"/>
    <col min="9235" max="9235" width="4" style="433" hidden="1" customWidth="1"/>
    <col min="9236" max="9239" width="2.53515625" style="433" hidden="1" customWidth="1"/>
    <col min="9240" max="9240" width="2.3828125" style="433" hidden="1" customWidth="1"/>
    <col min="9241" max="9244" width="2.53515625" style="433" hidden="1" customWidth="1"/>
    <col min="9245" max="9245" width="2.3828125" style="433" hidden="1" customWidth="1"/>
    <col min="9246" max="9249" width="2.53515625" style="433" hidden="1" customWidth="1"/>
    <col min="9250" max="9255" width="2.3828125" style="433" hidden="1" customWidth="1"/>
    <col min="9256" max="9256" width="1.53515625" style="433" hidden="1" customWidth="1"/>
    <col min="9257" max="9472" width="2.53515625" style="433" hidden="1"/>
    <col min="9473" max="9473" width="1.53515625" style="433" hidden="1" customWidth="1"/>
    <col min="9474" max="9474" width="0.84375" style="433" hidden="1" customWidth="1"/>
    <col min="9475" max="9490" width="2.53515625" style="433" hidden="1" customWidth="1"/>
    <col min="9491" max="9491" width="4" style="433" hidden="1" customWidth="1"/>
    <col min="9492" max="9495" width="2.53515625" style="433" hidden="1" customWidth="1"/>
    <col min="9496" max="9496" width="2.3828125" style="433" hidden="1" customWidth="1"/>
    <col min="9497" max="9500" width="2.53515625" style="433" hidden="1" customWidth="1"/>
    <col min="9501" max="9501" width="2.3828125" style="433" hidden="1" customWidth="1"/>
    <col min="9502" max="9505" width="2.53515625" style="433" hidden="1" customWidth="1"/>
    <col min="9506" max="9511" width="2.3828125" style="433" hidden="1" customWidth="1"/>
    <col min="9512" max="9512" width="1.53515625" style="433" hidden="1" customWidth="1"/>
    <col min="9513" max="9728" width="2.53515625" style="433" hidden="1"/>
    <col min="9729" max="9729" width="1.53515625" style="433" hidden="1" customWidth="1"/>
    <col min="9730" max="9730" width="0.84375" style="433" hidden="1" customWidth="1"/>
    <col min="9731" max="9746" width="2.53515625" style="433" hidden="1" customWidth="1"/>
    <col min="9747" max="9747" width="4" style="433" hidden="1" customWidth="1"/>
    <col min="9748" max="9751" width="2.53515625" style="433" hidden="1" customWidth="1"/>
    <col min="9752" max="9752" width="2.3828125" style="433" hidden="1" customWidth="1"/>
    <col min="9753" max="9756" width="2.53515625" style="433" hidden="1" customWidth="1"/>
    <col min="9757" max="9757" width="2.3828125" style="433" hidden="1" customWidth="1"/>
    <col min="9758" max="9761" width="2.53515625" style="433" hidden="1" customWidth="1"/>
    <col min="9762" max="9767" width="2.3828125" style="433" hidden="1" customWidth="1"/>
    <col min="9768" max="9768" width="1.53515625" style="433" hidden="1" customWidth="1"/>
    <col min="9769" max="9984" width="2.53515625" style="433" hidden="1"/>
    <col min="9985" max="9985" width="1.53515625" style="433" hidden="1" customWidth="1"/>
    <col min="9986" max="9986" width="0.84375" style="433" hidden="1" customWidth="1"/>
    <col min="9987" max="10002" width="2.53515625" style="433" hidden="1" customWidth="1"/>
    <col min="10003" max="10003" width="4" style="433" hidden="1" customWidth="1"/>
    <col min="10004" max="10007" width="2.53515625" style="433" hidden="1" customWidth="1"/>
    <col min="10008" max="10008" width="2.3828125" style="433" hidden="1" customWidth="1"/>
    <col min="10009" max="10012" width="2.53515625" style="433" hidden="1" customWidth="1"/>
    <col min="10013" max="10013" width="2.3828125" style="433" hidden="1" customWidth="1"/>
    <col min="10014" max="10017" width="2.53515625" style="433" hidden="1" customWidth="1"/>
    <col min="10018" max="10023" width="2.3828125" style="433" hidden="1" customWidth="1"/>
    <col min="10024" max="10024" width="1.53515625" style="433" hidden="1" customWidth="1"/>
    <col min="10025" max="10240" width="2.53515625" style="433" hidden="1"/>
    <col min="10241" max="10241" width="1.53515625" style="433" hidden="1" customWidth="1"/>
    <col min="10242" max="10242" width="0.84375" style="433" hidden="1" customWidth="1"/>
    <col min="10243" max="10258" width="2.53515625" style="433" hidden="1" customWidth="1"/>
    <col min="10259" max="10259" width="4" style="433" hidden="1" customWidth="1"/>
    <col min="10260" max="10263" width="2.53515625" style="433" hidden="1" customWidth="1"/>
    <col min="10264" max="10264" width="2.3828125" style="433" hidden="1" customWidth="1"/>
    <col min="10265" max="10268" width="2.53515625" style="433" hidden="1" customWidth="1"/>
    <col min="10269" max="10269" width="2.3828125" style="433" hidden="1" customWidth="1"/>
    <col min="10270" max="10273" width="2.53515625" style="433" hidden="1" customWidth="1"/>
    <col min="10274" max="10279" width="2.3828125" style="433" hidden="1" customWidth="1"/>
    <col min="10280" max="10280" width="1.53515625" style="433" hidden="1" customWidth="1"/>
    <col min="10281" max="10496" width="2.53515625" style="433" hidden="1"/>
    <col min="10497" max="10497" width="1.53515625" style="433" hidden="1" customWidth="1"/>
    <col min="10498" max="10498" width="0.84375" style="433" hidden="1" customWidth="1"/>
    <col min="10499" max="10514" width="2.53515625" style="433" hidden="1" customWidth="1"/>
    <col min="10515" max="10515" width="4" style="433" hidden="1" customWidth="1"/>
    <col min="10516" max="10519" width="2.53515625" style="433" hidden="1" customWidth="1"/>
    <col min="10520" max="10520" width="2.3828125" style="433" hidden="1" customWidth="1"/>
    <col min="10521" max="10524" width="2.53515625" style="433" hidden="1" customWidth="1"/>
    <col min="10525" max="10525" width="2.3828125" style="433" hidden="1" customWidth="1"/>
    <col min="10526" max="10529" width="2.53515625" style="433" hidden="1" customWidth="1"/>
    <col min="10530" max="10535" width="2.3828125" style="433" hidden="1" customWidth="1"/>
    <col min="10536" max="10536" width="1.53515625" style="433" hidden="1" customWidth="1"/>
    <col min="10537" max="10752" width="2.53515625" style="433" hidden="1"/>
    <col min="10753" max="10753" width="1.53515625" style="433" hidden="1" customWidth="1"/>
    <col min="10754" max="10754" width="0.84375" style="433" hidden="1" customWidth="1"/>
    <col min="10755" max="10770" width="2.53515625" style="433" hidden="1" customWidth="1"/>
    <col min="10771" max="10771" width="4" style="433" hidden="1" customWidth="1"/>
    <col min="10772" max="10775" width="2.53515625" style="433" hidden="1" customWidth="1"/>
    <col min="10776" max="10776" width="2.3828125" style="433" hidden="1" customWidth="1"/>
    <col min="10777" max="10780" width="2.53515625" style="433" hidden="1" customWidth="1"/>
    <col min="10781" max="10781" width="2.3828125" style="433" hidden="1" customWidth="1"/>
    <col min="10782" max="10785" width="2.53515625" style="433" hidden="1" customWidth="1"/>
    <col min="10786" max="10791" width="2.3828125" style="433" hidden="1" customWidth="1"/>
    <col min="10792" max="10792" width="1.53515625" style="433" hidden="1" customWidth="1"/>
    <col min="10793" max="11008" width="2.53515625" style="433" hidden="1"/>
    <col min="11009" max="11009" width="1.53515625" style="433" hidden="1" customWidth="1"/>
    <col min="11010" max="11010" width="0.84375" style="433" hidden="1" customWidth="1"/>
    <col min="11011" max="11026" width="2.53515625" style="433" hidden="1" customWidth="1"/>
    <col min="11027" max="11027" width="4" style="433" hidden="1" customWidth="1"/>
    <col min="11028" max="11031" width="2.53515625" style="433" hidden="1" customWidth="1"/>
    <col min="11032" max="11032" width="2.3828125" style="433" hidden="1" customWidth="1"/>
    <col min="11033" max="11036" width="2.53515625" style="433" hidden="1" customWidth="1"/>
    <col min="11037" max="11037" width="2.3828125" style="433" hidden="1" customWidth="1"/>
    <col min="11038" max="11041" width="2.53515625" style="433" hidden="1" customWidth="1"/>
    <col min="11042" max="11047" width="2.3828125" style="433" hidden="1" customWidth="1"/>
    <col min="11048" max="11048" width="1.53515625" style="433" hidden="1" customWidth="1"/>
    <col min="11049" max="11264" width="2.53515625" style="433" hidden="1"/>
    <col min="11265" max="11265" width="1.53515625" style="433" hidden="1" customWidth="1"/>
    <col min="11266" max="11266" width="0.84375" style="433" hidden="1" customWidth="1"/>
    <col min="11267" max="11282" width="2.53515625" style="433" hidden="1" customWidth="1"/>
    <col min="11283" max="11283" width="4" style="433" hidden="1" customWidth="1"/>
    <col min="11284" max="11287" width="2.53515625" style="433" hidden="1" customWidth="1"/>
    <col min="11288" max="11288" width="2.3828125" style="433" hidden="1" customWidth="1"/>
    <col min="11289" max="11292" width="2.53515625" style="433" hidden="1" customWidth="1"/>
    <col min="11293" max="11293" width="2.3828125" style="433" hidden="1" customWidth="1"/>
    <col min="11294" max="11297" width="2.53515625" style="433" hidden="1" customWidth="1"/>
    <col min="11298" max="11303" width="2.3828125" style="433" hidden="1" customWidth="1"/>
    <col min="11304" max="11304" width="1.53515625" style="433" hidden="1" customWidth="1"/>
    <col min="11305" max="11520" width="2.53515625" style="433" hidden="1"/>
    <col min="11521" max="11521" width="1.53515625" style="433" hidden="1" customWidth="1"/>
    <col min="11522" max="11522" width="0.84375" style="433" hidden="1" customWidth="1"/>
    <col min="11523" max="11538" width="2.53515625" style="433" hidden="1" customWidth="1"/>
    <col min="11539" max="11539" width="4" style="433" hidden="1" customWidth="1"/>
    <col min="11540" max="11543" width="2.53515625" style="433" hidden="1" customWidth="1"/>
    <col min="11544" max="11544" width="2.3828125" style="433" hidden="1" customWidth="1"/>
    <col min="11545" max="11548" width="2.53515625" style="433" hidden="1" customWidth="1"/>
    <col min="11549" max="11549" width="2.3828125" style="433" hidden="1" customWidth="1"/>
    <col min="11550" max="11553" width="2.53515625" style="433" hidden="1" customWidth="1"/>
    <col min="11554" max="11559" width="2.3828125" style="433" hidden="1" customWidth="1"/>
    <col min="11560" max="11560" width="1.53515625" style="433" hidden="1" customWidth="1"/>
    <col min="11561" max="11776" width="2.53515625" style="433" hidden="1"/>
    <col min="11777" max="11777" width="1.53515625" style="433" hidden="1" customWidth="1"/>
    <col min="11778" max="11778" width="0.84375" style="433" hidden="1" customWidth="1"/>
    <col min="11779" max="11794" width="2.53515625" style="433" hidden="1" customWidth="1"/>
    <col min="11795" max="11795" width="4" style="433" hidden="1" customWidth="1"/>
    <col min="11796" max="11799" width="2.53515625" style="433" hidden="1" customWidth="1"/>
    <col min="11800" max="11800" width="2.3828125" style="433" hidden="1" customWidth="1"/>
    <col min="11801" max="11804" width="2.53515625" style="433" hidden="1" customWidth="1"/>
    <col min="11805" max="11805" width="2.3828125" style="433" hidden="1" customWidth="1"/>
    <col min="11806" max="11809" width="2.53515625" style="433" hidden="1" customWidth="1"/>
    <col min="11810" max="11815" width="2.3828125" style="433" hidden="1" customWidth="1"/>
    <col min="11816" max="11816" width="1.53515625" style="433" hidden="1" customWidth="1"/>
    <col min="11817" max="12032" width="2.53515625" style="433" hidden="1"/>
    <col min="12033" max="12033" width="1.53515625" style="433" hidden="1" customWidth="1"/>
    <col min="12034" max="12034" width="0.84375" style="433" hidden="1" customWidth="1"/>
    <col min="12035" max="12050" width="2.53515625" style="433" hidden="1" customWidth="1"/>
    <col min="12051" max="12051" width="4" style="433" hidden="1" customWidth="1"/>
    <col min="12052" max="12055" width="2.53515625" style="433" hidden="1" customWidth="1"/>
    <col min="12056" max="12056" width="2.3828125" style="433" hidden="1" customWidth="1"/>
    <col min="12057" max="12060" width="2.53515625" style="433" hidden="1" customWidth="1"/>
    <col min="12061" max="12061" width="2.3828125" style="433" hidden="1" customWidth="1"/>
    <col min="12062" max="12065" width="2.53515625" style="433" hidden="1" customWidth="1"/>
    <col min="12066" max="12071" width="2.3828125" style="433" hidden="1" customWidth="1"/>
    <col min="12072" max="12072" width="1.53515625" style="433" hidden="1" customWidth="1"/>
    <col min="12073" max="12288" width="2.53515625" style="433" hidden="1"/>
    <col min="12289" max="12289" width="1.53515625" style="433" hidden="1" customWidth="1"/>
    <col min="12290" max="12290" width="0.84375" style="433" hidden="1" customWidth="1"/>
    <col min="12291" max="12306" width="2.53515625" style="433" hidden="1" customWidth="1"/>
    <col min="12307" max="12307" width="4" style="433" hidden="1" customWidth="1"/>
    <col min="12308" max="12311" width="2.53515625" style="433" hidden="1" customWidth="1"/>
    <col min="12312" max="12312" width="2.3828125" style="433" hidden="1" customWidth="1"/>
    <col min="12313" max="12316" width="2.53515625" style="433" hidden="1" customWidth="1"/>
    <col min="12317" max="12317" width="2.3828125" style="433" hidden="1" customWidth="1"/>
    <col min="12318" max="12321" width="2.53515625" style="433" hidden="1" customWidth="1"/>
    <col min="12322" max="12327" width="2.3828125" style="433" hidden="1" customWidth="1"/>
    <col min="12328" max="12328" width="1.53515625" style="433" hidden="1" customWidth="1"/>
    <col min="12329" max="12544" width="2.53515625" style="433" hidden="1"/>
    <col min="12545" max="12545" width="1.53515625" style="433" hidden="1" customWidth="1"/>
    <col min="12546" max="12546" width="0.84375" style="433" hidden="1" customWidth="1"/>
    <col min="12547" max="12562" width="2.53515625" style="433" hidden="1" customWidth="1"/>
    <col min="12563" max="12563" width="4" style="433" hidden="1" customWidth="1"/>
    <col min="12564" max="12567" width="2.53515625" style="433" hidden="1" customWidth="1"/>
    <col min="12568" max="12568" width="2.3828125" style="433" hidden="1" customWidth="1"/>
    <col min="12569" max="12572" width="2.53515625" style="433" hidden="1" customWidth="1"/>
    <col min="12573" max="12573" width="2.3828125" style="433" hidden="1" customWidth="1"/>
    <col min="12574" max="12577" width="2.53515625" style="433" hidden="1" customWidth="1"/>
    <col min="12578" max="12583" width="2.3828125" style="433" hidden="1" customWidth="1"/>
    <col min="12584" max="12584" width="1.53515625" style="433" hidden="1" customWidth="1"/>
    <col min="12585" max="12800" width="2.53515625" style="433" hidden="1"/>
    <col min="12801" max="12801" width="1.53515625" style="433" hidden="1" customWidth="1"/>
    <col min="12802" max="12802" width="0.84375" style="433" hidden="1" customWidth="1"/>
    <col min="12803" max="12818" width="2.53515625" style="433" hidden="1" customWidth="1"/>
    <col min="12819" max="12819" width="4" style="433" hidden="1" customWidth="1"/>
    <col min="12820" max="12823" width="2.53515625" style="433" hidden="1" customWidth="1"/>
    <col min="12824" max="12824" width="2.3828125" style="433" hidden="1" customWidth="1"/>
    <col min="12825" max="12828" width="2.53515625" style="433" hidden="1" customWidth="1"/>
    <col min="12829" max="12829" width="2.3828125" style="433" hidden="1" customWidth="1"/>
    <col min="12830" max="12833" width="2.53515625" style="433" hidden="1" customWidth="1"/>
    <col min="12834" max="12839" width="2.3828125" style="433" hidden="1" customWidth="1"/>
    <col min="12840" max="12840" width="1.53515625" style="433" hidden="1" customWidth="1"/>
    <col min="12841" max="13056" width="2.53515625" style="433" hidden="1"/>
    <col min="13057" max="13057" width="1.53515625" style="433" hidden="1" customWidth="1"/>
    <col min="13058" max="13058" width="0.84375" style="433" hidden="1" customWidth="1"/>
    <col min="13059" max="13074" width="2.53515625" style="433" hidden="1" customWidth="1"/>
    <col min="13075" max="13075" width="4" style="433" hidden="1" customWidth="1"/>
    <col min="13076" max="13079" width="2.53515625" style="433" hidden="1" customWidth="1"/>
    <col min="13080" max="13080" width="2.3828125" style="433" hidden="1" customWidth="1"/>
    <col min="13081" max="13084" width="2.53515625" style="433" hidden="1" customWidth="1"/>
    <col min="13085" max="13085" width="2.3828125" style="433" hidden="1" customWidth="1"/>
    <col min="13086" max="13089" width="2.53515625" style="433" hidden="1" customWidth="1"/>
    <col min="13090" max="13095" width="2.3828125" style="433" hidden="1" customWidth="1"/>
    <col min="13096" max="13096" width="1.53515625" style="433" hidden="1" customWidth="1"/>
    <col min="13097" max="13312" width="2.53515625" style="433" hidden="1"/>
    <col min="13313" max="13313" width="1.53515625" style="433" hidden="1" customWidth="1"/>
    <col min="13314" max="13314" width="0.84375" style="433" hidden="1" customWidth="1"/>
    <col min="13315" max="13330" width="2.53515625" style="433" hidden="1" customWidth="1"/>
    <col min="13331" max="13331" width="4" style="433" hidden="1" customWidth="1"/>
    <col min="13332" max="13335" width="2.53515625" style="433" hidden="1" customWidth="1"/>
    <col min="13336" max="13336" width="2.3828125" style="433" hidden="1" customWidth="1"/>
    <col min="13337" max="13340" width="2.53515625" style="433" hidden="1" customWidth="1"/>
    <col min="13341" max="13341" width="2.3828125" style="433" hidden="1" customWidth="1"/>
    <col min="13342" max="13345" width="2.53515625" style="433" hidden="1" customWidth="1"/>
    <col min="13346" max="13351" width="2.3828125" style="433" hidden="1" customWidth="1"/>
    <col min="13352" max="13352" width="1.53515625" style="433" hidden="1" customWidth="1"/>
    <col min="13353" max="13568" width="2.53515625" style="433" hidden="1"/>
    <col min="13569" max="13569" width="1.53515625" style="433" hidden="1" customWidth="1"/>
    <col min="13570" max="13570" width="0.84375" style="433" hidden="1" customWidth="1"/>
    <col min="13571" max="13586" width="2.53515625" style="433" hidden="1" customWidth="1"/>
    <col min="13587" max="13587" width="4" style="433" hidden="1" customWidth="1"/>
    <col min="13588" max="13591" width="2.53515625" style="433" hidden="1" customWidth="1"/>
    <col min="13592" max="13592" width="2.3828125" style="433" hidden="1" customWidth="1"/>
    <col min="13593" max="13596" width="2.53515625" style="433" hidden="1" customWidth="1"/>
    <col min="13597" max="13597" width="2.3828125" style="433" hidden="1" customWidth="1"/>
    <col min="13598" max="13601" width="2.53515625" style="433" hidden="1" customWidth="1"/>
    <col min="13602" max="13607" width="2.3828125" style="433" hidden="1" customWidth="1"/>
    <col min="13608" max="13608" width="1.53515625" style="433" hidden="1" customWidth="1"/>
    <col min="13609" max="13824" width="2.53515625" style="433" hidden="1"/>
    <col min="13825" max="13825" width="1.53515625" style="433" hidden="1" customWidth="1"/>
    <col min="13826" max="13826" width="0.84375" style="433" hidden="1" customWidth="1"/>
    <col min="13827" max="13842" width="2.53515625" style="433" hidden="1" customWidth="1"/>
    <col min="13843" max="13843" width="4" style="433" hidden="1" customWidth="1"/>
    <col min="13844" max="13847" width="2.53515625" style="433" hidden="1" customWidth="1"/>
    <col min="13848" max="13848" width="2.3828125" style="433" hidden="1" customWidth="1"/>
    <col min="13849" max="13852" width="2.53515625" style="433" hidden="1" customWidth="1"/>
    <col min="13853" max="13853" width="2.3828125" style="433" hidden="1" customWidth="1"/>
    <col min="13854" max="13857" width="2.53515625" style="433" hidden="1" customWidth="1"/>
    <col min="13858" max="13863" width="2.3828125" style="433" hidden="1" customWidth="1"/>
    <col min="13864" max="13864" width="1.53515625" style="433" hidden="1" customWidth="1"/>
    <col min="13865" max="14080" width="2.53515625" style="433" hidden="1"/>
    <col min="14081" max="14081" width="1.53515625" style="433" hidden="1" customWidth="1"/>
    <col min="14082" max="14082" width="0.84375" style="433" hidden="1" customWidth="1"/>
    <col min="14083" max="14098" width="2.53515625" style="433" hidden="1" customWidth="1"/>
    <col min="14099" max="14099" width="4" style="433" hidden="1" customWidth="1"/>
    <col min="14100" max="14103" width="2.53515625" style="433" hidden="1" customWidth="1"/>
    <col min="14104" max="14104" width="2.3828125" style="433" hidden="1" customWidth="1"/>
    <col min="14105" max="14108" width="2.53515625" style="433" hidden="1" customWidth="1"/>
    <col min="14109" max="14109" width="2.3828125" style="433" hidden="1" customWidth="1"/>
    <col min="14110" max="14113" width="2.53515625" style="433" hidden="1" customWidth="1"/>
    <col min="14114" max="14119" width="2.3828125" style="433" hidden="1" customWidth="1"/>
    <col min="14120" max="14120" width="1.53515625" style="433" hidden="1" customWidth="1"/>
    <col min="14121" max="14336" width="2.53515625" style="433" hidden="1"/>
    <col min="14337" max="14337" width="1.53515625" style="433" hidden="1" customWidth="1"/>
    <col min="14338" max="14338" width="0.84375" style="433" hidden="1" customWidth="1"/>
    <col min="14339" max="14354" width="2.53515625" style="433" hidden="1" customWidth="1"/>
    <col min="14355" max="14355" width="4" style="433" hidden="1" customWidth="1"/>
    <col min="14356" max="14359" width="2.53515625" style="433" hidden="1" customWidth="1"/>
    <col min="14360" max="14360" width="2.3828125" style="433" hidden="1" customWidth="1"/>
    <col min="14361" max="14364" width="2.53515625" style="433" hidden="1" customWidth="1"/>
    <col min="14365" max="14365" width="2.3828125" style="433" hidden="1" customWidth="1"/>
    <col min="14366" max="14369" width="2.53515625" style="433" hidden="1" customWidth="1"/>
    <col min="14370" max="14375" width="2.3828125" style="433" hidden="1" customWidth="1"/>
    <col min="14376" max="14376" width="1.53515625" style="433" hidden="1" customWidth="1"/>
    <col min="14377" max="14592" width="2.53515625" style="433" hidden="1"/>
    <col min="14593" max="14593" width="1.53515625" style="433" hidden="1" customWidth="1"/>
    <col min="14594" max="14594" width="0.84375" style="433" hidden="1" customWidth="1"/>
    <col min="14595" max="14610" width="2.53515625" style="433" hidden="1" customWidth="1"/>
    <col min="14611" max="14611" width="4" style="433" hidden="1" customWidth="1"/>
    <col min="14612" max="14615" width="2.53515625" style="433" hidden="1" customWidth="1"/>
    <col min="14616" max="14616" width="2.3828125" style="433" hidden="1" customWidth="1"/>
    <col min="14617" max="14620" width="2.53515625" style="433" hidden="1" customWidth="1"/>
    <col min="14621" max="14621" width="2.3828125" style="433" hidden="1" customWidth="1"/>
    <col min="14622" max="14625" width="2.53515625" style="433" hidden="1" customWidth="1"/>
    <col min="14626" max="14631" width="2.3828125" style="433" hidden="1" customWidth="1"/>
    <col min="14632" max="14632" width="1.53515625" style="433" hidden="1" customWidth="1"/>
    <col min="14633" max="14848" width="2.53515625" style="433" hidden="1"/>
    <col min="14849" max="14849" width="1.53515625" style="433" hidden="1" customWidth="1"/>
    <col min="14850" max="14850" width="0.84375" style="433" hidden="1" customWidth="1"/>
    <col min="14851" max="14866" width="2.53515625" style="433" hidden="1" customWidth="1"/>
    <col min="14867" max="14867" width="4" style="433" hidden="1" customWidth="1"/>
    <col min="14868" max="14871" width="2.53515625" style="433" hidden="1" customWidth="1"/>
    <col min="14872" max="14872" width="2.3828125" style="433" hidden="1" customWidth="1"/>
    <col min="14873" max="14876" width="2.53515625" style="433" hidden="1" customWidth="1"/>
    <col min="14877" max="14877" width="2.3828125" style="433" hidden="1" customWidth="1"/>
    <col min="14878" max="14881" width="2.53515625" style="433" hidden="1" customWidth="1"/>
    <col min="14882" max="14887" width="2.3828125" style="433" hidden="1" customWidth="1"/>
    <col min="14888" max="14888" width="1.53515625" style="433" hidden="1" customWidth="1"/>
    <col min="14889" max="15104" width="2.53515625" style="433" hidden="1"/>
    <col min="15105" max="15105" width="1.53515625" style="433" hidden="1" customWidth="1"/>
    <col min="15106" max="15106" width="0.84375" style="433" hidden="1" customWidth="1"/>
    <col min="15107" max="15122" width="2.53515625" style="433" hidden="1" customWidth="1"/>
    <col min="15123" max="15123" width="4" style="433" hidden="1" customWidth="1"/>
    <col min="15124" max="15127" width="2.53515625" style="433" hidden="1" customWidth="1"/>
    <col min="15128" max="15128" width="2.3828125" style="433" hidden="1" customWidth="1"/>
    <col min="15129" max="15132" width="2.53515625" style="433" hidden="1" customWidth="1"/>
    <col min="15133" max="15133" width="2.3828125" style="433" hidden="1" customWidth="1"/>
    <col min="15134" max="15137" width="2.53515625" style="433" hidden="1" customWidth="1"/>
    <col min="15138" max="15143" width="2.3828125" style="433" hidden="1" customWidth="1"/>
    <col min="15144" max="15144" width="1.53515625" style="433" hidden="1" customWidth="1"/>
    <col min="15145" max="15360" width="2.53515625" style="433" hidden="1"/>
    <col min="15361" max="15361" width="1.53515625" style="433" hidden="1" customWidth="1"/>
    <col min="15362" max="15362" width="0.84375" style="433" hidden="1" customWidth="1"/>
    <col min="15363" max="15378" width="2.53515625" style="433" hidden="1" customWidth="1"/>
    <col min="15379" max="15379" width="4" style="433" hidden="1" customWidth="1"/>
    <col min="15380" max="15383" width="2.53515625" style="433" hidden="1" customWidth="1"/>
    <col min="15384" max="15384" width="2.3828125" style="433" hidden="1" customWidth="1"/>
    <col min="15385" max="15388" width="2.53515625" style="433" hidden="1" customWidth="1"/>
    <col min="15389" max="15389" width="2.3828125" style="433" hidden="1" customWidth="1"/>
    <col min="15390" max="15393" width="2.53515625" style="433" hidden="1" customWidth="1"/>
    <col min="15394" max="15399" width="2.3828125" style="433" hidden="1" customWidth="1"/>
    <col min="15400" max="15400" width="1.53515625" style="433" hidden="1" customWidth="1"/>
    <col min="15401" max="15616" width="2.53515625" style="433" hidden="1"/>
    <col min="15617" max="15617" width="1.53515625" style="433" hidden="1" customWidth="1"/>
    <col min="15618" max="15618" width="0.84375" style="433" hidden="1" customWidth="1"/>
    <col min="15619" max="15634" width="2.53515625" style="433" hidden="1" customWidth="1"/>
    <col min="15635" max="15635" width="4" style="433" hidden="1" customWidth="1"/>
    <col min="15636" max="15639" width="2.53515625" style="433" hidden="1" customWidth="1"/>
    <col min="15640" max="15640" width="2.3828125" style="433" hidden="1" customWidth="1"/>
    <col min="15641" max="15644" width="2.53515625" style="433" hidden="1" customWidth="1"/>
    <col min="15645" max="15645" width="2.3828125" style="433" hidden="1" customWidth="1"/>
    <col min="15646" max="15649" width="2.53515625" style="433" hidden="1" customWidth="1"/>
    <col min="15650" max="15655" width="2.3828125" style="433" hidden="1" customWidth="1"/>
    <col min="15656" max="15656" width="1.53515625" style="433" hidden="1" customWidth="1"/>
    <col min="15657" max="15872" width="2.53515625" style="433" hidden="1"/>
    <col min="15873" max="15873" width="1.53515625" style="433" hidden="1" customWidth="1"/>
    <col min="15874" max="15874" width="0.84375" style="433" hidden="1" customWidth="1"/>
    <col min="15875" max="15890" width="2.53515625" style="433" hidden="1" customWidth="1"/>
    <col min="15891" max="15891" width="4" style="433" hidden="1" customWidth="1"/>
    <col min="15892" max="15895" width="2.53515625" style="433" hidden="1" customWidth="1"/>
    <col min="15896" max="15896" width="2.3828125" style="433" hidden="1" customWidth="1"/>
    <col min="15897" max="15900" width="2.53515625" style="433" hidden="1" customWidth="1"/>
    <col min="15901" max="15901" width="2.3828125" style="433" hidden="1" customWidth="1"/>
    <col min="15902" max="15905" width="2.53515625" style="433" hidden="1" customWidth="1"/>
    <col min="15906" max="15911" width="2.3828125" style="433" hidden="1" customWidth="1"/>
    <col min="15912" max="15912" width="1.53515625" style="433" hidden="1" customWidth="1"/>
    <col min="15913" max="16128" width="2.53515625" style="433" hidden="1"/>
    <col min="16129" max="16129" width="1.53515625" style="433" hidden="1" customWidth="1"/>
    <col min="16130" max="16130" width="0.84375" style="433" hidden="1" customWidth="1"/>
    <col min="16131" max="16146" width="2.53515625" style="433" hidden="1" customWidth="1"/>
    <col min="16147" max="16147" width="4" style="433" hidden="1" customWidth="1"/>
    <col min="16148" max="16151" width="2.53515625" style="433" hidden="1" customWidth="1"/>
    <col min="16152" max="16152" width="2.3828125" style="433" hidden="1" customWidth="1"/>
    <col min="16153" max="16156" width="2.53515625" style="433" hidden="1" customWidth="1"/>
    <col min="16157" max="16157" width="2.3828125" style="433" hidden="1" customWidth="1"/>
    <col min="16158" max="16161" width="2.53515625" style="433" hidden="1" customWidth="1"/>
    <col min="16162" max="16167" width="2.3828125" style="433" hidden="1" customWidth="1"/>
    <col min="16168" max="16168" width="1.53515625" style="433" hidden="1" customWidth="1"/>
    <col min="16169" max="16384" width="2.53515625" style="433" hidden="1"/>
  </cols>
  <sheetData>
    <row r="1" spans="1:40" ht="13" customHeight="1">
      <c r="A1" s="2641" t="s">
        <v>1391</v>
      </c>
      <c r="B1" s="2641"/>
      <c r="C1" s="2641"/>
      <c r="D1" s="2641"/>
      <c r="E1" s="2641"/>
      <c r="F1" s="2641"/>
      <c r="G1" s="2641"/>
      <c r="H1" s="2641"/>
      <c r="I1" s="2641"/>
      <c r="J1" s="2641"/>
      <c r="K1" s="2641"/>
      <c r="L1" s="2641"/>
      <c r="M1" s="2641"/>
      <c r="N1" s="2641"/>
      <c r="O1" s="2641"/>
      <c r="P1" s="2641"/>
      <c r="Q1" s="2641"/>
      <c r="R1" s="2641"/>
      <c r="S1" s="2641"/>
      <c r="T1" s="2641"/>
      <c r="U1" s="2641"/>
      <c r="V1" s="2641"/>
      <c r="W1" s="2641"/>
      <c r="X1" s="2641"/>
      <c r="Y1" s="2641"/>
      <c r="Z1" s="2641"/>
      <c r="AA1" s="2641"/>
      <c r="AB1" s="2641"/>
      <c r="AC1" s="2641"/>
      <c r="AD1" s="2641"/>
      <c r="AE1" s="2641"/>
      <c r="AF1" s="2641"/>
      <c r="AG1" s="2641"/>
      <c r="AH1" s="2641"/>
      <c r="AI1" s="2641"/>
      <c r="AJ1" s="2641"/>
      <c r="AK1" s="2641"/>
      <c r="AL1" s="2641"/>
      <c r="AM1" s="2641"/>
      <c r="AN1" s="2641"/>
    </row>
    <row r="2" spans="1:40" ht="13" customHeight="1" thickBot="1">
      <c r="A2" s="2642"/>
      <c r="B2" s="2642"/>
      <c r="C2" s="2642"/>
      <c r="D2" s="2642"/>
      <c r="E2" s="2642"/>
      <c r="F2" s="2642"/>
      <c r="G2" s="2642"/>
      <c r="H2" s="2642"/>
      <c r="I2" s="2642"/>
      <c r="J2" s="2642"/>
      <c r="K2" s="2642"/>
      <c r="L2" s="2642"/>
      <c r="M2" s="2642"/>
      <c r="N2" s="2642"/>
      <c r="O2" s="2642"/>
      <c r="P2" s="2642"/>
      <c r="Q2" s="2642"/>
      <c r="R2" s="2642"/>
      <c r="S2" s="2642"/>
      <c r="T2" s="2642"/>
      <c r="U2" s="2642"/>
      <c r="V2" s="2642"/>
      <c r="W2" s="2642"/>
      <c r="X2" s="2642"/>
      <c r="Y2" s="2642"/>
      <c r="Z2" s="2642"/>
      <c r="AA2" s="2642"/>
      <c r="AB2" s="2642"/>
      <c r="AC2" s="2642"/>
      <c r="AD2" s="2642"/>
      <c r="AE2" s="2642"/>
      <c r="AF2" s="2642"/>
      <c r="AG2" s="2642"/>
      <c r="AH2" s="2642"/>
      <c r="AI2" s="2642"/>
      <c r="AJ2" s="2642"/>
      <c r="AK2" s="2642"/>
      <c r="AL2" s="2642"/>
      <c r="AM2" s="2642"/>
      <c r="AN2" s="2642"/>
    </row>
    <row r="3" spans="1:40" ht="13"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 customHeight="1">
      <c r="A4" s="435"/>
    </row>
    <row r="5" spans="1:40" ht="13" customHeight="1">
      <c r="A5" s="435" t="s">
        <v>320</v>
      </c>
      <c r="C5" s="435" t="s">
        <v>122</v>
      </c>
      <c r="F5" s="435"/>
    </row>
    <row r="6" spans="1:40" ht="13" customHeight="1">
      <c r="A6" s="435"/>
      <c r="C6" s="433" t="s">
        <v>1346</v>
      </c>
    </row>
    <row r="7" spans="1:40" ht="13" customHeight="1">
      <c r="B7" s="436"/>
      <c r="C7" s="437"/>
      <c r="D7" s="437"/>
      <c r="E7" s="437"/>
      <c r="F7" s="437"/>
      <c r="G7" s="437"/>
      <c r="H7" s="437"/>
      <c r="I7" s="437"/>
      <c r="J7" s="437"/>
      <c r="K7" s="437"/>
      <c r="L7" s="437"/>
      <c r="M7" s="437"/>
      <c r="N7" s="437"/>
      <c r="O7" s="437"/>
      <c r="P7" s="437"/>
      <c r="Q7" s="437"/>
      <c r="R7" s="437"/>
      <c r="S7" s="437"/>
      <c r="T7" s="2643" t="str">
        <f xml:space="preserve"> IF(T25=100%,'Sources and Basis Breakdown'!G2,'Sources and Basis Breakdown'!F2)</f>
        <v>30% PVC for New Const/
Rehabilitation
DDA/QCT
Building(s)</v>
      </c>
      <c r="U7" s="2643"/>
      <c r="V7" s="2643"/>
      <c r="W7" s="2643"/>
      <c r="X7" s="2643"/>
      <c r="Y7" s="2643" t="str">
        <f>IF(T25=100%,"",'Sources and Basis Breakdown'!G2)</f>
        <v>30% PVC for New Const/
Rehabilitation
NON-DDA/
NON-QCT Building(s)</v>
      </c>
      <c r="Z7" s="2643"/>
      <c r="AA7" s="2643"/>
      <c r="AB7" s="2643"/>
      <c r="AC7" s="2643"/>
      <c r="AD7" s="2643" t="str">
        <f xml:space="preserve"> IF(T25=100%, 'Sources and Basis Breakdown'!J2,'Sources and Basis Breakdown'!I2)</f>
        <v>30% PVC for Acquisition
DDA/QCT Building(s)</v>
      </c>
      <c r="AE7" s="2643"/>
      <c r="AF7" s="2643"/>
      <c r="AG7" s="2643"/>
      <c r="AH7" s="2643"/>
      <c r="AI7" s="2643" t="str">
        <f>IF(T25=100%,"",'Sources and Basis Breakdown'!J2)</f>
        <v>30% PVC for Acquisition
NON-DDA/
NON-QCT Building(s)</v>
      </c>
      <c r="AJ7" s="2643"/>
      <c r="AK7" s="2643"/>
      <c r="AL7" s="2643"/>
      <c r="AM7" s="2643"/>
    </row>
    <row r="8" spans="1:40" ht="13" customHeight="1">
      <c r="B8" s="438"/>
      <c r="T8" s="2643"/>
      <c r="U8" s="2643"/>
      <c r="V8" s="2643"/>
      <c r="W8" s="2643"/>
      <c r="X8" s="2643"/>
      <c r="Y8" s="2643"/>
      <c r="Z8" s="2643"/>
      <c r="AA8" s="2643"/>
      <c r="AB8" s="2643"/>
      <c r="AC8" s="2643"/>
      <c r="AD8" s="2643"/>
      <c r="AE8" s="2643"/>
      <c r="AF8" s="2643"/>
      <c r="AG8" s="2643"/>
      <c r="AH8" s="2643"/>
      <c r="AI8" s="2643"/>
      <c r="AJ8" s="2643"/>
      <c r="AK8" s="2643"/>
      <c r="AL8" s="2643"/>
      <c r="AM8" s="2643"/>
    </row>
    <row r="9" spans="1:40" ht="13" customHeight="1">
      <c r="B9" s="438"/>
      <c r="T9" s="2643"/>
      <c r="U9" s="2643"/>
      <c r="V9" s="2643"/>
      <c r="W9" s="2643"/>
      <c r="X9" s="2643"/>
      <c r="Y9" s="2643"/>
      <c r="Z9" s="2643"/>
      <c r="AA9" s="2643"/>
      <c r="AB9" s="2643"/>
      <c r="AC9" s="2643"/>
      <c r="AD9" s="2643"/>
      <c r="AE9" s="2643"/>
      <c r="AF9" s="2643"/>
      <c r="AG9" s="2643"/>
      <c r="AH9" s="2643"/>
      <c r="AI9" s="2643"/>
      <c r="AJ9" s="2643"/>
      <c r="AK9" s="2643"/>
      <c r="AL9" s="2643"/>
      <c r="AM9" s="2643"/>
    </row>
    <row r="10" spans="1:40" ht="13" customHeight="1">
      <c r="B10" s="439"/>
      <c r="C10" s="440"/>
      <c r="D10" s="440"/>
      <c r="E10" s="440"/>
      <c r="F10" s="440"/>
      <c r="G10" s="440"/>
      <c r="H10" s="440"/>
      <c r="I10" s="440"/>
      <c r="J10" s="440"/>
      <c r="K10" s="440"/>
      <c r="L10" s="440"/>
      <c r="M10" s="440"/>
      <c r="N10" s="440"/>
      <c r="O10" s="440"/>
      <c r="P10" s="440"/>
      <c r="Q10" s="440"/>
      <c r="R10" s="440"/>
      <c r="S10" s="440"/>
      <c r="T10" s="2643"/>
      <c r="U10" s="2643"/>
      <c r="V10" s="2643"/>
      <c r="W10" s="2643"/>
      <c r="X10" s="2643"/>
      <c r="Y10" s="2643"/>
      <c r="Z10" s="2643"/>
      <c r="AA10" s="2643"/>
      <c r="AB10" s="2643"/>
      <c r="AC10" s="2643"/>
      <c r="AD10" s="2643"/>
      <c r="AE10" s="2643"/>
      <c r="AF10" s="2643"/>
      <c r="AG10" s="2643"/>
      <c r="AH10" s="2643"/>
      <c r="AI10" s="2643"/>
      <c r="AJ10" s="2643"/>
      <c r="AK10" s="2643"/>
      <c r="AL10" s="2643"/>
      <c r="AM10" s="2643"/>
    </row>
    <row r="11" spans="1:40" ht="13" customHeight="1">
      <c r="B11" s="2622" t="s">
        <v>376</v>
      </c>
      <c r="C11" s="2623"/>
      <c r="D11" s="2623"/>
      <c r="E11" s="2623"/>
      <c r="F11" s="2623"/>
      <c r="G11" s="2623"/>
      <c r="H11" s="2623"/>
      <c r="I11" s="2623"/>
      <c r="J11" s="2623"/>
      <c r="K11" s="2623"/>
      <c r="L11" s="2623"/>
      <c r="M11" s="2623"/>
      <c r="N11" s="2623"/>
      <c r="O11" s="2623"/>
      <c r="P11" s="2623"/>
      <c r="Q11" s="2623"/>
      <c r="R11" s="2623"/>
      <c r="S11" s="2624"/>
      <c r="T11" s="2644">
        <f>IF('Sources and Basis Breakdown'!F107=0,'Sources and Basis Breakdown'!E107,'Sources and Basis Breakdown'!F107)</f>
        <v>34277320</v>
      </c>
      <c r="U11" s="2645"/>
      <c r="V11" s="2645"/>
      <c r="W11" s="2645"/>
      <c r="X11" s="2645"/>
      <c r="Y11" s="2644">
        <f>IF(Y7="",0,IF('Sources and Basis Breakdown'!G107+'Sources and Basis Breakdown'!F107='Sources and Basis Breakdown'!E107,'Sources and Basis Breakdown'!G107,0))</f>
        <v>0</v>
      </c>
      <c r="Z11" s="2645"/>
      <c r="AA11" s="2645"/>
      <c r="AB11" s="2645"/>
      <c r="AC11" s="2645"/>
      <c r="AD11" s="2645">
        <f>IF('Sources and Basis Breakdown'!I107=0,'Sources and Basis Breakdown'!H107,'Sources and Basis Breakdown'!I107)</f>
        <v>21072917</v>
      </c>
      <c r="AE11" s="2645"/>
      <c r="AF11" s="2645"/>
      <c r="AG11" s="2645"/>
      <c r="AH11" s="2645"/>
      <c r="AI11" s="2645">
        <f>IF(Y7="",0,IF('Sources and Basis Breakdown'!I107+'Sources and Basis Breakdown'!J107='Sources and Basis Breakdown'!H107,'Sources and Basis Breakdown'!J107,0))</f>
        <v>0</v>
      </c>
      <c r="AJ11" s="2645"/>
      <c r="AK11" s="2645"/>
      <c r="AL11" s="2645"/>
      <c r="AM11" s="2645"/>
    </row>
    <row r="12" spans="1:40" ht="13" customHeight="1">
      <c r="B12" s="2637" t="s">
        <v>506</v>
      </c>
      <c r="C12" s="1288"/>
      <c r="D12" s="1288"/>
      <c r="E12" s="1288"/>
      <c r="F12" s="1288"/>
      <c r="G12" s="1288"/>
      <c r="H12" s="1288"/>
      <c r="I12" s="1288"/>
      <c r="J12" s="1288"/>
      <c r="K12" s="1288"/>
      <c r="L12" s="1288"/>
      <c r="M12" s="1288"/>
      <c r="N12" s="1288"/>
      <c r="O12" s="1288"/>
      <c r="P12" s="1288"/>
      <c r="Q12" s="1288"/>
      <c r="R12" s="1288"/>
      <c r="S12" s="2638"/>
      <c r="T12" s="2610"/>
      <c r="U12" s="2611"/>
      <c r="V12" s="2611"/>
      <c r="W12" s="2611"/>
      <c r="X12" s="2612"/>
      <c r="Y12" s="2610"/>
      <c r="Z12" s="2611"/>
      <c r="AA12" s="2611"/>
      <c r="AB12" s="2611"/>
      <c r="AC12" s="2612"/>
      <c r="AD12" s="2610"/>
      <c r="AE12" s="2611"/>
      <c r="AF12" s="2611"/>
      <c r="AG12" s="2611"/>
      <c r="AH12" s="2612"/>
      <c r="AI12" s="2610"/>
      <c r="AJ12" s="2611"/>
      <c r="AK12" s="2611"/>
      <c r="AL12" s="2611"/>
      <c r="AM12" s="2612"/>
    </row>
    <row r="13" spans="1:40" ht="13" customHeight="1">
      <c r="B13" s="467"/>
      <c r="C13" s="2639" t="s">
        <v>507</v>
      </c>
      <c r="D13" s="2639"/>
      <c r="E13" s="2639"/>
      <c r="F13" s="2639"/>
      <c r="G13" s="2639"/>
      <c r="H13" s="2639"/>
      <c r="I13" s="2639"/>
      <c r="J13" s="2639"/>
      <c r="K13" s="2639"/>
      <c r="L13" s="2639"/>
      <c r="M13" s="2639"/>
      <c r="N13" s="2639"/>
      <c r="O13" s="2639"/>
      <c r="P13" s="2639"/>
      <c r="Q13" s="2639"/>
      <c r="R13" s="2639"/>
      <c r="S13" s="2640"/>
      <c r="T13" s="2646"/>
      <c r="U13" s="2647"/>
      <c r="V13" s="2647"/>
      <c r="W13" s="2647"/>
      <c r="X13" s="2647"/>
      <c r="Y13" s="2646"/>
      <c r="Z13" s="2647"/>
      <c r="AA13" s="2647"/>
      <c r="AB13" s="2647"/>
      <c r="AC13" s="2647"/>
      <c r="AD13" s="2647"/>
      <c r="AE13" s="2647"/>
      <c r="AF13" s="2647"/>
      <c r="AG13" s="2647"/>
      <c r="AH13" s="2647"/>
      <c r="AI13" s="2647"/>
      <c r="AJ13" s="2647"/>
      <c r="AK13" s="2647"/>
      <c r="AL13" s="2647"/>
      <c r="AM13" s="2647"/>
    </row>
    <row r="14" spans="1:40" ht="13" customHeight="1">
      <c r="B14" s="467"/>
      <c r="C14" s="2639" t="s">
        <v>508</v>
      </c>
      <c r="D14" s="2639"/>
      <c r="E14" s="2639"/>
      <c r="F14" s="2639"/>
      <c r="G14" s="2639"/>
      <c r="H14" s="2639"/>
      <c r="I14" s="2639"/>
      <c r="J14" s="2639"/>
      <c r="K14" s="2639"/>
      <c r="L14" s="2639"/>
      <c r="M14" s="2639"/>
      <c r="N14" s="2639"/>
      <c r="O14" s="2639"/>
      <c r="P14" s="2639"/>
      <c r="Q14" s="2639"/>
      <c r="R14" s="2639"/>
      <c r="S14" s="2640"/>
      <c r="T14" s="2613"/>
      <c r="U14" s="2614"/>
      <c r="V14" s="2614"/>
      <c r="W14" s="2614"/>
      <c r="X14" s="2614"/>
      <c r="Y14" s="2613"/>
      <c r="Z14" s="2614"/>
      <c r="AA14" s="2614"/>
      <c r="AB14" s="2614"/>
      <c r="AC14" s="2614"/>
      <c r="AD14" s="2614"/>
      <c r="AE14" s="2614"/>
      <c r="AF14" s="2614"/>
      <c r="AG14" s="2614"/>
      <c r="AH14" s="2614"/>
      <c r="AI14" s="2614"/>
      <c r="AJ14" s="2614"/>
      <c r="AK14" s="2614"/>
      <c r="AL14" s="2614"/>
      <c r="AM14" s="2614"/>
    </row>
    <row r="15" spans="1:40" ht="13" customHeight="1">
      <c r="B15" s="467"/>
      <c r="C15" s="2639" t="s">
        <v>509</v>
      </c>
      <c r="D15" s="2639"/>
      <c r="E15" s="2639"/>
      <c r="F15" s="2639"/>
      <c r="G15" s="2639"/>
      <c r="H15" s="2639"/>
      <c r="I15" s="2639"/>
      <c r="J15" s="2639"/>
      <c r="K15" s="2639"/>
      <c r="L15" s="2639"/>
      <c r="M15" s="2639"/>
      <c r="N15" s="2639"/>
      <c r="O15" s="2639"/>
      <c r="P15" s="2639"/>
      <c r="Q15" s="2639"/>
      <c r="R15" s="2639"/>
      <c r="S15" s="2640"/>
      <c r="T15" s="2613"/>
      <c r="U15" s="2614"/>
      <c r="V15" s="2614"/>
      <c r="W15" s="2614"/>
      <c r="X15" s="2614"/>
      <c r="Y15" s="2613"/>
      <c r="Z15" s="2614"/>
      <c r="AA15" s="2614"/>
      <c r="AB15" s="2614"/>
      <c r="AC15" s="2614"/>
      <c r="AD15" s="2614"/>
      <c r="AE15" s="2614"/>
      <c r="AF15" s="2614"/>
      <c r="AG15" s="2614"/>
      <c r="AH15" s="2614"/>
      <c r="AI15" s="2614"/>
      <c r="AJ15" s="2614"/>
      <c r="AK15" s="2614"/>
      <c r="AL15" s="2614"/>
      <c r="AM15" s="2614"/>
    </row>
    <row r="16" spans="1:40" ht="13" customHeight="1">
      <c r="B16" s="467"/>
      <c r="C16" s="2639" t="s">
        <v>815</v>
      </c>
      <c r="D16" s="2639"/>
      <c r="E16" s="2639"/>
      <c r="F16" s="2639"/>
      <c r="G16" s="2639"/>
      <c r="H16" s="2639"/>
      <c r="I16" s="2639"/>
      <c r="J16" s="2639"/>
      <c r="K16" s="2639"/>
      <c r="L16" s="2639"/>
      <c r="M16" s="2639"/>
      <c r="N16" s="2639"/>
      <c r="O16" s="2639"/>
      <c r="P16" s="2639"/>
      <c r="Q16" s="2639"/>
      <c r="R16" s="2639"/>
      <c r="S16" s="2640"/>
      <c r="T16" s="2613"/>
      <c r="U16" s="2614"/>
      <c r="V16" s="2614"/>
      <c r="W16" s="2614"/>
      <c r="X16" s="2614"/>
      <c r="Y16" s="2613"/>
      <c r="Z16" s="2614"/>
      <c r="AA16" s="2614"/>
      <c r="AB16" s="2614"/>
      <c r="AC16" s="2614"/>
      <c r="AD16" s="2614"/>
      <c r="AE16" s="2614"/>
      <c r="AF16" s="2614"/>
      <c r="AG16" s="2614"/>
      <c r="AH16" s="2614"/>
      <c r="AI16" s="2614"/>
      <c r="AJ16" s="2614"/>
      <c r="AK16" s="2614"/>
      <c r="AL16" s="2614"/>
      <c r="AM16" s="2614"/>
    </row>
    <row r="17" spans="1:40" ht="13" customHeight="1">
      <c r="B17" s="467"/>
      <c r="C17" s="2639" t="s">
        <v>510</v>
      </c>
      <c r="D17" s="2639"/>
      <c r="E17" s="2639"/>
      <c r="F17" s="2639"/>
      <c r="G17" s="2639"/>
      <c r="H17" s="2639"/>
      <c r="I17" s="2639"/>
      <c r="J17" s="2639"/>
      <c r="K17" s="2639"/>
      <c r="L17" s="2639"/>
      <c r="M17" s="2639"/>
      <c r="N17" s="2639"/>
      <c r="O17" s="2639"/>
      <c r="P17" s="2639"/>
      <c r="Q17" s="2639"/>
      <c r="R17" s="2639"/>
      <c r="S17" s="2640"/>
      <c r="T17" s="2613"/>
      <c r="U17" s="2614"/>
      <c r="V17" s="2614"/>
      <c r="W17" s="2614"/>
      <c r="X17" s="2614"/>
      <c r="Y17" s="2613"/>
      <c r="Z17" s="2614"/>
      <c r="AA17" s="2614"/>
      <c r="AB17" s="2614"/>
      <c r="AC17" s="2614"/>
      <c r="AD17" s="2614"/>
      <c r="AE17" s="2614"/>
      <c r="AF17" s="2614"/>
      <c r="AG17" s="2614"/>
      <c r="AH17" s="2614"/>
      <c r="AI17" s="2614"/>
      <c r="AJ17" s="2614"/>
      <c r="AK17" s="2614"/>
      <c r="AL17" s="2614"/>
      <c r="AM17" s="2614"/>
    </row>
    <row r="18" spans="1:40" ht="13" customHeight="1">
      <c r="A18"/>
      <c r="B18" s="1194"/>
      <c r="C18" s="1815" t="s">
        <v>980</v>
      </c>
      <c r="D18" s="1815"/>
      <c r="E18" s="1815"/>
      <c r="F18" s="1815"/>
      <c r="G18" s="1815"/>
      <c r="H18" s="1815"/>
      <c r="I18" s="1815"/>
      <c r="J18" s="1815"/>
      <c r="K18" s="1815"/>
      <c r="L18" s="1815"/>
      <c r="M18" s="1815"/>
      <c r="N18" s="1815"/>
      <c r="O18" s="1815"/>
      <c r="P18" s="1815"/>
      <c r="Q18" s="1815"/>
      <c r="R18" s="1815"/>
      <c r="S18" s="1816"/>
      <c r="T18" s="2613"/>
      <c r="U18" s="2614"/>
      <c r="V18" s="2614"/>
      <c r="W18" s="2614"/>
      <c r="X18" s="2614"/>
      <c r="Y18" s="2613"/>
      <c r="Z18" s="2614"/>
      <c r="AA18" s="2614"/>
      <c r="AB18" s="2614"/>
      <c r="AC18" s="2614"/>
      <c r="AD18" s="2614"/>
      <c r="AE18" s="2614"/>
      <c r="AF18" s="2614"/>
      <c r="AG18" s="2614"/>
      <c r="AH18" s="2614"/>
      <c r="AI18" s="2614"/>
      <c r="AJ18" s="2614"/>
      <c r="AK18" s="2614"/>
      <c r="AL18" s="2614"/>
      <c r="AM18" s="2614"/>
    </row>
    <row r="19" spans="1:40" ht="13" customHeight="1">
      <c r="B19" s="1194"/>
      <c r="C19" s="1815" t="s">
        <v>980</v>
      </c>
      <c r="D19" s="1815"/>
      <c r="E19" s="1815"/>
      <c r="F19" s="1815"/>
      <c r="G19" s="1815"/>
      <c r="H19" s="1815"/>
      <c r="I19" s="1815"/>
      <c r="J19" s="1815"/>
      <c r="K19" s="1815"/>
      <c r="L19" s="1815"/>
      <c r="M19" s="1815"/>
      <c r="N19" s="1815"/>
      <c r="O19" s="1815"/>
      <c r="P19" s="1815"/>
      <c r="Q19" s="1815"/>
      <c r="R19" s="1815"/>
      <c r="S19" s="1816"/>
      <c r="T19" s="2613"/>
      <c r="U19" s="2614"/>
      <c r="V19" s="2614"/>
      <c r="W19" s="2614"/>
      <c r="X19" s="2614"/>
      <c r="Y19" s="2613"/>
      <c r="Z19" s="2614"/>
      <c r="AA19" s="2614"/>
      <c r="AB19" s="2614"/>
      <c r="AC19" s="2614"/>
      <c r="AD19" s="2614"/>
      <c r="AE19" s="2614"/>
      <c r="AF19" s="2614"/>
      <c r="AG19" s="2614"/>
      <c r="AH19" s="2614"/>
      <c r="AI19" s="2614"/>
      <c r="AJ19" s="2614"/>
      <c r="AK19" s="2614"/>
      <c r="AL19" s="2614"/>
      <c r="AM19" s="2614"/>
    </row>
    <row r="20" spans="1:40" ht="13" customHeight="1">
      <c r="B20" s="2622" t="s">
        <v>511</v>
      </c>
      <c r="C20" s="2623"/>
      <c r="D20" s="2623"/>
      <c r="E20" s="2623"/>
      <c r="F20" s="2623"/>
      <c r="G20" s="2623"/>
      <c r="H20" s="2623"/>
      <c r="I20" s="2623"/>
      <c r="J20" s="2623"/>
      <c r="K20" s="2623"/>
      <c r="L20" s="2623"/>
      <c r="M20" s="2623"/>
      <c r="N20" s="2623"/>
      <c r="O20" s="2623"/>
      <c r="P20" s="2623"/>
      <c r="Q20" s="2623"/>
      <c r="R20" s="2623"/>
      <c r="S20" s="2624"/>
      <c r="T20" s="2615">
        <f>SUM(T13:X19)</f>
        <v>0</v>
      </c>
      <c r="U20" s="2616"/>
      <c r="V20" s="2616"/>
      <c r="W20" s="2616"/>
      <c r="X20" s="2616"/>
      <c r="Y20" s="2615">
        <f>SUM(Y13:AC19)</f>
        <v>0</v>
      </c>
      <c r="Z20" s="2616"/>
      <c r="AA20" s="2616"/>
      <c r="AB20" s="2616"/>
      <c r="AC20" s="2616"/>
      <c r="AD20" s="2617">
        <f>SUM(AD13:AH19)</f>
        <v>0</v>
      </c>
      <c r="AE20" s="2618"/>
      <c r="AF20" s="2618"/>
      <c r="AG20" s="2618"/>
      <c r="AH20" s="2615"/>
      <c r="AI20" s="2617">
        <f>SUM(AI13:AM19)</f>
        <v>0</v>
      </c>
      <c r="AJ20" s="2618"/>
      <c r="AK20" s="2618"/>
      <c r="AL20" s="2618"/>
      <c r="AM20" s="2615"/>
    </row>
    <row r="21" spans="1:40" ht="13" customHeight="1">
      <c r="B21" s="2622" t="s">
        <v>1374</v>
      </c>
      <c r="C21" s="2623"/>
      <c r="D21" s="2623"/>
      <c r="E21" s="2623"/>
      <c r="F21" s="2623"/>
      <c r="G21" s="2623"/>
      <c r="H21" s="2623"/>
      <c r="I21" s="2623"/>
      <c r="J21" s="2623"/>
      <c r="K21" s="2623"/>
      <c r="L21" s="2623"/>
      <c r="M21" s="2623"/>
      <c r="N21" s="2623"/>
      <c r="O21" s="2623"/>
      <c r="P21" s="2623"/>
      <c r="Q21" s="2623"/>
      <c r="R21" s="2623"/>
      <c r="S21" s="2624"/>
      <c r="T21" s="2613"/>
      <c r="U21" s="2614"/>
      <c r="V21" s="2614"/>
      <c r="W21" s="2614"/>
      <c r="X21" s="2614"/>
      <c r="Y21" s="2613"/>
      <c r="Z21" s="2614"/>
      <c r="AA21" s="2614"/>
      <c r="AB21" s="2614"/>
      <c r="AC21" s="2614"/>
      <c r="AD21" s="2610"/>
      <c r="AE21" s="2611"/>
      <c r="AF21" s="2611"/>
      <c r="AG21" s="2611"/>
      <c r="AH21" s="2612"/>
      <c r="AI21" s="2610"/>
      <c r="AJ21" s="2611"/>
      <c r="AK21" s="2611"/>
      <c r="AL21" s="2611"/>
      <c r="AM21" s="2612"/>
    </row>
    <row r="22" spans="1:40" ht="13" customHeight="1">
      <c r="B22" s="2622" t="s">
        <v>512</v>
      </c>
      <c r="C22" s="2623"/>
      <c r="D22" s="2623"/>
      <c r="E22" s="2623"/>
      <c r="F22" s="2623"/>
      <c r="G22" s="2623"/>
      <c r="H22" s="2623"/>
      <c r="I22" s="2623"/>
      <c r="J22" s="2623"/>
      <c r="K22" s="2623"/>
      <c r="L22" s="2623"/>
      <c r="M22" s="2623"/>
      <c r="N22" s="2623"/>
      <c r="O22" s="2623"/>
      <c r="P22" s="2623"/>
      <c r="Q22" s="2623"/>
      <c r="R22" s="2623"/>
      <c r="S22" s="2624"/>
      <c r="T22" s="2648">
        <f>(ABS(T20)+ABS(T21))*-1</f>
        <v>0</v>
      </c>
      <c r="U22" s="2649"/>
      <c r="V22" s="2649"/>
      <c r="W22" s="2649"/>
      <c r="X22" s="2649"/>
      <c r="Y22" s="2648">
        <f>(Y20+Y21)*-1</f>
        <v>0</v>
      </c>
      <c r="Z22" s="2649"/>
      <c r="AA22" s="2649"/>
      <c r="AB22" s="2649"/>
      <c r="AC22" s="2649"/>
      <c r="AD22" s="2650">
        <f>(AD20)*-1</f>
        <v>0</v>
      </c>
      <c r="AE22" s="2651"/>
      <c r="AF22" s="2651"/>
      <c r="AG22" s="2651"/>
      <c r="AH22" s="2648"/>
      <c r="AI22" s="2650">
        <f>(AI20)*-1</f>
        <v>0</v>
      </c>
      <c r="AJ22" s="2651"/>
      <c r="AK22" s="2651"/>
      <c r="AL22" s="2651"/>
      <c r="AM22" s="2648"/>
    </row>
    <row r="23" spans="1:40" ht="13" customHeight="1">
      <c r="B23" s="2622" t="s">
        <v>513</v>
      </c>
      <c r="C23" s="2623"/>
      <c r="D23" s="2623"/>
      <c r="E23" s="2623"/>
      <c r="F23" s="2623"/>
      <c r="G23" s="2623"/>
      <c r="H23" s="2623"/>
      <c r="I23" s="2623"/>
      <c r="J23" s="2623"/>
      <c r="K23" s="2623"/>
      <c r="L23" s="2623"/>
      <c r="M23" s="2623"/>
      <c r="N23" s="2623"/>
      <c r="O23" s="2623"/>
      <c r="P23" s="2623"/>
      <c r="Q23" s="2623"/>
      <c r="R23" s="2623"/>
      <c r="S23" s="2624"/>
      <c r="T23" s="2615">
        <f>T11+T22</f>
        <v>34277320</v>
      </c>
      <c r="U23" s="2616"/>
      <c r="V23" s="2616"/>
      <c r="W23" s="2616"/>
      <c r="X23" s="2616"/>
      <c r="Y23" s="2615">
        <f>Y11+Y22</f>
        <v>0</v>
      </c>
      <c r="Z23" s="2616"/>
      <c r="AA23" s="2616"/>
      <c r="AB23" s="2616"/>
      <c r="AC23" s="2616"/>
      <c r="AD23" s="2615">
        <f>AD11+AD22</f>
        <v>21072917</v>
      </c>
      <c r="AE23" s="2616"/>
      <c r="AF23" s="2616"/>
      <c r="AG23" s="2616"/>
      <c r="AH23" s="2616"/>
      <c r="AI23" s="2615">
        <f>AI11+AI22</f>
        <v>0</v>
      </c>
      <c r="AJ23" s="2616"/>
      <c r="AK23" s="2616"/>
      <c r="AL23" s="2616"/>
      <c r="AM23" s="2616"/>
    </row>
    <row r="24" spans="1:40" ht="13" customHeight="1">
      <c r="B24" s="2622" t="s">
        <v>981</v>
      </c>
      <c r="C24" s="2623"/>
      <c r="D24" s="2623"/>
      <c r="E24" s="2623"/>
      <c r="F24" s="2623"/>
      <c r="G24" s="2623"/>
      <c r="H24" s="2623"/>
      <c r="I24" s="2623"/>
      <c r="J24" s="2623"/>
      <c r="K24" s="2623"/>
      <c r="L24" s="2623"/>
      <c r="M24" s="2623"/>
      <c r="N24" s="2623"/>
      <c r="O24" s="2623"/>
      <c r="P24" s="2623"/>
      <c r="Q24" s="2623"/>
      <c r="R24" s="2623"/>
      <c r="S24" s="2624"/>
      <c r="T24" s="2617">
        <f>Application!AJ1052</f>
        <v>177074097</v>
      </c>
      <c r="U24" s="2618"/>
      <c r="V24" s="2618"/>
      <c r="W24" s="2618"/>
      <c r="X24" s="2618"/>
      <c r="Y24" s="2618"/>
      <c r="Z24" s="2618"/>
      <c r="AA24" s="2618"/>
      <c r="AB24" s="2618"/>
      <c r="AC24" s="2618"/>
      <c r="AD24" s="2618"/>
      <c r="AE24" s="2618"/>
      <c r="AF24" s="2618"/>
      <c r="AG24" s="2618"/>
      <c r="AH24" s="2618"/>
      <c r="AI24" s="2618"/>
      <c r="AJ24" s="2618"/>
      <c r="AK24" s="2618"/>
      <c r="AL24" s="2618"/>
      <c r="AM24" s="2615"/>
    </row>
    <row r="25" spans="1:40" ht="13" customHeight="1">
      <c r="B25" s="2626" t="s">
        <v>1375</v>
      </c>
      <c r="C25" s="2627"/>
      <c r="D25" s="2627"/>
      <c r="E25" s="2627"/>
      <c r="F25" s="2627"/>
      <c r="G25" s="2627"/>
      <c r="H25" s="2627"/>
      <c r="I25" s="2627"/>
      <c r="J25" s="2627"/>
      <c r="K25" s="2627"/>
      <c r="L25" s="2627"/>
      <c r="M25" s="2627"/>
      <c r="N25" s="2627"/>
      <c r="O25" s="2627"/>
      <c r="P25" s="2627"/>
      <c r="Q25" s="2627"/>
      <c r="R25" s="2627"/>
      <c r="S25" s="2628"/>
      <c r="T25" s="2652">
        <f>IF(OR(Application!T196="yes",Application!T195="yes"),1.3,1)</f>
        <v>1.3</v>
      </c>
      <c r="U25" s="2653"/>
      <c r="V25" s="2653"/>
      <c r="W25" s="2653"/>
      <c r="X25" s="2653"/>
      <c r="Y25" s="2652">
        <v>1</v>
      </c>
      <c r="Z25" s="2653"/>
      <c r="AA25" s="2653"/>
      <c r="AB25" s="2653"/>
      <c r="AC25" s="2653"/>
      <c r="AD25" s="2652">
        <v>1</v>
      </c>
      <c r="AE25" s="2653"/>
      <c r="AF25" s="2653"/>
      <c r="AG25" s="2653"/>
      <c r="AH25" s="2654"/>
      <c r="AI25" s="2652">
        <v>1</v>
      </c>
      <c r="AJ25" s="2653"/>
      <c r="AK25" s="2653"/>
      <c r="AL25" s="2653"/>
      <c r="AM25" s="2654"/>
    </row>
    <row r="26" spans="1:40" ht="13" customHeight="1">
      <c r="B26" s="2622" t="s">
        <v>514</v>
      </c>
      <c r="C26" s="2623"/>
      <c r="D26" s="2623"/>
      <c r="E26" s="2623"/>
      <c r="F26" s="2623"/>
      <c r="G26" s="2623"/>
      <c r="H26" s="2623"/>
      <c r="I26" s="2623"/>
      <c r="J26" s="2623"/>
      <c r="K26" s="2623"/>
      <c r="L26" s="2623"/>
      <c r="M26" s="2623"/>
      <c r="N26" s="2623"/>
      <c r="O26" s="2623"/>
      <c r="P26" s="2623"/>
      <c r="Q26" s="2623"/>
      <c r="R26" s="2623"/>
      <c r="S26" s="2624"/>
      <c r="T26" s="2615">
        <f>T23*T25</f>
        <v>44560516</v>
      </c>
      <c r="U26" s="2616"/>
      <c r="V26" s="2616"/>
      <c r="W26" s="2616"/>
      <c r="X26" s="2616"/>
      <c r="Y26" s="2615">
        <f>Y23*Y25</f>
        <v>0</v>
      </c>
      <c r="Z26" s="2616"/>
      <c r="AA26" s="2616"/>
      <c r="AB26" s="2616"/>
      <c r="AC26" s="2616"/>
      <c r="AD26" s="2615">
        <f>AD23*AD25</f>
        <v>21072917</v>
      </c>
      <c r="AE26" s="2616"/>
      <c r="AF26" s="2616"/>
      <c r="AG26" s="2616"/>
      <c r="AH26" s="2616"/>
      <c r="AI26" s="2615">
        <f>AI23*AI25</f>
        <v>0</v>
      </c>
      <c r="AJ26" s="2616"/>
      <c r="AK26" s="2616"/>
      <c r="AL26" s="2616"/>
      <c r="AM26" s="2616"/>
    </row>
    <row r="27" spans="1:40" ht="13" customHeight="1">
      <c r="A27" s="441"/>
      <c r="B27" s="2629" t="s">
        <v>427</v>
      </c>
      <c r="C27" s="2630"/>
      <c r="D27" s="2630"/>
      <c r="E27" s="2630"/>
      <c r="F27" s="2630"/>
      <c r="G27" s="2630"/>
      <c r="H27" s="2630"/>
      <c r="I27" s="2630"/>
      <c r="J27" s="2630"/>
      <c r="K27" s="2630"/>
      <c r="L27" s="2630"/>
      <c r="M27" s="2630"/>
      <c r="N27" s="2630"/>
      <c r="O27" s="2630"/>
      <c r="P27" s="2630"/>
      <c r="Q27" s="2630"/>
      <c r="R27" s="2630"/>
      <c r="S27" s="2631"/>
      <c r="T27" s="2635">
        <f>Application!$AG$445</f>
        <v>1</v>
      </c>
      <c r="U27" s="2636"/>
      <c r="V27" s="2636"/>
      <c r="W27" s="2636"/>
      <c r="X27" s="2636"/>
      <c r="Y27" s="2635">
        <f>Application!$AG$445</f>
        <v>1</v>
      </c>
      <c r="Z27" s="2636"/>
      <c r="AA27" s="2636"/>
      <c r="AB27" s="2636"/>
      <c r="AC27" s="2636"/>
      <c r="AD27" s="2635">
        <f>Application!$AG$445</f>
        <v>1</v>
      </c>
      <c r="AE27" s="2636"/>
      <c r="AF27" s="2636"/>
      <c r="AG27" s="2636"/>
      <c r="AH27" s="2636"/>
      <c r="AI27" s="2635">
        <f>Application!$AG$445</f>
        <v>1</v>
      </c>
      <c r="AJ27" s="2636"/>
      <c r="AK27" s="2636"/>
      <c r="AL27" s="2636"/>
      <c r="AM27" s="2636"/>
    </row>
    <row r="28" spans="1:40" ht="13" customHeight="1">
      <c r="A28" s="435"/>
      <c r="B28" s="2622" t="s">
        <v>515</v>
      </c>
      <c r="C28" s="2623"/>
      <c r="D28" s="2623"/>
      <c r="E28" s="2623"/>
      <c r="F28" s="2623"/>
      <c r="G28" s="2623"/>
      <c r="H28" s="2623"/>
      <c r="I28" s="2623"/>
      <c r="J28" s="2623"/>
      <c r="K28" s="2623"/>
      <c r="L28" s="2623"/>
      <c r="M28" s="2623"/>
      <c r="N28" s="2623"/>
      <c r="O28" s="2623"/>
      <c r="P28" s="2623"/>
      <c r="Q28" s="2623"/>
      <c r="R28" s="2623"/>
      <c r="S28" s="2624"/>
      <c r="T28" s="2615">
        <f>IF(ISERROR((T26*T27)),0,(T26*T27))</f>
        <v>44560516</v>
      </c>
      <c r="U28" s="2616"/>
      <c r="V28" s="2616"/>
      <c r="W28" s="2616"/>
      <c r="X28" s="2616"/>
      <c r="Y28" s="2615">
        <f>IF(ISERROR((Y26*Y27)),0,(Y26*Y27))</f>
        <v>0</v>
      </c>
      <c r="Z28" s="2616"/>
      <c r="AA28" s="2616"/>
      <c r="AB28" s="2616"/>
      <c r="AC28" s="2616"/>
      <c r="AD28" s="2615">
        <f>IF(ISERROR((AD26*AD27)),0,(AD26*AD27))</f>
        <v>21072917</v>
      </c>
      <c r="AE28" s="2616"/>
      <c r="AF28" s="2616"/>
      <c r="AG28" s="2616"/>
      <c r="AH28" s="2616"/>
      <c r="AI28" s="2615">
        <f>IF(ISERROR((AI26*AI27)),0,(AI26*AI27))</f>
        <v>0</v>
      </c>
      <c r="AJ28" s="2616"/>
      <c r="AK28" s="2616"/>
      <c r="AL28" s="2616"/>
      <c r="AM28" s="2616"/>
    </row>
    <row r="29" spans="1:40" ht="13" customHeight="1">
      <c r="B29" s="2622" t="s">
        <v>532</v>
      </c>
      <c r="C29" s="2623"/>
      <c r="D29" s="2623"/>
      <c r="E29" s="2623"/>
      <c r="F29" s="2623"/>
      <c r="G29" s="2623"/>
      <c r="H29" s="2623"/>
      <c r="I29" s="2623"/>
      <c r="J29" s="2623"/>
      <c r="K29" s="2623"/>
      <c r="L29" s="2623"/>
      <c r="M29" s="2623"/>
      <c r="N29" s="2623"/>
      <c r="O29" s="2623"/>
      <c r="P29" s="2623"/>
      <c r="Q29" s="2623"/>
      <c r="R29" s="2623"/>
      <c r="S29" s="2624"/>
      <c r="T29" s="2617">
        <f>T28+Y28+AD28+AI28</f>
        <v>65633433</v>
      </c>
      <c r="U29" s="2618"/>
      <c r="V29" s="2618"/>
      <c r="W29" s="2618"/>
      <c r="X29" s="2618"/>
      <c r="Y29" s="2618"/>
      <c r="Z29" s="2618"/>
      <c r="AA29" s="2618"/>
      <c r="AB29" s="2618"/>
      <c r="AC29" s="2618"/>
      <c r="AD29" s="2618"/>
      <c r="AE29" s="2618"/>
      <c r="AF29" s="2618"/>
      <c r="AG29" s="2618"/>
      <c r="AH29" s="2618"/>
      <c r="AI29" s="2618"/>
      <c r="AJ29" s="2618"/>
      <c r="AK29" s="2618"/>
      <c r="AL29" s="2618"/>
      <c r="AM29" s="2615"/>
    </row>
    <row r="30" spans="1:40" ht="13" customHeight="1">
      <c r="B30" s="2625" t="s">
        <v>1377</v>
      </c>
      <c r="C30" s="2625"/>
      <c r="D30" s="2625"/>
      <c r="E30" s="2625"/>
      <c r="F30" s="2625"/>
      <c r="G30" s="2625"/>
      <c r="H30" s="2625"/>
      <c r="I30" s="2625"/>
      <c r="J30" s="2625"/>
      <c r="K30" s="2625"/>
      <c r="L30" s="2625"/>
      <c r="M30" s="2625"/>
      <c r="N30" s="2625"/>
      <c r="O30" s="2625"/>
      <c r="P30" s="2625"/>
      <c r="Q30" s="2625"/>
      <c r="R30" s="2625"/>
      <c r="S30" s="2625"/>
      <c r="T30" s="2625"/>
      <c r="U30" s="2625"/>
      <c r="V30" s="2625"/>
      <c r="W30" s="2625"/>
      <c r="X30" s="2625"/>
      <c r="Y30" s="2625"/>
      <c r="Z30" s="2625"/>
      <c r="AA30" s="2625"/>
      <c r="AB30" s="2625"/>
      <c r="AC30" s="2625"/>
      <c r="AD30" s="2625"/>
      <c r="AE30" s="2625"/>
      <c r="AF30" s="2625"/>
      <c r="AG30" s="2625"/>
      <c r="AH30" s="2625"/>
      <c r="AI30" s="2625"/>
      <c r="AJ30" s="2625"/>
      <c r="AK30" s="2625"/>
      <c r="AL30" s="2625"/>
      <c r="AM30" s="2625"/>
    </row>
    <row r="31" spans="1:40" ht="13" customHeight="1">
      <c r="B31" s="2625" t="s">
        <v>1376</v>
      </c>
      <c r="C31" s="2625"/>
      <c r="D31" s="2625"/>
      <c r="E31" s="2625"/>
      <c r="F31" s="2625"/>
      <c r="G31" s="2625"/>
      <c r="H31" s="2625"/>
      <c r="I31" s="2625"/>
      <c r="J31" s="2625"/>
      <c r="K31" s="2625"/>
      <c r="L31" s="2625"/>
      <c r="M31" s="2625"/>
      <c r="N31" s="2625"/>
      <c r="O31" s="2625"/>
      <c r="P31" s="2625"/>
      <c r="Q31" s="2625"/>
      <c r="R31" s="2625"/>
      <c r="S31" s="2625"/>
      <c r="T31" s="2625"/>
      <c r="U31" s="2625"/>
      <c r="V31" s="2625"/>
      <c r="W31" s="2625"/>
      <c r="X31" s="2625"/>
      <c r="Y31" s="2625"/>
      <c r="Z31" s="2625"/>
      <c r="AA31" s="2625"/>
      <c r="AB31" s="2625"/>
      <c r="AC31" s="2625"/>
      <c r="AD31" s="2625"/>
      <c r="AE31" s="2625"/>
      <c r="AF31" s="2625"/>
      <c r="AG31" s="2625"/>
      <c r="AH31" s="2625"/>
      <c r="AI31" s="2625"/>
      <c r="AJ31" s="2625"/>
      <c r="AK31" s="2625"/>
      <c r="AL31" s="2625"/>
      <c r="AM31" s="2625"/>
      <c r="AN31" s="552"/>
    </row>
    <row r="32" spans="1:40" ht="13"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 customHeight="1">
      <c r="A34" s="435" t="s">
        <v>585</v>
      </c>
      <c r="C34" s="435" t="s">
        <v>577</v>
      </c>
    </row>
    <row r="35" spans="1:76" ht="13"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3" t="s">
        <v>1257</v>
      </c>
      <c r="Z35" s="2643"/>
      <c r="AA35" s="2643"/>
      <c r="AB35" s="2643"/>
      <c r="AC35" s="2643"/>
      <c r="AD35" s="2666" t="s">
        <v>370</v>
      </c>
      <c r="AE35" s="2666"/>
      <c r="AF35" s="2666"/>
      <c r="AG35" s="2666"/>
      <c r="AH35" s="2666"/>
    </row>
    <row r="36" spans="1:76" ht="13" customHeight="1">
      <c r="B36" s="438"/>
      <c r="X36" s="443"/>
      <c r="Y36" s="2643"/>
      <c r="Z36" s="2643"/>
      <c r="AA36" s="2643"/>
      <c r="AB36" s="2643"/>
      <c r="AC36" s="2643"/>
      <c r="AD36" s="2666"/>
      <c r="AE36" s="2666"/>
      <c r="AF36" s="2666"/>
      <c r="AG36" s="2666"/>
      <c r="AH36" s="2666"/>
    </row>
    <row r="37" spans="1:76" ht="13"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3"/>
      <c r="Z37" s="2643"/>
      <c r="AA37" s="2643"/>
      <c r="AB37" s="2643"/>
      <c r="AC37" s="2643"/>
      <c r="AD37" s="2666"/>
      <c r="AE37" s="2666"/>
      <c r="AF37" s="2666"/>
      <c r="AG37" s="2666"/>
      <c r="AH37" s="2666"/>
    </row>
    <row r="38" spans="1:76" ht="13" customHeight="1">
      <c r="A38" s="435"/>
      <c r="B38" s="2622" t="s">
        <v>515</v>
      </c>
      <c r="C38" s="2623"/>
      <c r="D38" s="2623"/>
      <c r="E38" s="2623"/>
      <c r="F38" s="2623"/>
      <c r="G38" s="2623"/>
      <c r="H38" s="2623"/>
      <c r="I38" s="2623"/>
      <c r="J38" s="2623"/>
      <c r="K38" s="2623"/>
      <c r="L38" s="2623"/>
      <c r="M38" s="2623"/>
      <c r="N38" s="2623"/>
      <c r="O38" s="2623"/>
      <c r="P38" s="2623"/>
      <c r="Q38" s="2623"/>
      <c r="R38" s="2623"/>
      <c r="S38" s="2623"/>
      <c r="T38" s="2623"/>
      <c r="U38" s="2623"/>
      <c r="V38" s="2623"/>
      <c r="W38" s="2623"/>
      <c r="X38" s="2624"/>
      <c r="Y38" s="2616">
        <f>IF(T24&gt;=(T23+Y23+AD23+AI23),T28+Y28,0)</f>
        <v>44560516</v>
      </c>
      <c r="Z38" s="2616"/>
      <c r="AA38" s="2616"/>
      <c r="AB38" s="2616"/>
      <c r="AC38" s="2616"/>
      <c r="AD38" s="2616">
        <f>IF(T24&gt;=(T23+Y23+AD23+AI23),AD28+AI28,0)</f>
        <v>21072917</v>
      </c>
      <c r="AE38" s="2616"/>
      <c r="AF38" s="2616"/>
      <c r="AG38" s="2616"/>
      <c r="AH38" s="2616"/>
    </row>
    <row r="39" spans="1:76" ht="13" customHeight="1">
      <c r="B39" s="2622" t="s">
        <v>1882</v>
      </c>
      <c r="C39" s="2623"/>
      <c r="D39" s="2623"/>
      <c r="E39" s="2623"/>
      <c r="F39" s="2623"/>
      <c r="G39" s="2623"/>
      <c r="H39" s="2623"/>
      <c r="I39" s="2623"/>
      <c r="J39" s="2623"/>
      <c r="K39" s="2623"/>
      <c r="L39" s="2623"/>
      <c r="M39" s="2623"/>
      <c r="N39" s="2623"/>
      <c r="O39" s="2623"/>
      <c r="P39" s="2623"/>
      <c r="Q39" s="2623"/>
      <c r="R39" s="2623"/>
      <c r="S39" s="2623"/>
      <c r="T39" s="2623"/>
      <c r="U39" s="2623"/>
      <c r="V39" s="2623"/>
      <c r="W39" s="2623"/>
      <c r="X39" s="2624"/>
      <c r="Y39" s="2667">
        <v>0.04</v>
      </c>
      <c r="Z39" s="2667"/>
      <c r="AA39" s="2667"/>
      <c r="AB39" s="2667"/>
      <c r="AC39" s="2667"/>
      <c r="AD39" s="2667">
        <v>0.04</v>
      </c>
      <c r="AE39" s="2667"/>
      <c r="AF39" s="2667"/>
      <c r="AG39" s="2667"/>
      <c r="AH39" s="2667"/>
    </row>
    <row r="40" spans="1:76" ht="13" customHeight="1">
      <c r="A40" s="435"/>
      <c r="B40" s="2622" t="s">
        <v>651</v>
      </c>
      <c r="C40" s="2623"/>
      <c r="D40" s="2623"/>
      <c r="E40" s="2623"/>
      <c r="F40" s="2623"/>
      <c r="G40" s="2623"/>
      <c r="H40" s="2623"/>
      <c r="I40" s="2623"/>
      <c r="J40" s="2623"/>
      <c r="K40" s="2623"/>
      <c r="L40" s="2623"/>
      <c r="M40" s="2623"/>
      <c r="N40" s="2623"/>
      <c r="O40" s="2623"/>
      <c r="P40" s="2623"/>
      <c r="Q40" s="2623"/>
      <c r="R40" s="2623"/>
      <c r="S40" s="2623"/>
      <c r="T40" s="2623"/>
      <c r="U40" s="2623"/>
      <c r="V40" s="2623"/>
      <c r="W40" s="2623"/>
      <c r="X40" s="2624"/>
      <c r="Y40" s="2616">
        <f>ROUND(Y38*Y39,0)</f>
        <v>1782421</v>
      </c>
      <c r="Z40" s="2616"/>
      <c r="AA40" s="2616"/>
      <c r="AB40" s="2616"/>
      <c r="AC40" s="2616"/>
      <c r="AD40" s="2615">
        <f>ROUND(AD38*AD39,0)</f>
        <v>842917</v>
      </c>
      <c r="AE40" s="2616"/>
      <c r="AF40" s="2616"/>
      <c r="AG40" s="2616"/>
      <c r="AH40" s="2616"/>
    </row>
    <row r="41" spans="1:76" ht="13" customHeight="1">
      <c r="B41" s="2622" t="s">
        <v>652</v>
      </c>
      <c r="C41" s="2623"/>
      <c r="D41" s="2623"/>
      <c r="E41" s="2623"/>
      <c r="F41" s="2623"/>
      <c r="G41" s="2623"/>
      <c r="H41" s="2623"/>
      <c r="I41" s="2623"/>
      <c r="J41" s="2623"/>
      <c r="K41" s="2623"/>
      <c r="L41" s="2623"/>
      <c r="M41" s="2623"/>
      <c r="N41" s="2623"/>
      <c r="O41" s="2623"/>
      <c r="P41" s="2623"/>
      <c r="Q41" s="2623"/>
      <c r="R41" s="2623"/>
      <c r="S41" s="2623"/>
      <c r="T41" s="2623"/>
      <c r="U41" s="2623"/>
      <c r="V41" s="2623"/>
      <c r="W41" s="2623"/>
      <c r="X41" s="2624"/>
      <c r="Y41" s="2617">
        <f>Y40+AD40</f>
        <v>2625338</v>
      </c>
      <c r="Z41" s="2618"/>
      <c r="AA41" s="2618"/>
      <c r="AB41" s="2618"/>
      <c r="AC41" s="2618"/>
      <c r="AD41" s="2618"/>
      <c r="AE41" s="2618"/>
      <c r="AF41" s="2618"/>
      <c r="AG41" s="2618"/>
      <c r="AH41" s="2615"/>
    </row>
    <row r="42" spans="1:76" ht="13"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 customHeight="1" thickBot="1">
      <c r="A44" s="2620" t="s">
        <v>1387</v>
      </c>
      <c r="B44" s="2620"/>
      <c r="C44" s="2620"/>
      <c r="D44" s="2620"/>
      <c r="E44" s="2620"/>
      <c r="F44" s="2620"/>
      <c r="G44" s="2620"/>
      <c r="H44" s="2620"/>
      <c r="I44" s="2620"/>
      <c r="J44" s="2620"/>
      <c r="K44" s="2620"/>
      <c r="L44" s="2620"/>
      <c r="M44" s="2620"/>
      <c r="N44" s="2620"/>
      <c r="O44" s="2620"/>
      <c r="P44" s="2620"/>
      <c r="Q44" s="2620"/>
      <c r="R44" s="2620"/>
      <c r="S44" s="2620"/>
      <c r="T44" s="2620"/>
      <c r="U44" s="2620"/>
      <c r="V44" s="2620"/>
      <c r="W44" s="2620"/>
      <c r="X44" s="2620"/>
      <c r="Y44" s="2620"/>
      <c r="Z44" s="2620"/>
      <c r="AA44" s="2620"/>
      <c r="AB44" s="2620"/>
      <c r="AC44" s="2620"/>
      <c r="AD44" s="2620"/>
      <c r="AE44" s="2620"/>
      <c r="AF44" s="2620"/>
      <c r="AG44" s="2620"/>
      <c r="AH44" s="2620"/>
      <c r="AI44" s="2620"/>
      <c r="AJ44" s="2620"/>
      <c r="AK44" s="2620"/>
      <c r="AL44" s="2620"/>
      <c r="AM44" s="2620"/>
      <c r="AN44" s="2620"/>
      <c r="AO44" s="2620"/>
      <c r="AP44" s="2620"/>
      <c r="AQ44" s="2620"/>
      <c r="AR44" s="2620"/>
      <c r="AS44" s="2620"/>
      <c r="AT44" s="2620"/>
      <c r="AU44" s="2620"/>
      <c r="AV44" s="2620"/>
      <c r="AW44" s="2620"/>
      <c r="AX44" s="2620"/>
      <c r="AY44" s="2620"/>
      <c r="AZ44" s="2620"/>
      <c r="BA44" s="2620"/>
      <c r="BB44" s="2620"/>
      <c r="BC44" s="2620"/>
      <c r="BD44" s="2620"/>
      <c r="BE44" s="2620"/>
      <c r="BF44" s="2620"/>
      <c r="BG44" s="2620"/>
      <c r="BH44" s="2620"/>
      <c r="BI44" s="2620"/>
      <c r="BJ44" s="2620"/>
      <c r="BK44" s="2620"/>
      <c r="BL44" s="2620"/>
      <c r="BM44" s="2620"/>
      <c r="BN44" s="2620"/>
      <c r="BO44" s="2620"/>
      <c r="BP44" s="2620"/>
      <c r="BQ44" s="2620"/>
      <c r="BR44" s="2620"/>
      <c r="BS44" s="2620"/>
      <c r="BT44" s="2620"/>
      <c r="BU44" s="2620"/>
      <c r="BV44" s="2620"/>
      <c r="BW44" s="2620"/>
      <c r="BX44" s="2620"/>
    </row>
    <row r="45" spans="1:76" s="218" customFormat="1" ht="13" customHeight="1" thickTop="1"/>
    <row r="46" spans="1:76" ht="13" customHeight="1">
      <c r="A46" s="435" t="s">
        <v>595</v>
      </c>
      <c r="C46" s="435" t="s">
        <v>283</v>
      </c>
    </row>
    <row r="47" spans="1:76" ht="13" customHeight="1">
      <c r="D47" s="435" t="s">
        <v>284</v>
      </c>
      <c r="AB47" s="2632">
        <f>'Sources and Uses Budget'!B105-MAX(IF('Sources and Uses Budget'!B15="",0,'Sources and Uses Budget'!B15),IF(Application!AG394="",0,Application!AG394))</f>
        <v>61902399</v>
      </c>
      <c r="AC47" s="2633"/>
      <c r="AD47" s="2633"/>
      <c r="AE47" s="2633"/>
      <c r="AF47" s="2634"/>
    </row>
    <row r="48" spans="1:76" ht="13" customHeight="1">
      <c r="D48" s="435" t="s">
        <v>21</v>
      </c>
      <c r="AB48" s="2632">
        <f>Application!AO639-MAX(IF('Sources and Uses Budget'!B15="",0,'Sources and Uses Budget'!B15),IF(Application!AG394="",0,Application!AG394))</f>
        <v>29172169.354321249</v>
      </c>
      <c r="AC48" s="2633"/>
      <c r="AD48" s="2633"/>
      <c r="AE48" s="2633"/>
      <c r="AF48" s="2634"/>
    </row>
    <row r="49" spans="1:76" ht="13" customHeight="1">
      <c r="D49" s="435" t="s">
        <v>91</v>
      </c>
      <c r="AB49" s="2632">
        <f>AB47-AB48</f>
        <v>32730229.645678751</v>
      </c>
      <c r="AC49" s="2633"/>
      <c r="AD49" s="2633"/>
      <c r="AE49" s="2633"/>
      <c r="AF49" s="2634"/>
    </row>
    <row r="50" spans="1:76" ht="13" customHeight="1">
      <c r="D50" s="435" t="s">
        <v>690</v>
      </c>
      <c r="AA50" s="446"/>
      <c r="AB50" s="2659">
        <v>0.92</v>
      </c>
      <c r="AC50" s="2660"/>
      <c r="AD50" s="2660"/>
      <c r="AE50" s="2660"/>
      <c r="AF50" s="2661"/>
    </row>
    <row r="51" spans="1:76" s="448" customFormat="1" ht="13" customHeight="1">
      <c r="A51" s="433"/>
      <c r="B51" s="433"/>
      <c r="C51" s="433"/>
      <c r="D51" s="433"/>
      <c r="E51" s="2662" t="s">
        <v>2042</v>
      </c>
      <c r="F51" s="2662"/>
      <c r="G51" s="2662"/>
      <c r="H51" s="2662"/>
      <c r="I51" s="2662"/>
      <c r="J51" s="2662"/>
      <c r="K51" s="2662"/>
      <c r="L51" s="2662"/>
      <c r="M51" s="2662"/>
      <c r="N51" s="2662"/>
      <c r="O51" s="2662"/>
      <c r="P51" s="2662"/>
      <c r="Q51" s="2662"/>
      <c r="R51" s="2662"/>
      <c r="S51" s="2662"/>
      <c r="T51" s="2662"/>
      <c r="U51" s="2662"/>
      <c r="V51" s="2662"/>
      <c r="W51" s="2662"/>
      <c r="X51" s="2662"/>
      <c r="Y51" s="2662"/>
      <c r="Z51" s="2662"/>
      <c r="AA51" s="447"/>
      <c r="AB51" s="447"/>
      <c r="AC51" s="447"/>
      <c r="AD51" s="447"/>
      <c r="AE51" s="447"/>
      <c r="AF51" s="447"/>
      <c r="AG51" s="433"/>
      <c r="AH51" s="433"/>
      <c r="AI51" s="433"/>
      <c r="AJ51" s="433"/>
      <c r="AK51" s="433"/>
      <c r="AL51" s="433"/>
      <c r="AM51" s="433"/>
      <c r="AN51" s="433"/>
    </row>
    <row r="52" spans="1:76" s="448" customFormat="1" ht="13" customHeight="1">
      <c r="A52" s="433"/>
      <c r="B52" s="433"/>
      <c r="C52" s="433"/>
      <c r="D52" s="433"/>
      <c r="E52" s="2662"/>
      <c r="F52" s="2662"/>
      <c r="G52" s="2662"/>
      <c r="H52" s="2662"/>
      <c r="I52" s="2662"/>
      <c r="J52" s="2662"/>
      <c r="K52" s="2662"/>
      <c r="L52" s="2662"/>
      <c r="M52" s="2662"/>
      <c r="N52" s="2662"/>
      <c r="O52" s="2662"/>
      <c r="P52" s="2662"/>
      <c r="Q52" s="2662"/>
      <c r="R52" s="2662"/>
      <c r="S52" s="2662"/>
      <c r="T52" s="2662"/>
      <c r="U52" s="2662"/>
      <c r="V52" s="2662"/>
      <c r="W52" s="2662"/>
      <c r="X52" s="2662"/>
      <c r="Y52" s="2662"/>
      <c r="Z52" s="2662"/>
      <c r="AA52" s="449"/>
      <c r="AB52" s="449"/>
      <c r="AC52" s="449"/>
      <c r="AD52" s="449"/>
      <c r="AE52" s="449"/>
      <c r="AF52" s="449"/>
      <c r="AG52" s="450"/>
      <c r="AH52" s="433"/>
      <c r="AI52" s="433"/>
      <c r="AJ52" s="433"/>
      <c r="AK52" s="433"/>
      <c r="AL52" s="433"/>
      <c r="AM52" s="433"/>
      <c r="AN52" s="433"/>
    </row>
    <row r="53" spans="1:76" ht="13"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 customHeight="1">
      <c r="D54" s="435" t="s">
        <v>333</v>
      </c>
      <c r="AB54" s="2632">
        <f>ROUND(IF(ISERROR((AB49/AB50)),0,(AB49/AB50)),0)</f>
        <v>35576337</v>
      </c>
      <c r="AC54" s="2633"/>
      <c r="AD54" s="2633"/>
      <c r="AE54" s="2633"/>
      <c r="AF54" s="2634"/>
    </row>
    <row r="55" spans="1:76" ht="13" customHeight="1">
      <c r="D55" s="435" t="s">
        <v>334</v>
      </c>
      <c r="AB55" s="2632">
        <f>(AB54/10)</f>
        <v>3557633.7</v>
      </c>
      <c r="AC55" s="2633"/>
      <c r="AD55" s="2633"/>
      <c r="AE55" s="2633"/>
      <c r="AF55" s="2634"/>
    </row>
    <row r="56" spans="1:76" ht="13" customHeight="1">
      <c r="D56" s="435" t="s">
        <v>766</v>
      </c>
      <c r="AB56" s="2663">
        <f>(IF((Y41&lt;AB55),Y41,AB55))</f>
        <v>2625338</v>
      </c>
      <c r="AC56" s="2664"/>
      <c r="AD56" s="2664"/>
      <c r="AE56" s="2664"/>
      <c r="AF56" s="2665"/>
    </row>
    <row r="57" spans="1:76" ht="13" customHeight="1">
      <c r="D57" s="435" t="s">
        <v>765</v>
      </c>
      <c r="AB57" s="2632">
        <f>ROUND((10*AB56*AB50),0)</f>
        <v>24153110</v>
      </c>
      <c r="AC57" s="2633"/>
      <c r="AD57" s="2633"/>
      <c r="AE57" s="2633"/>
      <c r="AF57" s="2634"/>
    </row>
    <row r="58" spans="1:76" ht="13" customHeight="1">
      <c r="D58" s="435"/>
      <c r="AB58" s="454"/>
      <c r="AC58" s="454"/>
      <c r="AD58" s="454"/>
      <c r="AE58" s="454"/>
      <c r="AF58" s="454"/>
    </row>
    <row r="59" spans="1:76" ht="13" customHeight="1">
      <c r="D59" s="435" t="s">
        <v>764</v>
      </c>
      <c r="AB59" s="2655">
        <f>AB49-AB57</f>
        <v>8577119.6456787512</v>
      </c>
      <c r="AC59" s="2655"/>
      <c r="AD59" s="2655"/>
      <c r="AE59" s="2655"/>
      <c r="AF59" s="2655"/>
    </row>
    <row r="60" spans="1:76" ht="13" customHeight="1">
      <c r="D60" s="435"/>
      <c r="AB60" s="454"/>
      <c r="AC60" s="454"/>
      <c r="AD60" s="454"/>
      <c r="AE60" s="454"/>
      <c r="AF60" s="454"/>
    </row>
    <row r="61" spans="1:76" s="218" customFormat="1" ht="13" customHeight="1" thickBot="1">
      <c r="A61" s="2620" t="str">
        <f>IF(Application!AP205="yes","Farmworker State Credit", "State Credit" )</f>
        <v>State Credit</v>
      </c>
      <c r="B61" s="2620"/>
      <c r="C61" s="2620"/>
      <c r="D61" s="2620"/>
      <c r="E61" s="2620"/>
      <c r="F61" s="2620"/>
      <c r="G61" s="2620"/>
      <c r="H61" s="2620"/>
      <c r="I61" s="2620"/>
      <c r="J61" s="2620"/>
      <c r="K61" s="2620"/>
      <c r="L61" s="2620"/>
      <c r="M61" s="2620"/>
      <c r="N61" s="2620"/>
      <c r="O61" s="2620"/>
      <c r="P61" s="2620"/>
      <c r="Q61" s="2620"/>
      <c r="R61" s="2620"/>
      <c r="S61" s="2620"/>
      <c r="T61" s="2620"/>
      <c r="U61" s="2620"/>
      <c r="V61" s="2620"/>
      <c r="W61" s="2620"/>
      <c r="X61" s="2620"/>
      <c r="Y61" s="2620"/>
      <c r="Z61" s="2620"/>
      <c r="AA61" s="2620"/>
      <c r="AB61" s="2620"/>
      <c r="AC61" s="2620"/>
      <c r="AD61" s="2620"/>
      <c r="AE61" s="2620"/>
      <c r="AF61" s="2620"/>
      <c r="AG61" s="2620"/>
      <c r="AH61" s="2620"/>
      <c r="AI61" s="2620"/>
      <c r="AJ61" s="2620"/>
      <c r="AK61" s="2620"/>
      <c r="AL61" s="2620"/>
      <c r="AM61" s="2620"/>
      <c r="AN61" s="2620"/>
      <c r="AO61" s="2620"/>
      <c r="AP61" s="2620"/>
      <c r="AQ61" s="2620"/>
      <c r="AR61" s="2620"/>
      <c r="AS61" s="2620"/>
      <c r="AT61" s="2620"/>
      <c r="AU61" s="2620"/>
      <c r="AV61" s="2620"/>
      <c r="AW61" s="2620"/>
      <c r="AX61" s="2620"/>
      <c r="AY61" s="2620"/>
      <c r="AZ61" s="2620"/>
      <c r="BA61" s="2620"/>
      <c r="BB61" s="2620"/>
      <c r="BC61" s="2620"/>
      <c r="BD61" s="2620"/>
      <c r="BE61" s="2620"/>
      <c r="BF61" s="2620"/>
      <c r="BG61" s="2620"/>
      <c r="BH61" s="2620"/>
      <c r="BI61" s="2620"/>
      <c r="BJ61" s="2620"/>
      <c r="BK61" s="2620"/>
      <c r="BL61" s="2620"/>
      <c r="BM61" s="2620"/>
      <c r="BN61" s="2620"/>
      <c r="BO61" s="2620"/>
      <c r="BP61" s="2620"/>
      <c r="BQ61" s="2620"/>
      <c r="BR61" s="2620"/>
      <c r="BS61" s="2620"/>
      <c r="BT61" s="2620"/>
      <c r="BU61" s="2620"/>
      <c r="BV61" s="2620"/>
      <c r="BW61" s="2620"/>
      <c r="BX61" s="2620"/>
    </row>
    <row r="62" spans="1:76" s="218" customFormat="1" ht="13" customHeight="1" thickTop="1"/>
    <row r="63" spans="1:76" ht="13" customHeight="1">
      <c r="A63" s="435" t="s">
        <v>598</v>
      </c>
      <c r="C63" s="219" t="s">
        <v>1358</v>
      </c>
      <c r="Y63" s="2656" t="s">
        <v>1004</v>
      </c>
      <c r="Z63" s="2656"/>
      <c r="AA63" s="2656"/>
      <c r="AB63" s="2656"/>
      <c r="AC63" s="2656"/>
      <c r="AD63" s="2656" t="s">
        <v>370</v>
      </c>
      <c r="AE63" s="2656"/>
      <c r="AF63" s="2656"/>
      <c r="AG63" s="2656"/>
      <c r="AH63" s="2656"/>
    </row>
    <row r="64" spans="1:76" ht="13" customHeight="1">
      <c r="C64" s="435"/>
      <c r="D64" s="408" t="s">
        <v>1359</v>
      </c>
      <c r="E64" s="451"/>
      <c r="F64" s="451"/>
      <c r="G64" s="451"/>
      <c r="H64" s="451"/>
      <c r="I64" s="451"/>
      <c r="J64" s="451"/>
      <c r="K64" s="451"/>
      <c r="L64" s="451"/>
      <c r="M64" s="451"/>
      <c r="N64" s="451"/>
      <c r="O64" s="451"/>
      <c r="P64" s="451"/>
      <c r="Q64" s="451"/>
      <c r="R64" s="451"/>
      <c r="S64" s="451"/>
      <c r="T64" s="451"/>
      <c r="U64" s="451"/>
      <c r="V64" s="451"/>
      <c r="W64" s="451"/>
      <c r="X64" s="451"/>
      <c r="Y64" s="2617">
        <f>IF(Application!Z205="(select)",0,((T23*T27)+Y28))</f>
        <v>34277320</v>
      </c>
      <c r="Z64" s="2657"/>
      <c r="AA64" s="2657"/>
      <c r="AB64" s="2657"/>
      <c r="AC64" s="2658"/>
      <c r="AD64" s="2617">
        <f>IF(AND(OR(Application!D211="At-Risk",Application!D211="At-Risk and Special Needs"),Application!M358="yes"),AD28+AI28,0)</f>
        <v>0</v>
      </c>
      <c r="AE64" s="2657"/>
      <c r="AF64" s="2657"/>
      <c r="AG64" s="2657"/>
      <c r="AH64" s="2658"/>
    </row>
    <row r="65" spans="1:36" ht="13" customHeight="1">
      <c r="C65" s="435"/>
      <c r="E65" s="1052" t="s">
        <v>2040</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2041</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3">
        <f>IF(Application!AP205="yes",0.75,IF(Application!Z204="15% set-aside",0.13,IF(Application!Z204="15% set-aside with qualifying low value rehab",0.95,0.3)))</f>
        <v>0.3</v>
      </c>
      <c r="Z67" s="2673"/>
      <c r="AA67" s="2673"/>
      <c r="AB67" s="2673"/>
      <c r="AC67" s="2673"/>
      <c r="AD67" s="2673">
        <f>IF(Application!Z204="15% set-aside with qualifying low value rehab", 0.95,0.13)</f>
        <v>0.13</v>
      </c>
      <c r="AE67" s="2673"/>
      <c r="AF67" s="2673"/>
      <c r="AG67" s="2673"/>
      <c r="AH67" s="2673"/>
    </row>
    <row r="68" spans="1:36" ht="13" customHeight="1">
      <c r="C68" s="435"/>
      <c r="D68" s="219" t="s">
        <v>1360</v>
      </c>
      <c r="Y68" s="2616">
        <f>ROUND(Y64*Y67,0)</f>
        <v>10283196</v>
      </c>
      <c r="Z68" s="2674"/>
      <c r="AA68" s="2674"/>
      <c r="AB68" s="2674"/>
      <c r="AC68" s="2674"/>
      <c r="AD68" s="2616">
        <f>ROUND(AD64*AD67,0)</f>
        <v>0</v>
      </c>
      <c r="AE68" s="2674"/>
      <c r="AF68" s="2674"/>
      <c r="AG68" s="2674"/>
      <c r="AH68" s="2674"/>
    </row>
    <row r="69" spans="1:36" ht="13" customHeight="1">
      <c r="C69" s="435"/>
      <c r="E69" s="435"/>
      <c r="AB69" s="453"/>
      <c r="AC69" s="453"/>
      <c r="AD69" s="453"/>
      <c r="AE69" s="453"/>
      <c r="AF69" s="453"/>
    </row>
    <row r="70" spans="1:36" ht="13" customHeight="1">
      <c r="A70" s="435" t="s">
        <v>599</v>
      </c>
      <c r="C70" s="219" t="s">
        <v>285</v>
      </c>
    </row>
    <row r="71" spans="1:36" ht="13" customHeight="1">
      <c r="A71" s="435"/>
      <c r="C71" s="435"/>
      <c r="D71" s="219" t="s">
        <v>1361</v>
      </c>
      <c r="AB71" s="2659">
        <v>0.90010999999999997</v>
      </c>
      <c r="AC71" s="2660"/>
      <c r="AD71" s="2660"/>
      <c r="AE71" s="2660"/>
      <c r="AF71" s="2661"/>
    </row>
    <row r="72" spans="1:36" ht="13" customHeight="1">
      <c r="A72" s="435"/>
      <c r="C72" s="435"/>
      <c r="D72" s="435"/>
      <c r="E72" s="2675" t="s">
        <v>1362</v>
      </c>
      <c r="F72" s="2675"/>
      <c r="G72" s="2675"/>
      <c r="H72" s="2675"/>
      <c r="I72" s="2675"/>
      <c r="J72" s="2675"/>
      <c r="K72" s="2675"/>
      <c r="L72" s="2675"/>
      <c r="M72" s="2675"/>
      <c r="N72" s="2675"/>
      <c r="O72" s="2675"/>
      <c r="P72" s="2675"/>
      <c r="Q72" s="2675"/>
      <c r="R72" s="2675"/>
      <c r="S72" s="2675"/>
      <c r="T72" s="2675"/>
      <c r="U72" s="2675"/>
      <c r="V72" s="2675"/>
      <c r="W72" s="2675"/>
      <c r="X72" s="2675"/>
      <c r="Y72" s="2675"/>
      <c r="Z72" s="2675"/>
      <c r="AA72" s="2675"/>
      <c r="AB72" s="471"/>
      <c r="AC72" s="471"/>
    </row>
    <row r="73" spans="1:36" ht="13" customHeight="1">
      <c r="A73" s="435"/>
      <c r="C73" s="435"/>
      <c r="D73" s="435"/>
      <c r="E73" s="2675"/>
      <c r="F73" s="2675"/>
      <c r="G73" s="2675"/>
      <c r="H73" s="2675"/>
      <c r="I73" s="2675"/>
      <c r="J73" s="2675"/>
      <c r="K73" s="2675"/>
      <c r="L73" s="2675"/>
      <c r="M73" s="2675"/>
      <c r="N73" s="2675"/>
      <c r="O73" s="2675"/>
      <c r="P73" s="2675"/>
      <c r="Q73" s="2675"/>
      <c r="R73" s="2675"/>
      <c r="S73" s="2675"/>
      <c r="T73" s="2675"/>
      <c r="U73" s="2675"/>
      <c r="V73" s="2675"/>
      <c r="W73" s="2675"/>
      <c r="X73" s="2675"/>
      <c r="Y73" s="2675"/>
      <c r="Z73" s="2675"/>
      <c r="AA73" s="2675"/>
      <c r="AB73" s="471"/>
      <c r="AC73" s="471"/>
    </row>
    <row r="74" spans="1:36" ht="13" customHeight="1">
      <c r="A74" s="435"/>
      <c r="C74" s="435"/>
      <c r="D74" s="435"/>
      <c r="E74" s="2675"/>
      <c r="F74" s="2675"/>
      <c r="G74" s="2675"/>
      <c r="H74" s="2675"/>
      <c r="I74" s="2675"/>
      <c r="J74" s="2675"/>
      <c r="K74" s="2675"/>
      <c r="L74" s="2675"/>
      <c r="M74" s="2675"/>
      <c r="N74" s="2675"/>
      <c r="O74" s="2675"/>
      <c r="P74" s="2675"/>
      <c r="Q74" s="2675"/>
      <c r="R74" s="2675"/>
      <c r="S74" s="2675"/>
      <c r="T74" s="2675"/>
      <c r="U74" s="2675"/>
      <c r="V74" s="2675"/>
      <c r="W74" s="2675"/>
      <c r="X74" s="2675"/>
      <c r="Y74" s="2675"/>
      <c r="Z74" s="2675"/>
      <c r="AA74" s="2675"/>
      <c r="AB74" s="471"/>
      <c r="AC74" s="471"/>
    </row>
    <row r="75" spans="1:36" ht="13"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3" customHeight="1">
      <c r="C76" s="435"/>
      <c r="D76" s="219" t="s">
        <v>1363</v>
      </c>
      <c r="AB76" s="2668">
        <f>ROUND(IF(ISERROR((AB59/AB71)),0,(AB59/AB71)),0)</f>
        <v>9528968</v>
      </c>
      <c r="AC76" s="2668"/>
      <c r="AD76" s="2668"/>
      <c r="AE76" s="2668"/>
      <c r="AF76" s="2668"/>
    </row>
    <row r="77" spans="1:36" ht="13" customHeight="1">
      <c r="C77" s="435"/>
      <c r="D77" s="219" t="s">
        <v>1364</v>
      </c>
      <c r="AB77" s="2669">
        <f>IF((Y68+AD68&lt;AB76),Y68+AD68,AB76)</f>
        <v>9528968</v>
      </c>
      <c r="AC77" s="2670"/>
      <c r="AD77" s="2670"/>
      <c r="AE77" s="2670"/>
      <c r="AF77" s="2671"/>
    </row>
    <row r="78" spans="1:36" ht="13" customHeight="1">
      <c r="C78" s="435"/>
      <c r="D78" s="219" t="s">
        <v>1365</v>
      </c>
      <c r="AB78" s="2672">
        <f>AB77*AB71</f>
        <v>8577119.3864799999</v>
      </c>
      <c r="AC78" s="2672"/>
      <c r="AD78" s="2672"/>
      <c r="AE78" s="2672"/>
      <c r="AF78" s="2672"/>
    </row>
    <row r="79" spans="1:36" ht="13" customHeight="1">
      <c r="C79" s="435"/>
      <c r="D79" s="435"/>
      <c r="AB79" s="456"/>
      <c r="AC79" s="456"/>
      <c r="AD79" s="456"/>
      <c r="AE79" s="456"/>
      <c r="AF79" s="456"/>
    </row>
    <row r="80" spans="1:36" ht="13" customHeight="1">
      <c r="D80" s="435" t="s">
        <v>764</v>
      </c>
      <c r="AB80" s="2655">
        <f>AB49-(AB57+AB78)</f>
        <v>0.25919875130057335</v>
      </c>
      <c r="AC80" s="2655"/>
      <c r="AD80" s="2655"/>
      <c r="AE80" s="2655"/>
      <c r="AF80" s="2655"/>
    </row>
    <row r="81" spans="1:78" ht="13" customHeight="1">
      <c r="F81" s="556"/>
      <c r="J81" s="556" t="str">
        <f>IF(AB80&gt;0,"FUNDING GAP MUST NOT EXCEED ZERO","")</f>
        <v>FUNDING GAP MUST NOT EXCEED ZERO</v>
      </c>
    </row>
    <row r="82" spans="1:78" ht="13" customHeight="1">
      <c r="D82" s="557"/>
    </row>
    <row r="83" spans="1:78" ht="13" customHeight="1" thickBot="1">
      <c r="A83" s="2620"/>
      <c r="B83" s="2620"/>
      <c r="C83" s="2620"/>
      <c r="D83" s="2620"/>
      <c r="E83" s="2620"/>
      <c r="F83" s="2620"/>
      <c r="G83" s="2620"/>
      <c r="H83" s="2620"/>
      <c r="I83" s="2620"/>
      <c r="J83" s="2620"/>
      <c r="K83" s="2620"/>
      <c r="L83" s="2620"/>
      <c r="M83" s="2620"/>
      <c r="N83" s="2620"/>
      <c r="O83" s="2620"/>
      <c r="P83" s="2620"/>
      <c r="Q83" s="2620"/>
      <c r="R83" s="2620"/>
      <c r="S83" s="2620"/>
      <c r="T83" s="2620"/>
      <c r="U83" s="2620"/>
      <c r="V83" s="2620"/>
      <c r="W83" s="2620"/>
      <c r="X83" s="2620"/>
      <c r="Y83" s="2620"/>
      <c r="Z83" s="2620"/>
      <c r="AA83" s="2620"/>
      <c r="AB83" s="2620"/>
      <c r="AC83" s="2620"/>
      <c r="AD83" s="2620"/>
      <c r="AE83" s="2620"/>
      <c r="AF83" s="2620"/>
      <c r="AG83" s="2620"/>
      <c r="AH83" s="2620"/>
      <c r="AI83" s="2620"/>
      <c r="AJ83" s="2620"/>
      <c r="AK83" s="2620"/>
      <c r="AL83" s="2620"/>
      <c r="AM83" s="2620"/>
      <c r="AN83" s="2620"/>
      <c r="AO83" s="2620"/>
      <c r="AP83" s="2620"/>
      <c r="AQ83" s="2620"/>
      <c r="AR83" s="2620"/>
      <c r="AS83" s="2620"/>
      <c r="AT83" s="2620"/>
      <c r="AU83" s="2620"/>
      <c r="AV83" s="2620"/>
      <c r="AW83" s="2620"/>
      <c r="AX83" s="2620"/>
      <c r="AY83" s="2620"/>
      <c r="AZ83" s="2620"/>
      <c r="BA83" s="2620"/>
      <c r="BB83" s="2620"/>
      <c r="BC83" s="2620"/>
      <c r="BD83" s="2620"/>
      <c r="BE83" s="2620"/>
      <c r="BF83" s="2620"/>
      <c r="BG83" s="2620"/>
      <c r="BH83" s="2620"/>
      <c r="BI83" s="2620"/>
      <c r="BJ83" s="2620"/>
      <c r="BK83" s="2620"/>
      <c r="BL83" s="2620"/>
      <c r="BM83" s="2620"/>
      <c r="BN83" s="2620"/>
      <c r="BO83" s="2620"/>
      <c r="BP83" s="2620"/>
      <c r="BQ83" s="2620"/>
      <c r="BR83" s="2620"/>
      <c r="BS83" s="2620"/>
      <c r="BT83" s="2620"/>
      <c r="BU83" s="2620"/>
      <c r="BV83" s="2620"/>
      <c r="BW83" s="2620"/>
      <c r="BX83" s="2620"/>
    </row>
    <row r="84" spans="1:78" ht="13" customHeight="1" thickTop="1"/>
    <row r="85" spans="1:78" ht="13" customHeight="1">
      <c r="A85" s="435"/>
      <c r="C85" s="219"/>
    </row>
    <row r="86" spans="1:78" ht="13" customHeight="1">
      <c r="D86" s="219"/>
      <c r="AB86" s="2621"/>
      <c r="AC86" s="2621"/>
      <c r="AD86" s="2621"/>
      <c r="AE86" s="2621"/>
      <c r="AF86" s="2621"/>
    </row>
    <row r="87" spans="1:78" ht="13" customHeight="1" thickBot="1">
      <c r="D87" s="219"/>
      <c r="AB87" s="2619"/>
      <c r="AC87" s="2619"/>
      <c r="AD87" s="2619"/>
      <c r="AE87" s="2619"/>
      <c r="AF87" s="2619"/>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3"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54" firstPageNumber="44"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5234375" defaultRowHeight="14.15" zeroHeight="1"/>
  <cols>
    <col min="1" max="2" width="15.69140625" style="327" customWidth="1"/>
    <col min="3" max="3" width="11" style="327" customWidth="1"/>
    <col min="4" max="4" width="15.69140625" style="327" customWidth="1"/>
    <col min="5" max="5" width="3.69140625" style="327" customWidth="1"/>
    <col min="6" max="7" width="15.69140625" style="327" customWidth="1"/>
    <col min="8" max="8" width="3.69140625" style="327" customWidth="1"/>
    <col min="9" max="10" width="15.69140625" style="327" customWidth="1"/>
    <col min="11" max="11" width="3.23046875" style="327" customWidth="1"/>
    <col min="12" max="17" width="15.69140625" style="327" customWidth="1"/>
    <col min="18" max="16384" width="9.15234375" style="327"/>
  </cols>
  <sheetData>
    <row r="1" spans="1:12">
      <c r="A1" s="2676" t="s">
        <v>925</v>
      </c>
      <c r="B1" s="2676"/>
      <c r="C1" s="2676"/>
      <c r="D1" s="2676"/>
      <c r="E1" s="2676"/>
      <c r="F1" s="2676"/>
      <c r="G1" s="2676"/>
      <c r="H1" s="2676"/>
      <c r="I1" s="2676"/>
      <c r="J1" s="2676"/>
      <c r="K1" s="218"/>
      <c r="L1" s="218"/>
    </row>
    <row r="2" spans="1:12">
      <c r="A2" s="225"/>
      <c r="B2" s="225"/>
      <c r="C2" s="225"/>
      <c r="D2" s="225"/>
      <c r="E2" s="225"/>
      <c r="F2" s="225"/>
      <c r="G2" s="225"/>
      <c r="H2" s="225"/>
      <c r="I2" s="225"/>
      <c r="J2" s="225"/>
    </row>
    <row r="3" spans="1:12" ht="84.9">
      <c r="A3" s="457" t="s">
        <v>926</v>
      </c>
      <c r="B3" s="457" t="s">
        <v>927</v>
      </c>
      <c r="C3" s="457" t="s">
        <v>2259</v>
      </c>
      <c r="D3" s="1190" t="s">
        <v>928</v>
      </c>
      <c r="E3" s="218"/>
      <c r="F3" s="1190" t="s">
        <v>929</v>
      </c>
      <c r="G3" s="457" t="s">
        <v>930</v>
      </c>
      <c r="H3" s="458"/>
      <c r="I3" s="457" t="s">
        <v>931</v>
      </c>
      <c r="J3" s="457" t="s">
        <v>932</v>
      </c>
      <c r="K3" s="218"/>
      <c r="L3" s="328"/>
    </row>
    <row r="4" spans="1:12">
      <c r="A4" s="459" t="str">
        <f>Application!B718</f>
        <v>SRO/Studio</v>
      </c>
      <c r="B4" s="1121">
        <f>Application!G718</f>
        <v>72</v>
      </c>
      <c r="C4" s="1122"/>
      <c r="D4" s="459">
        <f>Application!O718</f>
        <v>777</v>
      </c>
      <c r="E4" s="460"/>
      <c r="F4" s="1123"/>
      <c r="G4" s="459">
        <f>F4*B4</f>
        <v>0</v>
      </c>
      <c r="H4" s="460"/>
      <c r="I4" s="459" t="str">
        <f t="shared" ref="I4:I27" si="0">IF(F4=0,"",(F4-D4))</f>
        <v/>
      </c>
      <c r="J4" s="459" t="str">
        <f t="shared" ref="J4:J27" si="1">IF(F4=0,"",(I4*B4))</f>
        <v/>
      </c>
      <c r="K4" s="218"/>
      <c r="L4" s="328"/>
    </row>
    <row r="5" spans="1:12">
      <c r="A5" s="459" t="str">
        <f>Application!B719</f>
        <v>SRO/Studio</v>
      </c>
      <c r="B5" s="1121">
        <f>Application!G719</f>
        <v>2</v>
      </c>
      <c r="C5" s="1122"/>
      <c r="D5" s="459">
        <f>Application!O719</f>
        <v>1036</v>
      </c>
      <c r="E5" s="460"/>
      <c r="F5" s="1123"/>
      <c r="G5" s="459">
        <f t="shared" ref="G5:G38" si="2">F5*B5</f>
        <v>0</v>
      </c>
      <c r="H5" s="460"/>
      <c r="I5" s="459" t="str">
        <f t="shared" si="0"/>
        <v/>
      </c>
      <c r="J5" s="459" t="str">
        <f t="shared" si="1"/>
        <v/>
      </c>
      <c r="K5" s="218"/>
      <c r="L5" s="328"/>
    </row>
    <row r="6" spans="1:12">
      <c r="A6" s="459" t="str">
        <f>Application!B720</f>
        <v>SRO/Studio</v>
      </c>
      <c r="B6" s="1121">
        <f>Application!G720</f>
        <v>66</v>
      </c>
      <c r="C6" s="1122"/>
      <c r="D6" s="459">
        <f>Application!O720</f>
        <v>1295</v>
      </c>
      <c r="E6" s="460"/>
      <c r="F6" s="1123"/>
      <c r="G6" s="459">
        <f t="shared" si="2"/>
        <v>0</v>
      </c>
      <c r="H6" s="460"/>
      <c r="I6" s="459" t="str">
        <f t="shared" si="0"/>
        <v/>
      </c>
      <c r="J6" s="459" t="str">
        <f t="shared" si="1"/>
        <v/>
      </c>
      <c r="K6" s="218"/>
      <c r="L6" s="328"/>
    </row>
    <row r="7" spans="1:12">
      <c r="A7" s="459">
        <f>Application!B721</f>
        <v>0</v>
      </c>
      <c r="B7" s="1121">
        <f>Application!G721</f>
        <v>0</v>
      </c>
      <c r="C7" s="1122"/>
      <c r="D7" s="459">
        <f>Application!O721</f>
        <v>0</v>
      </c>
      <c r="E7" s="460"/>
      <c r="F7" s="1123"/>
      <c r="G7" s="459">
        <f t="shared" si="2"/>
        <v>0</v>
      </c>
      <c r="H7" s="460"/>
      <c r="I7" s="459" t="str">
        <f t="shared" si="0"/>
        <v/>
      </c>
      <c r="J7" s="459" t="str">
        <f t="shared" si="1"/>
        <v/>
      </c>
      <c r="K7" s="218"/>
      <c r="L7" s="328"/>
    </row>
    <row r="8" spans="1:12">
      <c r="A8" s="459">
        <f>Application!B722</f>
        <v>0</v>
      </c>
      <c r="B8" s="1121">
        <f>Application!G722</f>
        <v>0</v>
      </c>
      <c r="C8" s="1122"/>
      <c r="D8" s="459">
        <f>Application!O722</f>
        <v>0</v>
      </c>
      <c r="E8" s="460"/>
      <c r="F8" s="1123"/>
      <c r="G8" s="459">
        <f t="shared" si="2"/>
        <v>0</v>
      </c>
      <c r="H8" s="460"/>
      <c r="I8" s="459" t="str">
        <f t="shared" si="0"/>
        <v/>
      </c>
      <c r="J8" s="459" t="str">
        <f t="shared" si="1"/>
        <v/>
      </c>
      <c r="K8" s="218"/>
      <c r="L8" s="328"/>
    </row>
    <row r="9" spans="1:12">
      <c r="A9" s="459">
        <f>Application!B723</f>
        <v>0</v>
      </c>
      <c r="B9" s="1121">
        <f>Application!G723</f>
        <v>0</v>
      </c>
      <c r="C9" s="1122"/>
      <c r="D9" s="459">
        <f>Application!O723</f>
        <v>0</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933</v>
      </c>
      <c r="B40" s="462"/>
      <c r="C40" s="462"/>
      <c r="D40" s="463">
        <f>Application!O753</f>
        <v>143486</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2420</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3"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62" workbookViewId="0">
      <selection activeCell="E62" sqref="E62:AG62"/>
    </sheetView>
  </sheetViews>
  <sheetFormatPr defaultColWidth="0" defaultRowHeight="12.45" zeroHeight="1"/>
  <cols>
    <col min="1" max="1" width="3.69140625" customWidth="1"/>
    <col min="2" max="2" width="30.53515625" customWidth="1"/>
    <col min="3" max="3" width="9.15234375" style="229" customWidth="1"/>
    <col min="4" max="4" width="2.69140625" customWidth="1"/>
    <col min="5" max="5" width="12.69140625" customWidth="1"/>
    <col min="6" max="6" width="2.69140625" customWidth="1"/>
    <col min="7" max="7" width="12.69140625" customWidth="1"/>
    <col min="8" max="8" width="2.69140625" customWidth="1"/>
    <col min="9" max="9" width="12.69140625" customWidth="1"/>
    <col min="10" max="10" width="2.69140625" customWidth="1"/>
    <col min="11" max="11" width="12.69140625" customWidth="1"/>
    <col min="12" max="12" width="2.69140625" customWidth="1"/>
    <col min="13" max="13" width="12.69140625" customWidth="1"/>
    <col min="14" max="14" width="2.69140625" customWidth="1"/>
    <col min="15" max="15" width="12.69140625" customWidth="1"/>
    <col min="16" max="16" width="2.69140625" customWidth="1"/>
    <col min="17" max="17" width="12.69140625" customWidth="1"/>
    <col min="18" max="18" width="2.69140625" customWidth="1"/>
    <col min="19" max="19" width="12.69140625" customWidth="1"/>
    <col min="20" max="20" width="2.69140625" customWidth="1"/>
    <col min="21" max="21" width="12.69140625" customWidth="1"/>
    <col min="22" max="22" width="2.69140625" customWidth="1"/>
    <col min="23" max="23" width="12.69140625" customWidth="1"/>
    <col min="24" max="24" width="2.69140625" customWidth="1"/>
    <col min="25" max="25" width="12.69140625" customWidth="1"/>
    <col min="26" max="26" width="2.69140625" customWidth="1"/>
    <col min="27" max="27" width="12.69140625" customWidth="1"/>
    <col min="28" max="28" width="2.69140625" customWidth="1"/>
    <col min="29" max="29" width="12.69140625" customWidth="1"/>
    <col min="30" max="30" width="2.69140625" customWidth="1"/>
    <col min="31" max="31" width="12.69140625" customWidth="1"/>
    <col min="32" max="32" width="2.69140625" customWidth="1"/>
    <col min="33" max="33" width="12.69140625" customWidth="1"/>
    <col min="34" max="34" width="2.69140625" customWidth="1"/>
    <col min="35" max="35" width="0" hidden="1" customWidth="1"/>
    <col min="36" max="16384" width="8.84375" hidden="1"/>
  </cols>
  <sheetData>
    <row r="1" spans="1:34" ht="17.600000000000001">
      <c r="A1" s="226" t="s">
        <v>2411</v>
      </c>
      <c r="B1" s="226"/>
    </row>
    <row r="2" spans="1:34"/>
    <row r="3" spans="1:34" ht="15.4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15">
      <c r="A4" s="235" t="s">
        <v>849</v>
      </c>
      <c r="C4" s="253">
        <v>1.0249999999999999</v>
      </c>
      <c r="E4" s="235">
        <f>Application!Y801</f>
        <v>1732632</v>
      </c>
      <c r="G4" s="235">
        <f>E4*$C$4</f>
        <v>1775947.7999999998</v>
      </c>
      <c r="I4" s="235">
        <f>G4*$C$4</f>
        <v>1820346.4949999996</v>
      </c>
      <c r="K4" s="235">
        <f>I4*$C$4</f>
        <v>1865855.1573749995</v>
      </c>
      <c r="M4" s="235">
        <f>K4*$C$4</f>
        <v>1912501.5363093743</v>
      </c>
      <c r="O4" s="235">
        <f>M4*$C$4</f>
        <v>1960314.0747171084</v>
      </c>
      <c r="Q4" s="235">
        <f>O4*$C$4</f>
        <v>2009321.9265850359</v>
      </c>
      <c r="S4" s="235">
        <f>Q4*$C$4</f>
        <v>2059554.9747496615</v>
      </c>
      <c r="U4" s="235">
        <f>S4*$C$4</f>
        <v>2111043.8491184027</v>
      </c>
      <c r="W4" s="235">
        <f>U4*$C$4</f>
        <v>2163819.9453463624</v>
      </c>
      <c r="Y4" s="235">
        <f>W4*$C$4</f>
        <v>2217915.4439800214</v>
      </c>
      <c r="AA4" s="235">
        <f>Y4*$C$4</f>
        <v>2273363.3300795215</v>
      </c>
      <c r="AC4" s="235">
        <f>AA4*$C$4</f>
        <v>2330197.4133315096</v>
      </c>
      <c r="AE4" s="235">
        <f>AC4*$C$4</f>
        <v>2388452.3486647969</v>
      </c>
      <c r="AG4" s="235">
        <f>AE4*$C$4</f>
        <v>2448163.6573814168</v>
      </c>
    </row>
    <row r="5" spans="1:34" s="225" customFormat="1" ht="14.15">
      <c r="B5" s="225" t="s">
        <v>850</v>
      </c>
      <c r="C5" s="254">
        <f>IF(Application!$D$211="Special Needs",0.1,0.05)</f>
        <v>0.1</v>
      </c>
      <c r="E5" s="237">
        <f>-E4*$C$5</f>
        <v>-173263.2</v>
      </c>
      <c r="F5" s="237"/>
      <c r="G5" s="237">
        <f>-G4*$C$5</f>
        <v>-177594.78</v>
      </c>
      <c r="H5" s="237"/>
      <c r="I5" s="237">
        <f>-I4*$C$5</f>
        <v>-182034.64949999997</v>
      </c>
      <c r="J5" s="237"/>
      <c r="K5" s="237">
        <f>-K4*$C$5</f>
        <v>-186585.51573749995</v>
      </c>
      <c r="L5" s="237"/>
      <c r="M5" s="237">
        <f>-M4*$C$5</f>
        <v>-191250.15363093745</v>
      </c>
      <c r="N5" s="237"/>
      <c r="O5" s="237">
        <f>-O4*$C$5</f>
        <v>-196031.40747171085</v>
      </c>
      <c r="P5" s="237"/>
      <c r="Q5" s="237">
        <f>-Q4*$C$5</f>
        <v>-200932.1926585036</v>
      </c>
      <c r="R5" s="237"/>
      <c r="S5" s="237">
        <f>-S4*$C$5</f>
        <v>-205955.49747496616</v>
      </c>
      <c r="T5" s="237"/>
      <c r="U5" s="237">
        <f>-U4*$C$5</f>
        <v>-211104.38491184029</v>
      </c>
      <c r="V5" s="237"/>
      <c r="W5" s="237">
        <f>-W4*$C$5</f>
        <v>-216381.99453463627</v>
      </c>
      <c r="X5" s="237"/>
      <c r="Y5" s="237">
        <f>-Y4*$C$5</f>
        <v>-221791.54439800215</v>
      </c>
      <c r="Z5" s="237"/>
      <c r="AA5" s="237">
        <f>-AA4*$C$5</f>
        <v>-227336.33300795217</v>
      </c>
      <c r="AB5" s="237"/>
      <c r="AC5" s="237">
        <f>-AC4*$C$5</f>
        <v>-233019.74133315097</v>
      </c>
      <c r="AD5" s="237"/>
      <c r="AE5" s="237">
        <f>-AE4*$C$5</f>
        <v>-238845.2348664797</v>
      </c>
      <c r="AF5" s="237"/>
      <c r="AG5" s="237">
        <f>-AG4*$C$5</f>
        <v>-244816.3657381417</v>
      </c>
    </row>
    <row r="6" spans="1:34" s="225" customFormat="1" ht="14.15">
      <c r="A6" s="225" t="s">
        <v>848</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15">
      <c r="B7" s="225" t="s">
        <v>850</v>
      </c>
      <c r="C7" s="254">
        <f>IF(Application!$D$211="Special Needs",0.1,0.05)</f>
        <v>0.1</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15">
      <c r="A8" s="225" t="s">
        <v>289</v>
      </c>
      <c r="C8" s="253">
        <v>1.0249999999999999</v>
      </c>
      <c r="E8" s="238">
        <f>Application!Z817</f>
        <v>20160</v>
      </c>
      <c r="F8" s="238"/>
      <c r="G8" s="238">
        <f>E8*$C$8</f>
        <v>20664</v>
      </c>
      <c r="H8" s="238"/>
      <c r="I8" s="238">
        <f>G8*$C$8</f>
        <v>21180.6</v>
      </c>
      <c r="J8" s="238"/>
      <c r="K8" s="238">
        <f>I8*$C$8</f>
        <v>21710.114999999998</v>
      </c>
      <c r="L8" s="238"/>
      <c r="M8" s="238">
        <f>K8*$C$8</f>
        <v>22252.867874999996</v>
      </c>
      <c r="N8" s="238"/>
      <c r="O8" s="238">
        <f>M8*$C$8</f>
        <v>22809.189571874995</v>
      </c>
      <c r="P8" s="238"/>
      <c r="Q8" s="238">
        <f>O8*$C$8</f>
        <v>23379.419311171867</v>
      </c>
      <c r="R8" s="238"/>
      <c r="S8" s="238">
        <f>Q8*$C$8</f>
        <v>23963.904793951162</v>
      </c>
      <c r="T8" s="238"/>
      <c r="U8" s="238">
        <f>S8*$C$8</f>
        <v>24563.002413799939</v>
      </c>
      <c r="V8" s="238"/>
      <c r="W8" s="238">
        <f>U8*$C$8</f>
        <v>25177.077474144935</v>
      </c>
      <c r="X8" s="238"/>
      <c r="Y8" s="238">
        <f>W8*$C$8</f>
        <v>25806.504410998557</v>
      </c>
      <c r="Z8" s="238"/>
      <c r="AA8" s="238">
        <f>Y8*$C$8</f>
        <v>26451.667021273519</v>
      </c>
      <c r="AB8" s="238"/>
      <c r="AC8" s="238">
        <f>AA8*$C$8</f>
        <v>27112.958696805355</v>
      </c>
      <c r="AD8" s="238"/>
      <c r="AE8" s="238">
        <f>AC8*$C$8</f>
        <v>27790.782664225488</v>
      </c>
      <c r="AF8" s="238"/>
      <c r="AG8" s="238">
        <f>AE8*$C$8</f>
        <v>28485.552230831123</v>
      </c>
    </row>
    <row r="9" spans="1:34" s="225" customFormat="1" ht="14.15">
      <c r="B9" s="225" t="s">
        <v>850</v>
      </c>
      <c r="C9" s="254">
        <f>IF(Application!$D$211="Special Needs",0.1,0.05)</f>
        <v>0.1</v>
      </c>
      <c r="E9" s="237">
        <f>-E8*$C$9</f>
        <v>-2016</v>
      </c>
      <c r="F9" s="237"/>
      <c r="G9" s="237">
        <f>-G8*$C$9</f>
        <v>-2066.4</v>
      </c>
      <c r="H9" s="237"/>
      <c r="I9" s="237">
        <f>-I8*$C$9</f>
        <v>-2118.06</v>
      </c>
      <c r="J9" s="237"/>
      <c r="K9" s="237">
        <f>-K8*$C$9</f>
        <v>-2171.0115000000001</v>
      </c>
      <c r="L9" s="237"/>
      <c r="M9" s="237">
        <f>-M8*$C$9</f>
        <v>-2225.2867874999997</v>
      </c>
      <c r="N9" s="237"/>
      <c r="O9" s="237">
        <f>-O8*$C$9</f>
        <v>-2280.9189571874995</v>
      </c>
      <c r="P9" s="237"/>
      <c r="Q9" s="237">
        <f>-Q8*$C$9</f>
        <v>-2337.9419311171869</v>
      </c>
      <c r="R9" s="237"/>
      <c r="S9" s="237">
        <f>-S8*$C$9</f>
        <v>-2396.3904793951165</v>
      </c>
      <c r="T9" s="237"/>
      <c r="U9" s="237">
        <f>-U8*$C$9</f>
        <v>-2456.3002413799941</v>
      </c>
      <c r="V9" s="237"/>
      <c r="W9" s="237">
        <f>-W8*$C$9</f>
        <v>-2517.7077474144935</v>
      </c>
      <c r="X9" s="237"/>
      <c r="Y9" s="237">
        <f>-Y8*$C$9</f>
        <v>-2580.6504410998559</v>
      </c>
      <c r="Z9" s="237"/>
      <c r="AA9" s="237">
        <f>-AA8*$C$9</f>
        <v>-2645.166702127352</v>
      </c>
      <c r="AB9" s="237"/>
      <c r="AC9" s="237">
        <f>-AC8*$C$9</f>
        <v>-2711.2958696805358</v>
      </c>
      <c r="AD9" s="237"/>
      <c r="AE9" s="237">
        <f>-AE8*$C$9</f>
        <v>-2779.0782664225489</v>
      </c>
      <c r="AF9" s="237"/>
      <c r="AG9" s="237">
        <f>-AG8*$C$9</f>
        <v>-2848.5552230831127</v>
      </c>
    </row>
    <row r="10" spans="1:34" s="225" customFormat="1" ht="14.15">
      <c r="A10" s="1187" t="s">
        <v>2721</v>
      </c>
      <c r="B10" s="1187"/>
      <c r="C10" s="254"/>
      <c r="E10" s="1188">
        <f>ROUND(('Sources and Uses Budget'!B76-60500)/17,0)</f>
        <v>133598</v>
      </c>
      <c r="F10" s="238"/>
      <c r="G10" s="1188">
        <f>$E$10</f>
        <v>133598</v>
      </c>
      <c r="H10" s="238"/>
      <c r="I10" s="1188">
        <f>$E$10</f>
        <v>133598</v>
      </c>
      <c r="J10" s="238"/>
      <c r="K10" s="1188">
        <f>$E$10</f>
        <v>133598</v>
      </c>
      <c r="L10" s="238"/>
      <c r="M10" s="1188">
        <f>$E$10</f>
        <v>133598</v>
      </c>
      <c r="N10" s="238"/>
      <c r="O10" s="1188">
        <f>$E$10</f>
        <v>133598</v>
      </c>
      <c r="P10" s="238"/>
      <c r="Q10" s="1188">
        <f>$E$10</f>
        <v>133598</v>
      </c>
      <c r="R10" s="238"/>
      <c r="S10" s="1188">
        <f>$E$10</f>
        <v>133598</v>
      </c>
      <c r="T10" s="238"/>
      <c r="U10" s="1188">
        <f>$E$10</f>
        <v>133598</v>
      </c>
      <c r="V10" s="238"/>
      <c r="W10" s="1188">
        <f>U10+2000</f>
        <v>135598</v>
      </c>
      <c r="X10" s="238"/>
      <c r="Y10" s="1188">
        <f>W10+2500</f>
        <v>138098</v>
      </c>
      <c r="Z10" s="238"/>
      <c r="AA10" s="1188">
        <f>Y10+3000</f>
        <v>141098</v>
      </c>
      <c r="AB10" s="238"/>
      <c r="AC10" s="1188">
        <f>AA10+3600</f>
        <v>144698</v>
      </c>
      <c r="AD10" s="238"/>
      <c r="AE10" s="1188">
        <f>AC10+4200</f>
        <v>148898</v>
      </c>
      <c r="AF10" s="238"/>
      <c r="AG10" s="1188">
        <f>AE10+4800</f>
        <v>153698</v>
      </c>
    </row>
    <row r="11" spans="1:34" s="239" customFormat="1" ht="14.15">
      <c r="A11" s="239" t="s">
        <v>871</v>
      </c>
      <c r="C11" s="231"/>
      <c r="E11" s="239">
        <f>SUM(E4:E10)</f>
        <v>1711110.8</v>
      </c>
      <c r="G11" s="239">
        <f>SUM(G4:G10)</f>
        <v>1750548.6199999999</v>
      </c>
      <c r="I11" s="239">
        <f>SUM(I4:I10)</f>
        <v>1790972.3854999996</v>
      </c>
      <c r="K11" s="239">
        <f>SUM(K4:K10)</f>
        <v>1832406.7451374994</v>
      </c>
      <c r="M11" s="239">
        <f>SUM(M4:M10)</f>
        <v>1874876.9637659369</v>
      </c>
      <c r="O11" s="239">
        <f>SUM(O4:O10)</f>
        <v>1918408.9378600849</v>
      </c>
      <c r="Q11" s="239">
        <f>SUM(Q4:Q10)</f>
        <v>1963029.2113065871</v>
      </c>
      <c r="S11" s="239">
        <f>SUM(S4:S10)</f>
        <v>2008764.9915892514</v>
      </c>
      <c r="U11" s="239">
        <f>SUM(U4:U10)</f>
        <v>2055644.1663789824</v>
      </c>
      <c r="W11" s="239">
        <f>SUM(W4:W10)</f>
        <v>2105695.3205384566</v>
      </c>
      <c r="Y11" s="239">
        <f>SUM(Y4:Y10)</f>
        <v>2157447.7535519181</v>
      </c>
      <c r="AA11" s="239">
        <f>SUM(AA4:AA10)</f>
        <v>2210931.4973907154</v>
      </c>
      <c r="AC11" s="239">
        <f>SUM(AC4:AC10)</f>
        <v>2266277.3348254836</v>
      </c>
      <c r="AE11" s="239">
        <f>SUM(AE4:AE10)</f>
        <v>2323516.8181961197</v>
      </c>
      <c r="AG11" s="239">
        <f>SUM(AG4:AG10)</f>
        <v>2382682.2886510231</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4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1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15">
      <c r="A15" s="235" t="s">
        <v>853</v>
      </c>
      <c r="C15" s="185"/>
      <c r="E15" s="235">
        <f>Application!W847</f>
        <v>122500</v>
      </c>
      <c r="G15" s="235">
        <f>E15*$C$14</f>
        <v>126787.49999999999</v>
      </c>
      <c r="I15" s="235">
        <f>G15*$C$14</f>
        <v>131225.06249999997</v>
      </c>
      <c r="K15" s="235">
        <f>I15*$C$14</f>
        <v>135817.93968749995</v>
      </c>
      <c r="M15" s="235">
        <f>K15*$C$14</f>
        <v>140571.56757656243</v>
      </c>
      <c r="O15" s="235">
        <f>M15*$C$14</f>
        <v>145491.57244174212</v>
      </c>
      <c r="Q15" s="235">
        <f>O15*$C$14</f>
        <v>150583.77747720308</v>
      </c>
      <c r="S15" s="235">
        <f>Q15*$C$14</f>
        <v>155854.20968890519</v>
      </c>
      <c r="U15" s="235">
        <f>S15*$C$14</f>
        <v>161309.10702801685</v>
      </c>
      <c r="W15" s="235">
        <f>U15*$C$14</f>
        <v>166954.92577399741</v>
      </c>
      <c r="Y15" s="235">
        <f>W15*$C$14</f>
        <v>172798.34817608731</v>
      </c>
      <c r="AA15" s="235">
        <f>Y15*$C$14</f>
        <v>178846.29036225035</v>
      </c>
      <c r="AC15" s="235">
        <f>AA15*$C$14</f>
        <v>185105.91052492909</v>
      </c>
      <c r="AE15" s="235">
        <f>AC15*$C$14</f>
        <v>191584.6173933016</v>
      </c>
      <c r="AG15" s="235">
        <f>AE15*$C$14</f>
        <v>198290.07900206713</v>
      </c>
    </row>
    <row r="16" spans="1:34" s="225" customFormat="1" ht="14.15">
      <c r="A16" s="225" t="s">
        <v>345</v>
      </c>
      <c r="C16" s="249"/>
      <c r="E16" s="238">
        <f>Application!W849</f>
        <v>69305.279999999999</v>
      </c>
      <c r="F16" s="238"/>
      <c r="G16" s="238">
        <f t="shared" ref="G16:AG21" si="0">E16*$C$14</f>
        <v>71730.964799999987</v>
      </c>
      <c r="H16" s="238"/>
      <c r="I16" s="238">
        <f t="shared" si="0"/>
        <v>74241.548567999984</v>
      </c>
      <c r="J16" s="238"/>
      <c r="K16" s="238">
        <f t="shared" si="0"/>
        <v>76840.002767879982</v>
      </c>
      <c r="L16" s="238"/>
      <c r="M16" s="238">
        <f t="shared" si="0"/>
        <v>79529.402864755772</v>
      </c>
      <c r="N16" s="238"/>
      <c r="O16" s="238">
        <f t="shared" si="0"/>
        <v>82312.931965022217</v>
      </c>
      <c r="P16" s="238"/>
      <c r="Q16" s="238">
        <f t="shared" si="0"/>
        <v>85193.88458379799</v>
      </c>
      <c r="R16" s="238"/>
      <c r="S16" s="238">
        <f t="shared" si="0"/>
        <v>88175.670544230918</v>
      </c>
      <c r="T16" s="238"/>
      <c r="U16" s="238">
        <f t="shared" si="0"/>
        <v>91261.81901327899</v>
      </c>
      <c r="V16" s="238"/>
      <c r="W16" s="238">
        <f t="shared" si="0"/>
        <v>94455.982678743749</v>
      </c>
      <c r="X16" s="238"/>
      <c r="Y16" s="238">
        <f t="shared" si="0"/>
        <v>97761.942072499776</v>
      </c>
      <c r="Z16" s="238"/>
      <c r="AA16" s="238">
        <f t="shared" si="0"/>
        <v>101183.61004503726</v>
      </c>
      <c r="AB16" s="238"/>
      <c r="AC16" s="238">
        <f t="shared" si="0"/>
        <v>104725.03639661356</v>
      </c>
      <c r="AD16" s="238"/>
      <c r="AE16" s="238">
        <f t="shared" si="0"/>
        <v>108390.41267049503</v>
      </c>
      <c r="AF16" s="238"/>
      <c r="AG16" s="238">
        <f t="shared" si="0"/>
        <v>112184.07711396235</v>
      </c>
    </row>
    <row r="17" spans="1:33" s="225" customFormat="1" ht="14.15">
      <c r="A17" s="225" t="s">
        <v>570</v>
      </c>
      <c r="C17" s="249"/>
      <c r="E17" s="238">
        <f>Application!W855</f>
        <v>285772</v>
      </c>
      <c r="F17" s="238"/>
      <c r="G17" s="238">
        <f t="shared" si="0"/>
        <v>295774.01999999996</v>
      </c>
      <c r="H17" s="238"/>
      <c r="I17" s="238">
        <f t="shared" si="0"/>
        <v>306126.11069999996</v>
      </c>
      <c r="J17" s="238"/>
      <c r="K17" s="238">
        <f t="shared" si="0"/>
        <v>316840.52457449993</v>
      </c>
      <c r="L17" s="238"/>
      <c r="M17" s="238">
        <f t="shared" si="0"/>
        <v>327929.94293460739</v>
      </c>
      <c r="N17" s="238"/>
      <c r="O17" s="238">
        <f t="shared" si="0"/>
        <v>339407.49093731859</v>
      </c>
      <c r="P17" s="238"/>
      <c r="Q17" s="238">
        <f t="shared" si="0"/>
        <v>351286.75312012469</v>
      </c>
      <c r="R17" s="238"/>
      <c r="S17" s="238">
        <f t="shared" si="0"/>
        <v>363581.78947932902</v>
      </c>
      <c r="T17" s="238"/>
      <c r="U17" s="238">
        <f t="shared" si="0"/>
        <v>376307.1521111055</v>
      </c>
      <c r="V17" s="238"/>
      <c r="W17" s="238">
        <f t="shared" si="0"/>
        <v>389477.90243499418</v>
      </c>
      <c r="X17" s="238"/>
      <c r="Y17" s="238">
        <f t="shared" si="0"/>
        <v>403109.62902021891</v>
      </c>
      <c r="Z17" s="238"/>
      <c r="AA17" s="238">
        <f t="shared" si="0"/>
        <v>417218.46603592654</v>
      </c>
      <c r="AB17" s="238"/>
      <c r="AC17" s="238">
        <f t="shared" si="0"/>
        <v>431821.11234718392</v>
      </c>
      <c r="AD17" s="238"/>
      <c r="AE17" s="238">
        <f t="shared" si="0"/>
        <v>446934.85127933533</v>
      </c>
      <c r="AF17" s="238"/>
      <c r="AG17" s="238">
        <f t="shared" si="0"/>
        <v>462577.57107411203</v>
      </c>
    </row>
    <row r="18" spans="1:33" s="225" customFormat="1" ht="14.15">
      <c r="A18" s="225" t="s">
        <v>854</v>
      </c>
      <c r="C18" s="249"/>
      <c r="E18" s="238">
        <f>Application!W862</f>
        <v>293472</v>
      </c>
      <c r="F18" s="238"/>
      <c r="G18" s="238">
        <f t="shared" si="0"/>
        <v>303743.51999999996</v>
      </c>
      <c r="H18" s="238"/>
      <c r="I18" s="238">
        <f t="shared" si="0"/>
        <v>314374.54319999996</v>
      </c>
      <c r="J18" s="238"/>
      <c r="K18" s="238">
        <f t="shared" si="0"/>
        <v>325377.65221199993</v>
      </c>
      <c r="L18" s="238"/>
      <c r="M18" s="238">
        <f t="shared" si="0"/>
        <v>336765.87003941991</v>
      </c>
      <c r="N18" s="238"/>
      <c r="O18" s="238">
        <f t="shared" si="0"/>
        <v>348552.67549079959</v>
      </c>
      <c r="P18" s="238"/>
      <c r="Q18" s="238">
        <f t="shared" si="0"/>
        <v>360752.01913297753</v>
      </c>
      <c r="R18" s="238"/>
      <c r="S18" s="238">
        <f t="shared" si="0"/>
        <v>373378.3398026317</v>
      </c>
      <c r="T18" s="238"/>
      <c r="U18" s="238">
        <f t="shared" si="0"/>
        <v>386446.58169572375</v>
      </c>
      <c r="V18" s="238"/>
      <c r="W18" s="238">
        <f t="shared" si="0"/>
        <v>399972.21205507405</v>
      </c>
      <c r="X18" s="238"/>
      <c r="Y18" s="238">
        <f t="shared" si="0"/>
        <v>413971.2394770016</v>
      </c>
      <c r="Z18" s="238"/>
      <c r="AA18" s="238">
        <f t="shared" si="0"/>
        <v>428460.2328586966</v>
      </c>
      <c r="AB18" s="238"/>
      <c r="AC18" s="238">
        <f t="shared" si="0"/>
        <v>443456.34100875095</v>
      </c>
      <c r="AD18" s="238"/>
      <c r="AE18" s="238">
        <f t="shared" si="0"/>
        <v>458977.31294405722</v>
      </c>
      <c r="AF18" s="238"/>
      <c r="AG18" s="238">
        <f t="shared" si="0"/>
        <v>475041.51889709919</v>
      </c>
    </row>
    <row r="19" spans="1:33" s="225" customFormat="1" ht="14.15">
      <c r="A19" s="225" t="s">
        <v>155</v>
      </c>
      <c r="C19" s="249"/>
      <c r="E19" s="238">
        <f>Application!W863</f>
        <v>0</v>
      </c>
      <c r="F19" s="238"/>
      <c r="G19" s="238">
        <f t="shared" si="0"/>
        <v>0</v>
      </c>
      <c r="H19" s="238"/>
      <c r="I19" s="238">
        <f t="shared" si="0"/>
        <v>0</v>
      </c>
      <c r="J19" s="238"/>
      <c r="K19" s="238">
        <f t="shared" si="0"/>
        <v>0</v>
      </c>
      <c r="L19" s="238"/>
      <c r="M19" s="238">
        <f t="shared" si="0"/>
        <v>0</v>
      </c>
      <c r="N19" s="238"/>
      <c r="O19" s="238">
        <f t="shared" si="0"/>
        <v>0</v>
      </c>
      <c r="P19" s="238"/>
      <c r="Q19" s="238">
        <f t="shared" si="0"/>
        <v>0</v>
      </c>
      <c r="R19" s="238"/>
      <c r="S19" s="238">
        <f t="shared" si="0"/>
        <v>0</v>
      </c>
      <c r="T19" s="238"/>
      <c r="U19" s="238">
        <f t="shared" si="0"/>
        <v>0</v>
      </c>
      <c r="V19" s="238"/>
      <c r="W19" s="238">
        <f t="shared" si="0"/>
        <v>0</v>
      </c>
      <c r="X19" s="238"/>
      <c r="Y19" s="238">
        <f t="shared" si="0"/>
        <v>0</v>
      </c>
      <c r="Z19" s="238"/>
      <c r="AA19" s="238">
        <f t="shared" si="0"/>
        <v>0</v>
      </c>
      <c r="AB19" s="238"/>
      <c r="AC19" s="238">
        <f t="shared" si="0"/>
        <v>0</v>
      </c>
      <c r="AD19" s="238"/>
      <c r="AE19" s="238">
        <f t="shared" si="0"/>
        <v>0</v>
      </c>
      <c r="AF19" s="238"/>
      <c r="AG19" s="238">
        <f t="shared" si="0"/>
        <v>0</v>
      </c>
    </row>
    <row r="20" spans="1:33" s="225" customFormat="1" ht="14.15">
      <c r="A20" s="225" t="s">
        <v>391</v>
      </c>
      <c r="C20" s="249"/>
      <c r="E20" s="238">
        <f>Application!W872</f>
        <v>233730</v>
      </c>
      <c r="F20" s="238"/>
      <c r="G20" s="238">
        <f t="shared" si="0"/>
        <v>241910.55</v>
      </c>
      <c r="H20" s="238"/>
      <c r="I20" s="238">
        <f t="shared" si="0"/>
        <v>250377.41924999998</v>
      </c>
      <c r="J20" s="238"/>
      <c r="K20" s="238">
        <f t="shared" si="0"/>
        <v>259140.62892374996</v>
      </c>
      <c r="L20" s="238"/>
      <c r="M20" s="238">
        <f t="shared" si="0"/>
        <v>268210.55093608121</v>
      </c>
      <c r="N20" s="238"/>
      <c r="O20" s="238">
        <f t="shared" si="0"/>
        <v>277597.92021884402</v>
      </c>
      <c r="P20" s="238"/>
      <c r="Q20" s="238">
        <f t="shared" si="0"/>
        <v>287313.84742650355</v>
      </c>
      <c r="R20" s="238"/>
      <c r="S20" s="238">
        <f t="shared" si="0"/>
        <v>297369.83208643115</v>
      </c>
      <c r="T20" s="238"/>
      <c r="U20" s="238">
        <f t="shared" si="0"/>
        <v>307777.77620945621</v>
      </c>
      <c r="V20" s="238"/>
      <c r="W20" s="238">
        <f t="shared" si="0"/>
        <v>318549.99837678717</v>
      </c>
      <c r="X20" s="238"/>
      <c r="Y20" s="238">
        <f t="shared" si="0"/>
        <v>329699.24831997469</v>
      </c>
      <c r="Z20" s="238"/>
      <c r="AA20" s="238">
        <f t="shared" si="0"/>
        <v>341238.72201117378</v>
      </c>
      <c r="AB20" s="238"/>
      <c r="AC20" s="238">
        <f t="shared" si="0"/>
        <v>353182.07728156482</v>
      </c>
      <c r="AD20" s="238"/>
      <c r="AE20" s="238">
        <f t="shared" si="0"/>
        <v>365543.44998641958</v>
      </c>
      <c r="AF20" s="238"/>
      <c r="AG20" s="238">
        <f t="shared" si="0"/>
        <v>378337.47073594423</v>
      </c>
    </row>
    <row r="21" spans="1:33" s="225" customFormat="1" ht="14.15">
      <c r="A21" s="242" t="s">
        <v>982</v>
      </c>
      <c r="B21" s="242"/>
      <c r="C21" s="249"/>
      <c r="E21" s="248">
        <f>Application!W879</f>
        <v>16800</v>
      </c>
      <c r="F21" s="238"/>
      <c r="G21" s="248">
        <f t="shared" si="0"/>
        <v>17388</v>
      </c>
      <c r="H21" s="238"/>
      <c r="I21" s="248">
        <f t="shared" si="0"/>
        <v>17996.579999999998</v>
      </c>
      <c r="J21" s="238"/>
      <c r="K21" s="248">
        <f t="shared" si="0"/>
        <v>18626.460299999995</v>
      </c>
      <c r="L21" s="238"/>
      <c r="M21" s="248">
        <f t="shared" si="0"/>
        <v>19278.386410499992</v>
      </c>
      <c r="N21" s="238"/>
      <c r="O21" s="248">
        <f t="shared" si="0"/>
        <v>19953.129934867491</v>
      </c>
      <c r="P21" s="238"/>
      <c r="Q21" s="248">
        <f t="shared" si="0"/>
        <v>20651.489482587851</v>
      </c>
      <c r="R21" s="238"/>
      <c r="S21" s="248">
        <f t="shared" si="0"/>
        <v>21374.291614478425</v>
      </c>
      <c r="T21" s="238"/>
      <c r="U21" s="248">
        <f t="shared" si="0"/>
        <v>22122.391820985169</v>
      </c>
      <c r="V21" s="238"/>
      <c r="W21" s="248">
        <f t="shared" si="0"/>
        <v>22896.675534719649</v>
      </c>
      <c r="X21" s="238"/>
      <c r="Y21" s="248">
        <f t="shared" si="0"/>
        <v>23698.059178434836</v>
      </c>
      <c r="Z21" s="238"/>
      <c r="AA21" s="248">
        <f t="shared" si="0"/>
        <v>24527.491249680053</v>
      </c>
      <c r="AB21" s="238"/>
      <c r="AC21" s="248">
        <f t="shared" si="0"/>
        <v>25385.953443418854</v>
      </c>
      <c r="AD21" s="238"/>
      <c r="AE21" s="248">
        <f t="shared" si="0"/>
        <v>26274.461813938513</v>
      </c>
      <c r="AF21" s="238"/>
      <c r="AG21" s="248">
        <f t="shared" si="0"/>
        <v>27194.067977426359</v>
      </c>
    </row>
    <row r="22" spans="1:33" s="239" customFormat="1" ht="14.15">
      <c r="A22" s="239" t="s">
        <v>855</v>
      </c>
      <c r="C22" s="249"/>
      <c r="E22" s="239">
        <f>SUM(E15:E21)</f>
        <v>1021579.28</v>
      </c>
      <c r="G22" s="239">
        <f>SUM(G15:G21)</f>
        <v>1057334.5547999998</v>
      </c>
      <c r="I22" s="239">
        <f>SUM(I15:I21)</f>
        <v>1094341.264218</v>
      </c>
      <c r="K22" s="239">
        <f>SUM(K15:K21)</f>
        <v>1132643.2084656297</v>
      </c>
      <c r="M22" s="239">
        <f>SUM(M15:M21)</f>
        <v>1172285.7207619266</v>
      </c>
      <c r="O22" s="239">
        <f>SUM(O15:O21)</f>
        <v>1213315.720988594</v>
      </c>
      <c r="Q22" s="239">
        <f>SUM(Q15:Q21)</f>
        <v>1255781.7712231947</v>
      </c>
      <c r="S22" s="239">
        <f>SUM(S15:S21)</f>
        <v>1299734.1332160064</v>
      </c>
      <c r="U22" s="239">
        <f>SUM(U15:U21)</f>
        <v>1345224.8278785665</v>
      </c>
      <c r="W22" s="239">
        <f>SUM(W15:W21)</f>
        <v>1392307.6968543162</v>
      </c>
      <c r="Y22" s="239">
        <f>SUM(Y15:Y21)</f>
        <v>1441038.466244217</v>
      </c>
      <c r="AA22" s="239">
        <f>SUM(AA15:AA21)</f>
        <v>1491474.8125627649</v>
      </c>
      <c r="AC22" s="239">
        <f>SUM(AC15:AC21)</f>
        <v>1543676.4310024611</v>
      </c>
      <c r="AE22" s="239">
        <f>SUM(AE15:AE21)</f>
        <v>1597705.1060875473</v>
      </c>
      <c r="AG22" s="239">
        <f>SUM(AG15:AG21)</f>
        <v>1653624.7848006112</v>
      </c>
    </row>
    <row r="23" spans="1:33" s="225" customFormat="1" ht="14.1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15">
      <c r="A24" s="225" t="s">
        <v>1872</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1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1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15">
      <c r="A27" s="225" t="s">
        <v>857</v>
      </c>
      <c r="C27" s="253">
        <v>1.0349999999999999</v>
      </c>
      <c r="E27" s="238">
        <f>Application!AC888</f>
        <v>27000</v>
      </c>
      <c r="F27" s="238"/>
      <c r="G27" s="238">
        <f>E27*$C$27</f>
        <v>27944.999999999996</v>
      </c>
      <c r="H27" s="238"/>
      <c r="I27" s="238">
        <f>G27*$C$27</f>
        <v>28923.074999999993</v>
      </c>
      <c r="J27" s="238"/>
      <c r="K27" s="238">
        <f>I27*$C$27</f>
        <v>29935.382624999991</v>
      </c>
      <c r="L27" s="238"/>
      <c r="M27" s="238">
        <f>K27*$C$27</f>
        <v>30983.121016874989</v>
      </c>
      <c r="N27" s="238"/>
      <c r="O27" s="238">
        <f>M27*$C$27</f>
        <v>32067.530252465611</v>
      </c>
      <c r="P27" s="238"/>
      <c r="Q27" s="238">
        <f>O27*$C$27</f>
        <v>33189.893811301903</v>
      </c>
      <c r="R27" s="238"/>
      <c r="S27" s="238">
        <f>Q27*$C$27</f>
        <v>34351.54009469747</v>
      </c>
      <c r="T27" s="238"/>
      <c r="U27" s="238">
        <f>S27*$C$27</f>
        <v>35553.843998011878</v>
      </c>
      <c r="V27" s="238"/>
      <c r="W27" s="238">
        <f>U27*$C$27</f>
        <v>36798.22853794229</v>
      </c>
      <c r="X27" s="238"/>
      <c r="Y27" s="238">
        <f>W27*$C$27</f>
        <v>38086.166536770266</v>
      </c>
      <c r="Z27" s="238"/>
      <c r="AA27" s="238">
        <f>Y27*$C$27</f>
        <v>39419.182365557223</v>
      </c>
      <c r="AB27" s="238"/>
      <c r="AC27" s="238">
        <f>AA27*$C$27</f>
        <v>40798.853748351721</v>
      </c>
      <c r="AD27" s="238"/>
      <c r="AE27" s="238">
        <f>AC27*$C$27</f>
        <v>42226.813629544027</v>
      </c>
      <c r="AF27" s="238"/>
      <c r="AG27" s="238">
        <f>AE27*$C$27</f>
        <v>43704.752106578067</v>
      </c>
    </row>
    <row r="28" spans="1:33" s="225" customFormat="1" ht="14.15">
      <c r="A28" s="225" t="s">
        <v>858</v>
      </c>
      <c r="C28" s="253"/>
      <c r="E28" s="238">
        <f>Application!AC889</f>
        <v>42300</v>
      </c>
      <c r="F28" s="238"/>
      <c r="G28" s="238">
        <f>$E$28</f>
        <v>42300</v>
      </c>
      <c r="H28" s="238"/>
      <c r="I28" s="238">
        <f>$E$28</f>
        <v>42300</v>
      </c>
      <c r="J28" s="238"/>
      <c r="K28" s="238">
        <f>$E$28</f>
        <v>42300</v>
      </c>
      <c r="L28" s="238"/>
      <c r="M28" s="238">
        <f>$E$28</f>
        <v>42300</v>
      </c>
      <c r="N28" s="238"/>
      <c r="O28" s="238">
        <f>$E$28</f>
        <v>42300</v>
      </c>
      <c r="P28" s="238"/>
      <c r="Q28" s="238">
        <f>$E$28</f>
        <v>42300</v>
      </c>
      <c r="R28" s="238"/>
      <c r="S28" s="238">
        <f>$E$28</f>
        <v>42300</v>
      </c>
      <c r="T28" s="238"/>
      <c r="U28" s="238">
        <f>$E$28</f>
        <v>42300</v>
      </c>
      <c r="V28" s="238"/>
      <c r="W28" s="238">
        <f>$E$28</f>
        <v>42300</v>
      </c>
      <c r="X28" s="238"/>
      <c r="Y28" s="238">
        <f>$E$28</f>
        <v>42300</v>
      </c>
      <c r="Z28" s="238"/>
      <c r="AA28" s="238">
        <f>$E$28</f>
        <v>42300</v>
      </c>
      <c r="AB28" s="238"/>
      <c r="AC28" s="238">
        <f>$E$28</f>
        <v>42300</v>
      </c>
      <c r="AD28" s="238"/>
      <c r="AE28" s="238">
        <f>$E$28</f>
        <v>42300</v>
      </c>
      <c r="AF28" s="238"/>
      <c r="AG28" s="238">
        <f>$E$28</f>
        <v>42300</v>
      </c>
    </row>
    <row r="29" spans="1:33" s="225" customFormat="1" ht="14.15">
      <c r="A29" s="225" t="s">
        <v>1870</v>
      </c>
      <c r="C29" s="253"/>
      <c r="E29" s="238">
        <f>Application!AC890</f>
        <v>4000</v>
      </c>
      <c r="F29" s="238"/>
      <c r="G29" s="238">
        <f>$E$29</f>
        <v>4000</v>
      </c>
      <c r="H29" s="238"/>
      <c r="I29" s="238">
        <f>$E$29</f>
        <v>4000</v>
      </c>
      <c r="J29" s="238"/>
      <c r="K29" s="238">
        <f>$E$29</f>
        <v>4000</v>
      </c>
      <c r="L29" s="238"/>
      <c r="M29" s="238">
        <f>$E$29</f>
        <v>4000</v>
      </c>
      <c r="N29" s="238"/>
      <c r="O29" s="238">
        <f>$E$29</f>
        <v>4000</v>
      </c>
      <c r="P29" s="238"/>
      <c r="Q29" s="238">
        <f>$E$29</f>
        <v>4000</v>
      </c>
      <c r="R29" s="238"/>
      <c r="S29" s="238">
        <f>$E$29</f>
        <v>4000</v>
      </c>
      <c r="T29" s="238"/>
      <c r="U29" s="238">
        <f>$E$29</f>
        <v>4000</v>
      </c>
      <c r="V29" s="238"/>
      <c r="W29" s="238">
        <f>$E$29</f>
        <v>4000</v>
      </c>
      <c r="X29" s="238"/>
      <c r="Y29" s="238">
        <f>$E$29</f>
        <v>4000</v>
      </c>
      <c r="Z29" s="238"/>
      <c r="AA29" s="238">
        <f>$E$29</f>
        <v>4000</v>
      </c>
      <c r="AB29" s="238"/>
      <c r="AC29" s="238">
        <f>$E$29</f>
        <v>4000</v>
      </c>
      <c r="AD29" s="238"/>
      <c r="AE29" s="238">
        <f>$E$29</f>
        <v>4000</v>
      </c>
      <c r="AF29" s="238"/>
      <c r="AG29" s="238">
        <f>$E$29</f>
        <v>4000</v>
      </c>
    </row>
    <row r="30" spans="1:33" s="225" customFormat="1" ht="14.15">
      <c r="A30" s="225" t="s">
        <v>856</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15">
      <c r="A31" s="225" t="s">
        <v>1871</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1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1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1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15">
      <c r="A35" s="239" t="s">
        <v>178</v>
      </c>
      <c r="C35" s="240"/>
      <c r="E35" s="239">
        <f>SUM(E22:E33)</f>
        <v>1094879.28</v>
      </c>
      <c r="G35" s="239">
        <f>SUM(G22:G33)</f>
        <v>1131579.5547999998</v>
      </c>
      <c r="I35" s="239">
        <f>SUM(I22:I33)</f>
        <v>1169564.339218</v>
      </c>
      <c r="K35" s="239">
        <f>SUM(K22:K33)</f>
        <v>1208878.5910906298</v>
      </c>
      <c r="M35" s="239">
        <f>SUM(M22:M33)</f>
        <v>1249568.8417788015</v>
      </c>
      <c r="O35" s="239">
        <f>SUM(O22:O33)</f>
        <v>1291683.2512410595</v>
      </c>
      <c r="Q35" s="239">
        <f>SUM(Q22:Q33)</f>
        <v>1335271.6650344965</v>
      </c>
      <c r="S35" s="239">
        <f>SUM(S22:S33)</f>
        <v>1380385.6733107038</v>
      </c>
      <c r="U35" s="239">
        <f>SUM(U22:U33)</f>
        <v>1427078.6718765784</v>
      </c>
      <c r="W35" s="239">
        <f>SUM(W22:W33)</f>
        <v>1475405.9253922584</v>
      </c>
      <c r="Y35" s="239">
        <f>SUM(Y22:Y33)</f>
        <v>1525424.6327809873</v>
      </c>
      <c r="AA35" s="239">
        <f>SUM(AA22:AA33)</f>
        <v>1577193.994928322</v>
      </c>
      <c r="AC35" s="239">
        <f>SUM(AC22:AC33)</f>
        <v>1630775.2847508129</v>
      </c>
      <c r="AE35" s="239">
        <f>SUM(AE22:AE33)</f>
        <v>1686231.9197170914</v>
      </c>
      <c r="AG35" s="239">
        <f>SUM(AG22:AG33)</f>
        <v>1743629.5369071893</v>
      </c>
    </row>
    <row r="36" spans="1:33" s="225" customFormat="1" ht="14.1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15">
      <c r="A37" s="239" t="s">
        <v>859</v>
      </c>
      <c r="C37" s="240"/>
      <c r="E37" s="239">
        <f>E11-E35</f>
        <v>616231.52</v>
      </c>
      <c r="G37" s="239">
        <f>G11-G35</f>
        <v>618969.06520000007</v>
      </c>
      <c r="I37" s="239">
        <f>I11-I35</f>
        <v>621408.04628199968</v>
      </c>
      <c r="K37" s="239">
        <f>K11-K35</f>
        <v>623528.1540468696</v>
      </c>
      <c r="M37" s="239">
        <f>M11-M35</f>
        <v>625308.12198713538</v>
      </c>
      <c r="O37" s="239">
        <f>O11-O35</f>
        <v>626725.68661902542</v>
      </c>
      <c r="Q37" s="239">
        <f>Q11-Q35</f>
        <v>627757.54627209064</v>
      </c>
      <c r="S37" s="239">
        <f>S11-S35</f>
        <v>628379.31827854761</v>
      </c>
      <c r="U37" s="239">
        <f>U11-U35</f>
        <v>628565.49450240401</v>
      </c>
      <c r="W37" s="239">
        <f>W11-W35</f>
        <v>630289.39514619811</v>
      </c>
      <c r="Y37" s="239">
        <f>Y11-Y35</f>
        <v>632023.12077093078</v>
      </c>
      <c r="AA37" s="239">
        <f>AA11-AA35</f>
        <v>633737.50246239337</v>
      </c>
      <c r="AC37" s="239">
        <f>AC11-AC35</f>
        <v>635502.0500746707</v>
      </c>
      <c r="AE37" s="239">
        <f>AE11-AE35</f>
        <v>637284.89847902837</v>
      </c>
      <c r="AG37" s="239">
        <f>AG11-AG35</f>
        <v>639052.75174383377</v>
      </c>
    </row>
    <row r="38" spans="1:33" s="225" customFormat="1" ht="14.1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15">
      <c r="A40" s="241" t="str">
        <f>Application!C627</f>
        <v>GreyStone[GHI] - Tax Exempt</v>
      </c>
      <c r="B40" s="242"/>
      <c r="C40" s="236"/>
      <c r="E40" s="238">
        <f>Application!AF627</f>
        <v>529855.73590170057</v>
      </c>
      <c r="F40" s="238"/>
      <c r="G40" s="238">
        <f>$E$40</f>
        <v>529855.73590170057</v>
      </c>
      <c r="H40" s="238"/>
      <c r="I40" s="238">
        <f>$E$40</f>
        <v>529855.73590170057</v>
      </c>
      <c r="J40" s="238"/>
      <c r="K40" s="238">
        <f>$E$40</f>
        <v>529855.73590170057</v>
      </c>
      <c r="L40" s="238"/>
      <c r="M40" s="238">
        <f>$E$40</f>
        <v>529855.73590170057</v>
      </c>
      <c r="N40" s="238"/>
      <c r="O40" s="238">
        <f>$E$40</f>
        <v>529855.73590170057</v>
      </c>
      <c r="P40" s="238"/>
      <c r="Q40" s="238">
        <f>$E$40</f>
        <v>529855.73590170057</v>
      </c>
      <c r="R40" s="238"/>
      <c r="S40" s="238">
        <f>$E$40</f>
        <v>529855.73590170057</v>
      </c>
      <c r="T40" s="238"/>
      <c r="U40" s="238">
        <f>$E$40</f>
        <v>529855.73590170057</v>
      </c>
      <c r="V40" s="238"/>
      <c r="W40" s="238">
        <f>$E$40</f>
        <v>529855.73590170057</v>
      </c>
      <c r="X40" s="238"/>
      <c r="Y40" s="238">
        <f>$E$40</f>
        <v>529855.73590170057</v>
      </c>
      <c r="Z40" s="238"/>
      <c r="AA40" s="238">
        <f>$E$40</f>
        <v>529855.73590170057</v>
      </c>
      <c r="AB40" s="238"/>
      <c r="AC40" s="238">
        <f>$E$40</f>
        <v>529855.73590170057</v>
      </c>
      <c r="AD40" s="238"/>
      <c r="AE40" s="238">
        <f>$E$40</f>
        <v>529855.73590170057</v>
      </c>
      <c r="AF40" s="238"/>
      <c r="AG40" s="238">
        <f>$E$40</f>
        <v>529855.73590170057</v>
      </c>
    </row>
    <row r="41" spans="1:33" s="225" customFormat="1" ht="14.1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1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15">
      <c r="A43" s="239" t="s">
        <v>860</v>
      </c>
      <c r="C43" s="240"/>
      <c r="E43" s="239">
        <f>SUM(E40:E42)</f>
        <v>529855.73590170057</v>
      </c>
      <c r="G43" s="239">
        <f>SUM(G40:G42)</f>
        <v>529855.73590170057</v>
      </c>
      <c r="I43" s="239">
        <f>SUM(I40:I42)</f>
        <v>529855.73590170057</v>
      </c>
      <c r="K43" s="239">
        <f>SUM(K40:K42)</f>
        <v>529855.73590170057</v>
      </c>
      <c r="M43" s="239">
        <f>SUM(M40:M42)</f>
        <v>529855.73590170057</v>
      </c>
      <c r="O43" s="239">
        <f>SUM(O40:O42)</f>
        <v>529855.73590170057</v>
      </c>
      <c r="Q43" s="239">
        <f>SUM(Q40:Q42)</f>
        <v>529855.73590170057</v>
      </c>
      <c r="S43" s="239">
        <f>SUM(S40:S42)</f>
        <v>529855.73590170057</v>
      </c>
      <c r="U43" s="239">
        <f>SUM(U40:U42)</f>
        <v>529855.73590170057</v>
      </c>
      <c r="W43" s="239">
        <f>SUM(W40:W42)</f>
        <v>529855.73590170057</v>
      </c>
      <c r="Y43" s="239">
        <f>SUM(Y40:Y42)</f>
        <v>529855.73590170057</v>
      </c>
      <c r="AA43" s="239">
        <f>SUM(AA40:AA42)</f>
        <v>529855.73590170057</v>
      </c>
      <c r="AC43" s="239">
        <f>SUM(AC40:AC42)</f>
        <v>529855.73590170057</v>
      </c>
      <c r="AE43" s="239">
        <f>SUM(AE40:AE42)</f>
        <v>529855.73590170057</v>
      </c>
      <c r="AG43" s="239">
        <f>SUM(AG40:AG42)</f>
        <v>529855.73590170057</v>
      </c>
    </row>
    <row r="44" spans="1:33" s="225" customFormat="1" ht="14.1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15">
      <c r="A45" s="239" t="s">
        <v>861</v>
      </c>
      <c r="C45" s="240"/>
      <c r="E45" s="239">
        <f>E37-E43</f>
        <v>86375.784098299453</v>
      </c>
      <c r="G45" s="239">
        <f>G37-G43</f>
        <v>89113.329298299504</v>
      </c>
      <c r="I45" s="239">
        <f>I37-I43</f>
        <v>91552.31038029911</v>
      </c>
      <c r="K45" s="239">
        <f>K37-K43</f>
        <v>93672.418145169038</v>
      </c>
      <c r="M45" s="239">
        <f>M37-M43</f>
        <v>95452.386085434817</v>
      </c>
      <c r="O45" s="239">
        <f>O37-O43</f>
        <v>96869.950717324857</v>
      </c>
      <c r="Q45" s="239">
        <f>Q37-Q43</f>
        <v>97901.810370390071</v>
      </c>
      <c r="S45" s="239">
        <f>S37-S43</f>
        <v>98523.582376847044</v>
      </c>
      <c r="U45" s="239">
        <f>U37-U43</f>
        <v>98709.758600703441</v>
      </c>
      <c r="W45" s="239">
        <f>W37-W43</f>
        <v>100433.65924449754</v>
      </c>
      <c r="Y45" s="239">
        <f>Y37-Y43</f>
        <v>102167.38486923021</v>
      </c>
      <c r="AA45" s="239">
        <f>AA37-AA43</f>
        <v>103881.76656069281</v>
      </c>
      <c r="AC45" s="239">
        <f>AC37-AC43</f>
        <v>105646.31417297013</v>
      </c>
      <c r="AE45" s="239">
        <f>AE37-AE43</f>
        <v>107429.16257732781</v>
      </c>
      <c r="AG45" s="239">
        <f>AG37-AG43</f>
        <v>109197.0158421332</v>
      </c>
    </row>
    <row r="46" spans="1:33" s="225" customFormat="1" ht="14.1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15">
      <c r="A47" s="243" t="s">
        <v>863</v>
      </c>
      <c r="C47" s="236"/>
      <c r="E47" s="243">
        <f>E45/(E4+E6+E8)</f>
        <v>4.9278969836865673E-2</v>
      </c>
      <c r="G47" s="243">
        <f>G45/(G4+G6+G8)</f>
        <v>4.9600770349109091E-2</v>
      </c>
      <c r="I47" s="243">
        <f>I45/(I4+I6+I8)</f>
        <v>4.9715429454650038E-2</v>
      </c>
      <c r="K47" s="243">
        <f>K45/(K4+K6+K8)</f>
        <v>4.9626055064738071E-2</v>
      </c>
      <c r="M47" s="243">
        <f>M45/(M4+M6+M8)</f>
        <v>4.933566031895105E-2</v>
      </c>
      <c r="O47" s="243">
        <f>O45/(O4+O6+O8)</f>
        <v>4.8847165711636185E-2</v>
      </c>
      <c r="Q47" s="243">
        <f>Q45/(Q4+Q6+Q8)</f>
        <v>4.8163401164682977E-2</v>
      </c>
      <c r="S47" s="243">
        <f>S45/(S4+S6+S8)</f>
        <v>4.7287108047913765E-2</v>
      </c>
      <c r="U47" s="243">
        <f>U45/(U4+U6+U8)</f>
        <v>4.6220941148359583E-2</v>
      </c>
      <c r="W47" s="243">
        <f>W45/(W4+W6+W8)</f>
        <v>4.5881131037396057E-2</v>
      </c>
      <c r="Y47" s="243">
        <f>Y45/(Y4+Y6+Y8)</f>
        <v>4.5534779807495651E-2</v>
      </c>
      <c r="AA47" s="243">
        <f>AA45/(AA4+AA6+AA8)</f>
        <v>4.5169618726570958E-2</v>
      </c>
      <c r="AC47" s="243">
        <f>AC45/(AC4+AC6+AC8)</f>
        <v>4.4816463468944155E-2</v>
      </c>
      <c r="AE47" s="243">
        <f>AE45/(AE4+AE6+AE8)</f>
        <v>4.446123868264773E-2</v>
      </c>
      <c r="AG47" s="243">
        <f>AG45/(AG4+AG6+AG8)</f>
        <v>4.4090626729987904E-2</v>
      </c>
    </row>
    <row r="48" spans="1:33" s="243" customFormat="1" ht="14.15">
      <c r="A48" s="243" t="s">
        <v>864</v>
      </c>
      <c r="C48" s="236"/>
      <c r="E48" s="243">
        <f>E45/E43</f>
        <v>0.16301755033623716</v>
      </c>
      <c r="G48" s="243">
        <f>G45/G43</f>
        <v>0.16818413628503573</v>
      </c>
      <c r="I48" s="243">
        <f>I45/I43</f>
        <v>0.17278724033155318</v>
      </c>
      <c r="K48" s="243">
        <f>K45/K43</f>
        <v>0.17678853279894899</v>
      </c>
      <c r="M48" s="243">
        <f>M45/M43</f>
        <v>0.18014787727643519</v>
      </c>
      <c r="O48" s="243">
        <f>O45/O43</f>
        <v>0.18282325575370628</v>
      </c>
      <c r="Q48" s="243">
        <f>Q45/Q43</f>
        <v>0.18477069084433376</v>
      </c>
      <c r="S48" s="243">
        <f>S45/S43</f>
        <v>0.18594416498894947</v>
      </c>
      <c r="U48" s="243">
        <f>U45/U43</f>
        <v>0.18629553652508951</v>
      </c>
      <c r="W48" s="243">
        <f>W45/W43</f>
        <v>0.18954906484796477</v>
      </c>
      <c r="Y48" s="243">
        <f>Y45/Y43</f>
        <v>0.19282113591799338</v>
      </c>
      <c r="AA48" s="243">
        <f>AA45/AA43</f>
        <v>0.19605669906339387</v>
      </c>
      <c r="AC48" s="243">
        <f>AC45/AC43</f>
        <v>0.19938694066071175</v>
      </c>
      <c r="AE48" s="243">
        <f>AE45/AE43</f>
        <v>0.20275172145585338</v>
      </c>
      <c r="AG48" s="243">
        <f>AG45/AG43</f>
        <v>0.20608820183158602</v>
      </c>
    </row>
    <row r="49" spans="1:35" s="244" customFormat="1" ht="14.15">
      <c r="A49" s="244" t="s">
        <v>862</v>
      </c>
      <c r="C49" s="245"/>
      <c r="E49" s="244">
        <f>E37/E43</f>
        <v>1.1630175503362372</v>
      </c>
      <c r="G49" s="244">
        <f>G37/G43</f>
        <v>1.1681841362850358</v>
      </c>
      <c r="I49" s="244">
        <f>I37/I43</f>
        <v>1.1727872403315531</v>
      </c>
      <c r="K49" s="244">
        <f>K37/K43</f>
        <v>1.1767885327989489</v>
      </c>
      <c r="M49" s="244">
        <f>M37/M43</f>
        <v>1.1801478772764351</v>
      </c>
      <c r="O49" s="244">
        <f>O37/O43</f>
        <v>1.1828232557537064</v>
      </c>
      <c r="Q49" s="244">
        <f>Q37/Q43</f>
        <v>1.1847706908443338</v>
      </c>
      <c r="S49" s="244">
        <f>S37/S43</f>
        <v>1.1859441649889495</v>
      </c>
      <c r="U49" s="244">
        <f>U37/U43</f>
        <v>1.1862955365250896</v>
      </c>
      <c r="W49" s="244">
        <f>W37/W43</f>
        <v>1.1895490648479647</v>
      </c>
      <c r="Y49" s="244">
        <f>Y37/Y43</f>
        <v>1.1928211359179934</v>
      </c>
      <c r="AA49" s="244">
        <f>AA37/AA43</f>
        <v>1.1960566990633938</v>
      </c>
      <c r="AC49" s="244">
        <f>AC37/AC43</f>
        <v>1.1993869406607118</v>
      </c>
      <c r="AE49" s="244">
        <f>AE37/AE43</f>
        <v>1.2027517214558534</v>
      </c>
      <c r="AG49" s="244">
        <f>AG37/AG43</f>
        <v>1.2060882018315859</v>
      </c>
    </row>
    <row r="50" spans="1:35" s="225" customFormat="1" ht="14.1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9" t="s">
        <v>1291</v>
      </c>
      <c r="B52" s="2679"/>
      <c r="C52" s="2679"/>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867</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86375.784098299453</v>
      </c>
      <c r="G60" s="997">
        <f>G45-G58</f>
        <v>89113.329298299504</v>
      </c>
      <c r="I60" s="997">
        <f>I45-I58</f>
        <v>91552.31038029911</v>
      </c>
      <c r="K60" s="997">
        <f>K45-K58</f>
        <v>93672.418145169038</v>
      </c>
      <c r="M60" s="997">
        <f>M45-M58</f>
        <v>95452.386085434817</v>
      </c>
      <c r="O60" s="997">
        <f>O45-O58</f>
        <v>96869.950717324857</v>
      </c>
      <c r="Q60" s="997">
        <f>Q45-Q58</f>
        <v>97901.810370390071</v>
      </c>
      <c r="S60" s="997">
        <f>S45-S58</f>
        <v>98523.582376847044</v>
      </c>
      <c r="U60" s="997">
        <f>U45-U58</f>
        <v>98709.758600703441</v>
      </c>
      <c r="W60" s="997">
        <f>W45-W58</f>
        <v>100433.65924449754</v>
      </c>
      <c r="Y60" s="997">
        <f>Y45-Y58</f>
        <v>102167.38486923021</v>
      </c>
      <c r="AA60" s="997">
        <f>AA45-AA58</f>
        <v>103881.76656069281</v>
      </c>
      <c r="AC60" s="997">
        <f>AC45-AC58</f>
        <v>105646.31417297013</v>
      </c>
      <c r="AE60" s="997">
        <f>AE45-AE58</f>
        <v>107429.16257732781</v>
      </c>
      <c r="AG60" s="997">
        <f>AG45-AG58</f>
        <v>109197.0158421332</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0.5</v>
      </c>
      <c r="E62" s="999">
        <f>E60*$C$62</f>
        <v>43187.892049149727</v>
      </c>
      <c r="G62" s="997">
        <f>G60*$C$62</f>
        <v>44556.664649149752</v>
      </c>
      <c r="I62" s="997">
        <f>I60*$C$62</f>
        <v>45776.155190149555</v>
      </c>
      <c r="K62" s="997">
        <f>K60*$C$62</f>
        <v>46836.209072584519</v>
      </c>
      <c r="M62" s="997">
        <f>M60*$C$62</f>
        <v>47726.193042717408</v>
      </c>
      <c r="O62" s="997">
        <f>O60*$C$62</f>
        <v>48434.975358662428</v>
      </c>
      <c r="Q62" s="997">
        <f>Q60*$C$62</f>
        <v>48950.905185195035</v>
      </c>
      <c r="S62" s="997">
        <f>S60*$C$62</f>
        <v>49261.791188423522</v>
      </c>
      <c r="U62" s="997">
        <f>U60*$C$62</f>
        <v>49354.87930035172</v>
      </c>
      <c r="W62" s="997">
        <f>W60*$C$62</f>
        <v>50216.82962224877</v>
      </c>
      <c r="Y62" s="997">
        <f>Y60*$C$62</f>
        <v>51083.692434615106</v>
      </c>
      <c r="AA62" s="997">
        <f>AA60*$C$62</f>
        <v>51940.883280346403</v>
      </c>
      <c r="AC62" s="997">
        <f>AC60*$C$62</f>
        <v>52823.157086485066</v>
      </c>
      <c r="AE62" s="997">
        <f>AE60*$C$62</f>
        <v>53714.581288663903</v>
      </c>
      <c r="AG62" s="997">
        <f>AG60*$C$62</f>
        <v>54598.507921066601</v>
      </c>
    </row>
    <row r="63" spans="1:35" s="997" customFormat="1">
      <c r="A63" s="2679" t="s">
        <v>2720</v>
      </c>
      <c r="B63" s="2679"/>
      <c r="C63" s="2679"/>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tr">
        <f>Application!C628</f>
        <v>GreyStone[GHII] - B-Bond</v>
      </c>
      <c r="B66" s="999"/>
      <c r="C66" s="998"/>
      <c r="E66" s="999">
        <f>$E60*$C$65</f>
        <v>43187.892049149727</v>
      </c>
      <c r="G66" s="995">
        <f>G60*$C$65</f>
        <v>44556.664649149752</v>
      </c>
      <c r="I66" s="995">
        <f>I60*$C$65</f>
        <v>45776.155190149555</v>
      </c>
      <c r="K66" s="995">
        <f>K60*$C$65</f>
        <v>46836.209072584519</v>
      </c>
      <c r="M66" s="995">
        <f>M60*$C$65</f>
        <v>47726.193042717408</v>
      </c>
      <c r="O66" s="995">
        <f>O60*$C$65</f>
        <v>48434.975358662428</v>
      </c>
      <c r="Q66" s="995">
        <f>Q60*$C$65</f>
        <v>48950.905185195035</v>
      </c>
      <c r="S66" s="995">
        <f>S60*$C$65</f>
        <v>49261.791188423522</v>
      </c>
      <c r="U66" s="995">
        <f>U60*$C$65</f>
        <v>49354.87930035172</v>
      </c>
      <c r="W66" s="995">
        <f>W60*$C$65</f>
        <v>50216.82962224877</v>
      </c>
      <c r="Y66" s="995">
        <f>Y60*$C$65</f>
        <v>51083.692434615106</v>
      </c>
      <c r="AA66" s="995">
        <f>AA60*$C$65</f>
        <v>51940.883280346403</v>
      </c>
      <c r="AC66" s="995">
        <f>AC60*$C$65</f>
        <v>52823.157086485066</v>
      </c>
      <c r="AE66" s="995">
        <f>AE60*$C$65</f>
        <v>53714.581288663903</v>
      </c>
      <c r="AG66" s="995">
        <f>AG60*$C$65</f>
        <v>54598.507921066601</v>
      </c>
    </row>
    <row r="67" spans="1:35" s="995" customFormat="1">
      <c r="A67" s="1000"/>
      <c r="B67" s="1000"/>
      <c r="C67" s="1005"/>
      <c r="E67" s="999"/>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43187.892049149727</v>
      </c>
      <c r="G70" s="995">
        <f>SUM(G66:G69)</f>
        <v>44556.664649149752</v>
      </c>
      <c r="I70" s="995">
        <f>SUM(I66:I69)</f>
        <v>45776.155190149555</v>
      </c>
      <c r="K70" s="995">
        <f>SUM(K66:K69)</f>
        <v>46836.209072584519</v>
      </c>
      <c r="M70" s="995">
        <f>SUM(M66:M69)</f>
        <v>47726.193042717408</v>
      </c>
      <c r="O70" s="995">
        <f>SUM(O66:O69)</f>
        <v>48434.975358662428</v>
      </c>
      <c r="Q70" s="995">
        <f>SUM(Q66:Q69)</f>
        <v>48950.905185195035</v>
      </c>
      <c r="S70" s="995">
        <f>SUM(S66:S69)</f>
        <v>49261.791188423522</v>
      </c>
      <c r="U70" s="995">
        <f>SUM(U66:U69)</f>
        <v>49354.87930035172</v>
      </c>
      <c r="W70" s="995">
        <f>SUM(W66:W69)</f>
        <v>50216.82962224877</v>
      </c>
      <c r="Y70" s="995">
        <f>SUM(Y66:Y69)</f>
        <v>51083.692434615106</v>
      </c>
      <c r="AA70" s="995">
        <f>SUM(AA66:AA69)</f>
        <v>51940.883280346403</v>
      </c>
      <c r="AC70" s="995">
        <f>SUM(AC66:AC69)</f>
        <v>52823.157086485066</v>
      </c>
      <c r="AE70" s="995">
        <f>SUM(AE66:AE69)</f>
        <v>53714.581288663903</v>
      </c>
      <c r="AG70" s="995">
        <f>SUM(AG66:AG69)</f>
        <v>54598.507921066601</v>
      </c>
    </row>
    <row r="71" spans="1:35" s="995" customFormat="1">
      <c r="A71" s="997"/>
      <c r="C71" s="1005"/>
    </row>
    <row r="72" spans="1:35" s="995" customFormat="1">
      <c r="A72" s="997" t="s">
        <v>1914</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1913</v>
      </c>
      <c r="C75" s="192"/>
    </row>
    <row r="76" spans="1:35" s="233" customFormat="1">
      <c r="C76" s="192"/>
    </row>
    <row r="77" spans="1:35" s="250" customFormat="1" ht="30" customHeight="1">
      <c r="A77" s="2677" t="s">
        <v>1912</v>
      </c>
      <c r="B77" s="2678"/>
      <c r="C77" s="2678"/>
      <c r="D77" s="2678"/>
      <c r="E77" s="2678"/>
      <c r="F77" s="2678"/>
      <c r="G77" s="2678"/>
      <c r="H77" s="2678"/>
      <c r="I77" s="2678"/>
      <c r="J77" s="2678"/>
      <c r="K77" s="2678"/>
      <c r="L77" s="2678"/>
      <c r="M77" s="2678"/>
      <c r="N77" s="2678"/>
      <c r="O77" s="2678"/>
      <c r="P77" s="2678"/>
      <c r="Q77" s="2678"/>
      <c r="R77" s="2678"/>
      <c r="S77" s="2678"/>
      <c r="T77" s="2678"/>
      <c r="U77" s="2678"/>
      <c r="V77" s="2678"/>
      <c r="W77" s="2678"/>
      <c r="X77" s="2678"/>
      <c r="Y77" s="2678"/>
      <c r="Z77" s="2678"/>
      <c r="AA77" s="2678"/>
      <c r="AB77" s="2678"/>
      <c r="AC77" s="2678"/>
      <c r="AD77" s="2678"/>
      <c r="AE77" s="2678"/>
      <c r="AF77" s="2678"/>
      <c r="AG77" s="2678"/>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45" zeroHeight="1"/>
  <cols>
    <col min="1" max="1" width="161.69140625" customWidth="1"/>
    <col min="2" max="16384" width="8.84375" hidden="1"/>
  </cols>
  <sheetData>
    <row r="1" spans="1:1" ht="46.3">
      <c r="A1" s="337" t="s">
        <v>991</v>
      </c>
    </row>
    <row r="2" spans="1:1" ht="15.45">
      <c r="A2" s="338"/>
    </row>
    <row r="3" spans="1:1" ht="15.45">
      <c r="A3" s="339" t="s">
        <v>986</v>
      </c>
    </row>
    <row r="4" spans="1:1" ht="15.45">
      <c r="A4" s="339" t="s">
        <v>987</v>
      </c>
    </row>
    <row r="5" spans="1:1" ht="15.45">
      <c r="A5" s="339" t="s">
        <v>988</v>
      </c>
    </row>
    <row r="6" spans="1:1" ht="15.45">
      <c r="A6" s="339" t="s">
        <v>990</v>
      </c>
    </row>
    <row r="7" spans="1:1" ht="15.45">
      <c r="A7" s="339" t="s">
        <v>989</v>
      </c>
    </row>
    <row r="8" spans="1:1" ht="15.45">
      <c r="A8" s="374" t="s">
        <v>1049</v>
      </c>
    </row>
    <row r="9" spans="1:1" ht="15.4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5234375" defaultRowHeight="12.45" zeroHeight="1"/>
  <cols>
    <col min="1" max="1" width="35.69140625" style="218" customWidth="1"/>
    <col min="2" max="4" width="14.69140625" style="218" customWidth="1"/>
    <col min="5" max="5" width="50.69140625" style="218" customWidth="1"/>
    <col min="6" max="253" width="9.15234375" style="218" customWidth="1"/>
    <col min="254" max="16384" width="9.15234375" style="218"/>
  </cols>
  <sheetData>
    <row r="1" spans="1:7" s="296" customFormat="1" ht="18" customHeight="1">
      <c r="A1" s="547" t="s">
        <v>1324</v>
      </c>
      <c r="D1" s="301"/>
    </row>
    <row r="2" spans="1:7" s="296" customFormat="1" ht="12.9">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ht="12.9">
      <c r="A4" s="284" t="s">
        <v>26</v>
      </c>
      <c r="B4" s="284"/>
      <c r="C4" s="284"/>
      <c r="D4" s="284"/>
      <c r="E4" s="303"/>
      <c r="F4" s="284"/>
      <c r="G4" s="383"/>
    </row>
    <row r="5" spans="1:7" s="380" customFormat="1">
      <c r="A5" s="395" t="s">
        <v>27</v>
      </c>
      <c r="B5" s="286">
        <f>'Sources and Uses Budget'!$C4</f>
        <v>3248711</v>
      </c>
      <c r="C5" s="286">
        <f>'Sources and Uses Budget'!$C4</f>
        <v>3248711</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3248711</v>
      </c>
      <c r="C9" s="290">
        <f>SUM(C5:C8)</f>
        <v>3248711</v>
      </c>
      <c r="D9" s="290">
        <f t="shared" si="0"/>
        <v>0</v>
      </c>
      <c r="E9" s="288"/>
      <c r="F9" s="287"/>
      <c r="G9" s="383"/>
    </row>
    <row r="10" spans="1:7" s="380" customFormat="1">
      <c r="A10" s="395" t="s">
        <v>603</v>
      </c>
      <c r="B10" s="286">
        <f>'Sources and Uses Budget'!$C9</f>
        <v>20069444</v>
      </c>
      <c r="C10" s="286">
        <f>'Sources and Uses Budget'!$C9</f>
        <v>20069444</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20069444</v>
      </c>
      <c r="C12" s="290">
        <f>SUM(C10:C11)</f>
        <v>20069444</v>
      </c>
      <c r="D12" s="290">
        <f t="shared" si="0"/>
        <v>0</v>
      </c>
      <c r="E12" s="288"/>
      <c r="F12" s="287"/>
      <c r="G12" s="383"/>
    </row>
    <row r="13" spans="1:7" s="380" customFormat="1">
      <c r="A13" s="396" t="s">
        <v>84</v>
      </c>
      <c r="B13" s="290">
        <f>SUM(B9+B12)</f>
        <v>23318155</v>
      </c>
      <c r="C13" s="290">
        <f>SUM(C9+C12)</f>
        <v>23318155</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3.15">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ht="12.9">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1754</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ht="12.9">
      <c r="A29" s="284" t="s">
        <v>142</v>
      </c>
      <c r="B29" s="284"/>
      <c r="C29" s="284"/>
      <c r="D29" s="284"/>
      <c r="E29" s="303"/>
      <c r="F29" s="284"/>
      <c r="G29" s="383"/>
    </row>
    <row r="30" spans="1:7" s="380" customFormat="1">
      <c r="A30" s="145" t="s">
        <v>607</v>
      </c>
      <c r="B30" s="286">
        <f>'Sources and Uses Budget'!$C29</f>
        <v>718862</v>
      </c>
      <c r="C30" s="286">
        <f>'Sources and Uses Budget'!$C29</f>
        <v>718862</v>
      </c>
      <c r="D30" s="290">
        <f t="shared" si="0"/>
        <v>0</v>
      </c>
      <c r="E30" s="288"/>
      <c r="F30" s="287"/>
      <c r="G30" s="383"/>
    </row>
    <row r="31" spans="1:7" s="380" customFormat="1">
      <c r="A31" s="145" t="s">
        <v>608</v>
      </c>
      <c r="B31" s="286">
        <f>'Sources and Uses Budget'!$C30</f>
        <v>17967614</v>
      </c>
      <c r="C31" s="286">
        <f>'Sources and Uses Budget'!$C30</f>
        <v>17967614</v>
      </c>
      <c r="D31" s="290">
        <f t="shared" si="0"/>
        <v>0</v>
      </c>
      <c r="E31" s="288"/>
      <c r="F31" s="287"/>
      <c r="G31" s="383"/>
    </row>
    <row r="32" spans="1:7" s="380" customFormat="1">
      <c r="A32" s="145" t="s">
        <v>609</v>
      </c>
      <c r="B32" s="286">
        <f>'Sources and Uses Budget'!$C31</f>
        <v>673021</v>
      </c>
      <c r="C32" s="286">
        <f>'Sources and Uses Budget'!$C31</f>
        <v>673021</v>
      </c>
      <c r="D32" s="290">
        <f t="shared" si="0"/>
        <v>0</v>
      </c>
      <c r="E32" s="288"/>
      <c r="F32" s="287"/>
      <c r="G32" s="383"/>
    </row>
    <row r="33" spans="1:7" s="380" customFormat="1">
      <c r="A33" s="145" t="s">
        <v>137</v>
      </c>
      <c r="B33" s="286">
        <f>'Sources and Uses Budget'!$C32</f>
        <v>876966</v>
      </c>
      <c r="C33" s="286">
        <f>'Sources and Uses Budget'!$C32</f>
        <v>876966</v>
      </c>
      <c r="D33" s="290">
        <f t="shared" si="0"/>
        <v>0</v>
      </c>
      <c r="E33" s="288"/>
      <c r="F33" s="287"/>
      <c r="G33" s="383"/>
    </row>
    <row r="34" spans="1:7" s="380" customFormat="1">
      <c r="A34" s="145" t="s">
        <v>138</v>
      </c>
      <c r="B34" s="286">
        <f>'Sources and Uses Budget'!$C33</f>
        <v>876966</v>
      </c>
      <c r="C34" s="286">
        <f>'Sources and Uses Budget'!$C33</f>
        <v>876966</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328452</v>
      </c>
      <c r="C36" s="286">
        <f>'Sources and Uses Budget'!$C35</f>
        <v>328452</v>
      </c>
      <c r="D36" s="290">
        <f t="shared" si="0"/>
        <v>0</v>
      </c>
      <c r="E36" s="288"/>
      <c r="F36" s="287"/>
      <c r="G36" s="383"/>
    </row>
    <row r="37" spans="1:7" s="380" customFormat="1">
      <c r="A37" s="304" t="s">
        <v>1754</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21441881</v>
      </c>
      <c r="C39" s="290">
        <f>SUM(C30:C38)</f>
        <v>21441881</v>
      </c>
      <c r="D39" s="290">
        <f t="shared" si="0"/>
        <v>0</v>
      </c>
      <c r="E39" s="288"/>
      <c r="F39" s="287"/>
      <c r="G39" s="383"/>
    </row>
    <row r="40" spans="1:7" s="380" customFormat="1" ht="12.9">
      <c r="A40" s="284" t="s">
        <v>144</v>
      </c>
      <c r="B40" s="284"/>
      <c r="C40" s="284"/>
      <c r="D40" s="284"/>
      <c r="E40" s="303"/>
      <c r="F40" s="284"/>
      <c r="G40" s="383"/>
    </row>
    <row r="41" spans="1:7" s="380" customFormat="1">
      <c r="A41" s="289" t="s">
        <v>145</v>
      </c>
      <c r="B41" s="286">
        <f>'Sources and Uses Budget'!$C40</f>
        <v>354000</v>
      </c>
      <c r="C41" s="286">
        <f>'Sources and Uses Budget'!$C40</f>
        <v>354000</v>
      </c>
      <c r="D41" s="290">
        <f t="shared" si="0"/>
        <v>0</v>
      </c>
      <c r="E41" s="288"/>
      <c r="F41" s="287"/>
      <c r="G41" s="383"/>
    </row>
    <row r="42" spans="1:7" s="380" customFormat="1">
      <c r="A42" s="289" t="s">
        <v>146</v>
      </c>
      <c r="B42" s="286">
        <f>'Sources and Uses Budget'!$C41</f>
        <v>188000</v>
      </c>
      <c r="C42" s="286">
        <f>'Sources and Uses Budget'!$C41</f>
        <v>188000</v>
      </c>
      <c r="D42" s="290">
        <f t="shared" si="0"/>
        <v>0</v>
      </c>
      <c r="E42" s="288"/>
      <c r="F42" s="287"/>
      <c r="G42" s="383"/>
    </row>
    <row r="43" spans="1:7" s="380" customFormat="1">
      <c r="A43" s="291" t="s">
        <v>147</v>
      </c>
      <c r="B43" s="290">
        <f>SUM(B41:B42)</f>
        <v>542000</v>
      </c>
      <c r="C43" s="290">
        <f>SUM(C41:C42)</f>
        <v>542000</v>
      </c>
      <c r="D43" s="290">
        <f t="shared" si="0"/>
        <v>0</v>
      </c>
      <c r="E43" s="288"/>
      <c r="F43" s="287"/>
      <c r="G43" s="383"/>
    </row>
    <row r="44" spans="1:7" s="380" customFormat="1">
      <c r="A44" s="291" t="s">
        <v>148</v>
      </c>
      <c r="B44" s="286">
        <f>'Sources and Uses Budget'!$C43</f>
        <v>0</v>
      </c>
      <c r="C44" s="286">
        <f>'Sources and Uses Budget'!$C43</f>
        <v>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3335000</v>
      </c>
      <c r="C46" s="286">
        <f>'Sources and Uses Budget'!$C45</f>
        <v>3335000</v>
      </c>
      <c r="D46" s="290">
        <f t="shared" si="0"/>
        <v>0</v>
      </c>
      <c r="E46" s="288"/>
      <c r="F46" s="287"/>
      <c r="G46" s="383"/>
    </row>
    <row r="47" spans="1:7" s="380" customFormat="1">
      <c r="A47" s="145" t="s">
        <v>151</v>
      </c>
      <c r="B47" s="286">
        <f>'Sources and Uses Budget'!$C46</f>
        <v>234750</v>
      </c>
      <c r="C47" s="286">
        <f>'Sources and Uses Budget'!$C46</f>
        <v>234750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0</v>
      </c>
      <c r="C50" s="286">
        <f>'Sources and Uses Budget'!$C49</f>
        <v>0</v>
      </c>
      <c r="D50" s="290">
        <f t="shared" si="0"/>
        <v>0</v>
      </c>
      <c r="E50" s="288"/>
      <c r="F50" s="287"/>
      <c r="G50" s="383"/>
    </row>
    <row r="51" spans="1:7" s="380" customFormat="1">
      <c r="A51" s="145" t="s">
        <v>156</v>
      </c>
      <c r="B51" s="286">
        <f>'Sources and Uses Budget'!$C50</f>
        <v>75000</v>
      </c>
      <c r="C51" s="286">
        <f>'Sources and Uses Budget'!$C50</f>
        <v>75000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350000</v>
      </c>
      <c r="C53" s="286">
        <f>'Sources and Uses Budget'!$C52</f>
        <v>350000</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c r="A55" s="291" t="s">
        <v>157</v>
      </c>
      <c r="B55" s="293">
        <f>SUM(B46:B54)</f>
        <v>3994750</v>
      </c>
      <c r="C55" s="293">
        <f>SUM(C46:C54)</f>
        <v>3994750</v>
      </c>
      <c r="D55" s="290">
        <f t="shared" si="0"/>
        <v>0</v>
      </c>
      <c r="E55" s="288"/>
      <c r="F55" s="287"/>
      <c r="G55" s="384"/>
    </row>
    <row r="56" spans="1:7" s="380" customFormat="1" ht="12.9">
      <c r="A56" s="284" t="s">
        <v>419</v>
      </c>
      <c r="B56" s="284"/>
      <c r="C56" s="284"/>
      <c r="D56" s="284"/>
      <c r="E56" s="303"/>
      <c r="F56" s="284"/>
      <c r="G56" s="383"/>
    </row>
    <row r="57" spans="1:7" s="380" customFormat="1">
      <c r="A57" s="289" t="s">
        <v>158</v>
      </c>
      <c r="B57" s="286">
        <f>'Sources and Uses Budget'!$C56</f>
        <v>85000</v>
      </c>
      <c r="C57" s="286">
        <f>'Sources and Uses Budget'!$C56</f>
        <v>85000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Legal for Perm Loan</v>
      </c>
      <c r="B62" s="286">
        <f>'Sources and Uses Budget'!$C61</f>
        <v>22000</v>
      </c>
      <c r="C62" s="286">
        <f>'Sources and Uses Budget'!$C61</f>
        <v>22000</v>
      </c>
      <c r="D62" s="290">
        <f t="shared" si="0"/>
        <v>0</v>
      </c>
      <c r="E62" s="288"/>
      <c r="F62" s="287"/>
      <c r="G62" s="383"/>
    </row>
    <row r="63" spans="1:7" s="380" customFormat="1" ht="13.75" customHeight="1">
      <c r="A63" s="291" t="s">
        <v>302</v>
      </c>
      <c r="B63" s="290">
        <f>SUM(B57:B62)</f>
        <v>117000</v>
      </c>
      <c r="C63" s="290">
        <f>SUM(C57:C62)</f>
        <v>117000</v>
      </c>
      <c r="D63" s="290">
        <f t="shared" si="0"/>
        <v>0</v>
      </c>
      <c r="E63" s="288"/>
      <c r="F63" s="287"/>
      <c r="G63" s="383"/>
    </row>
    <row r="64" spans="1:7" s="380" customFormat="1">
      <c r="A64" s="294" t="s">
        <v>303</v>
      </c>
      <c r="B64" s="290">
        <f>SUM(B9+B12+B14+B15+B17+B26+B28+B39+B43+B44+B55+B63)</f>
        <v>49413786</v>
      </c>
      <c r="C64" s="290">
        <f>SUM(C9+C12+C14+C15+C17+C26+C28+C39+C43+C44+C55+C63)</f>
        <v>49413786</v>
      </c>
      <c r="D64" s="290">
        <f t="shared" si="0"/>
        <v>0</v>
      </c>
      <c r="E64" s="288"/>
      <c r="F64" s="287"/>
      <c r="G64" s="383"/>
    </row>
    <row r="65" spans="1:7" s="380" customFormat="1" ht="23.15">
      <c r="A65" s="141" t="s">
        <v>1758</v>
      </c>
      <c r="B65" s="284"/>
      <c r="C65" s="284"/>
      <c r="D65" s="284"/>
      <c r="E65" s="303"/>
      <c r="F65" s="284"/>
      <c r="G65" s="383"/>
    </row>
    <row r="66" spans="1:7" s="380" customFormat="1">
      <c r="A66" s="145" t="s">
        <v>171</v>
      </c>
      <c r="B66" s="286">
        <f>'Sources and Uses Budget'!$C65</f>
        <v>0</v>
      </c>
      <c r="C66" s="286">
        <f>'Sources and Uses Budget'!$C65</f>
        <v>0</v>
      </c>
      <c r="D66" s="290">
        <f t="shared" si="0"/>
        <v>0</v>
      </c>
      <c r="E66" s="288"/>
      <c r="F66" s="287"/>
      <c r="G66" s="383"/>
    </row>
    <row r="67" spans="1:7" s="380" customFormat="1" ht="23.15">
      <c r="A67" s="304" t="s">
        <v>1755</v>
      </c>
      <c r="B67" s="286">
        <f>'Sources and Uses Budget'!$C66</f>
        <v>0</v>
      </c>
      <c r="C67" s="286">
        <f>'Sources and Uses Budget'!$C66</f>
        <v>0</v>
      </c>
      <c r="D67" s="290"/>
      <c r="E67" s="288"/>
      <c r="F67" s="287"/>
      <c r="G67" s="383"/>
    </row>
    <row r="68" spans="1:7" s="380" customFormat="1">
      <c r="A68" s="304" t="s">
        <v>1756</v>
      </c>
      <c r="B68" s="286">
        <f>'Sources and Uses Budget'!$C67</f>
        <v>0</v>
      </c>
      <c r="C68" s="286">
        <f>'Sources and Uses Budget'!$C67</f>
        <v>0</v>
      </c>
      <c r="D68" s="290"/>
      <c r="E68" s="288"/>
      <c r="F68" s="287"/>
      <c r="G68" s="383"/>
    </row>
    <row r="69" spans="1:7" s="380" customFormat="1">
      <c r="A69" s="304" t="s">
        <v>1762</v>
      </c>
      <c r="B69" s="286">
        <f>'Sources and Uses Budget'!$C68</f>
        <v>0</v>
      </c>
      <c r="C69" s="286">
        <f>'Sources and Uses Budget'!$C68</f>
        <v>0</v>
      </c>
      <c r="D69" s="290"/>
      <c r="E69" s="288"/>
      <c r="F69" s="287"/>
      <c r="G69" s="383"/>
    </row>
    <row r="70" spans="1:7" s="380" customFormat="1">
      <c r="A70" s="155" t="str">
        <f>'Sources and Uses Budget'!A69</f>
        <v>Other: Owner Legal</v>
      </c>
      <c r="B70" s="286">
        <f>'Sources and Uses Budget'!$C69</f>
        <v>60000</v>
      </c>
      <c r="C70" s="286">
        <f>'Sources and Uses Budget'!$C69</f>
        <v>60000</v>
      </c>
      <c r="D70" s="290">
        <f t="shared" si="0"/>
        <v>0</v>
      </c>
      <c r="E70" s="288"/>
      <c r="F70" s="287"/>
      <c r="G70" s="383"/>
    </row>
    <row r="71" spans="1:7" s="380" customFormat="1">
      <c r="A71" s="149" t="s">
        <v>1759</v>
      </c>
      <c r="B71" s="290">
        <f>SUM(B66:B70)</f>
        <v>60000</v>
      </c>
      <c r="C71" s="290">
        <f>SUM(C66:C70)</f>
        <v>60000</v>
      </c>
      <c r="D71" s="290">
        <f t="shared" si="0"/>
        <v>0</v>
      </c>
      <c r="E71" s="288"/>
      <c r="F71" s="287"/>
      <c r="G71" s="383"/>
    </row>
    <row r="72" spans="1:7" s="380" customFormat="1" ht="12.9">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769784</v>
      </c>
      <c r="C76" s="286">
        <f>'Sources and Uses Budget'!$C75</f>
        <v>769784</v>
      </c>
      <c r="D76" s="290">
        <f t="shared" si="0"/>
        <v>0</v>
      </c>
      <c r="E76" s="288"/>
      <c r="F76" s="287"/>
      <c r="G76" s="383"/>
    </row>
    <row r="77" spans="1:7" s="380" customFormat="1">
      <c r="A77" s="292" t="s">
        <v>34</v>
      </c>
      <c r="B77" s="286">
        <f>'Sources and Uses Budget'!$C76</f>
        <v>2331667</v>
      </c>
      <c r="C77" s="286">
        <f>'Sources and Uses Budget'!$C76</f>
        <v>2331667</v>
      </c>
      <c r="D77" s="290">
        <f t="shared" si="0"/>
        <v>0</v>
      </c>
      <c r="E77" s="288"/>
      <c r="F77" s="287"/>
      <c r="G77" s="383"/>
    </row>
    <row r="78" spans="1:7" s="380" customFormat="1">
      <c r="A78" s="291" t="s">
        <v>615</v>
      </c>
      <c r="B78" s="290">
        <f>SUM(B73:B77)</f>
        <v>3101451</v>
      </c>
      <c r="C78" s="290">
        <f>SUM(C73:C77)</f>
        <v>3101451</v>
      </c>
      <c r="D78" s="290">
        <f t="shared" ref="D78:D106" si="1">C78-B78</f>
        <v>0</v>
      </c>
      <c r="E78" s="288"/>
      <c r="F78" s="287"/>
      <c r="G78" s="383"/>
    </row>
    <row r="79" spans="1:7" s="380" customFormat="1" ht="12.9">
      <c r="A79" s="284" t="s">
        <v>1317</v>
      </c>
      <c r="B79" s="284"/>
      <c r="C79" s="284"/>
      <c r="D79" s="284"/>
      <c r="E79" s="303"/>
      <c r="F79" s="284"/>
      <c r="G79" s="383"/>
    </row>
    <row r="80" spans="1:7" s="380" customFormat="1">
      <c r="A80" s="544" t="s">
        <v>1319</v>
      </c>
      <c r="B80" s="286">
        <f>'Sources and Uses Budget'!$C79</f>
        <v>1897068</v>
      </c>
      <c r="C80" s="286">
        <f>'Sources and Uses Budget'!$C79</f>
        <v>1897068</v>
      </c>
      <c r="D80" s="290">
        <f t="shared" si="1"/>
        <v>0</v>
      </c>
      <c r="E80" s="288"/>
      <c r="F80" s="287"/>
      <c r="G80" s="383"/>
    </row>
    <row r="81" spans="1:7" s="380" customFormat="1">
      <c r="A81" s="544" t="s">
        <v>58</v>
      </c>
      <c r="B81" s="286">
        <f>'Sources and Uses Budget'!$C80</f>
        <v>240000</v>
      </c>
      <c r="C81" s="286">
        <f>'Sources and Uses Budget'!$C80</f>
        <v>240000</v>
      </c>
      <c r="D81" s="290">
        <f>C81-B81</f>
        <v>0</v>
      </c>
      <c r="E81" s="288"/>
      <c r="F81" s="287"/>
      <c r="G81" s="383"/>
    </row>
    <row r="82" spans="1:7" s="380" customFormat="1">
      <c r="A82" s="291" t="s">
        <v>1316</v>
      </c>
      <c r="B82" s="290">
        <f>SUM(B80:B81)</f>
        <v>2137068</v>
      </c>
      <c r="C82" s="290">
        <f>SUM(C80:C81)</f>
        <v>2137068</v>
      </c>
      <c r="D82" s="290">
        <f t="shared" si="1"/>
        <v>0</v>
      </c>
      <c r="E82" s="288"/>
      <c r="F82" s="287"/>
      <c r="G82" s="383"/>
    </row>
    <row r="83" spans="1:7" s="380" customFormat="1" ht="12.9">
      <c r="A83" s="284" t="s">
        <v>775</v>
      </c>
      <c r="B83" s="284"/>
      <c r="C83" s="284"/>
      <c r="D83" s="284"/>
      <c r="E83" s="303"/>
      <c r="F83" s="284"/>
      <c r="G83" s="383"/>
    </row>
    <row r="84" spans="1:7" s="380" customFormat="1" ht="13.75" customHeight="1">
      <c r="A84" s="289" t="s">
        <v>776</v>
      </c>
      <c r="B84" s="286">
        <f>'Sources and Uses Budget'!$C83</f>
        <v>85000</v>
      </c>
      <c r="C84" s="286">
        <f>'Sources and Uses Budget'!$C83</f>
        <v>85000</v>
      </c>
      <c r="D84" s="290">
        <f t="shared" si="1"/>
        <v>0</v>
      </c>
      <c r="E84" s="288"/>
      <c r="F84" s="287"/>
      <c r="G84" s="383"/>
    </row>
    <row r="85" spans="1:7" s="380" customFormat="1">
      <c r="A85" s="289" t="s">
        <v>777</v>
      </c>
      <c r="B85" s="286">
        <f>'Sources and Uses Budget'!$C84</f>
        <v>15000</v>
      </c>
      <c r="C85" s="286">
        <f>'Sources and Uses Budget'!$C84</f>
        <v>15000</v>
      </c>
      <c r="D85" s="290">
        <f t="shared" si="1"/>
        <v>0</v>
      </c>
      <c r="E85" s="288"/>
      <c r="F85" s="287"/>
      <c r="G85" s="383"/>
    </row>
    <row r="86" spans="1:7" s="380" customFormat="1">
      <c r="A86" s="289" t="s">
        <v>778</v>
      </c>
      <c r="B86" s="286">
        <f>'Sources and Uses Budget'!$C85</f>
        <v>285384</v>
      </c>
      <c r="C86" s="286">
        <f>'Sources and Uses Budget'!$C85</f>
        <v>285384</v>
      </c>
      <c r="D86" s="290">
        <f t="shared" si="1"/>
        <v>0</v>
      </c>
      <c r="E86" s="288"/>
      <c r="F86" s="287"/>
      <c r="G86" s="383"/>
    </row>
    <row r="87" spans="1:7" s="380" customFormat="1">
      <c r="A87" s="289" t="s">
        <v>779</v>
      </c>
      <c r="B87" s="286">
        <f>'Sources and Uses Budget'!$C86</f>
        <v>0</v>
      </c>
      <c r="C87" s="286">
        <f>'Sources and Uses Budget'!$C86</f>
        <v>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0</v>
      </c>
      <c r="C89" s="286">
        <f>'Sources and Uses Budget'!$C88</f>
        <v>0</v>
      </c>
      <c r="D89" s="290">
        <f t="shared" si="1"/>
        <v>0</v>
      </c>
      <c r="E89" s="288"/>
      <c r="F89" s="287"/>
      <c r="G89" s="383"/>
    </row>
    <row r="90" spans="1:7" s="380" customFormat="1">
      <c r="A90" s="289" t="s">
        <v>782</v>
      </c>
      <c r="B90" s="286">
        <f>'Sources and Uses Budget'!$C89</f>
        <v>0</v>
      </c>
      <c r="C90" s="286">
        <f>'Sources and Uses Budget'!$C89</f>
        <v>0</v>
      </c>
      <c r="D90" s="290">
        <f t="shared" si="1"/>
        <v>0</v>
      </c>
      <c r="E90" s="288"/>
      <c r="F90" s="287"/>
      <c r="G90" s="383"/>
    </row>
    <row r="91" spans="1:7" s="380" customFormat="1">
      <c r="A91" s="289" t="s">
        <v>783</v>
      </c>
      <c r="B91" s="286">
        <f>'Sources and Uses Budget'!$C90</f>
        <v>5750</v>
      </c>
      <c r="C91" s="286">
        <f>'Sources and Uses Budget'!$C90</f>
        <v>5750</v>
      </c>
      <c r="D91" s="290">
        <f t="shared" si="1"/>
        <v>0</v>
      </c>
      <c r="E91" s="288"/>
      <c r="F91" s="287"/>
      <c r="G91" s="383"/>
    </row>
    <row r="92" spans="1:7" s="380" customFormat="1">
      <c r="A92" s="289" t="s">
        <v>373</v>
      </c>
      <c r="B92" s="286">
        <f>'Sources and Uses Budget'!$C91</f>
        <v>0</v>
      </c>
      <c r="C92" s="286">
        <f>'Sources and Uses Budget'!$C91</f>
        <v>0</v>
      </c>
      <c r="D92" s="290">
        <f t="shared" si="1"/>
        <v>0</v>
      </c>
      <c r="E92" s="288"/>
      <c r="F92" s="287"/>
      <c r="G92" s="383"/>
    </row>
    <row r="93" spans="1:7" s="380" customFormat="1">
      <c r="A93" s="544" t="s">
        <v>1318</v>
      </c>
      <c r="B93" s="286">
        <f>'Sources and Uses Budget'!$C92</f>
        <v>6600</v>
      </c>
      <c r="C93" s="286">
        <f>'Sources and Uses Budget'!$C92</f>
        <v>6600</v>
      </c>
      <c r="D93" s="290">
        <f t="shared" si="1"/>
        <v>0</v>
      </c>
      <c r="E93" s="288"/>
      <c r="F93" s="287"/>
      <c r="G93" s="383"/>
    </row>
    <row r="94" spans="1:7" s="380" customFormat="1">
      <c r="A94" s="292" t="s">
        <v>34</v>
      </c>
      <c r="B94" s="286">
        <f>'Sources and Uses Budget'!$C93</f>
        <v>15000</v>
      </c>
      <c r="C94" s="286">
        <f>'Sources and Uses Budget'!$C93</f>
        <v>15000</v>
      </c>
      <c r="D94" s="290">
        <f t="shared" si="1"/>
        <v>0</v>
      </c>
      <c r="E94" s="288"/>
      <c r="F94" s="287"/>
      <c r="G94" s="383"/>
    </row>
    <row r="95" spans="1:7" s="380" customFormat="1">
      <c r="A95" s="292" t="s">
        <v>34</v>
      </c>
      <c r="B95" s="286">
        <f>'Sources and Uses Budget'!$C94</f>
        <v>25000</v>
      </c>
      <c r="C95" s="286">
        <f>'Sources and Uses Budget'!$C94</f>
        <v>25000</v>
      </c>
      <c r="D95" s="290">
        <f t="shared" si="1"/>
        <v>0</v>
      </c>
      <c r="E95" s="288"/>
      <c r="F95" s="287"/>
      <c r="G95" s="383"/>
    </row>
    <row r="96" spans="1:7" s="380" customFormat="1">
      <c r="A96" s="292" t="s">
        <v>34</v>
      </c>
      <c r="B96" s="286">
        <f>'Sources and Uses Budget'!$C95</f>
        <v>36000</v>
      </c>
      <c r="C96" s="286">
        <f>'Sources and Uses Budget'!$C95</f>
        <v>36000</v>
      </c>
      <c r="D96" s="290">
        <f t="shared" si="1"/>
        <v>0</v>
      </c>
      <c r="E96" s="288"/>
      <c r="F96" s="287"/>
      <c r="G96" s="383"/>
    </row>
    <row r="97" spans="1:7" s="380" customFormat="1">
      <c r="A97" s="291" t="s">
        <v>784</v>
      </c>
      <c r="B97" s="290">
        <f>SUM(B84:B96)</f>
        <v>473734</v>
      </c>
      <c r="C97" s="290">
        <f>SUM(C84:C96)</f>
        <v>473734</v>
      </c>
      <c r="D97" s="290">
        <f t="shared" si="1"/>
        <v>0</v>
      </c>
      <c r="E97" s="288"/>
      <c r="F97" s="287"/>
      <c r="G97" s="383"/>
    </row>
    <row r="98" spans="1:7" s="380" customFormat="1">
      <c r="A98" s="291" t="s">
        <v>785</v>
      </c>
      <c r="B98" s="290">
        <f>SUM(B64+B71+B78+B82+B97)</f>
        <v>55186039</v>
      </c>
      <c r="C98" s="290">
        <f>SUM(C64+C71+C78+C82+C97)</f>
        <v>55186039</v>
      </c>
      <c r="D98" s="290">
        <f t="shared" si="1"/>
        <v>0</v>
      </c>
      <c r="E98" s="288"/>
      <c r="F98" s="287"/>
      <c r="G98" s="383"/>
    </row>
    <row r="99" spans="1:7" s="380" customFormat="1" ht="12.9">
      <c r="A99" s="284" t="s">
        <v>786</v>
      </c>
      <c r="B99" s="284"/>
      <c r="C99" s="284"/>
      <c r="D99" s="284"/>
      <c r="E99" s="303"/>
      <c r="F99" s="284"/>
      <c r="G99" s="383"/>
    </row>
    <row r="100" spans="1:7" s="380" customFormat="1">
      <c r="A100" s="145" t="s">
        <v>787</v>
      </c>
      <c r="B100" s="286">
        <f>'Sources and Uses Budget'!$C99</f>
        <v>6716360</v>
      </c>
      <c r="C100" s="286">
        <f>'Sources and Uses Budget'!$C99</f>
        <v>6716360</v>
      </c>
      <c r="D100" s="290">
        <f t="shared" si="1"/>
        <v>0</v>
      </c>
      <c r="E100" s="288"/>
      <c r="F100" s="287"/>
      <c r="G100" s="383"/>
    </row>
    <row r="101" spans="1:7" s="380" customFormat="1">
      <c r="A101" s="304" t="s">
        <v>1760</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1761</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6716360</v>
      </c>
      <c r="C105" s="290">
        <f>SUM(C100:C104)</f>
        <v>6716360</v>
      </c>
      <c r="D105" s="290">
        <f t="shared" si="1"/>
        <v>0</v>
      </c>
      <c r="E105" s="288"/>
      <c r="F105" s="287"/>
      <c r="G105" s="383"/>
    </row>
    <row r="106" spans="1:7" s="380" customFormat="1">
      <c r="A106" s="291" t="s">
        <v>790</v>
      </c>
      <c r="B106" s="293">
        <f>SUM(B98+B105)</f>
        <v>61902399</v>
      </c>
      <c r="C106" s="293">
        <f>SUM(C98+C105)</f>
        <v>61902399</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2.9"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45" zeroHeight="1"/>
  <cols>
    <col min="1" max="1" width="3.69140625" style="6" customWidth="1"/>
    <col min="2" max="2" width="13.69140625" style="6" customWidth="1"/>
    <col min="3" max="3" width="2.69140625" style="6" customWidth="1"/>
    <col min="4" max="5" width="3.69140625" style="4" customWidth="1"/>
    <col min="6" max="6" width="65.69140625" style="4" customWidth="1"/>
    <col min="7" max="7" width="1.69140625" style="4" customWidth="1"/>
    <col min="8" max="8" width="3.69140625" hidden="1" customWidth="1"/>
    <col min="9" max="9" width="14" hidden="1" customWidth="1"/>
    <col min="10" max="16384" width="8.84375" hidden="1"/>
  </cols>
  <sheetData>
    <row r="1" spans="1:9"/>
    <row r="2" spans="1:9">
      <c r="A2" s="1305" t="s">
        <v>1069</v>
      </c>
      <c r="B2" s="1305"/>
      <c r="C2" s="1269"/>
      <c r="D2" s="1269"/>
      <c r="E2" s="1269"/>
      <c r="F2" s="1269"/>
      <c r="G2" s="1269"/>
    </row>
    <row r="3" spans="1:9" s="173" customFormat="1">
      <c r="A3" s="1305" t="s">
        <v>1010</v>
      </c>
      <c r="B3" s="1305"/>
      <c r="C3" s="1269"/>
      <c r="D3" s="1269"/>
      <c r="E3" s="1269"/>
      <c r="F3" s="1269"/>
      <c r="G3" s="1269"/>
      <c r="I3" t="s">
        <v>308</v>
      </c>
    </row>
    <row r="4" spans="1:9">
      <c r="I4" s="3" t="s">
        <v>1070</v>
      </c>
    </row>
    <row r="5" spans="1:9">
      <c r="A5" s="1307" t="s">
        <v>1011</v>
      </c>
      <c r="B5" s="1307"/>
      <c r="C5" s="1269"/>
      <c r="D5" s="1269"/>
      <c r="E5" s="1269"/>
      <c r="F5" s="1269"/>
      <c r="G5" s="1269"/>
      <c r="I5" s="3" t="s">
        <v>1071</v>
      </c>
    </row>
    <row r="6" spans="1:9">
      <c r="A6" s="1307" t="s">
        <v>829</v>
      </c>
      <c r="B6" s="1307"/>
      <c r="C6" s="1269"/>
      <c r="D6" s="1269"/>
      <c r="E6" s="1269"/>
      <c r="F6" s="1269"/>
      <c r="G6" s="1269"/>
      <c r="I6" t="s">
        <v>600</v>
      </c>
    </row>
    <row r="7" spans="1:9" ht="11.9" customHeight="1"/>
    <row r="8" spans="1:9">
      <c r="A8" s="1305" t="s">
        <v>1166</v>
      </c>
      <c r="B8" s="1305"/>
      <c r="C8" s="1306"/>
      <c r="D8" s="1306"/>
      <c r="E8" s="1306"/>
      <c r="F8" s="1306"/>
      <c r="G8" s="1306"/>
    </row>
    <row r="9" spans="1:9">
      <c r="A9" s="1305" t="s">
        <v>1167</v>
      </c>
      <c r="B9" s="1305"/>
      <c r="C9" s="1306"/>
      <c r="D9" s="1306"/>
      <c r="E9" s="1306"/>
      <c r="F9" s="1306"/>
      <c r="G9" s="1306"/>
    </row>
    <row r="10" spans="1:9">
      <c r="A10" s="174"/>
      <c r="B10" s="174"/>
      <c r="C10" s="172"/>
      <c r="D10" s="172"/>
      <c r="E10" s="172"/>
      <c r="F10" s="172"/>
    </row>
    <row r="11" spans="1:9">
      <c r="A11" s="1288" t="s">
        <v>1169</v>
      </c>
      <c r="B11" s="1288"/>
      <c r="C11" s="1288"/>
      <c r="D11" s="1288"/>
      <c r="E11" s="1288"/>
      <c r="F11" s="1288"/>
      <c r="G11" s="1288"/>
    </row>
    <row r="12" spans="1:9">
      <c r="A12" s="172"/>
      <c r="B12" s="172"/>
      <c r="E12" s="2"/>
    </row>
    <row r="13" spans="1:9" ht="13.3" customHeight="1">
      <c r="C13" s="172"/>
      <c r="D13" s="1290" t="s">
        <v>1168</v>
      </c>
      <c r="E13" s="1290"/>
      <c r="F13" s="1290"/>
    </row>
    <row r="14" spans="1:9">
      <c r="C14" s="172"/>
      <c r="D14" s="1290"/>
      <c r="E14" s="1290"/>
      <c r="F14" s="1290"/>
    </row>
    <row r="15" spans="1:9">
      <c r="A15" s="175"/>
      <c r="B15" s="175"/>
      <c r="C15" s="175"/>
      <c r="D15" s="1287" t="s">
        <v>1151</v>
      </c>
      <c r="E15" s="1287"/>
      <c r="F15" s="1287"/>
    </row>
    <row r="16" spans="1:9">
      <c r="A16" s="175"/>
      <c r="B16" s="175"/>
      <c r="C16" s="175"/>
      <c r="D16" s="218"/>
    </row>
    <row r="17" spans="1:6" ht="12.9">
      <c r="A17" s="176"/>
      <c r="B17" s="468" t="s">
        <v>308</v>
      </c>
      <c r="C17" s="175"/>
      <c r="D17" s="1267" t="s">
        <v>1152</v>
      </c>
      <c r="E17" s="1267"/>
      <c r="F17" s="1267"/>
    </row>
    <row r="18" spans="1:6">
      <c r="A18" s="175"/>
      <c r="B18" s="175"/>
      <c r="C18" s="175"/>
      <c r="D18" s="1267"/>
      <c r="E18" s="1267"/>
      <c r="F18" s="1267"/>
    </row>
    <row r="19" spans="1:6">
      <c r="A19" s="175"/>
      <c r="B19" s="175"/>
      <c r="C19" s="175"/>
      <c r="D19" s="1267"/>
      <c r="E19" s="1267"/>
      <c r="F19" s="1267"/>
    </row>
    <row r="20" spans="1:6">
      <c r="A20" s="175"/>
      <c r="B20" s="175"/>
      <c r="C20" s="175"/>
    </row>
    <row r="21" spans="1:6" ht="12.9">
      <c r="A21" s="176"/>
      <c r="B21" s="468" t="s">
        <v>308</v>
      </c>
      <c r="D21" s="1291" t="s">
        <v>1153</v>
      </c>
      <c r="E21" s="1291"/>
      <c r="F21" s="1291"/>
    </row>
    <row r="22" spans="1:6" ht="12.9">
      <c r="A22" s="176"/>
      <c r="B22" s="176"/>
      <c r="D22" s="35"/>
    </row>
    <row r="23" spans="1:6" ht="12.9">
      <c r="A23" s="176"/>
      <c r="B23" s="468" t="s">
        <v>308</v>
      </c>
      <c r="D23" s="1267" t="s">
        <v>1154</v>
      </c>
      <c r="E23" s="1267"/>
      <c r="F23" s="1267"/>
    </row>
    <row r="24" spans="1:6" ht="12.9">
      <c r="A24" s="176"/>
      <c r="B24" s="176"/>
      <c r="D24" s="1267"/>
      <c r="E24" s="1267"/>
      <c r="F24" s="1267"/>
    </row>
    <row r="25" spans="1:6"/>
    <row r="26" spans="1:6" ht="12.9">
      <c r="A26" s="176"/>
      <c r="B26" s="468" t="s">
        <v>308</v>
      </c>
      <c r="D26" s="1267" t="s">
        <v>1155</v>
      </c>
      <c r="E26" s="1267"/>
      <c r="F26" s="1267"/>
    </row>
    <row r="27" spans="1:6">
      <c r="D27" s="1267"/>
      <c r="E27" s="1267"/>
      <c r="F27" s="1267"/>
    </row>
    <row r="28" spans="1:6">
      <c r="D28" s="1267"/>
      <c r="E28" s="1267"/>
      <c r="F28" s="1267"/>
    </row>
    <row r="29" spans="1:6">
      <c r="D29" s="1267"/>
      <c r="E29" s="1267"/>
      <c r="F29" s="1267"/>
    </row>
    <row r="30" spans="1:6">
      <c r="D30" s="1267"/>
      <c r="E30" s="1267"/>
      <c r="F30" s="1267"/>
    </row>
    <row r="31" spans="1:6">
      <c r="D31" s="220"/>
    </row>
    <row r="32" spans="1:6">
      <c r="B32" s="468" t="s">
        <v>308</v>
      </c>
      <c r="D32" s="1267" t="s">
        <v>1156</v>
      </c>
      <c r="E32" s="1267"/>
      <c r="F32" s="1267"/>
    </row>
    <row r="33" spans="1:6">
      <c r="D33" s="1267"/>
      <c r="E33" s="1267"/>
      <c r="F33" s="1267"/>
    </row>
    <row r="34" spans="1:6" ht="12.9">
      <c r="A34" s="176"/>
      <c r="B34" s="176"/>
      <c r="D34" s="220"/>
    </row>
    <row r="35" spans="1:6" ht="14.5" customHeight="1">
      <c r="A35" s="176"/>
      <c r="B35" s="468" t="s">
        <v>308</v>
      </c>
      <c r="D35" s="1267" t="s">
        <v>1157</v>
      </c>
      <c r="E35" s="1267"/>
      <c r="F35" s="1267"/>
    </row>
    <row r="36" spans="1:6" ht="12.9">
      <c r="A36" s="176"/>
      <c r="B36" s="176"/>
      <c r="D36" s="1267"/>
      <c r="E36" s="1267"/>
      <c r="F36" s="1267"/>
    </row>
    <row r="37" spans="1:6" ht="12.9">
      <c r="A37" s="176"/>
      <c r="B37" s="176"/>
      <c r="D37" s="1267"/>
      <c r="E37" s="1267"/>
      <c r="F37" s="1267"/>
    </row>
    <row r="38" spans="1:6" ht="12.9">
      <c r="A38" s="176"/>
      <c r="B38" s="176"/>
      <c r="D38"/>
    </row>
    <row r="39" spans="1:6" ht="12.9">
      <c r="A39" s="176"/>
      <c r="B39" s="468" t="s">
        <v>308</v>
      </c>
      <c r="D39" s="1267" t="s">
        <v>1158</v>
      </c>
      <c r="E39" s="1267"/>
      <c r="F39" s="1267"/>
    </row>
    <row r="40" spans="1:6" ht="12.9">
      <c r="A40" s="176"/>
      <c r="B40" s="176"/>
      <c r="D40" s="1267"/>
      <c r="E40" s="1267"/>
      <c r="F40" s="1267"/>
    </row>
    <row r="41" spans="1:6" ht="12.9">
      <c r="A41" s="176"/>
      <c r="B41" s="176"/>
      <c r="D41" s="1267"/>
      <c r="E41" s="1267"/>
      <c r="F41" s="1267"/>
    </row>
    <row r="42" spans="1:6" ht="12.9">
      <c r="A42" s="176"/>
      <c r="B42" s="176"/>
      <c r="D42" s="1267"/>
      <c r="E42" s="1267"/>
      <c r="F42" s="1267"/>
    </row>
    <row r="43" spans="1:6" ht="12.9">
      <c r="A43" s="176"/>
      <c r="B43" s="176"/>
      <c r="D43" s="1267"/>
      <c r="E43" s="1267"/>
      <c r="F43" s="1267"/>
    </row>
    <row r="44" spans="1:6" ht="12.9">
      <c r="A44" s="176"/>
      <c r="B44" s="176"/>
      <c r="D44" s="474"/>
      <c r="E44" s="474"/>
      <c r="F44" s="474"/>
    </row>
    <row r="45" spans="1:6" ht="12.9">
      <c r="A45" s="176"/>
      <c r="B45" s="468" t="s">
        <v>308</v>
      </c>
      <c r="D45" s="1267" t="s">
        <v>1159</v>
      </c>
      <c r="E45" s="1267"/>
      <c r="F45" s="1267"/>
    </row>
    <row r="46" spans="1:6" ht="12.9">
      <c r="A46" s="176"/>
      <c r="B46" s="176"/>
      <c r="D46" s="1267"/>
      <c r="E46" s="1267"/>
      <c r="F46" s="1267"/>
    </row>
    <row r="47" spans="1:6" ht="12.9">
      <c r="A47" s="176"/>
      <c r="B47" s="176"/>
      <c r="D47" s="1267"/>
      <c r="E47" s="1267"/>
      <c r="F47" s="1267"/>
    </row>
    <row r="48" spans="1:6" ht="23.25" customHeight="1">
      <c r="A48" s="176"/>
      <c r="B48" s="176"/>
      <c r="D48" s="1267"/>
      <c r="E48" s="1267"/>
      <c r="F48" s="1267"/>
    </row>
    <row r="49" spans="1:7" ht="12.9">
      <c r="A49" s="176"/>
      <c r="B49" s="176"/>
      <c r="D49" s="35"/>
    </row>
    <row r="50" spans="1:7" ht="14.5" customHeight="1">
      <c r="A50" s="176"/>
      <c r="B50" s="468" t="s">
        <v>308</v>
      </c>
      <c r="D50" s="1267" t="s">
        <v>1160</v>
      </c>
      <c r="E50" s="1267"/>
      <c r="F50" s="1267"/>
    </row>
    <row r="51" spans="1:7" ht="12.9">
      <c r="A51" s="176"/>
      <c r="B51" s="176"/>
      <c r="D51" s="1267"/>
      <c r="E51" s="1267"/>
      <c r="F51" s="1267"/>
    </row>
    <row r="52" spans="1:7" ht="12.9">
      <c r="A52" s="176"/>
      <c r="B52" s="176"/>
      <c r="D52" s="1267"/>
      <c r="E52" s="1267"/>
      <c r="F52" s="1267"/>
    </row>
    <row r="53" spans="1:7" ht="12.9">
      <c r="A53" s="176"/>
      <c r="B53" s="176"/>
      <c r="C53" s="385"/>
      <c r="D53" s="3"/>
      <c r="E53" s="3"/>
      <c r="F53" s="3"/>
      <c r="G53" s="3"/>
    </row>
    <row r="54" spans="1:7" ht="12.9">
      <c r="A54" s="176"/>
      <c r="B54" s="468" t="s">
        <v>308</v>
      </c>
      <c r="C54" s="385"/>
      <c r="D54" s="1267" t="s">
        <v>1161</v>
      </c>
      <c r="E54" s="1267"/>
      <c r="F54" s="1267"/>
      <c r="G54" s="3"/>
    </row>
    <row r="55" spans="1:7" ht="12.9">
      <c r="A55" s="176"/>
      <c r="B55" s="176"/>
      <c r="C55" s="385"/>
      <c r="D55" s="1267"/>
      <c r="E55" s="1267"/>
      <c r="F55" s="1267"/>
      <c r="G55" s="3"/>
    </row>
    <row r="56" spans="1:7">
      <c r="D56" s="220"/>
    </row>
    <row r="57" spans="1:7" ht="12.9">
      <c r="A57" s="176"/>
      <c r="B57" s="468" t="s">
        <v>308</v>
      </c>
      <c r="D57" s="1267" t="s">
        <v>1162</v>
      </c>
      <c r="E57" s="1267"/>
      <c r="F57" s="1267"/>
    </row>
    <row r="58" spans="1:7">
      <c r="D58" s="1267"/>
      <c r="E58" s="1267"/>
      <c r="F58" s="1267"/>
    </row>
    <row r="59" spans="1:7">
      <c r="D59" s="1267"/>
      <c r="E59" s="1267"/>
      <c r="F59" s="1267"/>
    </row>
    <row r="60" spans="1:7">
      <c r="D60" s="3"/>
    </row>
    <row r="61" spans="1:7" ht="12.9">
      <c r="A61" s="176"/>
      <c r="B61" s="468" t="s">
        <v>308</v>
      </c>
      <c r="D61" s="1267" t="s">
        <v>1163</v>
      </c>
      <c r="E61" s="1267"/>
      <c r="F61" s="1267"/>
    </row>
    <row r="62" spans="1:7">
      <c r="D62" s="1267"/>
      <c r="E62" s="1267"/>
      <c r="F62" s="1267"/>
    </row>
    <row r="63" spans="1:7"/>
    <row r="64" spans="1:7" ht="12.9">
      <c r="A64" s="176"/>
      <c r="B64" s="468" t="s">
        <v>308</v>
      </c>
      <c r="D64" s="1267" t="s">
        <v>1164</v>
      </c>
      <c r="E64" s="1267"/>
      <c r="F64" s="1267"/>
    </row>
    <row r="65" spans="1:7">
      <c r="D65" s="1267"/>
      <c r="E65" s="1267"/>
      <c r="F65" s="1267"/>
    </row>
    <row r="66" spans="1:7">
      <c r="D66" s="1267"/>
      <c r="E66" s="1267"/>
      <c r="F66" s="1267"/>
    </row>
    <row r="67" spans="1:7">
      <c r="D67"/>
    </row>
    <row r="68" spans="1:7" ht="12.9">
      <c r="A68" s="176"/>
      <c r="B68" s="468" t="s">
        <v>308</v>
      </c>
      <c r="D68" s="1267" t="s">
        <v>1165</v>
      </c>
      <c r="E68" s="1267"/>
      <c r="F68" s="1267"/>
    </row>
    <row r="69" spans="1:7">
      <c r="D69" s="1267"/>
      <c r="E69" s="1267"/>
      <c r="F69" s="1267"/>
    </row>
    <row r="70" spans="1:7" ht="12.9">
      <c r="A70" s="176"/>
      <c r="B70" s="176"/>
      <c r="D70" s="35"/>
    </row>
    <row r="71" spans="1:7">
      <c r="A71" s="1288" t="s">
        <v>1072</v>
      </c>
      <c r="B71" s="1288"/>
      <c r="C71" s="1288"/>
      <c r="D71" s="1288"/>
      <c r="E71" s="1288"/>
      <c r="F71" s="1288"/>
      <c r="G71" s="1288"/>
    </row>
    <row r="72" spans="1:7"/>
    <row r="73" spans="1:7">
      <c r="C73" s="177"/>
      <c r="D73" s="1299" t="s">
        <v>1170</v>
      </c>
      <c r="E73" s="1299"/>
      <c r="F73" s="1299"/>
    </row>
    <row r="74" spans="1:7">
      <c r="A74" s="35"/>
      <c r="B74" s="35"/>
      <c r="D74" s="1267" t="s">
        <v>1197</v>
      </c>
      <c r="E74" s="1267"/>
      <c r="F74" s="1267"/>
    </row>
    <row r="75" spans="1:7">
      <c r="A75" s="35"/>
      <c r="B75" s="35"/>
    </row>
    <row r="76" spans="1:7" ht="12.9">
      <c r="A76" s="176"/>
      <c r="B76" s="468" t="s">
        <v>308</v>
      </c>
      <c r="D76" s="1267" t="s">
        <v>1171</v>
      </c>
      <c r="E76" s="1267"/>
      <c r="F76" s="1267"/>
    </row>
    <row r="77" spans="1:7" ht="12.9">
      <c r="A77" s="176"/>
      <c r="B77" s="176"/>
      <c r="D77" s="1267"/>
      <c r="E77" s="1267"/>
      <c r="F77" s="1267"/>
    </row>
    <row r="78" spans="1:7" ht="12.9">
      <c r="A78" s="176"/>
      <c r="B78" s="176"/>
      <c r="D78" s="1267"/>
      <c r="E78" s="1267"/>
      <c r="F78" s="1267"/>
    </row>
    <row r="79" spans="1:7" ht="12.9">
      <c r="A79" s="176"/>
      <c r="B79" s="176"/>
      <c r="D79" s="1267"/>
      <c r="E79" s="1267"/>
      <c r="F79" s="1267"/>
    </row>
    <row r="80" spans="1:7" ht="12.9">
      <c r="A80" s="176"/>
      <c r="B80" s="176"/>
      <c r="D80" s="1267"/>
      <c r="E80" s="1267"/>
      <c r="F80" s="1267"/>
    </row>
    <row r="81" spans="1:6" ht="12.9">
      <c r="A81" s="176"/>
      <c r="B81" s="176"/>
      <c r="D81" s="1267"/>
      <c r="E81" s="1267"/>
      <c r="F81" s="1267"/>
    </row>
    <row r="82" spans="1:6" ht="12.9">
      <c r="A82" s="176"/>
      <c r="B82" s="176"/>
      <c r="D82" s="474"/>
      <c r="E82" s="474"/>
      <c r="F82" s="474"/>
    </row>
    <row r="83" spans="1:6" ht="14.5" customHeight="1">
      <c r="A83" s="176"/>
      <c r="B83" s="468" t="s">
        <v>308</v>
      </c>
      <c r="D83" s="1270" t="s">
        <v>1270</v>
      </c>
      <c r="E83" s="1270"/>
      <c r="F83" s="1270"/>
    </row>
    <row r="84" spans="1:6" ht="12.9">
      <c r="A84" s="176"/>
      <c r="B84" s="176"/>
      <c r="D84" s="1270"/>
      <c r="E84" s="1270"/>
      <c r="F84" s="1270"/>
    </row>
    <row r="85" spans="1:6" ht="12.9">
      <c r="A85" s="176"/>
      <c r="B85" s="176"/>
      <c r="D85" s="1270"/>
      <c r="E85" s="1270"/>
      <c r="F85" s="1270"/>
    </row>
    <row r="86" spans="1:6" ht="12.9">
      <c r="A86" s="176"/>
      <c r="B86" s="176"/>
      <c r="D86" s="1270"/>
      <c r="E86" s="1270"/>
      <c r="F86" s="1270"/>
    </row>
    <row r="87" spans="1:6" ht="12.9">
      <c r="A87" s="176"/>
      <c r="B87" s="176"/>
      <c r="D87" s="1270"/>
      <c r="E87" s="1270"/>
      <c r="F87" s="1270"/>
    </row>
    <row r="88" spans="1:6" ht="12.9">
      <c r="A88" s="176"/>
      <c r="B88" s="176"/>
      <c r="D88" s="1270"/>
      <c r="E88" s="1270"/>
      <c r="F88" s="1270"/>
    </row>
    <row r="89" spans="1:6" ht="12.9">
      <c r="A89" s="176"/>
      <c r="B89" s="176"/>
      <c r="D89" s="1270"/>
      <c r="E89" s="1270"/>
      <c r="F89" s="1270"/>
    </row>
    <row r="90" spans="1:6" ht="12.9">
      <c r="A90" s="176"/>
      <c r="B90" s="176"/>
      <c r="D90" s="1270"/>
      <c r="E90" s="1270"/>
      <c r="F90" s="1270"/>
    </row>
    <row r="91" spans="1:6" ht="12.9">
      <c r="A91" s="176"/>
      <c r="B91" s="176"/>
      <c r="D91" s="1270"/>
      <c r="E91" s="1270"/>
      <c r="F91" s="1270"/>
    </row>
    <row r="92" spans="1:6" ht="12.9">
      <c r="A92" s="176"/>
      <c r="B92" s="176"/>
      <c r="D92" s="1270"/>
      <c r="E92" s="1270"/>
      <c r="F92" s="1270"/>
    </row>
    <row r="93" spans="1:6" ht="12.9">
      <c r="A93" s="176"/>
      <c r="B93" s="176"/>
      <c r="D93" s="1270"/>
      <c r="E93" s="1270"/>
      <c r="F93" s="1270"/>
    </row>
    <row r="94" spans="1:6" ht="12.9">
      <c r="A94" s="176"/>
      <c r="B94" s="176"/>
      <c r="D94" s="1270"/>
      <c r="E94" s="1270"/>
      <c r="F94" s="1270"/>
    </row>
    <row r="95" spans="1:6" ht="12.9">
      <c r="A95" s="176"/>
      <c r="B95" s="176"/>
      <c r="D95" s="1270"/>
      <c r="E95" s="1270"/>
      <c r="F95" s="1270"/>
    </row>
    <row r="96" spans="1:6" ht="12.9">
      <c r="A96" s="176"/>
      <c r="B96" s="176"/>
      <c r="D96" s="1270"/>
      <c r="E96" s="1270"/>
      <c r="F96" s="1270"/>
    </row>
    <row r="97" spans="1:11" ht="12.9">
      <c r="A97" s="176"/>
      <c r="B97" s="468" t="s">
        <v>308</v>
      </c>
      <c r="D97" s="1267" t="s">
        <v>1172</v>
      </c>
      <c r="E97" s="1267"/>
      <c r="F97" s="1267"/>
    </row>
    <row r="98" spans="1:11" ht="12.9">
      <c r="A98" s="176"/>
      <c r="B98" s="176"/>
      <c r="D98" s="1267"/>
      <c r="E98" s="1267"/>
      <c r="F98" s="1267"/>
    </row>
    <row r="99" spans="1:11" ht="12.9">
      <c r="A99" s="176"/>
      <c r="B99" s="176"/>
      <c r="D99" s="1267"/>
      <c r="E99" s="1267"/>
      <c r="F99" s="1267"/>
    </row>
    <row r="100" spans="1:11" ht="12.9">
      <c r="A100" s="176"/>
      <c r="B100" s="176"/>
      <c r="D100" s="1267"/>
      <c r="E100" s="1267"/>
      <c r="F100" s="1267"/>
    </row>
    <row r="101" spans="1:11" ht="12.9">
      <c r="A101" s="176"/>
      <c r="B101" s="176"/>
      <c r="D101" s="1267"/>
      <c r="E101" s="1267"/>
      <c r="F101" s="1267"/>
    </row>
    <row r="102" spans="1:11" ht="12.9">
      <c r="A102" s="176"/>
      <c r="B102" s="176"/>
      <c r="D102" s="1267"/>
      <c r="E102" s="1267"/>
      <c r="F102" s="1267"/>
    </row>
    <row r="103" spans="1:11" ht="12.9">
      <c r="A103" s="176"/>
      <c r="B103" s="176"/>
      <c r="D103" s="1267"/>
      <c r="E103" s="1267"/>
      <c r="F103" s="1267"/>
    </row>
    <row r="104" spans="1:11" ht="12.9">
      <c r="A104" s="176"/>
      <c r="B104" s="176"/>
      <c r="D104" s="1267"/>
      <c r="E104" s="1267"/>
      <c r="F104" s="1267"/>
    </row>
    <row r="105" spans="1:11" ht="12.9">
      <c r="A105" s="176"/>
      <c r="B105" s="176"/>
      <c r="D105" s="474"/>
      <c r="E105" s="474"/>
      <c r="F105" s="474"/>
    </row>
    <row r="106" spans="1:11" ht="12.9">
      <c r="A106" s="176"/>
      <c r="B106" s="468" t="s">
        <v>308</v>
      </c>
      <c r="C106" s="179"/>
      <c r="D106" s="1308" t="s">
        <v>1173</v>
      </c>
      <c r="E106" s="1308"/>
      <c r="F106" s="1308"/>
      <c r="G106" s="183"/>
      <c r="H106" s="181"/>
      <c r="I106" s="181"/>
      <c r="J106" s="181"/>
      <c r="K106" s="181"/>
    </row>
    <row r="107" spans="1:11" ht="12.9">
      <c r="A107" s="176"/>
      <c r="B107" s="176"/>
      <c r="C107" s="179"/>
      <c r="D107" s="1308"/>
      <c r="E107" s="1308"/>
      <c r="F107" s="1308"/>
      <c r="G107" s="183"/>
      <c r="H107" s="181"/>
      <c r="I107" s="181"/>
      <c r="J107" s="181"/>
      <c r="K107" s="181"/>
    </row>
    <row r="108" spans="1:11" ht="12.9">
      <c r="A108" s="176"/>
      <c r="B108" s="176"/>
      <c r="C108" s="179"/>
      <c r="D108" s="1308"/>
      <c r="E108" s="1308"/>
      <c r="F108" s="1308"/>
      <c r="G108" s="183"/>
      <c r="H108" s="181"/>
      <c r="I108" s="181"/>
      <c r="J108" s="181"/>
      <c r="K108" s="181"/>
    </row>
    <row r="109" spans="1:11" ht="12.9">
      <c r="A109" s="176"/>
      <c r="B109" s="176"/>
      <c r="C109" s="179"/>
      <c r="D109" s="1308"/>
      <c r="E109" s="1308"/>
      <c r="F109" s="1308"/>
      <c r="G109" s="183"/>
      <c r="H109" s="181"/>
      <c r="I109" s="181"/>
      <c r="J109" s="181"/>
      <c r="K109" s="181"/>
    </row>
    <row r="110" spans="1:11" ht="12.9">
      <c r="A110" s="176"/>
      <c r="B110" s="176"/>
      <c r="C110" s="179"/>
      <c r="D110" s="1308"/>
      <c r="E110" s="1308"/>
      <c r="F110" s="1308"/>
      <c r="G110" s="183"/>
      <c r="H110" s="181"/>
      <c r="I110" s="181"/>
      <c r="J110" s="181"/>
      <c r="K110" s="181"/>
    </row>
    <row r="111" spans="1:11">
      <c r="C111"/>
      <c r="D111" s="1308"/>
      <c r="E111" s="1308"/>
      <c r="F111" s="1308"/>
      <c r="G111"/>
    </row>
    <row r="112" spans="1:11">
      <c r="C112"/>
      <c r="D112" s="1308"/>
      <c r="E112" s="1308"/>
      <c r="F112" s="1308"/>
      <c r="G112"/>
    </row>
    <row r="113" spans="1:7">
      <c r="C113"/>
      <c r="D113" s="330"/>
      <c r="E113"/>
      <c r="F113"/>
      <c r="G113"/>
    </row>
    <row r="114" spans="1:7" ht="12.9">
      <c r="A114" s="176"/>
      <c r="B114" s="468" t="s">
        <v>308</v>
      </c>
      <c r="C114"/>
      <c r="D114" s="1309" t="s">
        <v>1174</v>
      </c>
      <c r="E114" s="1309"/>
      <c r="F114" s="1309"/>
      <c r="G114"/>
    </row>
    <row r="115" spans="1:7" ht="12.9">
      <c r="A115" s="176"/>
      <c r="B115" s="176"/>
      <c r="C115"/>
      <c r="D115" s="1309"/>
      <c r="E115" s="1309"/>
      <c r="F115" s="1309"/>
      <c r="G115"/>
    </row>
    <row r="116" spans="1:7"/>
    <row r="117" spans="1:7" ht="12.9">
      <c r="A117" s="176"/>
      <c r="B117" s="468" t="s">
        <v>308</v>
      </c>
      <c r="D117" s="1267" t="s">
        <v>1175</v>
      </c>
      <c r="E117" s="1267"/>
      <c r="F117" s="1267"/>
    </row>
    <row r="118" spans="1:7">
      <c r="D118" s="1267"/>
      <c r="E118" s="1267"/>
      <c r="F118" s="1267"/>
    </row>
    <row r="119" spans="1:7">
      <c r="D119" s="1267"/>
      <c r="E119" s="1267"/>
      <c r="F119" s="1267"/>
    </row>
    <row r="120" spans="1:7">
      <c r="D120" s="1267"/>
      <c r="E120" s="1267"/>
      <c r="F120" s="1267"/>
    </row>
    <row r="121" spans="1:7">
      <c r="D121" s="1267"/>
      <c r="E121" s="1267"/>
      <c r="F121" s="1267"/>
    </row>
    <row r="122" spans="1:7"/>
    <row r="123" spans="1:7" ht="12.9">
      <c r="A123" s="176"/>
      <c r="B123" s="468" t="s">
        <v>308</v>
      </c>
      <c r="D123" s="1267" t="s">
        <v>1176</v>
      </c>
      <c r="E123" s="1267"/>
      <c r="F123" s="1267"/>
    </row>
    <row r="124" spans="1:7" s="197" customFormat="1" ht="13.75" customHeight="1">
      <c r="A124" s="195"/>
      <c r="B124" s="195"/>
      <c r="C124" s="195"/>
      <c r="D124" s="1267"/>
      <c r="E124" s="1267"/>
      <c r="F124" s="1267"/>
      <c r="G124" s="196"/>
    </row>
    <row r="125" spans="1:7" ht="13.75" customHeight="1">
      <c r="D125" s="1267"/>
      <c r="E125" s="1267"/>
      <c r="F125" s="1267"/>
    </row>
    <row r="126" spans="1:7" ht="13.75" customHeight="1">
      <c r="D126" s="1267"/>
      <c r="E126" s="1267"/>
      <c r="F126" s="1267"/>
    </row>
    <row r="127" spans="1:7" ht="13.75" customHeight="1">
      <c r="D127" s="1267"/>
      <c r="E127" s="1267"/>
      <c r="F127" s="1267"/>
    </row>
    <row r="128" spans="1:7" ht="13.75" customHeight="1">
      <c r="A128" s="256"/>
      <c r="B128" s="256"/>
      <c r="D128" s="1267"/>
      <c r="E128" s="1267"/>
      <c r="F128" s="1267"/>
    </row>
    <row r="129" spans="2:6" ht="13.75" customHeight="1">
      <c r="D129" s="1267"/>
      <c r="E129" s="1267"/>
      <c r="F129" s="1267"/>
    </row>
    <row r="130" spans="2:6" ht="13.75" customHeight="1">
      <c r="D130" s="1267"/>
      <c r="E130" s="1267"/>
      <c r="F130" s="1267"/>
    </row>
    <row r="131" spans="2:6" ht="13.75" customHeight="1">
      <c r="D131" s="1267"/>
      <c r="E131" s="1267"/>
      <c r="F131" s="1267"/>
    </row>
    <row r="132" spans="2:6" ht="13.75" customHeight="1">
      <c r="D132" s="1267"/>
      <c r="E132" s="1267"/>
      <c r="F132" s="1267"/>
    </row>
    <row r="133" spans="2:6" ht="13.75" customHeight="1">
      <c r="D133" s="1267"/>
      <c r="E133" s="1267"/>
      <c r="F133" s="1267"/>
    </row>
    <row r="134" spans="2:6" ht="13.75" customHeight="1">
      <c r="D134" s="1267"/>
      <c r="E134" s="1267"/>
      <c r="F134" s="1267"/>
    </row>
    <row r="135" spans="2:6" ht="13.75" customHeight="1">
      <c r="D135" s="218"/>
      <c r="E135" s="35"/>
      <c r="F135" s="35"/>
    </row>
    <row r="136" spans="2:6" ht="13.75" customHeight="1">
      <c r="B136" s="468" t="s">
        <v>308</v>
      </c>
      <c r="D136" s="1267" t="s">
        <v>1284</v>
      </c>
      <c r="E136" s="1267"/>
      <c r="F136" s="1267"/>
    </row>
    <row r="137" spans="2:6" ht="13.75" customHeight="1">
      <c r="D137" s="1267"/>
      <c r="E137" s="1267"/>
      <c r="F137" s="1267"/>
    </row>
    <row r="138" spans="2:6" ht="13.75" customHeight="1">
      <c r="D138" s="1267"/>
      <c r="E138" s="1267"/>
      <c r="F138" s="1267"/>
    </row>
    <row r="139" spans="2:6" ht="13.75" customHeight="1">
      <c r="D139" s="1267"/>
      <c r="E139" s="1267"/>
      <c r="F139" s="1267"/>
    </row>
    <row r="140" spans="2:6" ht="13.75" customHeight="1">
      <c r="D140" s="1267"/>
      <c r="E140" s="1267"/>
      <c r="F140" s="1267"/>
    </row>
    <row r="141" spans="2:6" ht="13.75" customHeight="1">
      <c r="D141" s="1267"/>
      <c r="E141" s="1267"/>
      <c r="F141" s="1267"/>
    </row>
    <row r="142" spans="2:6" ht="13.75" customHeight="1">
      <c r="D142" s="1267"/>
      <c r="E142" s="1267"/>
      <c r="F142" s="1267"/>
    </row>
    <row r="143" spans="2:6" ht="13.75" customHeight="1">
      <c r="D143" s="1267"/>
      <c r="E143" s="1267"/>
      <c r="F143" s="1267"/>
    </row>
    <row r="144" spans="2:6" ht="13.75" customHeight="1">
      <c r="D144" s="1267"/>
      <c r="E144" s="1267"/>
      <c r="F144" s="1267"/>
    </row>
    <row r="145" spans="1:7" ht="13.75" customHeight="1">
      <c r="D145" s="1267"/>
      <c r="E145" s="1267"/>
      <c r="F145" s="1267"/>
    </row>
    <row r="146" spans="1:7" ht="13.75" customHeight="1">
      <c r="D146" s="1267"/>
      <c r="E146" s="1267"/>
      <c r="F146" s="1267"/>
    </row>
    <row r="147" spans="1:7" ht="13.75" customHeight="1">
      <c r="D147" s="1267"/>
      <c r="E147" s="1267"/>
      <c r="F147" s="1267"/>
    </row>
    <row r="148" spans="1:7" ht="13.75" customHeight="1">
      <c r="D148" s="1267"/>
      <c r="E148" s="1267"/>
      <c r="F148" s="1267"/>
    </row>
    <row r="149" spans="1:7" ht="13.75" customHeight="1">
      <c r="D149" s="1267"/>
      <c r="E149" s="1267"/>
      <c r="F149" s="1267"/>
    </row>
    <row r="150" spans="1:7" ht="13.75" customHeight="1">
      <c r="D150" s="1267"/>
      <c r="E150" s="1267"/>
      <c r="F150" s="1267"/>
    </row>
    <row r="151" spans="1:7" ht="13.75" customHeight="1">
      <c r="D151" s="1267"/>
      <c r="E151" s="1267"/>
      <c r="F151" s="1267"/>
    </row>
    <row r="152" spans="1:7" ht="13.75" customHeight="1">
      <c r="D152" s="1267"/>
      <c r="E152" s="1267"/>
      <c r="F152" s="1267"/>
    </row>
    <row r="153" spans="1:7" ht="13.75" customHeight="1">
      <c r="D153" s="1267"/>
      <c r="E153" s="1267"/>
      <c r="F153" s="1267"/>
    </row>
    <row r="154" spans="1:7" ht="13.75" customHeight="1">
      <c r="D154" s="1267"/>
      <c r="E154" s="1267"/>
      <c r="F154" s="1267"/>
    </row>
    <row r="155" spans="1:7" ht="13.75" customHeight="1">
      <c r="D155" s="218"/>
      <c r="E155" s="35"/>
      <c r="F155" s="35"/>
    </row>
    <row r="156" spans="1:7" ht="13.75" customHeight="1">
      <c r="A156" s="256"/>
      <c r="B156" s="468" t="s">
        <v>308</v>
      </c>
      <c r="C156" s="218"/>
      <c r="D156" s="1270" t="s">
        <v>1177</v>
      </c>
      <c r="E156" s="1270"/>
      <c r="F156" s="1270"/>
      <c r="G156" s="218"/>
    </row>
    <row r="157" spans="1:7" ht="13.75" customHeight="1">
      <c r="A157" s="256"/>
      <c r="B157" s="256"/>
      <c r="C157" s="218"/>
      <c r="D157" s="1270"/>
      <c r="E157" s="1270"/>
      <c r="F157" s="1270"/>
      <c r="G157" s="218"/>
    </row>
    <row r="158" spans="1:7" ht="13.75" customHeight="1">
      <c r="A158" s="256"/>
      <c r="B158" s="256"/>
      <c r="C158" s="218"/>
      <c r="D158" s="218"/>
      <c r="E158" s="218"/>
      <c r="F158" s="218"/>
      <c r="G158" s="218"/>
    </row>
    <row r="159" spans="1:7" ht="13.75" customHeight="1">
      <c r="A159" s="256"/>
      <c r="B159" s="468" t="s">
        <v>308</v>
      </c>
      <c r="C159" s="218"/>
      <c r="D159" s="1270" t="s">
        <v>1178</v>
      </c>
      <c r="E159" s="1270"/>
      <c r="F159" s="1270"/>
      <c r="G159" s="218"/>
    </row>
    <row r="160" spans="1:7" ht="13.75" customHeight="1">
      <c r="A160" s="256"/>
      <c r="B160" s="256"/>
      <c r="C160" s="218"/>
      <c r="D160" s="1270"/>
      <c r="E160" s="1270"/>
      <c r="F160" s="1270"/>
      <c r="G160" s="218"/>
    </row>
    <row r="161" spans="1:7" ht="13.75" customHeight="1">
      <c r="A161" s="256"/>
      <c r="B161" s="256"/>
      <c r="C161" s="218"/>
      <c r="D161" s="1270"/>
      <c r="E161" s="1270"/>
      <c r="F161" s="1270"/>
      <c r="G161" s="218"/>
    </row>
    <row r="162" spans="1:7" ht="13.75" customHeight="1">
      <c r="A162" s="256"/>
      <c r="B162" s="256"/>
      <c r="C162" s="218"/>
      <c r="D162" s="1270"/>
      <c r="E162" s="1270"/>
      <c r="F162" s="1270"/>
      <c r="G162" s="218"/>
    </row>
    <row r="163" spans="1:7" ht="13.75" customHeight="1">
      <c r="D163" s="35"/>
      <c r="E163" s="35"/>
      <c r="F163" s="35"/>
    </row>
    <row r="164" spans="1:7" ht="13.75" customHeight="1">
      <c r="B164" s="468" t="s">
        <v>308</v>
      </c>
      <c r="D164" s="1304" t="s">
        <v>1179</v>
      </c>
      <c r="E164" s="1304"/>
      <c r="F164" s="1304"/>
    </row>
    <row r="165" spans="1:7" ht="13.75" customHeight="1">
      <c r="D165" s="1304"/>
      <c r="E165" s="1304"/>
      <c r="F165" s="1304"/>
    </row>
    <row r="166" spans="1:7" ht="13.75" customHeight="1">
      <c r="D166" s="1304"/>
      <c r="E166" s="1304"/>
      <c r="F166" s="1304"/>
    </row>
    <row r="167" spans="1:7" ht="13.75" customHeight="1">
      <c r="A167" s="13"/>
      <c r="B167" s="13"/>
      <c r="E167" s="35"/>
      <c r="F167" s="35"/>
    </row>
    <row r="168" spans="1:7">
      <c r="A168" s="1288" t="s">
        <v>1073</v>
      </c>
      <c r="B168" s="1288"/>
      <c r="C168" s="1288"/>
      <c r="D168" s="1288"/>
      <c r="E168" s="1288"/>
      <c r="F168" s="1288"/>
      <c r="G168" s="1288"/>
    </row>
    <row r="169" spans="1:7" ht="12" customHeight="1">
      <c r="D169" s="35"/>
      <c r="E169" s="35"/>
      <c r="F169" s="35"/>
    </row>
    <row r="170" spans="1:7">
      <c r="B170" s="1285" t="s">
        <v>449</v>
      </c>
      <c r="C170" s="1285"/>
      <c r="D170" s="1285"/>
      <c r="E170" s="1285"/>
      <c r="F170" s="1285"/>
    </row>
    <row r="171" spans="1:7" ht="12" customHeight="1">
      <c r="A171" s="172"/>
      <c r="B171" s="172"/>
      <c r="C171" s="172"/>
    </row>
    <row r="172" spans="1:7">
      <c r="A172" s="1288" t="s">
        <v>1074</v>
      </c>
      <c r="B172" s="1288"/>
      <c r="C172" s="1288"/>
      <c r="D172" s="1288"/>
      <c r="E172" s="1288"/>
      <c r="F172" s="1288"/>
      <c r="G172" s="1288"/>
    </row>
    <row r="173" spans="1:7" ht="12" customHeight="1">
      <c r="A173" s="2"/>
      <c r="B173" s="2"/>
      <c r="E173" s="2"/>
    </row>
    <row r="174" spans="1:7" ht="13.3" customHeight="1">
      <c r="A174" s="2"/>
      <c r="B174" s="2"/>
      <c r="D174" s="1310" t="s">
        <v>1182</v>
      </c>
      <c r="E174" s="1310"/>
      <c r="F174" s="1310"/>
    </row>
    <row r="175" spans="1:7">
      <c r="A175" s="2"/>
      <c r="B175" s="2"/>
      <c r="D175" s="1310"/>
      <c r="E175" s="1310"/>
      <c r="F175" s="1310"/>
    </row>
    <row r="176" spans="1:7">
      <c r="A176" s="2"/>
      <c r="B176" s="2"/>
      <c r="D176" s="1297" t="s">
        <v>1183</v>
      </c>
      <c r="E176" s="1297"/>
      <c r="F176" s="1297"/>
    </row>
    <row r="177" spans="1:7" ht="12" customHeight="1">
      <c r="A177" s="2"/>
      <c r="B177" s="2"/>
      <c r="E177" s="2"/>
    </row>
    <row r="178" spans="1:7" ht="12.9">
      <c r="A178" s="176"/>
      <c r="B178" s="468" t="s">
        <v>308</v>
      </c>
      <c r="D178" s="1282" t="s">
        <v>1181</v>
      </c>
      <c r="E178" s="1282"/>
      <c r="F178" s="1282"/>
    </row>
    <row r="179" spans="1:7" ht="12.9">
      <c r="A179" s="176"/>
      <c r="B179" s="176"/>
      <c r="D179" s="1282"/>
      <c r="E179" s="1282"/>
      <c r="F179" s="1282"/>
    </row>
    <row r="180" spans="1:7" ht="12.9">
      <c r="A180" s="176"/>
      <c r="B180" s="176"/>
      <c r="D180" s="1282"/>
      <c r="E180" s="1282"/>
      <c r="F180" s="1282"/>
    </row>
    <row r="181" spans="1:7">
      <c r="D181" s="1282"/>
      <c r="E181" s="1282"/>
      <c r="F181" s="1282"/>
    </row>
    <row r="182" spans="1:7">
      <c r="D182" s="220"/>
    </row>
    <row r="183" spans="1:7">
      <c r="D183" s="1303" t="s">
        <v>1090</v>
      </c>
      <c r="E183" s="1303"/>
      <c r="F183" s="1303"/>
    </row>
    <row r="184" spans="1:7">
      <c r="D184" s="1303"/>
      <c r="E184" s="1303"/>
      <c r="F184" s="1303"/>
    </row>
    <row r="185" spans="1:7">
      <c r="D185" s="475"/>
      <c r="E185" s="475"/>
      <c r="F185" s="475"/>
    </row>
    <row r="186" spans="1:7" ht="12.9">
      <c r="A186" s="176"/>
      <c r="B186" s="468" t="s">
        <v>308</v>
      </c>
      <c r="C186" s="385"/>
      <c r="D186" s="1267" t="s">
        <v>1180</v>
      </c>
      <c r="E186" s="1267"/>
      <c r="F186" s="1267"/>
      <c r="G186" s="3"/>
    </row>
    <row r="187" spans="1:7" ht="14.5" customHeight="1">
      <c r="A187" s="176"/>
      <c r="B187"/>
      <c r="C187" s="385"/>
      <c r="D187" s="1267"/>
      <c r="E187" s="1267"/>
      <c r="F187" s="1267"/>
      <c r="G187" s="3"/>
    </row>
    <row r="188" spans="1:7" ht="12.9">
      <c r="A188" s="176"/>
      <c r="B188" s="385"/>
      <c r="C188" s="385"/>
      <c r="D188" s="1267"/>
      <c r="E188" s="1267"/>
      <c r="F188" s="1267"/>
      <c r="G188" s="3"/>
    </row>
    <row r="189" spans="1:7" ht="12.9">
      <c r="A189" s="176"/>
      <c r="B189" s="385"/>
      <c r="C189" s="385"/>
      <c r="D189" s="1267"/>
      <c r="E189" s="1267"/>
      <c r="F189" s="1267"/>
      <c r="G189" s="3"/>
    </row>
    <row r="190" spans="1:7">
      <c r="D190" s="475"/>
      <c r="E190" s="475"/>
      <c r="F190" s="475"/>
    </row>
    <row r="191" spans="1:7">
      <c r="A191" s="1288" t="s">
        <v>1075</v>
      </c>
      <c r="B191" s="1288"/>
      <c r="C191" s="1288"/>
      <c r="D191" s="1288"/>
      <c r="E191" s="1288"/>
      <c r="F191" s="1288"/>
      <c r="G191" s="1288"/>
    </row>
    <row r="192" spans="1:7" ht="12" customHeight="1">
      <c r="D192" s="35"/>
      <c r="E192" s="35"/>
      <c r="F192" s="35"/>
    </row>
    <row r="193" spans="1:6">
      <c r="C193" s="177"/>
      <c r="D193" s="1286" t="s">
        <v>209</v>
      </c>
      <c r="E193" s="1286"/>
      <c r="F193" s="1286"/>
    </row>
    <row r="194" spans="1:6">
      <c r="A194" s="172"/>
      <c r="B194" s="172"/>
      <c r="C194" s="172"/>
      <c r="D194" s="1287" t="s">
        <v>1204</v>
      </c>
      <c r="E194" s="1293"/>
      <c r="F194" s="1293"/>
    </row>
    <row r="195" spans="1:6" ht="12" customHeight="1">
      <c r="A195" s="13"/>
      <c r="B195" s="13"/>
      <c r="C195" s="13"/>
    </row>
    <row r="196" spans="1:6" ht="13.3" customHeight="1">
      <c r="A196" s="13"/>
      <c r="C196" s="13"/>
      <c r="D196" s="1286" t="s">
        <v>555</v>
      </c>
      <c r="E196" s="1286"/>
      <c r="F196" s="1286"/>
    </row>
    <row r="197" spans="1:6" ht="12.9">
      <c r="A197" s="176"/>
      <c r="B197" s="468" t="s">
        <v>308</v>
      </c>
      <c r="D197" s="1267" t="s">
        <v>1198</v>
      </c>
      <c r="E197" s="1267"/>
      <c r="F197" s="1267"/>
    </row>
    <row r="198" spans="1:6" ht="12.9">
      <c r="A198" s="176"/>
      <c r="B198" s="176"/>
      <c r="D198" s="1267"/>
      <c r="E198" s="1267"/>
      <c r="F198" s="1267"/>
    </row>
    <row r="199" spans="1:6"/>
    <row r="200" spans="1:6" ht="12.9">
      <c r="A200" s="176"/>
      <c r="B200" s="468" t="s">
        <v>308</v>
      </c>
      <c r="D200" s="1267" t="s">
        <v>1199</v>
      </c>
      <c r="E200" s="1267"/>
      <c r="F200" s="1267"/>
    </row>
    <row r="201" spans="1:6" ht="12.9">
      <c r="A201" s="176"/>
      <c r="B201" s="176"/>
      <c r="D201" s="1267"/>
      <c r="E201" s="1267"/>
      <c r="F201" s="1267"/>
    </row>
    <row r="202" spans="1:6" ht="12.9">
      <c r="A202" s="176"/>
      <c r="B202" s="176"/>
      <c r="D202" s="1267"/>
      <c r="E202" s="1267"/>
      <c r="F202" s="1267"/>
    </row>
    <row r="203" spans="1:6" ht="5.15" customHeight="1">
      <c r="A203" s="176"/>
      <c r="B203" s="176"/>
      <c r="D203" s="35"/>
      <c r="E203" s="35"/>
      <c r="F203" s="35"/>
    </row>
    <row r="204" spans="1:6" ht="12.9">
      <c r="A204" s="176"/>
      <c r="B204" s="176"/>
      <c r="D204" s="1267" t="s">
        <v>1200</v>
      </c>
      <c r="E204" s="1267"/>
      <c r="F204" s="1267"/>
    </row>
    <row r="205" spans="1:6" ht="12.9">
      <c r="A205" s="176"/>
      <c r="B205" s="176"/>
      <c r="D205" s="1267"/>
      <c r="E205" s="1267"/>
      <c r="F205" s="1267"/>
    </row>
    <row r="206" spans="1:6" ht="12.9">
      <c r="A206" s="176"/>
      <c r="B206" s="176"/>
      <c r="D206" s="1267"/>
      <c r="E206" s="1267"/>
      <c r="F206" s="1267"/>
    </row>
    <row r="207" spans="1:6" ht="12.9">
      <c r="A207" s="176"/>
      <c r="B207" s="176"/>
      <c r="D207" s="1267"/>
      <c r="E207" s="1267"/>
      <c r="F207" s="1267"/>
    </row>
    <row r="208" spans="1:6" ht="12.9">
      <c r="A208" s="176"/>
      <c r="B208" s="176"/>
      <c r="D208" s="1267"/>
      <c r="E208" s="1267"/>
      <c r="F208" s="1267"/>
    </row>
    <row r="209" spans="1:7" ht="12.9">
      <c r="A209" s="176"/>
      <c r="B209" s="176"/>
      <c r="D209" s="35"/>
      <c r="E209" s="35"/>
      <c r="F209" s="35"/>
    </row>
    <row r="210" spans="1:7" ht="12.9">
      <c r="A210" s="176"/>
      <c r="B210" s="468" t="s">
        <v>308</v>
      </c>
      <c r="D210" s="1267" t="s">
        <v>1201</v>
      </c>
      <c r="E210" s="1267"/>
      <c r="F210" s="1267"/>
    </row>
    <row r="211" spans="1:7" ht="12.9">
      <c r="A211" s="176"/>
      <c r="B211" s="176"/>
      <c r="D211" s="1267"/>
      <c r="E211" s="1267"/>
      <c r="F211" s="1267"/>
    </row>
    <row r="212" spans="1:7" ht="12.9">
      <c r="A212" s="176"/>
      <c r="B212" s="176"/>
      <c r="D212" s="1285" t="s">
        <v>910</v>
      </c>
      <c r="E212" s="1285"/>
      <c r="F212" s="1285"/>
    </row>
    <row r="213" spans="1:7" ht="12.9">
      <c r="A213" s="176"/>
      <c r="B213" s="176"/>
      <c r="D213" s="35"/>
      <c r="E213" s="35"/>
      <c r="F213" s="35"/>
    </row>
    <row r="214" spans="1:7" ht="14.5" customHeight="1">
      <c r="A214" s="176"/>
      <c r="B214" s="468" t="s">
        <v>308</v>
      </c>
      <c r="D214" s="1267" t="s">
        <v>1203</v>
      </c>
      <c r="E214" s="1267"/>
      <c r="F214" s="1267"/>
    </row>
    <row r="215" spans="1:7" ht="12.9">
      <c r="A215" s="176"/>
      <c r="B215" s="176"/>
      <c r="D215" s="1267"/>
      <c r="E215" s="1267"/>
      <c r="F215" s="1267"/>
    </row>
    <row r="216" spans="1:7" ht="12.9">
      <c r="A216" s="176"/>
      <c r="B216" s="176"/>
      <c r="D216" s="1267"/>
      <c r="E216" s="1267"/>
      <c r="F216" s="1267"/>
    </row>
    <row r="217" spans="1:7" ht="12.9">
      <c r="A217" s="176"/>
      <c r="B217" s="176"/>
      <c r="D217" s="1267"/>
      <c r="E217" s="1267"/>
      <c r="F217" s="1267"/>
    </row>
    <row r="218" spans="1:7" ht="12.9">
      <c r="A218" s="176"/>
      <c r="B218" s="176"/>
      <c r="D218" s="1267"/>
      <c r="E218" s="1267"/>
      <c r="F218" s="1267"/>
    </row>
    <row r="219" spans="1:7">
      <c r="D219" s="35"/>
      <c r="E219" s="35"/>
      <c r="F219" s="35"/>
    </row>
    <row r="220" spans="1:7" ht="12.9">
      <c r="A220" s="176"/>
      <c r="B220" s="468" t="s">
        <v>308</v>
      </c>
      <c r="D220" s="1267" t="s">
        <v>1202</v>
      </c>
      <c r="E220" s="1267"/>
      <c r="F220" s="1267"/>
    </row>
    <row r="221" spans="1:7" ht="12.9">
      <c r="A221" s="176"/>
      <c r="B221" s="176"/>
      <c r="D221" s="1267"/>
      <c r="E221" s="1267"/>
      <c r="F221" s="1267"/>
    </row>
    <row r="222" spans="1:7">
      <c r="D222" s="19"/>
    </row>
    <row r="223" spans="1:7">
      <c r="A223" s="1288" t="s">
        <v>1076</v>
      </c>
      <c r="B223" s="1288"/>
      <c r="C223" s="1288"/>
      <c r="D223" s="1288"/>
      <c r="E223" s="1288"/>
      <c r="F223" s="1288"/>
      <c r="G223" s="1288"/>
    </row>
    <row r="224" spans="1:7">
      <c r="D224" s="19"/>
    </row>
    <row r="225" spans="1:6">
      <c r="C225" s="177"/>
      <c r="D225" s="1286" t="s">
        <v>1205</v>
      </c>
      <c r="E225" s="1286"/>
      <c r="F225" s="1286"/>
    </row>
    <row r="226" spans="1:6">
      <c r="A226" s="172"/>
      <c r="B226" s="172"/>
      <c r="C226" s="172"/>
      <c r="D226" s="35"/>
      <c r="E226" s="35"/>
      <c r="F226" s="35"/>
    </row>
    <row r="227" spans="1:6">
      <c r="A227" s="175"/>
      <c r="B227" s="175"/>
      <c r="C227" s="175"/>
      <c r="D227" s="1286" t="s">
        <v>270</v>
      </c>
      <c r="E227" s="1286"/>
      <c r="F227" s="1286"/>
    </row>
    <row r="228" spans="1:6" ht="12.9">
      <c r="A228" s="176"/>
      <c r="B228" s="468" t="s">
        <v>308</v>
      </c>
      <c r="D228" s="1316" t="s">
        <v>1206</v>
      </c>
      <c r="E228" s="1316"/>
      <c r="F228" s="1316"/>
    </row>
    <row r="229" spans="1:6" ht="12.9">
      <c r="A229" s="176"/>
      <c r="B229" s="176"/>
      <c r="D229" s="1316"/>
      <c r="E229" s="1316"/>
      <c r="F229" s="1316"/>
    </row>
    <row r="230" spans="1:6">
      <c r="D230" s="35"/>
      <c r="E230" s="35"/>
      <c r="F230" s="35"/>
    </row>
    <row r="231" spans="1:6" ht="14.5" customHeight="1">
      <c r="A231" s="176"/>
      <c r="B231" s="468" t="s">
        <v>308</v>
      </c>
      <c r="D231" s="1267" t="s">
        <v>1207</v>
      </c>
      <c r="E231" s="1267"/>
      <c r="F231" s="1267"/>
    </row>
    <row r="232" spans="1:6">
      <c r="D232" s="1267"/>
      <c r="E232" s="1267"/>
      <c r="F232" s="1267"/>
    </row>
    <row r="233" spans="1:6">
      <c r="D233" s="1293" t="s">
        <v>902</v>
      </c>
      <c r="E233" s="1293"/>
      <c r="F233" s="1293"/>
    </row>
    <row r="234" spans="1:6">
      <c r="D234" s="35"/>
      <c r="E234" s="35"/>
      <c r="F234" s="35"/>
    </row>
    <row r="235" spans="1:6" ht="14.5" customHeight="1">
      <c r="A235" s="176"/>
      <c r="B235" s="468" t="s">
        <v>308</v>
      </c>
      <c r="D235" s="1267" t="s">
        <v>1209</v>
      </c>
      <c r="E235" s="1267"/>
      <c r="F235" s="1267"/>
    </row>
    <row r="236" spans="1:6">
      <c r="D236" s="1267"/>
      <c r="E236" s="1267"/>
      <c r="F236" s="1267"/>
    </row>
    <row r="237" spans="1:6">
      <c r="D237" s="1267"/>
      <c r="E237" s="1267"/>
      <c r="F237" s="1267"/>
    </row>
    <row r="238" spans="1:6">
      <c r="D238" s="1267"/>
      <c r="E238" s="1267"/>
      <c r="F238" s="1267"/>
    </row>
    <row r="239" spans="1:6">
      <c r="D239" s="1267"/>
      <c r="E239" s="1267"/>
      <c r="F239" s="1267"/>
    </row>
    <row r="240" spans="1:6">
      <c r="D240" s="35"/>
      <c r="E240" s="35"/>
      <c r="F240" s="35"/>
    </row>
    <row r="241" spans="1:7" ht="12.9">
      <c r="A241" s="176"/>
      <c r="B241" s="468" t="s">
        <v>308</v>
      </c>
      <c r="D241" s="1267" t="s">
        <v>1208</v>
      </c>
      <c r="E241" s="1267"/>
      <c r="F241" s="1267"/>
    </row>
    <row r="242" spans="1:7">
      <c r="D242" s="1267"/>
      <c r="E242" s="1267"/>
      <c r="F242" s="1267"/>
    </row>
    <row r="243" spans="1:7">
      <c r="D243" s="1267"/>
      <c r="E243" s="1267"/>
      <c r="F243" s="1267"/>
    </row>
    <row r="244" spans="1:7">
      <c r="D244" s="178"/>
      <c r="E244" s="35"/>
      <c r="F244" s="35"/>
    </row>
    <row r="245" spans="1:7">
      <c r="A245" s="1288" t="s">
        <v>1077</v>
      </c>
      <c r="B245" s="1288"/>
      <c r="C245" s="1288"/>
      <c r="D245" s="1288"/>
      <c r="E245" s="1288"/>
      <c r="F245" s="1288"/>
      <c r="G245" s="1288"/>
    </row>
    <row r="246" spans="1:7">
      <c r="D246" s="178"/>
      <c r="E246" s="35"/>
      <c r="F246" s="35"/>
    </row>
    <row r="247" spans="1:7">
      <c r="C247" s="172"/>
      <c r="D247" s="1299" t="s">
        <v>1210</v>
      </c>
      <c r="E247" s="1299"/>
      <c r="F247" s="1299"/>
    </row>
    <row r="248" spans="1:7">
      <c r="C248" s="172"/>
      <c r="D248" s="1299"/>
      <c r="E248" s="1299"/>
      <c r="F248" s="1299"/>
    </row>
    <row r="249" spans="1:7">
      <c r="A249" s="175"/>
      <c r="B249" s="175"/>
      <c r="C249" s="175"/>
      <c r="D249" s="2"/>
      <c r="E249" s="3"/>
      <c r="F249" s="3"/>
    </row>
    <row r="250" spans="1:7">
      <c r="C250" s="175"/>
      <c r="D250" s="1286" t="s">
        <v>210</v>
      </c>
      <c r="E250" s="1286"/>
      <c r="F250" s="1286"/>
    </row>
    <row r="251" spans="1:7" ht="15.75" customHeight="1">
      <c r="A251" s="176"/>
      <c r="B251" s="176"/>
      <c r="D251" s="1292" t="s">
        <v>1211</v>
      </c>
      <c r="E251" s="1292"/>
      <c r="F251" s="1292"/>
    </row>
    <row r="252" spans="1:7">
      <c r="E252" s="35"/>
      <c r="F252" s="35"/>
    </row>
    <row r="253" spans="1:7" ht="12.9">
      <c r="A253" s="176"/>
      <c r="B253" s="468" t="s">
        <v>308</v>
      </c>
      <c r="D253" s="1267" t="s">
        <v>1212</v>
      </c>
      <c r="E253" s="1267"/>
      <c r="F253" s="1267"/>
    </row>
    <row r="254" spans="1:7" ht="12.9">
      <c r="A254" s="176"/>
      <c r="B254" s="176"/>
      <c r="D254" s="1267"/>
      <c r="E254" s="1267"/>
      <c r="F254" s="1267"/>
    </row>
    <row r="255" spans="1:7">
      <c r="D255" s="35"/>
      <c r="E255" s="35"/>
      <c r="F255" s="35"/>
    </row>
    <row r="256" spans="1:7" ht="12.9">
      <c r="A256" s="176"/>
      <c r="B256" s="468" t="s">
        <v>308</v>
      </c>
      <c r="D256" s="1267" t="s">
        <v>1213</v>
      </c>
      <c r="E256" s="1267"/>
      <c r="F256" s="1267"/>
    </row>
    <row r="257" spans="1:7" ht="12.9">
      <c r="A257" s="176"/>
      <c r="B257" s="176"/>
      <c r="D257" s="1267"/>
      <c r="E257" s="1267"/>
      <c r="F257" s="1267"/>
    </row>
    <row r="258" spans="1:7" ht="12.9">
      <c r="A258" s="176"/>
      <c r="B258" s="176"/>
      <c r="D258" s="1267"/>
      <c r="E258" s="1267"/>
      <c r="F258" s="1267"/>
    </row>
    <row r="259" spans="1:7">
      <c r="D259" s="35"/>
      <c r="E259" s="35"/>
      <c r="F259" s="35"/>
    </row>
    <row r="260" spans="1:7" ht="12.9">
      <c r="A260" s="176"/>
      <c r="B260" s="468" t="s">
        <v>308</v>
      </c>
      <c r="D260" s="1267" t="s">
        <v>1214</v>
      </c>
      <c r="E260" s="1267"/>
      <c r="F260" s="1267"/>
    </row>
    <row r="261" spans="1:7" ht="12.9">
      <c r="A261" s="176"/>
      <c r="B261" s="176"/>
      <c r="D261" s="1267"/>
      <c r="E261" s="1267"/>
      <c r="F261" s="1267"/>
    </row>
    <row r="262" spans="1:7">
      <c r="A262" s="13"/>
      <c r="B262" s="13"/>
      <c r="E262" s="35"/>
      <c r="F262" s="35"/>
    </row>
    <row r="263" spans="1:7">
      <c r="A263" s="1288" t="s">
        <v>1078</v>
      </c>
      <c r="B263" s="1288"/>
      <c r="C263" s="1288"/>
      <c r="D263" s="1288"/>
      <c r="E263" s="1288"/>
      <c r="F263" s="1288"/>
      <c r="G263" s="1288"/>
    </row>
    <row r="264" spans="1:7">
      <c r="A264" s="13"/>
      <c r="B264" s="13"/>
      <c r="D264" s="35"/>
      <c r="E264" s="35"/>
      <c r="F264" s="35"/>
    </row>
    <row r="265" spans="1:7">
      <c r="C265" s="13"/>
      <c r="D265" s="1286" t="s">
        <v>691</v>
      </c>
      <c r="E265" s="1286"/>
      <c r="F265" s="1286"/>
    </row>
    <row r="266" spans="1:7">
      <c r="C266" s="13"/>
      <c r="D266" s="1287" t="s">
        <v>1215</v>
      </c>
      <c r="E266" s="1287"/>
      <c r="F266" s="1287"/>
    </row>
    <row r="267" spans="1:7">
      <c r="C267" s="13"/>
      <c r="D267" s="173"/>
    </row>
    <row r="268" spans="1:7">
      <c r="B268" s="468" t="s">
        <v>308</v>
      </c>
      <c r="D268" s="1287" t="s">
        <v>1216</v>
      </c>
      <c r="E268" s="1287"/>
      <c r="F268" s="1287"/>
    </row>
    <row r="269" spans="1:7" ht="12.9">
      <c r="A269" s="176"/>
      <c r="B269" s="176"/>
      <c r="D269" s="341"/>
      <c r="E269" s="342"/>
      <c r="F269" s="342"/>
    </row>
    <row r="270" spans="1:7" ht="13.3" customHeight="1">
      <c r="B270" s="468" t="s">
        <v>308</v>
      </c>
      <c r="D270" s="1317" t="s">
        <v>1217</v>
      </c>
      <c r="E270" s="1317"/>
      <c r="F270" s="1317"/>
    </row>
    <row r="271" spans="1:7" ht="12.9">
      <c r="A271" s="176"/>
      <c r="B271" s="176"/>
      <c r="D271" s="1317"/>
      <c r="E271" s="1317"/>
      <c r="F271" s="1317"/>
    </row>
    <row r="272" spans="1:7" ht="12.9">
      <c r="A272" s="176"/>
      <c r="B272" s="176"/>
      <c r="D272" s="1317"/>
      <c r="E272" s="1317"/>
      <c r="F272" s="1317"/>
    </row>
    <row r="273" spans="1:6" ht="12.9">
      <c r="A273" s="176"/>
      <c r="B273" s="176"/>
      <c r="D273" s="1317"/>
      <c r="E273" s="1317"/>
      <c r="F273" s="1317"/>
    </row>
    <row r="274" spans="1:6" ht="12.9">
      <c r="A274" s="176"/>
      <c r="B274" s="176"/>
      <c r="D274" s="1317"/>
      <c r="E274" s="1317"/>
      <c r="F274" s="1317"/>
    </row>
    <row r="275" spans="1:6" ht="12.9">
      <c r="A275" s="176"/>
      <c r="B275" s="176"/>
      <c r="D275" s="341"/>
      <c r="E275" s="342"/>
      <c r="F275" s="342"/>
    </row>
    <row r="276" spans="1:6" ht="13.3" customHeight="1">
      <c r="B276" s="468" t="s">
        <v>308</v>
      </c>
      <c r="D276" s="1317" t="s">
        <v>1218</v>
      </c>
      <c r="E276" s="1317"/>
      <c r="F276" s="1317"/>
    </row>
    <row r="277" spans="1:6">
      <c r="D277" s="1317"/>
      <c r="E277" s="1317"/>
      <c r="F277" s="1317"/>
    </row>
    <row r="278" spans="1:6" ht="12.9">
      <c r="A278" s="176"/>
      <c r="B278" s="176"/>
      <c r="D278" s="341"/>
      <c r="E278" s="342"/>
      <c r="F278" s="342"/>
    </row>
    <row r="279" spans="1:6">
      <c r="B279" s="468" t="s">
        <v>308</v>
      </c>
      <c r="D279" s="1287" t="s">
        <v>1219</v>
      </c>
      <c r="E279" s="1287"/>
      <c r="F279" s="1287"/>
    </row>
    <row r="280" spans="1:6">
      <c r="E280" s="35"/>
      <c r="F280" s="35"/>
    </row>
    <row r="281" spans="1:6" ht="12.9">
      <c r="A281" s="176"/>
      <c r="B281" s="468" t="s">
        <v>308</v>
      </c>
      <c r="D281" s="1267" t="s">
        <v>1220</v>
      </c>
      <c r="E281" s="1267"/>
      <c r="F281" s="1267"/>
    </row>
    <row r="282" spans="1:6" ht="12.9">
      <c r="A282" s="176"/>
      <c r="B282" s="176"/>
      <c r="D282" s="1267"/>
      <c r="E282" s="1267"/>
      <c r="F282" s="1267"/>
    </row>
    <row r="283" spans="1:6" ht="12.9">
      <c r="A283" s="176"/>
      <c r="B283" s="176"/>
      <c r="D283" s="1267"/>
      <c r="E283" s="1267"/>
      <c r="F283" s="1267"/>
    </row>
    <row r="284" spans="1:6" ht="12.9">
      <c r="A284" s="176"/>
      <c r="B284" s="176"/>
      <c r="D284" s="1267"/>
      <c r="E284" s="1267"/>
      <c r="F284" s="1267"/>
    </row>
    <row r="285" spans="1:6" ht="12.9">
      <c r="A285" s="176"/>
      <c r="B285" s="176"/>
      <c r="D285" s="1267"/>
      <c r="E285" s="1267"/>
      <c r="F285" s="1267"/>
    </row>
    <row r="286" spans="1:6" ht="12.9">
      <c r="A286" s="176"/>
      <c r="B286" s="176"/>
      <c r="D286" s="1267"/>
      <c r="E286" s="1267"/>
      <c r="F286" s="1267"/>
    </row>
    <row r="287" spans="1:6" ht="12.9">
      <c r="A287" s="176"/>
      <c r="B287" s="176"/>
      <c r="D287" s="1267"/>
      <c r="E287" s="1267"/>
      <c r="F287" s="1267"/>
    </row>
    <row r="288" spans="1:6" ht="12.9">
      <c r="A288" s="176"/>
      <c r="B288" s="176"/>
      <c r="D288" s="1267"/>
      <c r="E288" s="1267"/>
      <c r="F288" s="1267"/>
    </row>
    <row r="289" spans="1:6" ht="12.9">
      <c r="A289" s="176"/>
      <c r="B289" s="176"/>
      <c r="D289" s="1267"/>
      <c r="E289" s="1267"/>
      <c r="F289" s="1267"/>
    </row>
    <row r="290" spans="1:6" ht="12.9">
      <c r="A290" s="176"/>
      <c r="B290" s="176"/>
      <c r="D290" s="1267"/>
      <c r="E290" s="1267"/>
      <c r="F290" s="1267"/>
    </row>
    <row r="291" spans="1:6" ht="12.9">
      <c r="A291" s="176"/>
      <c r="B291" s="176"/>
      <c r="D291" s="1267"/>
      <c r="E291" s="1267"/>
      <c r="F291" s="1267"/>
    </row>
    <row r="292" spans="1:6" ht="12.9">
      <c r="A292" s="176"/>
      <c r="B292" s="176"/>
      <c r="D292" s="1267"/>
      <c r="E292" s="1267"/>
      <c r="F292" s="1267"/>
    </row>
    <row r="293" spans="1:6" ht="12.9">
      <c r="A293" s="176"/>
      <c r="B293" s="176"/>
      <c r="D293" s="1267"/>
      <c r="E293" s="1267"/>
      <c r="F293" s="1267"/>
    </row>
    <row r="294" spans="1:6" ht="12.9">
      <c r="A294" s="176"/>
      <c r="B294" s="176"/>
      <c r="D294" s="1267"/>
      <c r="E294" s="1267"/>
      <c r="F294" s="1267"/>
    </row>
    <row r="295" spans="1:6" ht="12.9">
      <c r="A295" s="176"/>
      <c r="B295" s="176"/>
      <c r="D295" s="1267"/>
      <c r="E295" s="1267"/>
      <c r="F295" s="1267"/>
    </row>
    <row r="296" spans="1:6">
      <c r="D296" s="35"/>
      <c r="E296" s="35"/>
      <c r="F296" s="35"/>
    </row>
    <row r="297" spans="1:6" ht="12.9">
      <c r="A297" s="176"/>
      <c r="B297" s="468" t="s">
        <v>308</v>
      </c>
      <c r="D297" s="1267" t="s">
        <v>1221</v>
      </c>
      <c r="E297" s="1267"/>
      <c r="F297" s="1267"/>
    </row>
    <row r="298" spans="1:6">
      <c r="D298" s="1267"/>
      <c r="E298" s="1267"/>
      <c r="F298" s="1267"/>
    </row>
    <row r="299" spans="1:6">
      <c r="D299" s="1267"/>
      <c r="E299" s="1267"/>
      <c r="F299" s="1267"/>
    </row>
    <row r="300" spans="1:6">
      <c r="D300" s="1267"/>
      <c r="E300" s="1267"/>
      <c r="F300" s="1267"/>
    </row>
    <row r="301" spans="1:6">
      <c r="D301" s="1267"/>
      <c r="E301" s="1267"/>
      <c r="F301" s="1267"/>
    </row>
    <row r="302" spans="1:6">
      <c r="D302" s="1267"/>
      <c r="E302" s="1267"/>
      <c r="F302" s="1267"/>
    </row>
    <row r="303" spans="1:6">
      <c r="D303" s="1267"/>
      <c r="E303" s="1267"/>
      <c r="F303" s="1267"/>
    </row>
    <row r="304" spans="1:6">
      <c r="D304" s="1267"/>
      <c r="E304" s="1267"/>
      <c r="F304" s="1267"/>
    </row>
    <row r="305" spans="1:7">
      <c r="D305" s="1267"/>
      <c r="E305" s="1267"/>
      <c r="F305" s="1267"/>
    </row>
    <row r="306" spans="1:7">
      <c r="D306" s="35"/>
      <c r="E306" s="35"/>
      <c r="F306" s="35"/>
    </row>
    <row r="307" spans="1:7" ht="12.9">
      <c r="A307" s="176"/>
      <c r="B307" s="468" t="s">
        <v>308</v>
      </c>
      <c r="D307" s="1267" t="s">
        <v>1222</v>
      </c>
      <c r="E307" s="1267"/>
      <c r="F307" s="1267"/>
    </row>
    <row r="308" spans="1:7">
      <c r="D308" s="1267"/>
      <c r="E308" s="1267"/>
      <c r="F308" s="1267"/>
      <c r="G308"/>
    </row>
    <row r="309" spans="1:7">
      <c r="D309" s="1267"/>
      <c r="E309" s="1267"/>
      <c r="F309" s="1267"/>
      <c r="G309"/>
    </row>
    <row r="310" spans="1:7">
      <c r="D310" s="1267"/>
      <c r="E310" s="1267"/>
      <c r="F310" s="1267"/>
      <c r="G310"/>
    </row>
    <row r="311" spans="1:7">
      <c r="D311" s="1267"/>
      <c r="E311" s="1267"/>
      <c r="F311" s="1267"/>
      <c r="G311"/>
    </row>
    <row r="312" spans="1:7">
      <c r="D312" s="1267"/>
      <c r="E312" s="1267"/>
      <c r="F312" s="1267"/>
      <c r="G312"/>
    </row>
    <row r="313" spans="1:7">
      <c r="D313" s="474"/>
      <c r="E313" s="474"/>
      <c r="F313" s="474"/>
      <c r="G313"/>
    </row>
    <row r="314" spans="1:7" ht="12.9" thickBot="1">
      <c r="D314" s="1313" t="s">
        <v>999</v>
      </c>
      <c r="E314" s="1313"/>
      <c r="F314" s="1313"/>
      <c r="G314"/>
    </row>
    <row r="315" spans="1:7" ht="12.9" thickTop="1">
      <c r="D315" s="1314" t="s">
        <v>1223</v>
      </c>
      <c r="E315" s="1314"/>
      <c r="F315" s="1314"/>
      <c r="G315"/>
    </row>
    <row r="316" spans="1:7">
      <c r="A316" s="218"/>
      <c r="B316" s="218"/>
      <c r="C316" s="218"/>
      <c r="D316" s="220"/>
      <c r="E316" s="220"/>
      <c r="F316" s="35"/>
      <c r="G316"/>
    </row>
    <row r="317" spans="1:7" ht="12.9">
      <c r="A317" s="176"/>
      <c r="B317" s="468" t="s">
        <v>308</v>
      </c>
      <c r="C317" s="218"/>
      <c r="D317" s="1315" t="s">
        <v>1224</v>
      </c>
      <c r="E317" s="1315"/>
      <c r="F317" s="1315"/>
      <c r="G317"/>
    </row>
    <row r="318" spans="1:7">
      <c r="A318" s="218"/>
      <c r="B318" s="218"/>
      <c r="C318" s="218"/>
      <c r="D318" s="220"/>
      <c r="E318" s="220"/>
      <c r="F318" s="35"/>
      <c r="G318"/>
    </row>
    <row r="319" spans="1:7">
      <c r="A319" s="218"/>
      <c r="B319" s="468" t="s">
        <v>308</v>
      </c>
      <c r="C319" s="218"/>
      <c r="D319" s="1270" t="s">
        <v>1225</v>
      </c>
      <c r="E319" s="1270"/>
      <c r="F319" s="1270"/>
      <c r="G319"/>
    </row>
    <row r="320" spans="1:7">
      <c r="A320" s="218"/>
      <c r="B320" s="218"/>
      <c r="C320" s="218"/>
      <c r="D320" s="1270"/>
      <c r="E320" s="1270"/>
      <c r="F320" s="1270"/>
      <c r="G320"/>
    </row>
    <row r="321" spans="1:7">
      <c r="A321" s="218"/>
      <c r="B321" s="218"/>
      <c r="C321" s="218"/>
      <c r="D321" s="1270"/>
      <c r="E321" s="1270"/>
      <c r="F321" s="1270"/>
      <c r="G321"/>
    </row>
    <row r="322" spans="1:7">
      <c r="A322" s="218"/>
      <c r="B322" s="218"/>
      <c r="C322" s="218"/>
      <c r="D322" s="1270"/>
      <c r="E322" s="1270"/>
      <c r="F322" s="1270"/>
      <c r="G322"/>
    </row>
    <row r="323" spans="1:7">
      <c r="A323" s="218"/>
      <c r="B323" s="218"/>
      <c r="C323" s="218"/>
      <c r="D323" s="1270"/>
      <c r="E323" s="1270"/>
      <c r="F323" s="1270"/>
      <c r="G323"/>
    </row>
    <row r="324" spans="1:7">
      <c r="A324" s="218"/>
      <c r="B324" s="218"/>
      <c r="C324" s="218"/>
      <c r="D324" s="1270"/>
      <c r="E324" s="1270"/>
      <c r="F324" s="1270"/>
      <c r="G324"/>
    </row>
    <row r="325" spans="1:7">
      <c r="A325" s="218"/>
      <c r="B325" s="218"/>
      <c r="C325" s="218"/>
      <c r="D325" s="1270"/>
      <c r="E325" s="1270"/>
      <c r="F325" s="1270"/>
      <c r="G325"/>
    </row>
    <row r="326" spans="1:7">
      <c r="A326" s="218"/>
      <c r="B326" s="218"/>
      <c r="C326" s="218"/>
      <c r="D326" s="1270"/>
      <c r="E326" s="1270"/>
      <c r="F326" s="1270"/>
      <c r="G326"/>
    </row>
    <row r="327" spans="1:7">
      <c r="A327" s="218"/>
      <c r="B327" s="218"/>
      <c r="C327" s="218"/>
      <c r="D327" s="1270"/>
      <c r="E327" s="1270"/>
      <c r="F327" s="1270"/>
      <c r="G327"/>
    </row>
    <row r="328" spans="1:7">
      <c r="A328" s="218"/>
      <c r="B328" s="218"/>
      <c r="C328" s="218"/>
      <c r="D328" s="1270"/>
      <c r="E328" s="1270"/>
      <c r="F328" s="1270"/>
      <c r="G328"/>
    </row>
    <row r="329" spans="1:7">
      <c r="A329" s="218"/>
      <c r="B329" s="218"/>
      <c r="C329" s="218"/>
      <c r="D329" s="1270"/>
      <c r="E329" s="1270"/>
      <c r="F329" s="1270"/>
      <c r="G329"/>
    </row>
    <row r="330" spans="1:7">
      <c r="A330" s="218"/>
      <c r="B330" s="218"/>
      <c r="C330" s="218"/>
      <c r="D330"/>
      <c r="E330" s="220"/>
      <c r="F330" s="35"/>
      <c r="G330"/>
    </row>
    <row r="331" spans="1:7" ht="12.9">
      <c r="A331" s="176"/>
      <c r="B331" s="468" t="s">
        <v>308</v>
      </c>
      <c r="C331" s="218"/>
      <c r="D331" s="1270" t="s">
        <v>1226</v>
      </c>
      <c r="E331" s="1270"/>
      <c r="F331" s="1270"/>
      <c r="G331"/>
    </row>
    <row r="332" spans="1:7">
      <c r="A332" s="218"/>
      <c r="B332" s="218"/>
      <c r="C332" s="218"/>
      <c r="D332" s="1270"/>
      <c r="E332" s="1270"/>
      <c r="F332" s="1270"/>
      <c r="G332"/>
    </row>
    <row r="333" spans="1:7">
      <c r="A333" s="218"/>
      <c r="B333" s="218"/>
      <c r="C333" s="218"/>
      <c r="D333" s="1270"/>
      <c r="E333" s="1270"/>
      <c r="F333" s="1270"/>
      <c r="G333"/>
    </row>
    <row r="334" spans="1:7">
      <c r="A334" s="218"/>
      <c r="B334" s="218"/>
      <c r="C334" s="218"/>
      <c r="D334" s="1270"/>
      <c r="E334" s="1270"/>
      <c r="F334" s="1270"/>
      <c r="G334"/>
    </row>
    <row r="335" spans="1:7">
      <c r="A335" s="218"/>
      <c r="B335" s="218"/>
      <c r="C335" s="218"/>
      <c r="D335" s="220"/>
      <c r="E335" s="220"/>
      <c r="F335" s="35"/>
      <c r="G335"/>
    </row>
    <row r="336" spans="1:7">
      <c r="A336" s="218"/>
      <c r="B336" s="218"/>
      <c r="C336" s="218"/>
      <c r="D336" s="1270" t="s">
        <v>1227</v>
      </c>
      <c r="E336" s="1270"/>
      <c r="F336" s="1270"/>
      <c r="G336"/>
    </row>
    <row r="337" spans="1:7">
      <c r="A337" s="218"/>
      <c r="B337" s="218"/>
      <c r="C337" s="218"/>
      <c r="D337" s="1270"/>
      <c r="E337" s="1270"/>
      <c r="F337" s="1270"/>
      <c r="G337"/>
    </row>
    <row r="338" spans="1:7">
      <c r="A338" s="218"/>
      <c r="B338" s="218"/>
      <c r="C338" s="218"/>
      <c r="D338" s="1270"/>
      <c r="E338" s="1270"/>
      <c r="F338" s="1270"/>
      <c r="G338"/>
    </row>
    <row r="339" spans="1:7">
      <c r="A339" s="218"/>
      <c r="B339" s="218"/>
      <c r="C339" s="218"/>
      <c r="D339" s="1270"/>
      <c r="E339" s="1270"/>
      <c r="F339" s="1270"/>
      <c r="G339"/>
    </row>
    <row r="340" spans="1:7" ht="18" customHeight="1">
      <c r="A340" s="218"/>
      <c r="B340" s="218"/>
      <c r="C340" s="218"/>
      <c r="D340" s="1270"/>
      <c r="E340" s="1270"/>
      <c r="F340" s="1270"/>
      <c r="G340"/>
    </row>
    <row r="341" spans="1:7">
      <c r="A341" s="218"/>
      <c r="B341" s="218"/>
      <c r="C341" s="218"/>
      <c r="D341" s="1270"/>
      <c r="E341" s="1270"/>
      <c r="F341" s="1270"/>
      <c r="G341"/>
    </row>
    <row r="342" spans="1:7">
      <c r="A342" s="218"/>
      <c r="B342" s="218"/>
      <c r="C342" s="218"/>
      <c r="D342" s="1270"/>
      <c r="E342" s="1270"/>
      <c r="F342" s="1270"/>
      <c r="G342"/>
    </row>
    <row r="343" spans="1:7">
      <c r="A343" s="218"/>
      <c r="B343" s="218"/>
      <c r="C343" s="218"/>
      <c r="D343" s="1270"/>
      <c r="E343" s="1270"/>
      <c r="F343" s="1270"/>
      <c r="G343"/>
    </row>
    <row r="344" spans="1:7" ht="8.25" customHeight="1">
      <c r="A344" s="218"/>
      <c r="B344" s="218"/>
      <c r="C344" s="218"/>
      <c r="D344" s="1270"/>
      <c r="E344" s="1270"/>
      <c r="F344" s="1270"/>
      <c r="G344"/>
    </row>
    <row r="345" spans="1:7" ht="13.3" customHeight="1">
      <c r="A345" s="218"/>
      <c r="B345" s="218"/>
      <c r="C345" s="218"/>
      <c r="D345" s="1270" t="s">
        <v>1228</v>
      </c>
      <c r="E345" s="1270"/>
      <c r="F345" s="1270"/>
      <c r="G345"/>
    </row>
    <row r="346" spans="1:7">
      <c r="A346" s="218"/>
      <c r="B346" s="218"/>
      <c r="C346" s="218"/>
      <c r="D346" s="1270"/>
      <c r="E346" s="1270"/>
      <c r="F346" s="1270"/>
      <c r="G346"/>
    </row>
    <row r="347" spans="1:7">
      <c r="A347" s="218"/>
      <c r="B347" s="218"/>
      <c r="C347" s="218"/>
      <c r="D347" s="1270"/>
      <c r="E347" s="1270"/>
      <c r="F347" s="1270"/>
      <c r="G347"/>
    </row>
    <row r="348" spans="1:7">
      <c r="A348" s="218"/>
      <c r="B348" s="218"/>
      <c r="C348" s="218"/>
      <c r="D348" s="1270"/>
      <c r="E348" s="1270"/>
      <c r="F348" s="1270"/>
      <c r="G348"/>
    </row>
    <row r="349" spans="1:7">
      <c r="A349" s="218"/>
      <c r="B349" s="218"/>
      <c r="C349" s="218"/>
      <c r="D349" s="1270"/>
      <c r="E349" s="1270"/>
      <c r="F349" s="1270"/>
      <c r="G349"/>
    </row>
    <row r="350" spans="1:7">
      <c r="A350" s="218"/>
      <c r="B350" s="218"/>
      <c r="C350" s="218"/>
      <c r="D350" s="1270"/>
      <c r="E350" s="1270"/>
      <c r="F350" s="1270"/>
      <c r="G350"/>
    </row>
    <row r="351" spans="1:7">
      <c r="A351" s="218"/>
      <c r="B351" s="218"/>
      <c r="C351" s="218"/>
      <c r="D351" s="1270"/>
      <c r="E351" s="1270"/>
      <c r="F351" s="1270"/>
      <c r="G351"/>
    </row>
    <row r="352" spans="1:7">
      <c r="A352" s="218"/>
      <c r="B352" s="218"/>
      <c r="C352" s="218"/>
      <c r="D352" s="1270"/>
      <c r="E352" s="1270"/>
      <c r="F352" s="1270"/>
      <c r="G352"/>
    </row>
    <row r="353" spans="1:7">
      <c r="A353" s="218"/>
      <c r="B353" s="218"/>
      <c r="C353" s="218"/>
      <c r="D353" s="1270"/>
      <c r="E353" s="1270"/>
      <c r="F353" s="1270"/>
      <c r="G353"/>
    </row>
    <row r="354" spans="1:7">
      <c r="A354" s="218"/>
      <c r="B354" s="218"/>
      <c r="C354" s="218"/>
      <c r="D354" s="1270"/>
      <c r="E354" s="1270"/>
      <c r="F354" s="1270"/>
      <c r="G354"/>
    </row>
    <row r="355" spans="1:7">
      <c r="A355" s="218"/>
      <c r="B355" s="218"/>
      <c r="C355" s="218"/>
      <c r="D355" s="1270"/>
      <c r="E355" s="1270"/>
      <c r="F355" s="1270"/>
      <c r="G355"/>
    </row>
    <row r="356" spans="1:7">
      <c r="A356" s="218"/>
      <c r="B356" s="218"/>
      <c r="C356" s="218"/>
      <c r="D356" s="1270"/>
      <c r="E356" s="1270"/>
      <c r="F356" s="1270"/>
      <c r="G356"/>
    </row>
    <row r="357" spans="1:7">
      <c r="A357" s="218"/>
      <c r="B357" s="218"/>
      <c r="C357" s="347"/>
      <c r="D357" s="1270"/>
      <c r="E357" s="1270"/>
      <c r="F357" s="1270"/>
      <c r="G357"/>
    </row>
    <row r="358" spans="1:7">
      <c r="A358" s="218"/>
      <c r="B358" s="218"/>
      <c r="C358" s="347"/>
      <c r="D358" s="1270"/>
      <c r="E358" s="1270"/>
      <c r="F358" s="1270"/>
      <c r="G358"/>
    </row>
    <row r="359" spans="1:7">
      <c r="A359" s="218"/>
      <c r="B359" s="218"/>
      <c r="C359" s="218"/>
      <c r="D359" s="1270"/>
      <c r="E359" s="1270"/>
      <c r="F359" s="1270"/>
      <c r="G359"/>
    </row>
    <row r="360" spans="1:7">
      <c r="A360" s="218"/>
      <c r="B360" s="218"/>
      <c r="C360" s="347"/>
      <c r="D360" s="1270"/>
      <c r="E360" s="1270"/>
      <c r="F360" s="1270"/>
      <c r="G360"/>
    </row>
    <row r="361" spans="1:7">
      <c r="A361" s="218"/>
      <c r="B361" s="218"/>
      <c r="C361" s="347"/>
      <c r="D361" s="1270"/>
      <c r="E361" s="1270"/>
      <c r="F361" s="1270"/>
      <c r="G361"/>
    </row>
    <row r="362" spans="1:7">
      <c r="A362" s="218"/>
      <c r="B362" s="218"/>
      <c r="C362" s="347"/>
      <c r="D362" s="1270"/>
      <c r="E362" s="1270"/>
      <c r="F362" s="1270"/>
      <c r="G362"/>
    </row>
    <row r="363" spans="1:7">
      <c r="A363" s="218"/>
      <c r="B363" s="218"/>
      <c r="C363" s="218"/>
      <c r="D363" s="220"/>
      <c r="E363" s="220"/>
      <c r="F363" s="35"/>
      <c r="G363"/>
    </row>
    <row r="364" spans="1:7">
      <c r="A364" s="218"/>
      <c r="B364" s="468" t="s">
        <v>308</v>
      </c>
      <c r="C364" s="218"/>
      <c r="D364" s="1270" t="s">
        <v>1229</v>
      </c>
      <c r="E364" s="1270"/>
      <c r="F364" s="1270"/>
      <c r="G364"/>
    </row>
    <row r="365" spans="1:7">
      <c r="A365" s="218"/>
      <c r="B365" s="218"/>
      <c r="C365" s="218"/>
      <c r="D365" s="1270"/>
      <c r="E365" s="1270"/>
      <c r="F365" s="1270"/>
      <c r="G365"/>
    </row>
    <row r="366" spans="1:7">
      <c r="A366" s="218"/>
      <c r="B366" s="218"/>
      <c r="C366" s="218"/>
      <c r="D366" s="220"/>
      <c r="E366" s="220"/>
      <c r="F366" s="35"/>
      <c r="G366"/>
    </row>
    <row r="367" spans="1:7" ht="12.9">
      <c r="A367" s="176"/>
      <c r="B367" s="468" t="s">
        <v>308</v>
      </c>
      <c r="C367" s="218"/>
      <c r="D367" s="1270" t="s">
        <v>1230</v>
      </c>
      <c r="E367" s="1270"/>
      <c r="F367" s="1270"/>
      <c r="G367"/>
    </row>
    <row r="368" spans="1:7" ht="12.9">
      <c r="A368" s="346"/>
      <c r="B368" s="346"/>
      <c r="C368" s="218"/>
      <c r="D368" s="1270"/>
      <c r="E368" s="1270"/>
      <c r="F368" s="1270"/>
      <c r="G368"/>
    </row>
    <row r="369" spans="1:7" ht="12.9">
      <c r="A369" s="346"/>
      <c r="B369" s="346"/>
      <c r="C369" s="218"/>
      <c r="D369" s="1270"/>
      <c r="E369" s="1270"/>
      <c r="F369" s="1270"/>
      <c r="G369"/>
    </row>
    <row r="370" spans="1:7" ht="12.9">
      <c r="A370" s="346"/>
      <c r="B370" s="346"/>
      <c r="C370" s="218"/>
      <c r="D370" s="1270"/>
      <c r="E370" s="1270"/>
      <c r="F370" s="1270"/>
      <c r="G370"/>
    </row>
    <row r="371" spans="1:7" ht="12.9">
      <c r="A371" s="346"/>
      <c r="B371" s="346"/>
      <c r="C371" s="218"/>
      <c r="D371" s="1270"/>
      <c r="E371" s="1270"/>
      <c r="F371" s="1270"/>
      <c r="G371"/>
    </row>
    <row r="372" spans="1:7">
      <c r="D372" s="35"/>
      <c r="E372" s="35"/>
      <c r="F372" s="35"/>
      <c r="G372"/>
    </row>
    <row r="373" spans="1:7" ht="12.9">
      <c r="A373" s="176"/>
      <c r="B373" s="468" t="s">
        <v>308</v>
      </c>
      <c r="C373" s="179"/>
      <c r="D373" s="1267" t="s">
        <v>1231</v>
      </c>
      <c r="E373" s="1267"/>
      <c r="F373" s="1267"/>
      <c r="G373"/>
    </row>
    <row r="374" spans="1:7" ht="12.9">
      <c r="A374" s="176"/>
      <c r="B374" s="176"/>
      <c r="D374" s="1267"/>
      <c r="E374" s="1267"/>
      <c r="F374" s="1267"/>
      <c r="G374"/>
    </row>
    <row r="375" spans="1:7">
      <c r="D375" s="1267"/>
      <c r="E375" s="1267"/>
      <c r="F375" s="1267"/>
      <c r="G375"/>
    </row>
    <row r="376" spans="1:7">
      <c r="D376" s="1267"/>
      <c r="E376" s="1267"/>
      <c r="F376" s="1267"/>
      <c r="G376"/>
    </row>
    <row r="377" spans="1:7">
      <c r="D377" s="1267"/>
      <c r="E377" s="1267"/>
      <c r="F377" s="1267"/>
      <c r="G377"/>
    </row>
    <row r="378" spans="1:7">
      <c r="D378" s="1267"/>
      <c r="E378" s="1267"/>
      <c r="F378" s="1267"/>
      <c r="G378"/>
    </row>
    <row r="379" spans="1:7">
      <c r="D379" s="1267"/>
      <c r="E379" s="1267"/>
      <c r="F379" s="1267"/>
      <c r="G379"/>
    </row>
    <row r="380" spans="1:7">
      <c r="D380" s="1267"/>
      <c r="E380" s="1267"/>
      <c r="F380" s="1267"/>
      <c r="G380"/>
    </row>
    <row r="381" spans="1:7">
      <c r="D381" s="1267"/>
      <c r="E381" s="1267"/>
      <c r="F381" s="1267"/>
      <c r="G381"/>
    </row>
    <row r="382" spans="1:7">
      <c r="D382" s="1267"/>
      <c r="E382" s="1267"/>
      <c r="F382" s="1267"/>
      <c r="G382"/>
    </row>
    <row r="383" spans="1:7">
      <c r="D383" s="1267"/>
      <c r="E383" s="1267"/>
      <c r="F383" s="1267"/>
      <c r="G383"/>
    </row>
    <row r="384" spans="1:7">
      <c r="D384" s="1267"/>
      <c r="E384" s="1267"/>
      <c r="F384" s="1267"/>
      <c r="G384"/>
    </row>
    <row r="385" spans="1:7">
      <c r="D385" s="1267"/>
      <c r="E385" s="1267"/>
      <c r="F385" s="1267"/>
      <c r="G385"/>
    </row>
    <row r="386" spans="1:7">
      <c r="A386"/>
      <c r="B386"/>
      <c r="C386"/>
      <c r="D386" s="1267"/>
      <c r="E386" s="1267"/>
      <c r="F386" s="1267"/>
      <c r="G386"/>
    </row>
    <row r="387" spans="1:7">
      <c r="A387"/>
      <c r="B387"/>
      <c r="C387"/>
      <c r="D387" s="1267"/>
      <c r="E387" s="1267"/>
      <c r="F387" s="1267"/>
      <c r="G387"/>
    </row>
    <row r="388" spans="1:7">
      <c r="A388"/>
      <c r="B388"/>
      <c r="C388"/>
      <c r="D388" s="1267"/>
      <c r="E388" s="1267"/>
      <c r="F388" s="1267"/>
      <c r="G388"/>
    </row>
    <row r="389" spans="1:7">
      <c r="A389"/>
      <c r="B389"/>
      <c r="C389"/>
      <c r="D389" s="1267"/>
      <c r="E389" s="1267"/>
      <c r="F389" s="1267"/>
      <c r="G389"/>
    </row>
    <row r="390" spans="1:7">
      <c r="A390"/>
      <c r="B390"/>
      <c r="C390"/>
      <c r="D390" s="1267"/>
      <c r="E390" s="1267"/>
      <c r="F390" s="1267"/>
      <c r="G390"/>
    </row>
    <row r="391" spans="1:7">
      <c r="A391"/>
      <c r="B391"/>
      <c r="C391"/>
      <c r="D391" s="1267"/>
      <c r="E391" s="1267"/>
      <c r="F391" s="1267"/>
      <c r="G391"/>
    </row>
    <row r="392" spans="1:7">
      <c r="A392"/>
      <c r="B392"/>
      <c r="C392"/>
      <c r="D392" s="1267"/>
      <c r="E392" s="1267"/>
      <c r="F392" s="1267"/>
      <c r="G392"/>
    </row>
    <row r="393" spans="1:7">
      <c r="A393"/>
      <c r="B393"/>
      <c r="C393"/>
      <c r="D393" s="1267"/>
      <c r="E393" s="1267"/>
      <c r="F393" s="1267"/>
      <c r="G393"/>
    </row>
    <row r="394" spans="1:7">
      <c r="A394"/>
      <c r="B394"/>
      <c r="C394"/>
      <c r="D394" s="1267"/>
      <c r="E394" s="1267"/>
      <c r="F394" s="1267"/>
      <c r="G394"/>
    </row>
    <row r="395" spans="1:7">
      <c r="A395"/>
      <c r="B395"/>
      <c r="C395"/>
      <c r="D395" s="1267"/>
      <c r="E395" s="1267"/>
      <c r="F395" s="1267"/>
      <c r="G395"/>
    </row>
    <row r="396" spans="1:7">
      <c r="A396"/>
      <c r="B396"/>
      <c r="C396"/>
      <c r="D396" s="1267"/>
      <c r="E396" s="1267"/>
      <c r="F396" s="1267"/>
      <c r="G396"/>
    </row>
    <row r="397" spans="1:7">
      <c r="A397"/>
      <c r="B397"/>
      <c r="C397"/>
      <c r="D397" s="1267"/>
      <c r="E397" s="1267"/>
      <c r="F397" s="1267"/>
      <c r="G397"/>
    </row>
    <row r="398" spans="1:7">
      <c r="A398"/>
      <c r="B398"/>
      <c r="C398"/>
      <c r="D398" s="1267"/>
      <c r="E398" s="1267"/>
      <c r="F398" s="1267"/>
      <c r="G398"/>
    </row>
    <row r="399" spans="1:7">
      <c r="A399"/>
      <c r="B399"/>
      <c r="C399"/>
      <c r="D399" s="1267"/>
      <c r="E399" s="1267"/>
      <c r="F399" s="1267"/>
      <c r="G399"/>
    </row>
    <row r="400" spans="1:7">
      <c r="A400"/>
      <c r="B400"/>
      <c r="C400"/>
      <c r="D400" s="1267"/>
      <c r="E400" s="1267"/>
      <c r="F400" s="1267"/>
      <c r="G400"/>
    </row>
    <row r="401" spans="1:7">
      <c r="A401"/>
      <c r="B401"/>
      <c r="C401"/>
      <c r="D401" s="1267"/>
      <c r="E401" s="1267"/>
      <c r="F401" s="1267"/>
      <c r="G401"/>
    </row>
    <row r="402" spans="1:7">
      <c r="D402" s="1267"/>
      <c r="E402" s="1267"/>
      <c r="F402" s="1267"/>
    </row>
    <row r="403" spans="1:7" ht="40.75" customHeight="1">
      <c r="D403" s="1267"/>
      <c r="E403" s="1267"/>
      <c r="F403" s="1267"/>
    </row>
    <row r="404" spans="1:7">
      <c r="D404" s="35"/>
      <c r="E404" s="35"/>
      <c r="F404" s="35"/>
    </row>
    <row r="405" spans="1:7" ht="12.9">
      <c r="A405" s="176"/>
      <c r="B405" s="468" t="s">
        <v>308</v>
      </c>
      <c r="C405" s="179"/>
      <c r="D405" s="1287" t="s">
        <v>1232</v>
      </c>
      <c r="E405" s="1287"/>
      <c r="F405" s="1287"/>
    </row>
    <row r="406" spans="1:7">
      <c r="D406" s="1312" t="s">
        <v>1007</v>
      </c>
      <c r="E406" s="1312"/>
      <c r="F406" s="1312"/>
    </row>
    <row r="407" spans="1:7">
      <c r="D407" s="1267" t="s">
        <v>1233</v>
      </c>
      <c r="E407" s="1267"/>
      <c r="F407" s="1267"/>
    </row>
    <row r="408" spans="1:7">
      <c r="D408" s="1267"/>
      <c r="E408" s="1267"/>
      <c r="F408" s="1267"/>
    </row>
    <row r="409" spans="1:7">
      <c r="D409" s="1267"/>
      <c r="E409" s="1267"/>
      <c r="F409" s="1267"/>
    </row>
    <row r="410" spans="1:7">
      <c r="D410" s="1267"/>
      <c r="E410" s="1267"/>
      <c r="F410" s="1267"/>
    </row>
    <row r="411" spans="1:7">
      <c r="D411" s="35"/>
      <c r="E411" s="35"/>
      <c r="F411" s="35"/>
      <c r="G411"/>
    </row>
    <row r="412" spans="1:7" ht="12.9">
      <c r="A412" s="176"/>
      <c r="B412" s="468" t="s">
        <v>308</v>
      </c>
      <c r="C412" s="179"/>
      <c r="D412" s="1267" t="s">
        <v>1234</v>
      </c>
      <c r="E412" s="1267"/>
      <c r="F412" s="1267"/>
      <c r="G412"/>
    </row>
    <row r="413" spans="1:7">
      <c r="D413" s="1267"/>
      <c r="E413" s="1267"/>
      <c r="F413" s="1267"/>
      <c r="G413"/>
    </row>
    <row r="414" spans="1:7">
      <c r="D414" s="1267"/>
      <c r="E414" s="1267"/>
      <c r="F414" s="1267"/>
      <c r="G414"/>
    </row>
    <row r="415" spans="1:7">
      <c r="D415" s="474"/>
      <c r="E415" s="474"/>
      <c r="F415" s="474"/>
      <c r="G415"/>
    </row>
    <row r="416" spans="1:7" ht="12.9">
      <c r="B416" s="468" t="s">
        <v>308</v>
      </c>
      <c r="C416" s="176"/>
      <c r="D416" s="1267" t="s">
        <v>1235</v>
      </c>
      <c r="E416" s="1267"/>
      <c r="F416" s="1267"/>
      <c r="G416"/>
    </row>
    <row r="417" spans="1:7">
      <c r="D417" s="1267"/>
      <c r="E417" s="1267"/>
      <c r="F417" s="1267"/>
      <c r="G417"/>
    </row>
    <row r="418" spans="1:7">
      <c r="D418" s="35"/>
      <c r="E418" s="35"/>
      <c r="F418" s="35"/>
      <c r="G418"/>
    </row>
    <row r="419" spans="1:7" ht="12.9">
      <c r="B419" s="468" t="s">
        <v>308</v>
      </c>
      <c r="C419" s="176"/>
      <c r="D419" s="1267" t="s">
        <v>1236</v>
      </c>
      <c r="E419" s="1267"/>
      <c r="F419" s="1267"/>
      <c r="G419"/>
    </row>
    <row r="420" spans="1:7">
      <c r="D420" s="1267"/>
      <c r="E420" s="1267"/>
      <c r="F420" s="1267"/>
      <c r="G420"/>
    </row>
    <row r="421" spans="1:7">
      <c r="D421" s="1267"/>
      <c r="E421" s="1267"/>
      <c r="F421" s="1267"/>
      <c r="G421"/>
    </row>
    <row r="422" spans="1:7">
      <c r="D422" s="1267"/>
      <c r="E422" s="1267"/>
      <c r="F422" s="1267"/>
      <c r="G422"/>
    </row>
    <row r="423" spans="1:7">
      <c r="B423" s="468" t="s">
        <v>308</v>
      </c>
      <c r="D423" s="1267"/>
      <c r="E423" s="1267"/>
      <c r="F423" s="1267"/>
      <c r="G423"/>
    </row>
    <row r="424" spans="1:7">
      <c r="A424"/>
      <c r="B424"/>
      <c r="C424"/>
      <c r="D424" s="1267"/>
      <c r="E424" s="1267"/>
      <c r="F424" s="1267"/>
      <c r="G424"/>
    </row>
    <row r="425" spans="1:7">
      <c r="A425"/>
      <c r="C425"/>
      <c r="D425" s="1267"/>
      <c r="E425" s="1267"/>
      <c r="F425" s="1267"/>
      <c r="G425"/>
    </row>
    <row r="426" spans="1:7">
      <c r="A426"/>
      <c r="B426" s="468" t="s">
        <v>308</v>
      </c>
      <c r="C426"/>
      <c r="D426" s="1267"/>
      <c r="E426" s="1267"/>
      <c r="F426" s="1267"/>
      <c r="G426"/>
    </row>
    <row r="427" spans="1:7">
      <c r="A427"/>
      <c r="B427"/>
      <c r="C427"/>
      <c r="D427" s="1267"/>
      <c r="E427" s="1267"/>
      <c r="F427" s="1267"/>
      <c r="G427"/>
    </row>
    <row r="428" spans="1:7">
      <c r="A428"/>
      <c r="C428"/>
      <c r="D428" s="1267"/>
      <c r="E428" s="1267"/>
      <c r="F428" s="1267"/>
      <c r="G428"/>
    </row>
    <row r="429" spans="1:7">
      <c r="A429"/>
      <c r="C429"/>
      <c r="D429" s="1267"/>
      <c r="E429" s="1267"/>
      <c r="F429" s="1267"/>
      <c r="G429"/>
    </row>
    <row r="430" spans="1:7">
      <c r="A430"/>
      <c r="B430" s="468" t="s">
        <v>308</v>
      </c>
      <c r="C430"/>
      <c r="D430" s="1267"/>
      <c r="E430" s="1267"/>
      <c r="F430" s="1267"/>
      <c r="G430"/>
    </row>
    <row r="431" spans="1:7">
      <c r="A431"/>
      <c r="B431"/>
      <c r="C431"/>
      <c r="D431" s="1267"/>
      <c r="E431" s="1267"/>
      <c r="F431" s="1267"/>
      <c r="G431"/>
    </row>
    <row r="432" spans="1:7">
      <c r="A432"/>
      <c r="B432" s="468" t="s">
        <v>308</v>
      </c>
      <c r="C432"/>
      <c r="D432" s="1267"/>
      <c r="E432" s="1267"/>
      <c r="F432" s="1267"/>
      <c r="G432"/>
    </row>
    <row r="433" spans="1:7">
      <c r="A433"/>
      <c r="B433"/>
      <c r="C433"/>
      <c r="D433" s="474"/>
      <c r="E433" s="474"/>
      <c r="F433" s="474"/>
      <c r="G433"/>
    </row>
    <row r="434" spans="1:7">
      <c r="A434"/>
      <c r="B434" s="468" t="s">
        <v>308</v>
      </c>
      <c r="C434"/>
      <c r="D434" s="1267" t="s">
        <v>1237</v>
      </c>
      <c r="E434" s="1267"/>
      <c r="F434" s="1267"/>
      <c r="G434"/>
    </row>
    <row r="435" spans="1:7">
      <c r="A435"/>
      <c r="B435"/>
      <c r="C435"/>
      <c r="D435" s="1267"/>
      <c r="E435" s="1267"/>
      <c r="F435" s="1267"/>
      <c r="G435"/>
    </row>
    <row r="436" spans="1:7">
      <c r="A436"/>
      <c r="B436"/>
      <c r="C436"/>
      <c r="D436" s="1267"/>
      <c r="E436" s="1267"/>
      <c r="F436" s="1267"/>
      <c r="G436"/>
    </row>
    <row r="437" spans="1:7">
      <c r="A437"/>
      <c r="B437"/>
      <c r="C437"/>
      <c r="D437" s="1267"/>
      <c r="E437" s="1267"/>
      <c r="F437" s="1267"/>
      <c r="G437"/>
    </row>
    <row r="438" spans="1:7">
      <c r="D438" s="1267"/>
      <c r="E438" s="1267"/>
      <c r="F438" s="1267"/>
    </row>
    <row r="439" spans="1:7">
      <c r="D439" s="35"/>
      <c r="E439" s="35"/>
      <c r="F439" s="35"/>
    </row>
    <row r="440" spans="1:7">
      <c r="B440" s="468" t="s">
        <v>308</v>
      </c>
      <c r="D440" s="1287" t="s">
        <v>1238</v>
      </c>
      <c r="E440" s="1287"/>
      <c r="F440" s="1287"/>
    </row>
    <row r="441" spans="1:7">
      <c r="A441" s="35"/>
      <c r="B441" s="35"/>
    </row>
    <row r="442" spans="1:7">
      <c r="A442" s="1288" t="s">
        <v>1079</v>
      </c>
      <c r="B442" s="1288"/>
      <c r="C442" s="1288"/>
      <c r="D442" s="1288"/>
      <c r="E442" s="1288"/>
      <c r="F442" s="1288"/>
      <c r="G442" s="1288"/>
    </row>
    <row r="443" spans="1:7">
      <c r="A443" s="35"/>
      <c r="B443" s="35"/>
    </row>
    <row r="444" spans="1:7">
      <c r="D444" s="1318" t="s">
        <v>896</v>
      </c>
      <c r="E444" s="1318"/>
      <c r="F444" s="1318"/>
    </row>
    <row r="445" spans="1:7" ht="12.9">
      <c r="A445" s="176"/>
      <c r="B445" s="176"/>
      <c r="D445" s="1315" t="s">
        <v>1239</v>
      </c>
      <c r="E445" s="1315"/>
      <c r="F445" s="1315"/>
    </row>
    <row r="446" spans="1:7" ht="12.9">
      <c r="A446" s="176"/>
      <c r="B446" s="176"/>
      <c r="D446" s="481"/>
      <c r="E446" s="3"/>
      <c r="F446" s="3"/>
    </row>
    <row r="447" spans="1:7" ht="12.9">
      <c r="A447" s="176"/>
      <c r="B447" s="468" t="s">
        <v>308</v>
      </c>
      <c r="D447" s="1270" t="s">
        <v>1240</v>
      </c>
      <c r="E447" s="1270"/>
      <c r="F447" s="1270"/>
    </row>
    <row r="448" spans="1:7" ht="12.9">
      <c r="A448" s="176"/>
      <c r="B448" s="176"/>
      <c r="D448" s="1270"/>
      <c r="E448" s="1270"/>
      <c r="F448" s="1270"/>
    </row>
    <row r="449" spans="1:7" ht="12.9">
      <c r="A449" s="176"/>
      <c r="B449" s="176"/>
      <c r="D449" s="118"/>
      <c r="E449" s="3"/>
      <c r="F449" s="3"/>
    </row>
    <row r="450" spans="1:7">
      <c r="B450" s="468" t="s">
        <v>308</v>
      </c>
      <c r="D450" s="1304" t="s">
        <v>1241</v>
      </c>
      <c r="E450" s="1304"/>
      <c r="F450" s="1304"/>
    </row>
    <row r="451" spans="1:7" ht="12.9">
      <c r="A451" s="176"/>
      <c r="D451" s="1304"/>
      <c r="E451" s="1304"/>
      <c r="F451" s="1304"/>
    </row>
    <row r="452" spans="1:7" ht="12.9">
      <c r="A452" s="176"/>
      <c r="B452" s="176"/>
      <c r="D452" s="1304"/>
      <c r="E452" s="1304"/>
      <c r="F452" s="1304"/>
    </row>
    <row r="453" spans="1:7" ht="12.9">
      <c r="A453" s="176"/>
      <c r="B453" s="176"/>
      <c r="D453" s="1304"/>
      <c r="E453" s="1304"/>
      <c r="F453" s="1304"/>
    </row>
    <row r="454" spans="1:7">
      <c r="D454" s="3"/>
      <c r="E454" s="3"/>
      <c r="F454" s="3"/>
      <c r="G454"/>
    </row>
    <row r="455" spans="1:7" ht="12.9">
      <c r="A455" s="176"/>
      <c r="B455" s="468" t="s">
        <v>308</v>
      </c>
      <c r="D455" s="1267" t="s">
        <v>1242</v>
      </c>
      <c r="E455" s="1267"/>
      <c r="F455" s="1267"/>
      <c r="G455"/>
    </row>
    <row r="456" spans="1:7" ht="12.9">
      <c r="A456" s="176"/>
      <c r="B456" s="176"/>
      <c r="D456" s="1267"/>
      <c r="E456" s="1267"/>
      <c r="F456" s="1267"/>
      <c r="G456"/>
    </row>
    <row r="457" spans="1:7" ht="12.9">
      <c r="A457" s="176"/>
      <c r="D457" s="1267"/>
      <c r="E457" s="1267"/>
      <c r="F457" s="1267"/>
      <c r="G457"/>
    </row>
    <row r="458" spans="1:7" ht="12.9">
      <c r="A458" s="176"/>
      <c r="B458" s="176"/>
      <c r="D458" s="3"/>
      <c r="E458" s="3"/>
      <c r="F458" s="3"/>
      <c r="G458"/>
    </row>
    <row r="459" spans="1:7" ht="12.9">
      <c r="A459" s="176"/>
      <c r="B459" s="468" t="s">
        <v>308</v>
      </c>
      <c r="D459" s="1287" t="s">
        <v>1243</v>
      </c>
      <c r="E459" s="1287"/>
      <c r="F459" s="1287"/>
      <c r="G459"/>
    </row>
    <row r="460" spans="1:7" ht="12.9">
      <c r="A460" s="176"/>
      <c r="B460" s="176"/>
      <c r="D460" s="118"/>
      <c r="E460" s="3"/>
      <c r="F460" s="3"/>
      <c r="G460"/>
    </row>
    <row r="461" spans="1:7" ht="12.9">
      <c r="A461" s="176"/>
      <c r="B461" s="468" t="s">
        <v>308</v>
      </c>
      <c r="D461" s="1267" t="s">
        <v>1244</v>
      </c>
      <c r="E461" s="1267"/>
      <c r="F461" s="1267"/>
      <c r="G461"/>
    </row>
    <row r="462" spans="1:7" ht="12.9">
      <c r="A462" s="176"/>
      <c r="D462" s="1267"/>
      <c r="E462" s="1267"/>
      <c r="F462" s="1267"/>
      <c r="G462"/>
    </row>
    <row r="463" spans="1:7">
      <c r="A463" s="13"/>
      <c r="B463" s="13"/>
      <c r="D463" s="481"/>
      <c r="E463" s="3"/>
      <c r="F463" s="3"/>
      <c r="G463"/>
    </row>
    <row r="464" spans="1:7">
      <c r="A464" s="13"/>
      <c r="B464" s="468" t="s">
        <v>308</v>
      </c>
      <c r="D464" s="1287" t="s">
        <v>1245</v>
      </c>
      <c r="E464" s="1287"/>
      <c r="F464" s="1287"/>
      <c r="G464"/>
    </row>
    <row r="465" spans="1:7" ht="12.9">
      <c r="A465" s="176"/>
      <c r="B465" s="176"/>
      <c r="D465" s="35"/>
    </row>
    <row r="466" spans="1:7">
      <c r="A466" s="1288" t="s">
        <v>1080</v>
      </c>
      <c r="B466" s="1288"/>
      <c r="C466" s="1288"/>
      <c r="D466" s="1288"/>
      <c r="E466" s="1288"/>
      <c r="F466" s="1288"/>
      <c r="G466" s="1288"/>
    </row>
    <row r="467" spans="1:7" ht="12" customHeight="1">
      <c r="A467" s="176"/>
      <c r="B467" s="176"/>
      <c r="D467" s="35"/>
    </row>
    <row r="468" spans="1:7">
      <c r="C468" s="172"/>
      <c r="D468" s="1286" t="s">
        <v>803</v>
      </c>
      <c r="E468" s="1286"/>
      <c r="F468" s="1286"/>
    </row>
    <row r="469" spans="1:7" ht="13.3" customHeight="1">
      <c r="A469" s="175"/>
      <c r="B469" s="175"/>
      <c r="C469" s="175"/>
      <c r="D469" s="1319" t="s">
        <v>1123</v>
      </c>
      <c r="E469" s="1319"/>
      <c r="F469" s="1319"/>
    </row>
    <row r="470" spans="1:7">
      <c r="A470" s="175"/>
      <c r="B470" s="175"/>
      <c r="C470" s="175"/>
      <c r="D470" s="1319"/>
      <c r="E470" s="1319"/>
      <c r="F470" s="1319"/>
    </row>
    <row r="471" spans="1:7">
      <c r="A471" s="175"/>
      <c r="B471" s="175"/>
      <c r="C471" s="175"/>
      <c r="D471" s="1319"/>
      <c r="E471" s="1319"/>
      <c r="F471" s="1319"/>
    </row>
    <row r="472" spans="1:7">
      <c r="A472" s="175"/>
      <c r="B472" s="175"/>
      <c r="C472" s="175"/>
      <c r="D472" s="1319"/>
      <c r="E472" s="1319"/>
      <c r="F472" s="1319"/>
    </row>
    <row r="473" spans="1:7">
      <c r="A473" s="175"/>
      <c r="B473" s="175"/>
      <c r="C473" s="175"/>
      <c r="D473" s="1319"/>
      <c r="E473" s="1319"/>
      <c r="F473" s="1319"/>
    </row>
    <row r="474" spans="1:7">
      <c r="A474" s="175"/>
      <c r="B474" s="175"/>
      <c r="C474" s="175"/>
      <c r="D474" s="326"/>
      <c r="F474" s="35"/>
    </row>
    <row r="475" spans="1:7" ht="14.5" customHeight="1">
      <c r="A475" s="176"/>
      <c r="B475" s="468" t="s">
        <v>308</v>
      </c>
      <c r="C475" s="175"/>
      <c r="D475" s="1303" t="s">
        <v>1114</v>
      </c>
      <c r="E475" s="1303"/>
      <c r="F475" s="1303"/>
    </row>
    <row r="476" spans="1:7">
      <c r="A476" s="175"/>
      <c r="B476" s="175"/>
      <c r="C476" s="175"/>
      <c r="D476" s="1303"/>
      <c r="E476" s="1303"/>
      <c r="F476" s="1303"/>
    </row>
    <row r="477" spans="1:7">
      <c r="A477" s="175"/>
      <c r="B477" s="175"/>
      <c r="C477" s="175"/>
      <c r="D477" s="1303"/>
      <c r="E477" s="1303"/>
      <c r="F477" s="1303"/>
    </row>
    <row r="478" spans="1:7">
      <c r="A478" s="175"/>
      <c r="B478" s="175"/>
      <c r="C478" s="175"/>
      <c r="D478" s="1303"/>
      <c r="E478" s="1303"/>
      <c r="F478" s="1303"/>
    </row>
    <row r="479" spans="1:7">
      <c r="A479" s="175"/>
      <c r="B479" s="175"/>
      <c r="C479" s="175"/>
      <c r="D479" s="1303"/>
      <c r="E479" s="1303"/>
      <c r="F479" s="1303"/>
    </row>
    <row r="480" spans="1:7">
      <c r="A480" s="175"/>
      <c r="B480" s="175"/>
      <c r="C480" s="175"/>
      <c r="D480" s="220"/>
      <c r="F480" s="35"/>
    </row>
    <row r="481" spans="1:6" ht="14.5" customHeight="1">
      <c r="A481" s="176"/>
      <c r="B481" s="468" t="s">
        <v>308</v>
      </c>
      <c r="C481" s="175"/>
      <c r="D481" s="1303" t="s">
        <v>1117</v>
      </c>
      <c r="E481" s="1303"/>
      <c r="F481" s="1303"/>
    </row>
    <row r="482" spans="1:6">
      <c r="A482" s="175"/>
      <c r="B482" s="175"/>
      <c r="C482" s="175"/>
      <c r="D482" s="1303"/>
      <c r="E482" s="1303"/>
      <c r="F482" s="1303"/>
    </row>
    <row r="483" spans="1:6">
      <c r="A483" s="175"/>
      <c r="B483" s="175"/>
      <c r="C483" s="175"/>
      <c r="D483" s="1303"/>
      <c r="E483" s="1303"/>
      <c r="F483" s="1303"/>
    </row>
    <row r="484" spans="1:6">
      <c r="A484" s="175"/>
      <c r="B484" s="175"/>
      <c r="C484" s="175"/>
      <c r="D484" s="1303"/>
      <c r="E484" s="1303"/>
      <c r="F484" s="1303"/>
    </row>
    <row r="485" spans="1:6" ht="10" customHeight="1">
      <c r="A485" s="175"/>
      <c r="B485" s="175"/>
      <c r="C485" s="175"/>
      <c r="D485" s="220"/>
      <c r="F485" s="35"/>
    </row>
    <row r="486" spans="1:6" ht="14.5" customHeight="1">
      <c r="A486" s="176"/>
      <c r="B486" s="468" t="s">
        <v>308</v>
      </c>
      <c r="C486" s="175"/>
      <c r="D486" s="1303" t="s">
        <v>1115</v>
      </c>
      <c r="E486" s="1303"/>
      <c r="F486" s="1303"/>
    </row>
    <row r="487" spans="1:6">
      <c r="A487" s="175"/>
      <c r="B487" s="175"/>
      <c r="C487" s="175"/>
      <c r="D487" s="1303"/>
      <c r="E487" s="1303"/>
      <c r="F487" s="1303"/>
    </row>
    <row r="488" spans="1:6">
      <c r="A488" s="175"/>
      <c r="B488" s="175"/>
      <c r="C488" s="175"/>
      <c r="D488" s="1303"/>
      <c r="E488" s="1303"/>
      <c r="F488" s="1303"/>
    </row>
    <row r="489" spans="1:6">
      <c r="A489" s="175"/>
      <c r="B489" s="175"/>
      <c r="C489" s="175"/>
      <c r="D489" s="475"/>
      <c r="E489" s="475"/>
      <c r="F489" s="475"/>
    </row>
    <row r="490" spans="1:6" ht="14.5" customHeight="1">
      <c r="A490" s="176"/>
      <c r="B490" s="468" t="s">
        <v>308</v>
      </c>
      <c r="C490" s="175"/>
      <c r="D490" s="1303" t="s">
        <v>1116</v>
      </c>
      <c r="E490" s="1303"/>
      <c r="F490" s="1303"/>
    </row>
    <row r="491" spans="1:6">
      <c r="A491" s="175"/>
      <c r="B491" s="175"/>
      <c r="C491" s="175"/>
      <c r="D491" s="1303"/>
      <c r="E491" s="1303"/>
      <c r="F491" s="1303"/>
    </row>
    <row r="492" spans="1:6">
      <c r="A492" s="175"/>
      <c r="B492" s="175"/>
      <c r="C492" s="175"/>
      <c r="D492" s="1303"/>
      <c r="E492" s="1303"/>
      <c r="F492" s="1303"/>
    </row>
    <row r="493" spans="1:6">
      <c r="A493" s="175"/>
      <c r="B493" s="175"/>
      <c r="C493" s="175"/>
      <c r="D493" s="1303"/>
      <c r="E493" s="1303"/>
      <c r="F493" s="1303"/>
    </row>
    <row r="494" spans="1:6">
      <c r="A494" s="175"/>
      <c r="B494" s="175"/>
      <c r="C494" s="175"/>
      <c r="D494" s="1303"/>
      <c r="E494" s="1303"/>
      <c r="F494" s="1303"/>
    </row>
    <row r="495" spans="1:6">
      <c r="A495" s="175"/>
      <c r="B495" s="175"/>
      <c r="C495" s="175"/>
      <c r="D495" s="1303"/>
      <c r="E495" s="1303"/>
      <c r="F495" s="1303"/>
    </row>
    <row r="496" spans="1:6">
      <c r="A496" s="175"/>
      <c r="B496" s="175"/>
      <c r="C496" s="175"/>
      <c r="D496" s="1303"/>
      <c r="E496" s="1303"/>
      <c r="F496" s="1303"/>
    </row>
    <row r="497" spans="1:7">
      <c r="A497" s="175"/>
      <c r="B497" s="175"/>
      <c r="C497" s="175"/>
      <c r="D497" s="1303"/>
      <c r="E497" s="1303"/>
      <c r="F497" s="1303"/>
    </row>
    <row r="498" spans="1:7">
      <c r="A498" s="175"/>
      <c r="B498" s="175"/>
      <c r="C498" s="175"/>
      <c r="D498" s="1303"/>
      <c r="E498" s="1303"/>
      <c r="F498" s="1303"/>
    </row>
    <row r="499" spans="1:7">
      <c r="A499" s="175"/>
      <c r="B499" s="175"/>
      <c r="C499" s="175"/>
      <c r="D499" s="220"/>
      <c r="F499" s="35"/>
    </row>
    <row r="500" spans="1:7" ht="13.3" customHeight="1">
      <c r="A500" s="175"/>
      <c r="B500" s="468" t="s">
        <v>308</v>
      </c>
      <c r="C500" s="175"/>
      <c r="D500" s="1270" t="s">
        <v>1260</v>
      </c>
      <c r="E500" s="1270"/>
      <c r="F500" s="1270"/>
    </row>
    <row r="501" spans="1:7">
      <c r="A501" s="175"/>
      <c r="B501" s="175"/>
      <c r="C501" s="175"/>
      <c r="D501" s="1270"/>
      <c r="E501" s="1270"/>
      <c r="F501" s="1270"/>
    </row>
    <row r="502" spans="1:7">
      <c r="A502" s="175"/>
      <c r="B502" s="175"/>
      <c r="C502" s="175"/>
      <c r="D502" s="1270"/>
      <c r="E502" s="1270"/>
      <c r="F502" s="1270"/>
    </row>
    <row r="503" spans="1:7">
      <c r="A503" s="175"/>
      <c r="B503" s="175"/>
      <c r="C503" s="175"/>
      <c r="D503" s="1270"/>
      <c r="E503" s="1270"/>
      <c r="F503" s="1270"/>
    </row>
    <row r="504" spans="1:7">
      <c r="A504" s="175"/>
      <c r="B504" s="175"/>
      <c r="C504" s="175"/>
      <c r="D504" s="1270"/>
      <c r="E504" s="1270"/>
      <c r="F504" s="1270"/>
    </row>
    <row r="505" spans="1:7">
      <c r="A505" s="175"/>
      <c r="B505" s="175"/>
      <c r="C505" s="175"/>
      <c r="D505" s="485"/>
      <c r="E505" s="485"/>
      <c r="F505" s="485"/>
    </row>
    <row r="506" spans="1:7" ht="14.5" customHeight="1">
      <c r="A506" s="176"/>
      <c r="B506" s="468" t="s">
        <v>308</v>
      </c>
      <c r="D506" s="1303" t="s">
        <v>1118</v>
      </c>
      <c r="E506" s="1303"/>
      <c r="F506" s="1303"/>
    </row>
    <row r="507" spans="1:7">
      <c r="D507" s="1303"/>
      <c r="E507" s="1303"/>
      <c r="F507" s="1303"/>
    </row>
    <row r="508" spans="1:7">
      <c r="D508" s="1303"/>
      <c r="E508" s="1303"/>
      <c r="F508" s="1303"/>
    </row>
    <row r="509" spans="1:7" ht="12" customHeight="1">
      <c r="A509" s="35"/>
      <c r="B509" s="35"/>
      <c r="C509" s="179"/>
      <c r="D509" s="35"/>
      <c r="F509" s="57"/>
    </row>
    <row r="510" spans="1:7">
      <c r="A510" s="1288" t="s">
        <v>1081</v>
      </c>
      <c r="B510" s="1288"/>
      <c r="C510" s="1288"/>
      <c r="D510" s="1288"/>
      <c r="E510" s="1288"/>
      <c r="F510" s="1288"/>
      <c r="G510" s="1288"/>
    </row>
    <row r="511" spans="1:7">
      <c r="A511" s="35"/>
      <c r="B511" s="35"/>
      <c r="C511" s="179"/>
      <c r="F511" s="57"/>
    </row>
    <row r="512" spans="1:7">
      <c r="B512" s="1285" t="s">
        <v>449</v>
      </c>
      <c r="C512" s="1285"/>
      <c r="D512" s="1285"/>
      <c r="E512" s="1285"/>
      <c r="F512" s="1285"/>
    </row>
    <row r="513" spans="1:7">
      <c r="A513" s="35"/>
      <c r="B513" s="35"/>
      <c r="C513" s="179"/>
      <c r="D513" s="35"/>
      <c r="F513" s="35"/>
    </row>
    <row r="514" spans="1:7">
      <c r="A514" s="1289" t="s">
        <v>1082</v>
      </c>
      <c r="B514" s="1289"/>
      <c r="C514" s="1289"/>
      <c r="D514" s="1289"/>
      <c r="E514" s="1289"/>
      <c r="F514" s="1289"/>
      <c r="G514" s="1289"/>
    </row>
    <row r="515" spans="1:7">
      <c r="A515" s="35"/>
      <c r="B515" s="35"/>
      <c r="C515" s="179"/>
      <c r="D515" s="35"/>
      <c r="F515" s="35"/>
    </row>
    <row r="516" spans="1:7">
      <c r="C516" s="179"/>
      <c r="D516" s="1286" t="s">
        <v>692</v>
      </c>
      <c r="E516" s="1286"/>
      <c r="F516" s="1286"/>
    </row>
    <row r="517" spans="1:7">
      <c r="C517" s="179"/>
      <c r="D517" s="1287" t="s">
        <v>1139</v>
      </c>
      <c r="E517" s="1287"/>
      <c r="F517" s="1287"/>
    </row>
    <row r="518" spans="1:7">
      <c r="C518" s="179"/>
      <c r="D518" s="118"/>
      <c r="E518" s="118"/>
      <c r="F518" s="118"/>
    </row>
    <row r="519" spans="1:7" ht="13.3" customHeight="1">
      <c r="A519" s="176"/>
      <c r="B519" s="468" t="s">
        <v>308</v>
      </c>
      <c r="C519" s="179"/>
      <c r="D519" s="1287" t="s">
        <v>897</v>
      </c>
      <c r="E519" s="1287"/>
      <c r="F519" s="1287"/>
      <c r="G519"/>
    </row>
    <row r="520" spans="1:7" ht="13.3" customHeight="1">
      <c r="A520" s="179"/>
      <c r="B520" s="179"/>
      <c r="C520" s="179"/>
      <c r="D520" s="118"/>
      <c r="E520"/>
      <c r="F520"/>
      <c r="G520"/>
    </row>
    <row r="521" spans="1:7" ht="12.9">
      <c r="A521" s="176"/>
      <c r="B521" s="468" t="s">
        <v>308</v>
      </c>
      <c r="C521" s="179"/>
      <c r="D521" s="1267" t="s">
        <v>1140</v>
      </c>
      <c r="E521" s="1267"/>
      <c r="F521" s="1267"/>
      <c r="G521"/>
    </row>
    <row r="522" spans="1:7">
      <c r="A522" s="179"/>
      <c r="B522" s="179"/>
      <c r="C522" s="179"/>
      <c r="D522" s="1267"/>
      <c r="E522" s="1267"/>
      <c r="F522" s="1267"/>
      <c r="G522"/>
    </row>
    <row r="523" spans="1:7">
      <c r="A523" s="179"/>
      <c r="B523" s="179"/>
      <c r="C523" s="179"/>
      <c r="D523" s="35"/>
      <c r="E523" s="35"/>
      <c r="F523" s="35"/>
      <c r="G523"/>
    </row>
    <row r="524" spans="1:7" ht="12.9">
      <c r="A524" s="176"/>
      <c r="B524" s="468" t="s">
        <v>308</v>
      </c>
      <c r="C524" s="179"/>
      <c r="D524" s="1267" t="s">
        <v>1141</v>
      </c>
      <c r="E524" s="1267"/>
      <c r="F524" s="1267"/>
      <c r="G524"/>
    </row>
    <row r="525" spans="1:7">
      <c r="A525" s="179"/>
      <c r="B525" s="179"/>
      <c r="C525" s="179"/>
      <c r="D525" s="1267"/>
      <c r="E525" s="1267"/>
      <c r="F525" s="1267"/>
      <c r="G525"/>
    </row>
    <row r="526" spans="1:7">
      <c r="A526" s="179"/>
      <c r="B526" s="179"/>
      <c r="C526" s="179"/>
      <c r="D526" s="35"/>
      <c r="E526" s="35"/>
      <c r="F526" s="35"/>
      <c r="G526"/>
    </row>
    <row r="527" spans="1:7" ht="12.9">
      <c r="A527" s="176"/>
      <c r="B527" s="468" t="s">
        <v>308</v>
      </c>
      <c r="C527" s="179"/>
      <c r="D527" s="1267" t="s">
        <v>1142</v>
      </c>
      <c r="E527" s="1267"/>
      <c r="F527" s="1267"/>
      <c r="G527"/>
    </row>
    <row r="528" spans="1:7">
      <c r="A528" s="179"/>
      <c r="B528" s="179"/>
      <c r="C528" s="179"/>
      <c r="D528" s="1267"/>
      <c r="E528" s="1267"/>
      <c r="F528" s="1267"/>
      <c r="G528"/>
    </row>
    <row r="529" spans="1:7">
      <c r="A529" s="179"/>
      <c r="B529" s="179"/>
      <c r="C529" s="179"/>
      <c r="D529" s="35"/>
      <c r="E529" s="35"/>
      <c r="F529" s="35"/>
      <c r="G529"/>
    </row>
    <row r="530" spans="1:7" ht="12.9">
      <c r="A530" s="176"/>
      <c r="B530" s="468" t="s">
        <v>308</v>
      </c>
      <c r="C530" s="179"/>
      <c r="D530" s="1267" t="s">
        <v>1143</v>
      </c>
      <c r="E530" s="1267"/>
      <c r="F530" s="1267"/>
      <c r="G530"/>
    </row>
    <row r="531" spans="1:7">
      <c r="A531" s="179"/>
      <c r="B531" s="179"/>
      <c r="C531" s="179"/>
      <c r="D531" s="1267"/>
      <c r="E531" s="1267"/>
      <c r="F531" s="1267"/>
      <c r="G531"/>
    </row>
    <row r="532" spans="1:7">
      <c r="A532" s="179"/>
      <c r="B532" s="179"/>
      <c r="C532" s="179"/>
      <c r="D532" s="1267"/>
      <c r="E532" s="1267"/>
      <c r="F532" s="1267"/>
      <c r="G532"/>
    </row>
    <row r="533" spans="1:7">
      <c r="A533" s="179"/>
      <c r="B533" s="179"/>
      <c r="C533" s="179"/>
      <c r="D533" s="35"/>
      <c r="E533" s="35"/>
      <c r="F533" s="35"/>
    </row>
    <row r="534" spans="1:7" ht="12.9">
      <c r="A534" s="176"/>
      <c r="B534" s="468" t="s">
        <v>308</v>
      </c>
      <c r="C534" s="179"/>
      <c r="D534" s="1267" t="s">
        <v>1261</v>
      </c>
      <c r="E534" s="1267"/>
      <c r="F534" s="1267"/>
    </row>
    <row r="535" spans="1:7">
      <c r="A535" s="179"/>
      <c r="B535" s="179"/>
      <c r="C535" s="179"/>
      <c r="D535" s="1267"/>
      <c r="E535" s="1267"/>
      <c r="F535" s="1267"/>
    </row>
    <row r="536" spans="1:7">
      <c r="A536" s="179"/>
      <c r="B536" s="179"/>
      <c r="C536" s="179"/>
      <c r="D536" s="35"/>
      <c r="E536" s="35"/>
      <c r="F536" s="35"/>
    </row>
    <row r="537" spans="1:7" ht="12.9">
      <c r="A537" s="176"/>
      <c r="B537" s="468" t="s">
        <v>308</v>
      </c>
      <c r="C537" s="179"/>
      <c r="D537" s="1267" t="s">
        <v>1144</v>
      </c>
      <c r="E537" s="1267"/>
      <c r="F537" s="1267"/>
    </row>
    <row r="538" spans="1:7">
      <c r="A538" s="179"/>
      <c r="B538" s="179"/>
      <c r="C538" s="179"/>
      <c r="D538" s="1267"/>
      <c r="E538" s="1267"/>
      <c r="F538" s="1267"/>
    </row>
    <row r="539" spans="1:7">
      <c r="A539" s="179"/>
      <c r="B539" s="179"/>
      <c r="C539" s="179"/>
      <c r="D539" s="35"/>
      <c r="E539" s="35"/>
      <c r="F539" s="35"/>
    </row>
    <row r="540" spans="1:7" ht="12.9">
      <c r="A540" s="176"/>
      <c r="B540" s="468" t="s">
        <v>308</v>
      </c>
      <c r="C540" s="179"/>
      <c r="D540" s="1267" t="s">
        <v>1145</v>
      </c>
      <c r="E540" s="1267"/>
      <c r="F540" s="1267"/>
    </row>
    <row r="541" spans="1:7">
      <c r="A541" s="179"/>
      <c r="B541" s="179"/>
      <c r="C541" s="179"/>
      <c r="D541" s="1267"/>
      <c r="E541" s="1267"/>
      <c r="F541" s="1267"/>
    </row>
    <row r="542" spans="1:7">
      <c r="A542" s="179"/>
      <c r="B542" s="179"/>
      <c r="C542" s="179"/>
      <c r="D542" s="35"/>
      <c r="E542" s="35"/>
      <c r="F542" s="35"/>
    </row>
    <row r="543" spans="1:7" ht="12.9">
      <c r="A543" s="176"/>
      <c r="B543" s="468" t="s">
        <v>308</v>
      </c>
      <c r="C543" s="179"/>
      <c r="D543" s="1287" t="s">
        <v>1146</v>
      </c>
      <c r="E543" s="1287"/>
      <c r="F543" s="1287"/>
    </row>
    <row r="544" spans="1:7">
      <c r="A544" s="13"/>
      <c r="B544" s="13"/>
      <c r="C544" s="179"/>
      <c r="D544" s="1287" t="s">
        <v>830</v>
      </c>
      <c r="E544" s="1287"/>
      <c r="F544" s="1287"/>
    </row>
    <row r="545" spans="1:7">
      <c r="A545" s="13"/>
      <c r="B545" s="13"/>
      <c r="C545" s="179"/>
      <c r="D545" s="3"/>
      <c r="E545" s="1292" t="s">
        <v>1147</v>
      </c>
      <c r="F545" s="1292"/>
    </row>
    <row r="546" spans="1:7" ht="12.9">
      <c r="A546" s="176"/>
      <c r="B546" s="176"/>
      <c r="C546" s="179"/>
      <c r="E546" s="35"/>
      <c r="F546" s="35"/>
    </row>
    <row r="547" spans="1:7" ht="12.9">
      <c r="A547" s="176"/>
      <c r="B547" s="468" t="s">
        <v>308</v>
      </c>
      <c r="C547" s="179"/>
      <c r="D547" s="1287" t="s">
        <v>1148</v>
      </c>
      <c r="E547" s="1287"/>
      <c r="F547" s="1287"/>
    </row>
    <row r="548" spans="1:7">
      <c r="C548" s="179"/>
      <c r="D548" s="1267" t="s">
        <v>1149</v>
      </c>
      <c r="E548" s="1267"/>
      <c r="F548" s="1267"/>
    </row>
    <row r="549" spans="1:7">
      <c r="A549" s="179"/>
      <c r="B549" s="179"/>
      <c r="C549" s="179"/>
      <c r="D549" s="1267"/>
      <c r="E549" s="1267"/>
      <c r="F549" s="1267"/>
    </row>
    <row r="550" spans="1:7">
      <c r="A550" s="179"/>
      <c r="B550" s="179"/>
      <c r="C550" s="179"/>
      <c r="D550" s="1267"/>
      <c r="E550" s="1267"/>
      <c r="F550" s="1267"/>
    </row>
    <row r="551" spans="1:7">
      <c r="A551" s="179"/>
      <c r="B551" s="179"/>
      <c r="C551" s="179"/>
      <c r="D551" s="35"/>
      <c r="E551" s="35"/>
      <c r="F551" s="35"/>
    </row>
    <row r="552" spans="1:7" ht="12.9">
      <c r="A552" s="176"/>
      <c r="B552" s="468" t="s">
        <v>308</v>
      </c>
      <c r="C552" s="179"/>
      <c r="D552" s="1267" t="s">
        <v>1150</v>
      </c>
      <c r="E552" s="1267"/>
      <c r="F552" s="1267"/>
    </row>
    <row r="553" spans="1:7" ht="12.9">
      <c r="A553" s="176"/>
      <c r="B553" s="176"/>
      <c r="C553" s="179"/>
      <c r="D553" s="1267"/>
      <c r="E553" s="1267"/>
      <c r="F553" s="1267"/>
    </row>
    <row r="554" spans="1:7" ht="12.9">
      <c r="A554" s="176"/>
      <c r="B554" s="176"/>
      <c r="C554" s="179"/>
      <c r="D554" s="1267"/>
      <c r="E554" s="1267"/>
      <c r="F554" s="1267"/>
    </row>
    <row r="555" spans="1:7" ht="12.9">
      <c r="A555" s="176"/>
      <c r="B555" s="176"/>
      <c r="C555" s="179"/>
      <c r="D555" s="1267"/>
      <c r="E555" s="1267"/>
      <c r="F555" s="1267"/>
    </row>
    <row r="556" spans="1:7" ht="12.9">
      <c r="A556" s="176"/>
      <c r="B556" s="176"/>
      <c r="C556" s="179"/>
      <c r="D556" s="35"/>
      <c r="E556" s="35"/>
      <c r="F556" s="35"/>
    </row>
    <row r="557" spans="1:7">
      <c r="A557" s="1288" t="s">
        <v>1083</v>
      </c>
      <c r="B557" s="1288"/>
      <c r="C557" s="1288"/>
      <c r="D557" s="1288"/>
      <c r="E557" s="1288"/>
      <c r="F557" s="1288"/>
      <c r="G557" s="1288"/>
    </row>
    <row r="558" spans="1:7">
      <c r="A558" s="179"/>
      <c r="B558" s="179"/>
      <c r="C558" s="179"/>
      <c r="E558" s="35"/>
      <c r="F558" s="35"/>
    </row>
    <row r="559" spans="1:7" ht="12.75" customHeight="1">
      <c r="C559" s="172"/>
      <c r="D559" s="1299" t="s">
        <v>211</v>
      </c>
      <c r="E559" s="1299"/>
      <c r="F559" s="1299"/>
    </row>
    <row r="560" spans="1:7">
      <c r="A560" s="175"/>
      <c r="B560" s="175"/>
      <c r="C560" s="175"/>
      <c r="D560" s="1304" t="s">
        <v>1099</v>
      </c>
      <c r="E560" s="1304"/>
      <c r="F560" s="1304"/>
    </row>
    <row r="561" spans="1:6">
      <c r="A561"/>
      <c r="B561"/>
      <c r="C561" s="175"/>
      <c r="D561" s="255"/>
    </row>
    <row r="562" spans="1:6">
      <c r="A562" s="175"/>
      <c r="B562" s="468" t="s">
        <v>308</v>
      </c>
      <c r="D562" s="1304" t="s">
        <v>903</v>
      </c>
      <c r="E562" s="1304"/>
      <c r="F562" s="1304"/>
    </row>
    <row r="563" spans="1:6">
      <c r="A563" s="13"/>
      <c r="B563" s="13"/>
      <c r="D563" s="218"/>
    </row>
    <row r="564" spans="1:6">
      <c r="A564" s="13"/>
      <c r="B564" s="468" t="s">
        <v>308</v>
      </c>
      <c r="D564" s="1304" t="s">
        <v>1100</v>
      </c>
      <c r="E564" s="1304"/>
      <c r="F564" s="1304"/>
    </row>
    <row r="565" spans="1:6">
      <c r="A565" s="13"/>
      <c r="B565" s="13"/>
      <c r="D565" s="1304"/>
      <c r="E565" s="1304"/>
      <c r="F565" s="1304"/>
    </row>
    <row r="566" spans="1:6">
      <c r="A566" s="13"/>
      <c r="B566" s="13"/>
      <c r="D566" s="1304"/>
      <c r="E566" s="1304"/>
      <c r="F566" s="1304"/>
    </row>
    <row r="567" spans="1:6">
      <c r="A567" s="13"/>
      <c r="B567" s="13"/>
      <c r="D567" s="255"/>
    </row>
    <row r="568" spans="1:6">
      <c r="A568" s="13"/>
      <c r="B568" s="468" t="s">
        <v>308</v>
      </c>
      <c r="D568" s="1304" t="s">
        <v>1101</v>
      </c>
      <c r="E568" s="1304"/>
      <c r="F568" s="1304"/>
    </row>
    <row r="569" spans="1:6">
      <c r="A569" s="13"/>
      <c r="B569" s="13"/>
      <c r="D569" s="1304"/>
      <c r="E569" s="1304"/>
      <c r="F569" s="1304"/>
    </row>
    <row r="570" spans="1:6">
      <c r="A570" s="13"/>
      <c r="B570" s="13"/>
      <c r="D570" s="1304"/>
      <c r="E570" s="1304"/>
      <c r="F570" s="1304"/>
    </row>
    <row r="571" spans="1:6">
      <c r="A571" s="13"/>
      <c r="B571" s="13"/>
      <c r="D571" s="1304"/>
      <c r="E571" s="1304"/>
      <c r="F571" s="1304"/>
    </row>
    <row r="572" spans="1:6">
      <c r="A572" s="13"/>
      <c r="B572" s="13"/>
      <c r="D572" s="473"/>
      <c r="E572" s="473"/>
      <c r="F572" s="473"/>
    </row>
    <row r="573" spans="1:6">
      <c r="A573" s="13"/>
      <c r="B573" s="468" t="s">
        <v>308</v>
      </c>
      <c r="D573" s="1304" t="s">
        <v>1102</v>
      </c>
      <c r="E573" s="1304"/>
      <c r="F573" s="1304"/>
    </row>
    <row r="574" spans="1:6">
      <c r="A574" s="13"/>
      <c r="B574" s="13"/>
      <c r="D574" s="1304"/>
      <c r="E574" s="1304"/>
      <c r="F574" s="1304"/>
    </row>
    <row r="575" spans="1:6">
      <c r="A575" s="13"/>
      <c r="B575" s="13"/>
      <c r="D575" s="255"/>
    </row>
    <row r="576" spans="1:6">
      <c r="A576" s="13"/>
      <c r="B576" s="468" t="s">
        <v>308</v>
      </c>
      <c r="D576" s="1304" t="s">
        <v>1103</v>
      </c>
      <c r="E576" s="1304"/>
      <c r="F576" s="1304"/>
    </row>
    <row r="577" spans="1:7">
      <c r="A577" s="13"/>
      <c r="B577" s="13"/>
      <c r="D577" s="1304"/>
      <c r="E577" s="1304"/>
      <c r="F577" s="1304"/>
    </row>
    <row r="578" spans="1:7">
      <c r="A578" s="13"/>
      <c r="B578" s="13"/>
      <c r="D578" s="255"/>
    </row>
    <row r="579" spans="1:7" ht="12.9">
      <c r="A579" s="176"/>
      <c r="B579" s="468" t="s">
        <v>308</v>
      </c>
      <c r="D579" s="1304" t="s">
        <v>898</v>
      </c>
      <c r="E579" s="1304"/>
      <c r="F579" s="1304"/>
    </row>
    <row r="580" spans="1:7" ht="12.9">
      <c r="A580" s="176"/>
      <c r="B580" s="176"/>
      <c r="D580" s="255"/>
    </row>
    <row r="581" spans="1:7" ht="12.9">
      <c r="A581" s="176"/>
      <c r="B581" s="468" t="s">
        <v>308</v>
      </c>
      <c r="D581" s="1304" t="s">
        <v>1104</v>
      </c>
      <c r="E581" s="1304"/>
      <c r="F581" s="1304"/>
    </row>
    <row r="582" spans="1:7" ht="12.9">
      <c r="A582" s="176"/>
      <c r="B582" s="176"/>
      <c r="D582" s="1304"/>
      <c r="E582" s="1304"/>
      <c r="F582" s="1304"/>
    </row>
    <row r="583" spans="1:7">
      <c r="D583" s="1304"/>
      <c r="E583" s="1304"/>
      <c r="F583" s="1304"/>
    </row>
    <row r="584" spans="1:7">
      <c r="D584" s="1304"/>
      <c r="E584" s="1304"/>
      <c r="F584" s="1304"/>
    </row>
    <row r="585" spans="1:7">
      <c r="D585" s="1304"/>
      <c r="E585" s="1304"/>
      <c r="F585" s="1304"/>
    </row>
    <row r="586" spans="1:7">
      <c r="D586" s="1304"/>
      <c r="E586" s="1304"/>
      <c r="F586" s="1304"/>
    </row>
    <row r="587" spans="1:7"/>
    <row r="588" spans="1:7">
      <c r="A588" s="1288" t="s">
        <v>1084</v>
      </c>
      <c r="B588" s="1288"/>
      <c r="C588" s="1288"/>
      <c r="D588" s="1288"/>
      <c r="E588" s="1288"/>
      <c r="F588" s="1288"/>
      <c r="G588" s="1288"/>
    </row>
    <row r="589" spans="1:7"/>
    <row r="590" spans="1:7">
      <c r="D590" s="1280" t="s">
        <v>1184</v>
      </c>
      <c r="E590" s="1280"/>
      <c r="F590" s="1280"/>
    </row>
    <row r="591" spans="1:7">
      <c r="D591" s="1281" t="s">
        <v>1185</v>
      </c>
      <c r="E591" s="1281"/>
      <c r="F591" s="1281"/>
    </row>
    <row r="592" spans="1:7">
      <c r="D592" s="478"/>
      <c r="E592" s="433"/>
      <c r="F592" s="433"/>
    </row>
    <row r="593" spans="1:7" ht="12.9">
      <c r="A593" s="176"/>
      <c r="B593" s="468" t="s">
        <v>308</v>
      </c>
      <c r="D593" s="1282" t="s">
        <v>1186</v>
      </c>
      <c r="E593" s="1282"/>
      <c r="F593" s="1282"/>
    </row>
    <row r="594" spans="1:7">
      <c r="D594" s="1282"/>
      <c r="E594" s="1282"/>
      <c r="F594" s="1282"/>
    </row>
    <row r="595" spans="1:7">
      <c r="D595" s="1282"/>
      <c r="E595" s="1282"/>
      <c r="F595" s="1282"/>
    </row>
    <row r="596" spans="1:7"/>
    <row r="597" spans="1:7">
      <c r="A597" s="1288" t="s">
        <v>1085</v>
      </c>
      <c r="B597" s="1288"/>
      <c r="C597" s="1288"/>
      <c r="D597" s="1288"/>
      <c r="E597" s="1288"/>
      <c r="F597" s="1288"/>
      <c r="G597" s="1288"/>
    </row>
    <row r="598" spans="1:7">
      <c r="A598" s="35"/>
      <c r="B598" s="35"/>
    </row>
    <row r="599" spans="1:7">
      <c r="A599" s="172"/>
      <c r="B599" s="172"/>
      <c r="C599" s="172"/>
      <c r="D599" s="1283" t="s">
        <v>1187</v>
      </c>
      <c r="E599" s="1283"/>
      <c r="F599" s="1283"/>
    </row>
    <row r="600" spans="1:7">
      <c r="A600" s="172"/>
      <c r="B600" s="172"/>
      <c r="C600" s="172"/>
      <c r="D600" s="1283"/>
      <c r="E600" s="1283"/>
      <c r="F600" s="1283"/>
    </row>
    <row r="601" spans="1:7">
      <c r="C601" s="175"/>
      <c r="D601" s="1281" t="s">
        <v>1188</v>
      </c>
      <c r="E601" s="1281"/>
      <c r="F601" s="1281"/>
    </row>
    <row r="602" spans="1:7">
      <c r="C602" s="175"/>
      <c r="D602" s="478"/>
      <c r="E602" s="478"/>
      <c r="F602" s="478"/>
    </row>
    <row r="603" spans="1:7">
      <c r="A603" s="13"/>
      <c r="B603" s="468" t="s">
        <v>308</v>
      </c>
      <c r="D603" s="1281" t="s">
        <v>433</v>
      </c>
      <c r="E603" s="1281"/>
      <c r="F603" s="1281"/>
    </row>
    <row r="604" spans="1:7">
      <c r="C604" s="180"/>
      <c r="E604"/>
    </row>
    <row r="605" spans="1:7">
      <c r="A605" s="13"/>
      <c r="B605" s="468" t="s">
        <v>308</v>
      </c>
      <c r="D605" s="1284" t="s">
        <v>1189</v>
      </c>
      <c r="E605" s="1284"/>
      <c r="F605" s="1284"/>
    </row>
    <row r="606" spans="1:7">
      <c r="D606" s="1284"/>
      <c r="E606" s="1284"/>
      <c r="F606" s="1284"/>
    </row>
    <row r="607" spans="1:7">
      <c r="D607"/>
    </row>
    <row r="608" spans="1:7">
      <c r="B608" s="468" t="s">
        <v>308</v>
      </c>
      <c r="D608" s="1284" t="s">
        <v>1190</v>
      </c>
      <c r="E608" s="1284"/>
      <c r="F608" s="1284"/>
    </row>
    <row r="609" spans="1:7">
      <c r="C609" s="180"/>
      <c r="D609" s="1284"/>
      <c r="E609" s="1284"/>
      <c r="F609" s="1284"/>
    </row>
    <row r="610" spans="1:7">
      <c r="C610" s="180"/>
    </row>
    <row r="611" spans="1:7">
      <c r="B611" s="468" t="s">
        <v>308</v>
      </c>
      <c r="C611" s="180"/>
      <c r="D611" s="1284" t="s">
        <v>1191</v>
      </c>
      <c r="E611" s="1284"/>
      <c r="F611" s="1284"/>
    </row>
    <row r="612" spans="1:7">
      <c r="C612" s="180"/>
      <c r="D612" s="1284"/>
      <c r="E612" s="1284"/>
      <c r="F612" s="1284"/>
    </row>
    <row r="613" spans="1:7">
      <c r="C613" s="180"/>
    </row>
    <row r="614" spans="1:7">
      <c r="A614" s="1288" t="s">
        <v>1086</v>
      </c>
      <c r="B614" s="1288"/>
      <c r="C614" s="1288"/>
      <c r="D614" s="1288"/>
      <c r="E614" s="1288"/>
      <c r="F614" s="1288"/>
      <c r="G614" s="1288"/>
    </row>
    <row r="615" spans="1:7">
      <c r="A615" s="172"/>
      <c r="B615" s="172"/>
      <c r="C615" s="172"/>
    </row>
    <row r="616" spans="1:7">
      <c r="C616" s="13"/>
      <c r="D616" s="1280" t="s">
        <v>1192</v>
      </c>
      <c r="E616" s="1280"/>
      <c r="F616" s="1280"/>
    </row>
    <row r="617" spans="1:7">
      <c r="A617" s="13"/>
      <c r="B617" s="13"/>
      <c r="D617" s="2"/>
    </row>
    <row r="618" spans="1:7" ht="12.9">
      <c r="A618" s="176"/>
      <c r="B618" s="468" t="s">
        <v>308</v>
      </c>
      <c r="D618" s="1282" t="s">
        <v>1193</v>
      </c>
      <c r="E618" s="1282"/>
      <c r="F618" s="1282"/>
    </row>
    <row r="619" spans="1:7">
      <c r="D619" s="1282"/>
      <c r="E619" s="1282"/>
      <c r="F619" s="1282"/>
    </row>
    <row r="620" spans="1:7">
      <c r="D620" s="1282"/>
      <c r="E620" s="1282"/>
      <c r="F620" s="1282"/>
    </row>
    <row r="621" spans="1:7">
      <c r="D621" s="1282"/>
      <c r="E621" s="1282"/>
      <c r="F621" s="1282"/>
    </row>
    <row r="622" spans="1:7">
      <c r="D622" s="1282"/>
      <c r="E622" s="1282"/>
      <c r="F622" s="1282"/>
    </row>
    <row r="623" spans="1:7">
      <c r="D623" s="1282"/>
      <c r="E623" s="1282"/>
      <c r="F623" s="1282"/>
    </row>
    <row r="624" spans="1:7">
      <c r="D624" s="479"/>
      <c r="E624" s="479"/>
      <c r="F624" s="479"/>
    </row>
    <row r="625" spans="1:7" ht="12.9">
      <c r="A625" s="176"/>
      <c r="B625" s="468" t="s">
        <v>308</v>
      </c>
      <c r="D625" s="1282" t="s">
        <v>1194</v>
      </c>
      <c r="E625" s="1282"/>
      <c r="F625" s="1282"/>
    </row>
    <row r="626" spans="1:7">
      <c r="A626" s="179"/>
      <c r="B626" s="179"/>
      <c r="C626" s="179"/>
      <c r="D626" s="1282"/>
      <c r="E626" s="1282"/>
      <c r="F626" s="1282"/>
    </row>
    <row r="627" spans="1:7">
      <c r="A627" s="179"/>
      <c r="B627" s="179"/>
      <c r="C627" s="179"/>
      <c r="D627" s="35"/>
      <c r="E627" s="35"/>
      <c r="F627" s="35"/>
    </row>
    <row r="628" spans="1:7" ht="12.9">
      <c r="A628" s="176"/>
      <c r="B628" s="468" t="s">
        <v>308</v>
      </c>
      <c r="C628" s="179"/>
      <c r="D628" s="1282" t="s">
        <v>1195</v>
      </c>
      <c r="E628" s="1282"/>
      <c r="F628" s="1282"/>
    </row>
    <row r="629" spans="1:7" ht="12.9">
      <c r="A629" s="176"/>
      <c r="B629" s="176"/>
      <c r="C629" s="179"/>
      <c r="D629" s="1282"/>
      <c r="E629" s="1282"/>
      <c r="F629" s="1282"/>
    </row>
    <row r="630" spans="1:7" ht="12.9">
      <c r="A630" s="176"/>
      <c r="B630" s="176"/>
      <c r="C630" s="179"/>
      <c r="D630" s="1282"/>
      <c r="E630" s="1282"/>
      <c r="F630" s="1282"/>
    </row>
    <row r="631" spans="1:7">
      <c r="A631" s="179"/>
      <c r="B631" s="179"/>
      <c r="C631" s="179"/>
      <c r="D631" s="1282"/>
      <c r="E631" s="1282"/>
      <c r="F631" s="1282"/>
    </row>
    <row r="632" spans="1:7">
      <c r="A632" s="179"/>
      <c r="B632" s="179"/>
      <c r="C632" s="179"/>
      <c r="D632" s="479"/>
      <c r="E632" s="479"/>
      <c r="F632" s="479"/>
    </row>
    <row r="633" spans="1:7">
      <c r="A633" s="179"/>
      <c r="B633" s="468" t="s">
        <v>308</v>
      </c>
      <c r="C633" s="179"/>
      <c r="D633" s="1311" t="s">
        <v>1196</v>
      </c>
      <c r="E633" s="1311"/>
      <c r="F633" s="1311"/>
    </row>
    <row r="634" spans="1:7">
      <c r="A634" s="179"/>
      <c r="B634" s="179"/>
      <c r="C634" s="179"/>
      <c r="D634" s="480"/>
      <c r="E634" s="480"/>
      <c r="F634" s="480"/>
    </row>
    <row r="635" spans="1:7">
      <c r="A635" s="1288" t="s">
        <v>1087</v>
      </c>
      <c r="B635" s="1288"/>
      <c r="C635" s="1288"/>
      <c r="D635" s="1288"/>
      <c r="E635" s="1288"/>
      <c r="F635" s="1288"/>
      <c r="G635" s="1288"/>
    </row>
    <row r="636" spans="1:7">
      <c r="A636" s="35"/>
      <c r="B636" s="35"/>
      <c r="C636" s="179"/>
      <c r="D636" s="35"/>
      <c r="E636" s="35"/>
      <c r="F636" s="35"/>
    </row>
    <row r="637" spans="1:7">
      <c r="C637" s="172"/>
      <c r="D637" s="1286" t="s">
        <v>1246</v>
      </c>
      <c r="E637" s="1286"/>
      <c r="F637" s="1286"/>
    </row>
    <row r="638" spans="1:7">
      <c r="A638" s="175"/>
      <c r="B638" s="175"/>
      <c r="C638" s="175"/>
      <c r="D638" s="1287" t="s">
        <v>1247</v>
      </c>
      <c r="E638" s="1287"/>
      <c r="F638" s="1287"/>
    </row>
    <row r="639" spans="1:7">
      <c r="A639" s="175"/>
      <c r="B639" s="175"/>
      <c r="C639" s="175"/>
      <c r="D639" s="118"/>
      <c r="E639" s="118"/>
      <c r="F639" s="118"/>
    </row>
    <row r="640" spans="1:7" ht="14.5" customHeight="1">
      <c r="A640" s="176"/>
      <c r="B640" s="468" t="s">
        <v>308</v>
      </c>
      <c r="C640" s="179"/>
      <c r="D640" s="1267" t="s">
        <v>1248</v>
      </c>
      <c r="E640" s="1267"/>
      <c r="F640" s="1267"/>
    </row>
    <row r="641" spans="1:11" ht="12.9">
      <c r="A641" s="176"/>
      <c r="B641" s="176"/>
      <c r="C641" s="179"/>
      <c r="D641" s="1267"/>
      <c r="E641" s="1267"/>
      <c r="F641" s="1267"/>
    </row>
    <row r="642" spans="1:11" ht="12.9">
      <c r="A642" s="176"/>
      <c r="B642" s="176"/>
      <c r="C642" s="179"/>
      <c r="D642" s="1267"/>
      <c r="E642" s="1267"/>
      <c r="F642" s="1267"/>
    </row>
    <row r="643" spans="1:11" ht="12.9">
      <c r="A643" s="176"/>
      <c r="B643" s="176"/>
      <c r="C643" s="179"/>
      <c r="D643" s="1267"/>
      <c r="E643" s="1267"/>
      <c r="F643" s="1267"/>
    </row>
    <row r="644" spans="1:11" ht="12.9">
      <c r="A644" s="176"/>
      <c r="B644" s="176"/>
      <c r="C644" s="179"/>
      <c r="D644" s="1267"/>
      <c r="E644" s="1267"/>
      <c r="F644" s="1267"/>
    </row>
    <row r="645" spans="1:11" ht="12.9">
      <c r="A645" s="176"/>
      <c r="B645" s="176"/>
      <c r="C645" s="179"/>
      <c r="D645" s="474"/>
      <c r="E645" s="474"/>
      <c r="F645" s="474"/>
    </row>
    <row r="646" spans="1:11" ht="12.9">
      <c r="A646" s="176"/>
      <c r="B646" s="468" t="s">
        <v>308</v>
      </c>
      <c r="C646" s="179"/>
      <c r="D646" s="1301" t="s">
        <v>1098</v>
      </c>
      <c r="E646" s="1301"/>
      <c r="F646" s="1301"/>
    </row>
    <row r="647" spans="1:11" ht="12.9">
      <c r="A647" s="176"/>
      <c r="B647" s="176"/>
      <c r="C647" s="179"/>
      <c r="D647" s="1300" t="s">
        <v>1249</v>
      </c>
      <c r="E647" s="1300"/>
      <c r="F647" s="1300"/>
    </row>
    <row r="648" spans="1:11" ht="12.9">
      <c r="A648" s="176"/>
      <c r="B648" s="176"/>
      <c r="C648" s="179"/>
      <c r="D648" s="1300"/>
      <c r="E648" s="1300"/>
      <c r="F648" s="1300"/>
    </row>
    <row r="649" spans="1:11" ht="12.9">
      <c r="A649" s="176"/>
      <c r="B649" s="176"/>
      <c r="C649" s="179"/>
      <c r="D649" s="1300"/>
      <c r="E649" s="1300"/>
      <c r="F649" s="1300"/>
    </row>
    <row r="650" spans="1:11" ht="12.9">
      <c r="A650" s="176"/>
      <c r="B650" s="176"/>
      <c r="C650" s="179"/>
      <c r="D650" s="1300"/>
      <c r="E650" s="1300"/>
      <c r="F650" s="1300"/>
    </row>
    <row r="651" spans="1:11" ht="12.9">
      <c r="A651" s="176"/>
      <c r="B651" s="176"/>
      <c r="C651" s="179"/>
      <c r="D651" s="1300"/>
      <c r="E651" s="1300"/>
      <c r="F651" s="1300"/>
    </row>
    <row r="652" spans="1:11" ht="12.9">
      <c r="A652" s="176"/>
      <c r="B652" s="176"/>
      <c r="C652" s="179"/>
      <c r="D652" s="1302" t="s">
        <v>1250</v>
      </c>
      <c r="E652" s="1302"/>
      <c r="F652" s="1302"/>
    </row>
    <row r="653" spans="1:11">
      <c r="A653" s="179"/>
      <c r="B653" s="179"/>
      <c r="C653" s="179"/>
      <c r="D653" s="35"/>
      <c r="E653" s="35"/>
      <c r="F653" s="35"/>
    </row>
    <row r="654" spans="1:11">
      <c r="A654" s="1288" t="s">
        <v>1088</v>
      </c>
      <c r="B654" s="1288"/>
      <c r="C654" s="1288"/>
      <c r="D654" s="1288"/>
      <c r="E654" s="1288"/>
      <c r="F654" s="1288"/>
      <c r="G654" s="1288"/>
      <c r="H654" s="181"/>
      <c r="I654" s="181"/>
      <c r="J654" s="181"/>
      <c r="K654" s="181"/>
    </row>
    <row r="655" spans="1:11">
      <c r="A655" s="482"/>
      <c r="B655" s="482"/>
      <c r="C655" s="482"/>
      <c r="D655" s="482"/>
      <c r="E655" s="482"/>
      <c r="F655" s="482"/>
      <c r="G655" s="482"/>
      <c r="H655" s="181"/>
      <c r="I655" s="181"/>
      <c r="J655" s="181"/>
      <c r="K655" s="181"/>
    </row>
    <row r="656" spans="1:11">
      <c r="C656" s="172"/>
      <c r="D656" s="1286" t="s">
        <v>99</v>
      </c>
      <c r="E656" s="1286"/>
      <c r="F656" s="1286"/>
      <c r="H656" s="181"/>
      <c r="I656" s="181"/>
      <c r="J656" s="181"/>
      <c r="K656" s="181"/>
    </row>
    <row r="657" spans="1:11">
      <c r="A657" s="172"/>
      <c r="B657" s="172"/>
      <c r="C657" s="172"/>
      <c r="D657" s="1286" t="s">
        <v>123</v>
      </c>
      <c r="E657" s="1286"/>
      <c r="F657" s="1286"/>
      <c r="H657" s="181"/>
      <c r="I657" s="181"/>
      <c r="J657" s="181"/>
      <c r="K657" s="181"/>
    </row>
    <row r="658" spans="1:11">
      <c r="A658" s="175"/>
      <c r="B658" s="175"/>
      <c r="C658" s="175"/>
      <c r="D658" s="1287" t="s">
        <v>1124</v>
      </c>
      <c r="E658" s="1287"/>
      <c r="F658" s="1287"/>
      <c r="H658" s="181"/>
      <c r="I658" s="181"/>
      <c r="J658" s="181"/>
      <c r="K658" s="181"/>
    </row>
    <row r="659" spans="1:11">
      <c r="A659" s="175"/>
      <c r="B659" s="175"/>
      <c r="C659" s="175"/>
      <c r="H659" s="181"/>
      <c r="I659" s="181"/>
      <c r="J659" s="181"/>
      <c r="K659" s="181"/>
    </row>
    <row r="660" spans="1:11" ht="12.9">
      <c r="A660" s="176"/>
      <c r="B660" s="468" t="s">
        <v>308</v>
      </c>
      <c r="C660" s="175"/>
      <c r="D660" s="1287" t="s">
        <v>899</v>
      </c>
      <c r="E660" s="1287"/>
      <c r="F660" s="1287"/>
      <c r="H660" s="181"/>
      <c r="I660" s="181"/>
      <c r="J660" s="181"/>
      <c r="K660" s="181"/>
    </row>
    <row r="661" spans="1:11">
      <c r="A661" s="175"/>
      <c r="B661" s="175"/>
      <c r="C661" s="175"/>
      <c r="D661" s="1287" t="s">
        <v>909</v>
      </c>
      <c r="E661" s="1287"/>
      <c r="F661" s="1287"/>
      <c r="H661" s="181"/>
      <c r="I661" s="181"/>
      <c r="J661" s="181"/>
      <c r="K661" s="181"/>
    </row>
    <row r="662" spans="1:11">
      <c r="A662" s="175"/>
      <c r="B662" s="175"/>
      <c r="C662" s="175"/>
      <c r="D662" s="3"/>
      <c r="E662" s="1271" t="s">
        <v>1125</v>
      </c>
      <c r="F662" s="1271"/>
      <c r="H662" s="181"/>
      <c r="I662" s="181"/>
      <c r="J662" s="181"/>
      <c r="K662" s="181"/>
    </row>
    <row r="663" spans="1:11">
      <c r="A663" s="175"/>
      <c r="B663" s="175"/>
      <c r="C663" s="175"/>
      <c r="D663" s="3"/>
      <c r="E663" s="1271"/>
      <c r="F663" s="1271"/>
      <c r="H663" s="181"/>
      <c r="I663" s="181"/>
      <c r="J663" s="181"/>
      <c r="K663" s="181"/>
    </row>
    <row r="664" spans="1:11" ht="12.9">
      <c r="A664" s="175"/>
      <c r="B664" s="175"/>
      <c r="C664" s="175"/>
      <c r="D664" s="182"/>
      <c r="E664" s="35"/>
      <c r="H664" s="181"/>
      <c r="I664" s="181"/>
      <c r="J664" s="181"/>
      <c r="K664" s="181"/>
    </row>
    <row r="665" spans="1:11" ht="12.9">
      <c r="A665" s="176"/>
      <c r="B665" s="468" t="s">
        <v>308</v>
      </c>
      <c r="C665" s="175"/>
      <c r="D665" s="1267" t="s">
        <v>1126</v>
      </c>
      <c r="E665" s="1267"/>
      <c r="F665" s="1267"/>
      <c r="H665" s="181"/>
      <c r="I665" s="181"/>
      <c r="J665" s="181"/>
      <c r="K665" s="181"/>
    </row>
    <row r="666" spans="1:11">
      <c r="A666" s="13"/>
      <c r="B666" s="13"/>
      <c r="C666" s="175"/>
      <c r="D666" s="1267"/>
      <c r="E666" s="1267"/>
      <c r="F666" s="1267"/>
      <c r="H666" s="181"/>
      <c r="I666" s="181"/>
      <c r="J666" s="181"/>
      <c r="K666" s="181"/>
    </row>
    <row r="667" spans="1:11">
      <c r="A667" s="175"/>
      <c r="B667" s="175"/>
      <c r="C667" s="175"/>
      <c r="D667" s="1267"/>
      <c r="E667" s="1267"/>
      <c r="F667" s="1267"/>
      <c r="H667" s="181"/>
      <c r="I667" s="181"/>
      <c r="J667" s="181"/>
      <c r="K667" s="181"/>
    </row>
    <row r="668" spans="1:11">
      <c r="A668" s="175"/>
      <c r="B668" s="175"/>
      <c r="C668" s="175"/>
      <c r="H668" s="181"/>
      <c r="I668" s="181"/>
      <c r="J668" s="181"/>
      <c r="K668" s="181"/>
    </row>
    <row r="669" spans="1:11" ht="12.9">
      <c r="A669" s="176"/>
      <c r="B669" s="468" t="s">
        <v>308</v>
      </c>
      <c r="C669" s="175"/>
      <c r="D669" s="1287" t="s">
        <v>937</v>
      </c>
      <c r="E669" s="1287"/>
      <c r="F669" s="1287"/>
      <c r="H669" s="181"/>
      <c r="I669" s="181"/>
      <c r="J669" s="181"/>
      <c r="K669" s="181"/>
    </row>
    <row r="670" spans="1:11" ht="12.9">
      <c r="A670" s="176"/>
      <c r="B670" s="176"/>
      <c r="C670" s="175"/>
      <c r="D670" s="1287" t="s">
        <v>909</v>
      </c>
      <c r="E670" s="1287"/>
      <c r="F670" s="1287"/>
      <c r="H670" s="181"/>
      <c r="I670" s="181"/>
      <c r="J670" s="181"/>
      <c r="K670" s="181"/>
    </row>
    <row r="671" spans="1:11">
      <c r="A671" s="175"/>
      <c r="B671" s="175"/>
      <c r="C671" s="175"/>
      <c r="D671" s="3"/>
      <c r="E671" s="1292" t="s">
        <v>1127</v>
      </c>
      <c r="F671" s="1292"/>
      <c r="H671" s="181"/>
      <c r="I671" s="181"/>
      <c r="J671" s="181"/>
      <c r="K671" s="181"/>
    </row>
    <row r="672" spans="1:11">
      <c r="A672" s="175"/>
      <c r="B672" s="175"/>
      <c r="C672" s="175"/>
      <c r="D672" s="2"/>
      <c r="H672" s="181"/>
      <c r="I672" s="181"/>
      <c r="J672" s="181"/>
      <c r="K672" s="181"/>
    </row>
    <row r="673" spans="1:11" ht="12.9">
      <c r="A673" s="176"/>
      <c r="B673" s="468" t="s">
        <v>308</v>
      </c>
      <c r="C673" s="175"/>
      <c r="D673" s="1267" t="s">
        <v>1137</v>
      </c>
      <c r="E673" s="1267"/>
      <c r="F673" s="1267"/>
      <c r="H673" s="181"/>
      <c r="I673" s="181"/>
      <c r="J673" s="181"/>
      <c r="K673" s="181"/>
    </row>
    <row r="674" spans="1:11">
      <c r="A674" s="175"/>
      <c r="B674" s="175"/>
      <c r="C674" s="175"/>
      <c r="D674" s="1267"/>
      <c r="E674" s="1267"/>
      <c r="F674" s="1267"/>
      <c r="H674" s="181"/>
      <c r="I674" s="181"/>
      <c r="J674" s="181"/>
      <c r="K674" s="181"/>
    </row>
    <row r="675" spans="1:11">
      <c r="A675" s="175"/>
      <c r="B675" s="175"/>
      <c r="C675" s="175"/>
      <c r="D675" s="1267"/>
      <c r="E675" s="1267"/>
      <c r="F675" s="1267"/>
      <c r="H675" s="181"/>
      <c r="I675" s="181"/>
      <c r="J675" s="181"/>
      <c r="K675" s="181"/>
    </row>
    <row r="676" spans="1:11">
      <c r="A676" s="175"/>
      <c r="B676" s="175"/>
      <c r="C676" s="175"/>
      <c r="D676" s="1267"/>
      <c r="E676" s="1267"/>
      <c r="F676" s="1267"/>
      <c r="H676" s="181"/>
      <c r="I676" s="181"/>
      <c r="J676" s="181"/>
      <c r="K676" s="181"/>
    </row>
    <row r="677" spans="1:11">
      <c r="A677" s="175"/>
      <c r="B677" s="175"/>
      <c r="C677" s="175"/>
      <c r="D677" s="1267"/>
      <c r="E677" s="1267"/>
      <c r="F677" s="1267"/>
      <c r="H677" s="181"/>
      <c r="I677" s="181"/>
      <c r="J677" s="181"/>
      <c r="K677" s="181"/>
    </row>
    <row r="678" spans="1:11">
      <c r="A678" s="175"/>
      <c r="B678" s="175"/>
      <c r="C678" s="175"/>
      <c r="D678" s="1267"/>
      <c r="E678" s="1267"/>
      <c r="F678" s="1267"/>
      <c r="H678" s="181"/>
      <c r="I678" s="181"/>
      <c r="J678" s="181"/>
      <c r="K678" s="181"/>
    </row>
    <row r="679" spans="1:11">
      <c r="A679" s="175"/>
      <c r="B679" s="175"/>
      <c r="C679" s="175"/>
      <c r="D679" s="474"/>
      <c r="E679" s="474"/>
      <c r="F679" s="474"/>
      <c r="H679" s="181"/>
      <c r="I679" s="181"/>
      <c r="J679" s="181"/>
      <c r="K679" s="181"/>
    </row>
    <row r="680" spans="1:11" ht="12.9">
      <c r="A680" s="176"/>
      <c r="B680" s="468" t="s">
        <v>308</v>
      </c>
      <c r="C680" s="175"/>
      <c r="D680" s="1267" t="s">
        <v>1128</v>
      </c>
      <c r="E680" s="1267"/>
      <c r="F680" s="1267"/>
      <c r="H680" s="181"/>
      <c r="I680" s="181"/>
      <c r="J680" s="181"/>
      <c r="K680" s="181"/>
    </row>
    <row r="681" spans="1:11">
      <c r="A681" s="175"/>
      <c r="B681" s="175"/>
      <c r="C681" s="175"/>
      <c r="D681" s="1267"/>
      <c r="E681" s="1267"/>
      <c r="F681" s="1267"/>
      <c r="H681" s="181"/>
      <c r="I681" s="181"/>
      <c r="J681" s="181"/>
      <c r="K681" s="181"/>
    </row>
    <row r="682" spans="1:11">
      <c r="A682" s="175"/>
      <c r="B682" s="175"/>
      <c r="C682" s="175"/>
      <c r="D682" s="1267"/>
      <c r="E682" s="1267"/>
      <c r="F682" s="1267"/>
      <c r="H682" s="181"/>
      <c r="I682" s="181"/>
      <c r="J682" s="181"/>
      <c r="K682" s="181"/>
    </row>
    <row r="683" spans="1:11" ht="15" customHeight="1">
      <c r="A683" s="175"/>
      <c r="B683" s="175"/>
      <c r="C683" s="175"/>
      <c r="D683" s="1267"/>
      <c r="E683" s="1267"/>
      <c r="F683" s="1267"/>
      <c r="H683" s="181"/>
      <c r="I683" s="181"/>
      <c r="J683" s="181"/>
      <c r="K683" s="181"/>
    </row>
    <row r="684" spans="1:11" ht="15" customHeight="1">
      <c r="A684" s="175"/>
      <c r="B684" s="175"/>
      <c r="C684" s="175"/>
      <c r="D684" s="1267"/>
      <c r="E684" s="1267"/>
      <c r="F684" s="1267"/>
      <c r="H684" s="181"/>
      <c r="I684" s="181"/>
      <c r="J684" s="181"/>
      <c r="K684" s="181"/>
    </row>
    <row r="685" spans="1:11">
      <c r="A685" s="175"/>
      <c r="B685" s="175"/>
      <c r="C685" s="175"/>
      <c r="D685" s="1267"/>
      <c r="E685" s="1267"/>
      <c r="F685" s="1267"/>
      <c r="H685" s="181"/>
      <c r="I685" s="181"/>
      <c r="J685" s="181"/>
      <c r="K685" s="181"/>
    </row>
    <row r="686" spans="1:11">
      <c r="A686" s="175"/>
      <c r="B686" s="175"/>
      <c r="C686" s="175"/>
      <c r="D686" s="1267"/>
      <c r="E686" s="1267"/>
      <c r="F686" s="1267"/>
      <c r="H686" s="181"/>
      <c r="I686" s="181"/>
      <c r="J686" s="181"/>
      <c r="K686" s="181"/>
    </row>
    <row r="687" spans="1:11">
      <c r="A687" s="175"/>
      <c r="B687" s="175"/>
      <c r="C687" s="175"/>
      <c r="D687" s="1267"/>
      <c r="E687" s="1267"/>
      <c r="F687" s="1267"/>
      <c r="H687" s="181"/>
      <c r="I687" s="181"/>
      <c r="J687" s="181"/>
      <c r="K687" s="181"/>
    </row>
    <row r="688" spans="1:11" ht="15" customHeight="1">
      <c r="A688" s="175"/>
      <c r="B688" s="175"/>
      <c r="C688" s="175"/>
      <c r="D688" s="1267"/>
      <c r="E688" s="1267"/>
      <c r="F688" s="1267"/>
      <c r="H688" s="181"/>
      <c r="I688" s="181"/>
      <c r="J688" s="181"/>
      <c r="K688" s="181"/>
    </row>
    <row r="689" spans="1:11">
      <c r="A689" s="175"/>
      <c r="B689" s="175"/>
      <c r="C689" s="175"/>
      <c r="D689" s="1267"/>
      <c r="E689" s="1267"/>
      <c r="F689" s="1267"/>
      <c r="H689" s="181"/>
      <c r="I689" s="181"/>
      <c r="J689" s="181"/>
      <c r="K689" s="181"/>
    </row>
    <row r="690" spans="1:11">
      <c r="A690" s="175"/>
      <c r="B690" s="175"/>
      <c r="C690" s="175"/>
      <c r="D690" s="1267"/>
      <c r="E690" s="1267"/>
      <c r="F690" s="1267"/>
      <c r="H690" s="181"/>
      <c r="I690" s="181"/>
      <c r="J690" s="181"/>
      <c r="K690" s="181"/>
    </row>
    <row r="691" spans="1:11">
      <c r="A691" s="175"/>
      <c r="B691" s="175"/>
      <c r="C691" s="175"/>
      <c r="D691" s="1267"/>
      <c r="E691" s="1267"/>
      <c r="F691" s="1267"/>
      <c r="H691" s="181"/>
      <c r="I691" s="181"/>
      <c r="J691" s="181"/>
      <c r="K691" s="181"/>
    </row>
    <row r="692" spans="1:11">
      <c r="A692" s="175"/>
      <c r="B692" s="175"/>
      <c r="C692" s="175"/>
      <c r="D692" s="474"/>
      <c r="E692" s="474"/>
      <c r="F692" s="474"/>
      <c r="H692" s="181"/>
      <c r="I692" s="181"/>
      <c r="J692" s="181"/>
      <c r="K692" s="181"/>
    </row>
    <row r="693" spans="1:11" ht="12.9">
      <c r="A693" s="176"/>
      <c r="B693" s="468" t="s">
        <v>308</v>
      </c>
      <c r="C693" s="175"/>
      <c r="D693" s="1267" t="s">
        <v>1138</v>
      </c>
      <c r="E693" s="1267"/>
      <c r="F693" s="1267"/>
      <c r="H693" s="181"/>
      <c r="I693" s="181"/>
      <c r="J693" s="181"/>
      <c r="K693" s="181"/>
    </row>
    <row r="694" spans="1:11">
      <c r="A694" s="175"/>
      <c r="B694" s="175"/>
      <c r="C694" s="175"/>
      <c r="D694" s="1267"/>
      <c r="E694" s="1267"/>
      <c r="F694" s="1267"/>
      <c r="H694" s="181"/>
      <c r="I694" s="181"/>
      <c r="J694" s="181"/>
      <c r="K694" s="181"/>
    </row>
    <row r="695" spans="1:11">
      <c r="A695" s="175"/>
      <c r="B695" s="175"/>
      <c r="C695" s="175"/>
      <c r="D695" s="1267"/>
      <c r="E695" s="1267"/>
      <c r="F695" s="1267"/>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7" t="s">
        <v>1135</v>
      </c>
      <c r="E697" s="1267"/>
      <c r="F697" s="1267"/>
      <c r="H697" s="181"/>
      <c r="I697" s="181"/>
      <c r="J697" s="181"/>
      <c r="K697" s="181"/>
    </row>
    <row r="698" spans="1:11">
      <c r="A698" s="175"/>
      <c r="B698" s="175"/>
      <c r="C698" s="175"/>
      <c r="D698" s="1267"/>
      <c r="E698" s="1267"/>
      <c r="F698" s="1267"/>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7" t="s">
        <v>1136</v>
      </c>
      <c r="E700" s="1267"/>
      <c r="F700" s="1267"/>
      <c r="H700" s="181"/>
      <c r="I700" s="181"/>
      <c r="J700" s="181"/>
      <c r="K700" s="181"/>
    </row>
    <row r="701" spans="1:11">
      <c r="A701" s="175"/>
      <c r="B701" s="175"/>
      <c r="C701" s="175"/>
      <c r="D701" s="1267"/>
      <c r="E701" s="1267"/>
      <c r="F701" s="1267"/>
      <c r="H701" s="181"/>
      <c r="I701" s="181"/>
      <c r="J701" s="181"/>
      <c r="K701" s="181"/>
    </row>
    <row r="702" spans="1:11">
      <c r="A702" s="175"/>
      <c r="B702" s="175"/>
      <c r="C702" s="175"/>
      <c r="D702" s="1267"/>
      <c r="E702" s="1267"/>
      <c r="F702" s="1267"/>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7" t="s">
        <v>1129</v>
      </c>
      <c r="E704" s="1267"/>
      <c r="F704" s="1267"/>
      <c r="H704" s="181"/>
      <c r="I704" s="181"/>
      <c r="J704" s="181"/>
      <c r="K704" s="181"/>
    </row>
    <row r="705" spans="1:11">
      <c r="A705" s="175"/>
      <c r="B705" s="175"/>
      <c r="C705" s="175"/>
      <c r="D705" s="1267"/>
      <c r="E705" s="1267"/>
      <c r="F705" s="1267"/>
      <c r="H705" s="181"/>
      <c r="I705" s="181"/>
      <c r="J705" s="181"/>
      <c r="K705" s="181"/>
    </row>
    <row r="706" spans="1:11">
      <c r="A706" s="175"/>
      <c r="B706" s="175"/>
      <c r="C706" s="175"/>
      <c r="D706" s="1267"/>
      <c r="E706" s="1267"/>
      <c r="F706" s="1267"/>
      <c r="H706" s="181"/>
      <c r="I706" s="181"/>
      <c r="J706" s="181"/>
      <c r="K706" s="181"/>
    </row>
    <row r="707" spans="1:11">
      <c r="A707" s="175"/>
      <c r="B707" s="175"/>
      <c r="C707" s="175"/>
      <c r="H707" s="181"/>
      <c r="I707" s="181"/>
      <c r="J707" s="181"/>
      <c r="K707" s="181"/>
    </row>
    <row r="708" spans="1:11">
      <c r="A708" s="175"/>
      <c r="B708" s="468" t="s">
        <v>308</v>
      </c>
      <c r="C708" s="175"/>
      <c r="D708" s="1267" t="s">
        <v>1130</v>
      </c>
      <c r="E708" s="1267"/>
      <c r="F708" s="1267"/>
      <c r="H708" s="181"/>
      <c r="I708" s="181"/>
      <c r="J708" s="181"/>
      <c r="K708" s="181"/>
    </row>
    <row r="709" spans="1:11">
      <c r="A709" s="175"/>
      <c r="B709" s="175"/>
      <c r="C709" s="175"/>
      <c r="D709" s="1267"/>
      <c r="E709" s="1267"/>
      <c r="F709" s="1267"/>
      <c r="H709" s="181"/>
      <c r="I709" s="181"/>
      <c r="J709" s="181"/>
      <c r="K709" s="181"/>
    </row>
    <row r="710" spans="1:11">
      <c r="A710" s="175"/>
      <c r="B710" s="175"/>
      <c r="C710" s="175"/>
      <c r="D710" s="1267"/>
      <c r="E710" s="1267"/>
      <c r="F710" s="1267"/>
      <c r="H710" s="181"/>
      <c r="I710" s="181"/>
      <c r="J710" s="181"/>
      <c r="K710" s="181"/>
    </row>
    <row r="711" spans="1:11">
      <c r="A711" s="175"/>
      <c r="B711" s="175"/>
      <c r="C711" s="175"/>
      <c r="D711"/>
      <c r="H711" s="181"/>
      <c r="I711" s="181"/>
      <c r="J711" s="181"/>
      <c r="K711" s="181"/>
    </row>
    <row r="712" spans="1:11" ht="12.9">
      <c r="A712" s="176"/>
      <c r="B712" s="468" t="s">
        <v>308</v>
      </c>
      <c r="C712" s="175"/>
      <c r="D712" s="1267" t="s">
        <v>1131</v>
      </c>
      <c r="E712" s="1267"/>
      <c r="F712" s="1267"/>
      <c r="H712" s="181"/>
      <c r="I712" s="181"/>
      <c r="J712" s="181"/>
      <c r="K712" s="181"/>
    </row>
    <row r="713" spans="1:11">
      <c r="A713" s="175"/>
      <c r="B713" s="175"/>
      <c r="C713" s="175"/>
      <c r="D713" s="1267"/>
      <c r="E713" s="1267"/>
      <c r="F713" s="1267"/>
      <c r="H713" s="181"/>
      <c r="I713" s="181"/>
      <c r="J713" s="181"/>
      <c r="K713" s="181"/>
    </row>
    <row r="714" spans="1:11">
      <c r="A714" s="175"/>
      <c r="B714" s="175"/>
      <c r="C714" s="175"/>
      <c r="D714" s="1267"/>
      <c r="E714" s="1267"/>
      <c r="F714" s="1267"/>
      <c r="H714" s="181"/>
      <c r="I714" s="181"/>
      <c r="J714" s="181"/>
      <c r="K714" s="181"/>
    </row>
    <row r="715" spans="1:11">
      <c r="A715" s="175"/>
      <c r="B715" s="175"/>
      <c r="C715" s="175"/>
      <c r="D715" s="1267"/>
      <c r="E715" s="1267"/>
      <c r="F715" s="1267"/>
      <c r="H715" s="181"/>
      <c r="I715" s="181"/>
      <c r="J715" s="181"/>
      <c r="K715" s="181"/>
    </row>
    <row r="716" spans="1:11">
      <c r="A716" s="175"/>
      <c r="B716" s="175"/>
      <c r="C716" s="175"/>
      <c r="D716" s="178"/>
      <c r="H716" s="181"/>
      <c r="I716" s="181"/>
      <c r="J716" s="181"/>
      <c r="K716" s="181"/>
    </row>
    <row r="717" spans="1:11" ht="12.9">
      <c r="A717" s="176"/>
      <c r="B717" s="468" t="s">
        <v>308</v>
      </c>
      <c r="C717" s="175"/>
      <c r="D717" s="1267" t="s">
        <v>1264</v>
      </c>
      <c r="E717" s="1267"/>
      <c r="F717" s="1267"/>
      <c r="H717" s="181"/>
      <c r="I717" s="181"/>
      <c r="J717" s="181"/>
      <c r="K717" s="181"/>
    </row>
    <row r="718" spans="1:11">
      <c r="A718" s="175"/>
      <c r="B718" s="175"/>
      <c r="C718" s="175"/>
      <c r="D718" s="1267"/>
      <c r="E718" s="1267"/>
      <c r="F718" s="1267"/>
      <c r="H718" s="181"/>
      <c r="I718" s="181"/>
      <c r="J718" s="181"/>
      <c r="K718" s="181"/>
    </row>
    <row r="719" spans="1:11">
      <c r="A719" s="175"/>
      <c r="B719" s="175"/>
      <c r="C719" s="175"/>
      <c r="D719" s="1267"/>
      <c r="E719" s="1267"/>
      <c r="F719" s="1267"/>
      <c r="H719" s="181"/>
      <c r="I719" s="181"/>
      <c r="J719" s="181"/>
      <c r="K719" s="181"/>
    </row>
    <row r="720" spans="1:11">
      <c r="A720" s="175"/>
      <c r="B720" s="175"/>
      <c r="C720" s="175"/>
      <c r="D720" s="1267"/>
      <c r="E720" s="1267"/>
      <c r="F720" s="1267"/>
      <c r="H720" s="181"/>
      <c r="I720" s="181"/>
      <c r="J720" s="181"/>
      <c r="K720" s="181"/>
    </row>
    <row r="721" spans="1:11">
      <c r="A721" s="175"/>
      <c r="B721" s="175"/>
      <c r="C721" s="175"/>
      <c r="D721" s="1267"/>
      <c r="E721" s="1267"/>
      <c r="F721" s="1267"/>
      <c r="H721" s="181"/>
      <c r="I721" s="181"/>
      <c r="J721" s="181"/>
      <c r="K721" s="181"/>
    </row>
    <row r="722" spans="1:11">
      <c r="A722" s="175"/>
      <c r="B722" s="175"/>
      <c r="C722" s="175"/>
      <c r="D722" s="1267"/>
      <c r="E722" s="1267"/>
      <c r="F722" s="1267"/>
      <c r="H722" s="181"/>
      <c r="I722" s="181"/>
      <c r="J722" s="181"/>
      <c r="K722" s="181"/>
    </row>
    <row r="723" spans="1:11">
      <c r="A723" s="175"/>
      <c r="B723" s="175"/>
      <c r="C723" s="175"/>
      <c r="D723" s="1267"/>
      <c r="E723" s="1267"/>
      <c r="F723" s="1267"/>
      <c r="H723" s="181"/>
      <c r="I723" s="181"/>
      <c r="J723" s="181"/>
      <c r="K723" s="181"/>
    </row>
    <row r="724" spans="1:11">
      <c r="A724" s="175"/>
      <c r="B724" s="175"/>
      <c r="C724" s="175"/>
      <c r="D724" s="1294" t="s">
        <v>1132</v>
      </c>
      <c r="E724" s="1294"/>
      <c r="F724" s="1294"/>
      <c r="H724" s="181"/>
      <c r="I724" s="181"/>
      <c r="J724" s="181"/>
      <c r="K724" s="181"/>
    </row>
    <row r="725" spans="1:11">
      <c r="A725" s="175"/>
      <c r="B725" s="175"/>
      <c r="C725" s="175"/>
      <c r="D725" s="369"/>
      <c r="H725" s="181"/>
      <c r="I725" s="181"/>
      <c r="J725" s="181"/>
      <c r="K725" s="181"/>
    </row>
    <row r="726" spans="1:11">
      <c r="A726" s="1289" t="s">
        <v>1089</v>
      </c>
      <c r="B726" s="1289"/>
      <c r="C726" s="1289"/>
      <c r="D726" s="1289"/>
      <c r="E726" s="1289"/>
      <c r="F726" s="1289"/>
      <c r="G726" s="1289"/>
      <c r="H726" s="181"/>
      <c r="I726" s="181"/>
      <c r="J726" s="181"/>
      <c r="K726" s="181"/>
    </row>
    <row r="727" spans="1:11">
      <c r="A727" s="175"/>
      <c r="B727" s="175"/>
      <c r="C727" s="175"/>
      <c r="D727" s="178"/>
      <c r="G727" s="183"/>
      <c r="H727" s="181"/>
      <c r="I727" s="181"/>
      <c r="J727" s="181"/>
      <c r="K727" s="181"/>
    </row>
    <row r="728" spans="1:11" ht="13.3" customHeight="1">
      <c r="C728" s="175"/>
      <c r="D728" s="1299" t="s">
        <v>1105</v>
      </c>
      <c r="E728" s="1299"/>
      <c r="F728" s="1299"/>
      <c r="G728" s="183"/>
      <c r="H728" s="181"/>
      <c r="I728" s="181"/>
      <c r="J728" s="181"/>
      <c r="K728" s="181"/>
    </row>
    <row r="729" spans="1:11">
      <c r="A729" s="175"/>
      <c r="B729" s="175"/>
      <c r="C729" s="175"/>
      <c r="D729" s="1291" t="s">
        <v>1106</v>
      </c>
      <c r="E729" s="1291"/>
      <c r="F729" s="1291"/>
      <c r="G729" s="183"/>
      <c r="H729" s="181"/>
      <c r="I729" s="181"/>
      <c r="J729" s="181"/>
      <c r="K729" s="181"/>
    </row>
    <row r="730" spans="1:11">
      <c r="A730" s="175"/>
      <c r="B730" s="175"/>
      <c r="C730" s="175"/>
      <c r="G730" s="183"/>
      <c r="H730" s="181"/>
      <c r="I730" s="181"/>
      <c r="J730" s="181"/>
      <c r="K730" s="181"/>
    </row>
    <row r="731" spans="1:11" ht="12.9">
      <c r="A731" s="176"/>
      <c r="B731" s="468" t="s">
        <v>308</v>
      </c>
      <c r="D731" s="1267" t="s">
        <v>1107</v>
      </c>
      <c r="E731" s="1267"/>
      <c r="F731" s="1267"/>
      <c r="G731" s="183"/>
      <c r="H731" s="181"/>
      <c r="I731" s="181"/>
      <c r="J731" s="181"/>
      <c r="K731" s="181"/>
    </row>
    <row r="732" spans="1:11" ht="10.5" customHeight="1">
      <c r="D732" s="1267"/>
      <c r="E732" s="1267"/>
      <c r="F732" s="1267"/>
      <c r="G732" s="183"/>
      <c r="H732" s="181"/>
      <c r="I732" s="181"/>
      <c r="J732" s="181"/>
      <c r="K732" s="181"/>
    </row>
    <row r="733" spans="1:11">
      <c r="D733" s="1267"/>
      <c r="E733" s="1267"/>
      <c r="F733" s="1267"/>
      <c r="G733" s="183"/>
      <c r="H733" s="181"/>
      <c r="I733" s="181"/>
      <c r="J733" s="181"/>
      <c r="K733" s="181"/>
    </row>
    <row r="734" spans="1:11">
      <c r="D734" s="1267"/>
      <c r="E734" s="1267"/>
      <c r="F734" s="1267"/>
      <c r="G734" s="183"/>
      <c r="H734" s="181"/>
      <c r="I734" s="181"/>
      <c r="J734" s="181"/>
      <c r="K734" s="181"/>
    </row>
    <row r="735" spans="1:11">
      <c r="D735" s="1267"/>
      <c r="E735" s="1267"/>
      <c r="F735" s="1267"/>
      <c r="G735" s="183"/>
      <c r="H735" s="181"/>
      <c r="I735" s="181"/>
      <c r="J735" s="181"/>
      <c r="K735" s="181"/>
    </row>
    <row r="736" spans="1:11" ht="15.65" customHeight="1">
      <c r="D736" s="1267"/>
      <c r="E736" s="1267"/>
      <c r="F736" s="1267"/>
      <c r="G736" s="183"/>
      <c r="H736" s="181"/>
      <c r="I736" s="181"/>
      <c r="J736" s="181"/>
      <c r="K736" s="181"/>
    </row>
    <row r="737" spans="1:11">
      <c r="D737" s="255"/>
      <c r="E737" s="35"/>
      <c r="F737" s="35"/>
      <c r="G737" s="183"/>
      <c r="H737" s="181"/>
      <c r="I737" s="181"/>
      <c r="J737" s="181"/>
      <c r="K737" s="181"/>
    </row>
    <row r="738" spans="1:11" s="274" customFormat="1" ht="12.9">
      <c r="A738" s="272"/>
      <c r="B738" s="468" t="s">
        <v>308</v>
      </c>
      <c r="C738" s="273"/>
      <c r="D738" s="1267" t="s">
        <v>1108</v>
      </c>
      <c r="E738" s="1267"/>
      <c r="F738" s="1267"/>
      <c r="G738" s="210"/>
    </row>
    <row r="739" spans="1:11" s="274" customFormat="1">
      <c r="A739" s="273"/>
      <c r="B739" s="273"/>
      <c r="C739" s="273"/>
      <c r="D739" s="1267"/>
      <c r="E739" s="1267"/>
      <c r="F739" s="1267"/>
      <c r="G739" s="210"/>
    </row>
    <row r="740" spans="1:11" s="274" customFormat="1">
      <c r="A740" s="273"/>
      <c r="B740" s="273"/>
      <c r="C740" s="273"/>
      <c r="D740" s="1267"/>
      <c r="E740" s="1267"/>
      <c r="F740" s="1267"/>
      <c r="G740" s="210"/>
    </row>
    <row r="741" spans="1:11" s="274" customFormat="1">
      <c r="A741" s="273"/>
      <c r="B741" s="273"/>
      <c r="C741" s="273"/>
      <c r="D741" s="1267"/>
      <c r="E741" s="1267"/>
      <c r="F741" s="1267"/>
      <c r="G741" s="210"/>
    </row>
    <row r="742" spans="1:11" s="274" customFormat="1">
      <c r="A742" s="273"/>
      <c r="B742" s="273"/>
      <c r="C742" s="273"/>
      <c r="D742" s="255"/>
      <c r="E742" s="210"/>
      <c r="F742" s="210"/>
      <c r="G742" s="210"/>
    </row>
    <row r="743" spans="1:11" s="274" customFormat="1" ht="12.9">
      <c r="A743" s="176"/>
      <c r="B743" s="468" t="s">
        <v>308</v>
      </c>
      <c r="C743" s="273"/>
      <c r="D743" s="1300" t="s">
        <v>1109</v>
      </c>
      <c r="E743" s="1300"/>
      <c r="F743" s="1300"/>
      <c r="G743" s="210"/>
    </row>
    <row r="744" spans="1:11" s="274" customFormat="1">
      <c r="A744" s="273"/>
      <c r="B744" s="273"/>
      <c r="C744" s="273"/>
      <c r="D744" s="1300"/>
      <c r="E744" s="1300"/>
      <c r="F744" s="1300"/>
      <c r="G744" s="210"/>
    </row>
    <row r="745" spans="1:11" s="274" customFormat="1">
      <c r="A745" s="273"/>
      <c r="B745" s="273"/>
      <c r="C745" s="273"/>
      <c r="D745" s="1300"/>
      <c r="E745" s="1300"/>
      <c r="F745" s="1300"/>
      <c r="G745" s="210"/>
    </row>
    <row r="746" spans="1:11">
      <c r="D746" s="255"/>
      <c r="E746" s="35"/>
      <c r="F746" s="35"/>
      <c r="G746" s="183"/>
      <c r="H746" s="181"/>
      <c r="I746" s="181"/>
      <c r="J746" s="181"/>
      <c r="K746" s="181"/>
    </row>
    <row r="747" spans="1:11" ht="12.9">
      <c r="A747" s="176"/>
      <c r="B747" s="468" t="s">
        <v>308</v>
      </c>
      <c r="D747" s="1267" t="s">
        <v>1110</v>
      </c>
      <c r="E747" s="1267"/>
      <c r="F747" s="1267"/>
      <c r="G747" s="183"/>
      <c r="H747" s="181"/>
      <c r="I747" s="181"/>
      <c r="J747" s="181"/>
      <c r="K747" s="181"/>
    </row>
    <row r="748" spans="1:11">
      <c r="D748" s="1267"/>
      <c r="E748" s="1267"/>
      <c r="F748" s="1267"/>
      <c r="G748" s="183"/>
      <c r="H748" s="181"/>
      <c r="I748" s="181"/>
      <c r="J748" s="181"/>
      <c r="K748" s="181"/>
    </row>
    <row r="749" spans="1:11">
      <c r="D749" s="474"/>
      <c r="E749" s="474"/>
      <c r="F749" s="474"/>
      <c r="G749" s="183"/>
      <c r="H749" s="181"/>
      <c r="I749" s="181"/>
      <c r="J749" s="181"/>
      <c r="K749" s="181"/>
    </row>
    <row r="750" spans="1:11">
      <c r="B750" s="468" t="s">
        <v>308</v>
      </c>
      <c r="D750" s="1267" t="s">
        <v>1111</v>
      </c>
      <c r="E750" s="1267"/>
      <c r="F750" s="1267"/>
      <c r="G750" s="183"/>
      <c r="H750" s="181"/>
      <c r="I750" s="181"/>
      <c r="J750" s="181"/>
      <c r="K750" s="181"/>
    </row>
    <row r="751" spans="1:11">
      <c r="D751" s="1267"/>
      <c r="E751" s="1267"/>
      <c r="F751" s="1267"/>
      <c r="G751" s="183"/>
      <c r="H751" s="181"/>
      <c r="I751" s="181"/>
      <c r="J751" s="181"/>
      <c r="K751" s="181"/>
    </row>
    <row r="752" spans="1:11">
      <c r="D752" s="1267"/>
      <c r="E752" s="1267"/>
      <c r="F752" s="1267"/>
      <c r="G752" s="183"/>
      <c r="H752" s="181"/>
      <c r="I752" s="181"/>
      <c r="J752" s="181"/>
      <c r="K752" s="181"/>
    </row>
    <row r="753" spans="1:11">
      <c r="D753" s="474"/>
      <c r="E753" s="474"/>
      <c r="F753" s="474"/>
      <c r="G753" s="183"/>
      <c r="H753" s="181"/>
      <c r="I753" s="181"/>
      <c r="J753" s="181"/>
      <c r="K753" s="181"/>
    </row>
    <row r="754" spans="1:11">
      <c r="A754" s="1288" t="s">
        <v>1112</v>
      </c>
      <c r="B754" s="1288"/>
      <c r="C754" s="1288"/>
      <c r="D754" s="1288"/>
      <c r="E754" s="1288"/>
      <c r="F754" s="1288"/>
      <c r="G754" s="1288"/>
    </row>
    <row r="755" spans="1:11">
      <c r="A755" s="175"/>
      <c r="B755" s="175"/>
      <c r="C755" s="175"/>
      <c r="D755" s="184"/>
      <c r="F755" s="35"/>
      <c r="G755" s="183"/>
    </row>
    <row r="756" spans="1:11">
      <c r="D756" s="1296" t="s">
        <v>1096</v>
      </c>
      <c r="E756" s="1296"/>
      <c r="F756" s="1296"/>
      <c r="G756" s="183"/>
    </row>
    <row r="757" spans="1:11">
      <c r="A757" s="345"/>
      <c r="B757" s="345"/>
      <c r="C757" s="345"/>
      <c r="D757" s="1297" t="s">
        <v>1113</v>
      </c>
      <c r="E757" s="1297"/>
      <c r="F757" s="1297"/>
      <c r="G757" s="183"/>
    </row>
    <row r="758" spans="1:11">
      <c r="D758" s="433"/>
      <c r="E758" s="433"/>
      <c r="F758" s="433"/>
      <c r="G758" s="183"/>
    </row>
    <row r="759" spans="1:11" ht="12.9">
      <c r="A759" s="176"/>
      <c r="B759" s="468" t="s">
        <v>308</v>
      </c>
      <c r="D759" s="1297" t="s">
        <v>1006</v>
      </c>
      <c r="E759" s="1297"/>
      <c r="F759" s="1297"/>
      <c r="G759" s="183"/>
    </row>
    <row r="760" spans="1:11">
      <c r="D760" s="433"/>
      <c r="E760" s="1298" t="s">
        <v>1097</v>
      </c>
      <c r="F760" s="1298"/>
      <c r="G760" s="183"/>
    </row>
    <row r="761" spans="1:11">
      <c r="A761" s="172"/>
      <c r="B761" s="172"/>
      <c r="C761" s="172"/>
      <c r="D761" s="35"/>
      <c r="G761" s="183"/>
    </row>
    <row r="762" spans="1:11">
      <c r="A762" s="1295" t="s">
        <v>450</v>
      </c>
      <c r="B762" s="1295"/>
      <c r="C762" s="1295"/>
      <c r="D762" s="1295"/>
      <c r="E762" s="1295"/>
      <c r="F762" s="1295"/>
      <c r="G762" s="1295"/>
    </row>
    <row r="763" spans="1:11">
      <c r="A763" s="172"/>
      <c r="B763" s="172"/>
      <c r="C763" s="179"/>
      <c r="D763" s="183"/>
      <c r="E763" s="183"/>
      <c r="F763" s="183"/>
      <c r="G763" s="183"/>
    </row>
    <row r="764" spans="1:11">
      <c r="A764" s="35"/>
      <c r="B764" s="1291" t="s">
        <v>1005</v>
      </c>
      <c r="C764" s="1291"/>
      <c r="D764" s="1291"/>
      <c r="E764" s="1291"/>
      <c r="F764" s="1291"/>
      <c r="G764" s="183"/>
    </row>
    <row r="765" spans="1:11">
      <c r="A765" s="13"/>
      <c r="B765" s="13"/>
      <c r="G765" s="183"/>
    </row>
    <row r="766" spans="1:11">
      <c r="A766" s="1295" t="s">
        <v>451</v>
      </c>
      <c r="B766" s="1295"/>
      <c r="C766" s="1295"/>
      <c r="D766" s="1295"/>
      <c r="E766" s="1295"/>
      <c r="F766" s="1295"/>
      <c r="G766" s="1295"/>
    </row>
    <row r="767" spans="1:11">
      <c r="A767" s="172"/>
      <c r="B767" s="172"/>
      <c r="C767" s="172"/>
      <c r="D767" s="178"/>
      <c r="G767" s="183"/>
    </row>
    <row r="768" spans="1:11">
      <c r="A768" s="35"/>
      <c r="B768" s="1287" t="s">
        <v>449</v>
      </c>
      <c r="C768" s="1287"/>
      <c r="D768" s="1287"/>
      <c r="E768" s="1287"/>
      <c r="F768" s="1287"/>
      <c r="G768" s="183"/>
    </row>
    <row r="769" spans="1:7" ht="12.9">
      <c r="A769" s="176"/>
      <c r="B769" s="176"/>
      <c r="D769" s="35"/>
      <c r="E769" s="35"/>
      <c r="F769" s="183"/>
      <c r="G769" s="183"/>
    </row>
    <row r="770" spans="1:7">
      <c r="A770" s="1295" t="s">
        <v>452</v>
      </c>
      <c r="B770" s="1295"/>
      <c r="C770" s="1295"/>
      <c r="D770" s="1295"/>
      <c r="E770" s="1295"/>
      <c r="F770" s="1295"/>
      <c r="G770" s="1295"/>
    </row>
    <row r="771" spans="1:7">
      <c r="C771" s="175"/>
      <c r="D771" s="173"/>
      <c r="E771" s="35"/>
      <c r="F771" s="183"/>
      <c r="G771" s="183"/>
    </row>
    <row r="772" spans="1:7">
      <c r="A772" s="35"/>
      <c r="B772" s="1287" t="s">
        <v>449</v>
      </c>
      <c r="C772" s="1287"/>
      <c r="D772" s="1287"/>
      <c r="E772" s="1287"/>
      <c r="F772" s="1287"/>
      <c r="G772" s="183"/>
    </row>
    <row r="773" spans="1:7">
      <c r="A773" s="35"/>
      <c r="B773" s="35"/>
      <c r="C773" s="179"/>
      <c r="D773" s="183"/>
      <c r="E773" s="183"/>
      <c r="F773" s="183"/>
      <c r="G773" s="183"/>
    </row>
    <row r="774" spans="1:7">
      <c r="A774" s="1295" t="s">
        <v>453</v>
      </c>
      <c r="B774" s="1295"/>
      <c r="C774" s="1295"/>
      <c r="D774" s="1295"/>
      <c r="E774" s="1295"/>
      <c r="F774" s="1295"/>
      <c r="G774" s="1295"/>
    </row>
    <row r="775" spans="1:7">
      <c r="A775" s="35"/>
      <c r="B775" s="35"/>
    </row>
    <row r="776" spans="1:7">
      <c r="A776" s="35"/>
      <c r="B776" s="1287" t="s">
        <v>449</v>
      </c>
      <c r="C776" s="1287"/>
      <c r="D776" s="1287"/>
      <c r="E776" s="1287"/>
      <c r="F776" s="1287"/>
    </row>
    <row r="777" spans="1:7">
      <c r="A777" s="179"/>
      <c r="B777" s="179"/>
      <c r="C777" s="179"/>
      <c r="D777" s="174"/>
      <c r="F777" s="183"/>
    </row>
    <row r="778" spans="1:7">
      <c r="A778" s="1295" t="s">
        <v>454</v>
      </c>
      <c r="B778" s="1295"/>
      <c r="C778" s="1295"/>
      <c r="D778" s="1295"/>
      <c r="E778" s="1295"/>
      <c r="F778" s="1295"/>
      <c r="G778" s="1295"/>
    </row>
    <row r="779" spans="1:7">
      <c r="A779" s="35"/>
      <c r="B779" s="35"/>
    </row>
    <row r="780" spans="1:7">
      <c r="A780" s="35"/>
      <c r="B780" s="1287" t="s">
        <v>449</v>
      </c>
      <c r="C780" s="1287"/>
      <c r="D780" s="1287"/>
      <c r="E780" s="1287"/>
      <c r="F780" s="1287"/>
    </row>
    <row r="781" spans="1:7">
      <c r="A781" s="179"/>
      <c r="B781" s="179"/>
      <c r="C781" s="179"/>
      <c r="D781" s="174"/>
      <c r="F781" s="183"/>
    </row>
    <row r="782" spans="1:7">
      <c r="A782" s="1295" t="s">
        <v>455</v>
      </c>
      <c r="B782" s="1295"/>
      <c r="C782" s="1295"/>
      <c r="D782" s="1295"/>
      <c r="E782" s="1295"/>
      <c r="F782" s="1295"/>
      <c r="G782" s="1295"/>
    </row>
    <row r="783" spans="1:7">
      <c r="A783" s="35"/>
      <c r="B783" s="35"/>
    </row>
    <row r="784" spans="1:7">
      <c r="A784" s="35"/>
      <c r="B784" s="1287" t="s">
        <v>449</v>
      </c>
      <c r="C784" s="1287"/>
      <c r="D784" s="1287"/>
      <c r="E784" s="1287"/>
      <c r="F784" s="1287"/>
    </row>
    <row r="785" spans="1:7">
      <c r="D785" s="174"/>
    </row>
    <row r="786" spans="1:7">
      <c r="A786" s="1295" t="s">
        <v>187</v>
      </c>
      <c r="B786" s="1295"/>
      <c r="C786" s="1295"/>
      <c r="D786" s="1295"/>
      <c r="E786" s="1295"/>
      <c r="F786" s="1295"/>
      <c r="G786" s="1295"/>
    </row>
    <row r="787" spans="1:7">
      <c r="A787" s="35"/>
      <c r="B787" s="35"/>
    </row>
    <row r="788" spans="1:7">
      <c r="A788" s="35"/>
      <c r="B788" s="1287" t="s">
        <v>449</v>
      </c>
      <c r="C788" s="1287"/>
      <c r="D788" s="1287"/>
      <c r="E788" s="1287"/>
      <c r="F788" s="1287"/>
    </row>
    <row r="789" spans="1:7">
      <c r="A789" s="35"/>
      <c r="B789" s="35"/>
      <c r="D789" s="174"/>
    </row>
    <row r="790" spans="1:7">
      <c r="A790" s="1295" t="s">
        <v>886</v>
      </c>
      <c r="B790" s="1295"/>
      <c r="C790" s="1295"/>
      <c r="D790" s="1295"/>
      <c r="E790" s="1295"/>
      <c r="F790" s="1295"/>
      <c r="G790" s="1295"/>
    </row>
    <row r="791" spans="1:7">
      <c r="A791" s="35"/>
      <c r="B791" s="35"/>
    </row>
    <row r="792" spans="1:7">
      <c r="A792" s="35"/>
      <c r="B792" s="1287" t="s">
        <v>449</v>
      </c>
      <c r="C792" s="1287"/>
      <c r="D792" s="1287"/>
      <c r="E792" s="1287"/>
      <c r="F792" s="1287"/>
      <c r="G792"/>
    </row>
    <row r="793" spans="1:7">
      <c r="A793" s="172"/>
      <c r="B793" s="172"/>
      <c r="C793" s="172"/>
      <c r="E793"/>
      <c r="F793"/>
      <c r="G793"/>
    </row>
    <row r="794" spans="1:7" ht="12.9">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3"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55" customHeight="1" zeroHeight="1"/>
  <cols>
    <col min="1" max="10" width="10.69140625" style="433" customWidth="1"/>
    <col min="11" max="16384" width="8.84375" style="433" hidden="1"/>
  </cols>
  <sheetData>
    <row r="1" spans="1:10" ht="14.25" customHeight="1"/>
    <row r="2" spans="1:10" ht="15.45">
      <c r="A2" s="1320" t="s">
        <v>2061</v>
      </c>
      <c r="B2" s="1321"/>
      <c r="C2" s="1321"/>
      <c r="D2" s="1321"/>
      <c r="E2" s="1321"/>
      <c r="F2" s="1321"/>
      <c r="G2" s="1321"/>
      <c r="H2" s="1321"/>
      <c r="I2" s="1321"/>
      <c r="J2" s="1321"/>
    </row>
    <row r="3" spans="1:10" ht="15">
      <c r="A3" s="1324" t="s">
        <v>1379</v>
      </c>
      <c r="B3" s="1325"/>
      <c r="C3" s="1325"/>
      <c r="D3" s="1325"/>
      <c r="E3" s="1325"/>
      <c r="F3" s="1325"/>
      <c r="G3" s="1325"/>
      <c r="H3" s="1325"/>
      <c r="I3" s="1325"/>
      <c r="J3" s="1325"/>
    </row>
    <row r="4" spans="1:10" ht="12.45"/>
    <row r="5" spans="1:10" ht="12.75" customHeight="1">
      <c r="A5" s="1322" t="s">
        <v>2362</v>
      </c>
      <c r="B5" s="1322"/>
      <c r="C5" s="1322"/>
      <c r="D5" s="1322"/>
      <c r="E5" s="1322"/>
      <c r="F5" s="1322"/>
      <c r="G5" s="1322"/>
      <c r="H5" s="1322"/>
      <c r="I5" s="1322"/>
      <c r="J5" s="1322"/>
    </row>
    <row r="6" spans="1:10" ht="12.45">
      <c r="A6" s="1322"/>
      <c r="B6" s="1322"/>
      <c r="C6" s="1322"/>
      <c r="D6" s="1322"/>
      <c r="E6" s="1322"/>
      <c r="F6" s="1322"/>
      <c r="G6" s="1322"/>
      <c r="H6" s="1322"/>
      <c r="I6" s="1322"/>
      <c r="J6" s="1322"/>
    </row>
    <row r="7" spans="1:10" ht="30" customHeight="1">
      <c r="A7" s="1322"/>
      <c r="B7" s="1322"/>
      <c r="C7" s="1322"/>
      <c r="D7" s="1322"/>
      <c r="E7" s="1322"/>
      <c r="F7" s="1322"/>
      <c r="G7" s="1322"/>
      <c r="H7" s="1322"/>
      <c r="I7" s="1322"/>
      <c r="J7" s="1322"/>
    </row>
    <row r="8" spans="1:10" ht="12.45">
      <c r="A8" s="447"/>
      <c r="B8" s="447"/>
      <c r="C8" s="447"/>
      <c r="D8" s="447"/>
      <c r="E8" s="447"/>
      <c r="F8" s="447"/>
      <c r="G8" s="447"/>
      <c r="H8" s="447"/>
      <c r="I8" s="447"/>
      <c r="J8" s="447"/>
    </row>
    <row r="9" spans="1:10" ht="12.75" customHeight="1">
      <c r="A9" s="433" t="s">
        <v>2064</v>
      </c>
      <c r="B9" s="447"/>
      <c r="C9" s="447"/>
      <c r="D9" s="447"/>
      <c r="E9" s="447"/>
      <c r="F9" s="447"/>
      <c r="G9" s="447"/>
      <c r="H9" s="447"/>
      <c r="I9" s="447"/>
      <c r="J9" s="447"/>
    </row>
    <row r="10" spans="1:10" ht="12.45"/>
    <row r="11" spans="1:10" ht="12.75" customHeight="1">
      <c r="A11" s="1326" t="s">
        <v>2066</v>
      </c>
      <c r="B11" s="1326"/>
      <c r="C11" s="1326"/>
      <c r="D11" s="1326"/>
      <c r="E11" s="1326"/>
      <c r="F11" s="1326"/>
      <c r="G11" s="1326"/>
      <c r="H11" s="1326"/>
      <c r="I11" s="1326"/>
      <c r="J11" s="1326"/>
    </row>
    <row r="12" spans="1:10" ht="12.45">
      <c r="A12" s="1326"/>
      <c r="B12" s="1326"/>
      <c r="C12" s="1326"/>
      <c r="D12" s="1326"/>
      <c r="E12" s="1326"/>
      <c r="F12" s="1326"/>
      <c r="G12" s="1326"/>
      <c r="H12" s="1326"/>
      <c r="I12" s="1326"/>
      <c r="J12" s="1326"/>
    </row>
    <row r="13" spans="1:10" ht="12.45">
      <c r="A13" s="1326"/>
      <c r="B13" s="1326"/>
      <c r="C13" s="1326"/>
      <c r="D13" s="1326"/>
      <c r="E13" s="1326"/>
      <c r="F13" s="1326"/>
      <c r="G13" s="1326"/>
      <c r="H13" s="1326"/>
      <c r="I13" s="1326"/>
      <c r="J13" s="1326"/>
    </row>
    <row r="14" spans="1:10" ht="12.45">
      <c r="A14" s="1326"/>
      <c r="B14" s="1326"/>
      <c r="C14" s="1326"/>
      <c r="D14" s="1326"/>
      <c r="E14" s="1326"/>
      <c r="F14" s="1326"/>
      <c r="G14" s="1326"/>
      <c r="H14" s="1326"/>
      <c r="I14" s="1326"/>
      <c r="J14" s="1326"/>
    </row>
    <row r="15" spans="1:10" ht="12.45">
      <c r="A15" s="1326"/>
      <c r="B15" s="1326"/>
      <c r="C15" s="1326"/>
      <c r="D15" s="1326"/>
      <c r="E15" s="1326"/>
      <c r="F15" s="1326"/>
      <c r="G15" s="1326"/>
      <c r="H15" s="1326"/>
      <c r="I15" s="1326"/>
      <c r="J15" s="1326"/>
    </row>
    <row r="16" spans="1:10" ht="12.45">
      <c r="A16" s="1326"/>
      <c r="B16" s="1326"/>
      <c r="C16" s="1326"/>
      <c r="D16" s="1326"/>
      <c r="E16" s="1326"/>
      <c r="F16" s="1326"/>
      <c r="G16" s="1326"/>
      <c r="H16" s="1326"/>
      <c r="I16" s="1326"/>
      <c r="J16" s="1326"/>
    </row>
    <row r="17" spans="1:10" ht="12.45">
      <c r="A17" s="558"/>
      <c r="B17" s="558"/>
      <c r="C17" s="558"/>
      <c r="D17" s="558"/>
      <c r="E17" s="558"/>
      <c r="F17" s="558"/>
      <c r="G17" s="558"/>
      <c r="H17" s="558"/>
      <c r="I17" s="558"/>
      <c r="J17" s="558"/>
    </row>
    <row r="18" spans="1:10" ht="12.45">
      <c r="A18" s="510" t="s">
        <v>2065</v>
      </c>
      <c r="B18" s="447"/>
      <c r="C18" s="447"/>
      <c r="D18" s="447"/>
      <c r="E18" s="447"/>
      <c r="F18" s="447"/>
      <c r="G18" s="447"/>
      <c r="H18" s="447"/>
      <c r="I18" s="447"/>
      <c r="J18" s="447"/>
    </row>
    <row r="19" spans="1:10" ht="12.45">
      <c r="A19" s="447" t="s">
        <v>251</v>
      </c>
      <c r="B19" s="447"/>
      <c r="C19" s="447"/>
      <c r="D19" s="447"/>
      <c r="E19" s="447"/>
      <c r="F19" s="447"/>
      <c r="G19" s="447"/>
      <c r="H19" s="447"/>
      <c r="I19" s="447"/>
      <c r="J19" s="447"/>
    </row>
    <row r="20" spans="1:10" ht="12.45">
      <c r="A20" s="1325" t="s">
        <v>1296</v>
      </c>
      <c r="B20" s="1325"/>
      <c r="C20" s="1325"/>
      <c r="D20" s="1325"/>
      <c r="E20" s="1325"/>
    </row>
    <row r="21" spans="1:10" ht="12.45"/>
    <row r="22" spans="1:10" ht="12.45"/>
    <row r="23" spans="1:10" ht="12.45"/>
    <row r="24" spans="1:10" ht="12.45"/>
    <row r="25" spans="1:10" ht="12.45"/>
    <row r="26" spans="1:10" ht="12.45"/>
    <row r="27" spans="1:10" ht="12.45"/>
    <row r="28" spans="1:10" ht="12.45"/>
    <row r="29" spans="1:10" ht="12.45"/>
    <row r="30" spans="1:10" ht="12.45"/>
    <row r="31" spans="1:10" ht="12.45"/>
    <row r="32" spans="1:10" ht="12.45"/>
    <row r="33" ht="12.45"/>
    <row r="34" ht="12.45"/>
    <row r="35" ht="12.45"/>
    <row r="36" ht="12.45"/>
    <row r="37" ht="12.45"/>
    <row r="38" ht="12.45"/>
    <row r="39" ht="12.45"/>
    <row r="40" ht="12.45"/>
    <row r="41" ht="12.45"/>
    <row r="42" ht="12.45"/>
    <row r="43" ht="12.45"/>
    <row r="44" ht="12.45"/>
    <row r="45" ht="12.45"/>
    <row r="46" ht="12.45"/>
    <row r="47" ht="12.45"/>
    <row r="48" ht="12.45"/>
    <row r="49" spans="1:10" ht="12.45"/>
    <row r="50" spans="1:10" ht="12.45"/>
    <row r="51" spans="1:10" ht="12.45"/>
    <row r="52" spans="1:10" ht="12.45"/>
    <row r="53" spans="1:10" ht="12.45"/>
    <row r="54" spans="1:10" ht="12.45"/>
    <row r="55" spans="1:10" ht="12.45"/>
    <row r="56" spans="1:10" ht="12.45"/>
    <row r="57" spans="1:10" ht="12.45">
      <c r="A57" s="1322" t="s">
        <v>1297</v>
      </c>
      <c r="B57" s="1322"/>
      <c r="C57" s="1322"/>
      <c r="D57" s="1322"/>
      <c r="E57" s="1322"/>
      <c r="F57" s="1322"/>
      <c r="G57" s="1322"/>
      <c r="H57" s="1322"/>
      <c r="I57" s="1322"/>
      <c r="J57" s="1322"/>
    </row>
    <row r="58" spans="1:10" ht="12.45">
      <c r="A58" s="1322"/>
      <c r="B58" s="1322"/>
      <c r="C58" s="1322"/>
      <c r="D58" s="1322"/>
      <c r="E58" s="1322"/>
      <c r="F58" s="1322"/>
      <c r="G58" s="1322"/>
      <c r="H58" s="1322"/>
      <c r="I58" s="1322"/>
      <c r="J58" s="1322"/>
    </row>
    <row r="59" spans="1:10" ht="12.45">
      <c r="A59" s="1322"/>
      <c r="B59" s="1322"/>
      <c r="C59" s="1322"/>
      <c r="D59" s="1322"/>
      <c r="E59" s="1322"/>
      <c r="F59" s="1322"/>
      <c r="G59" s="1322"/>
      <c r="H59" s="1322"/>
      <c r="I59" s="1322"/>
      <c r="J59" s="1322"/>
    </row>
    <row r="60" spans="1:10" ht="12.45"/>
    <row r="61" spans="1:10" ht="12.45">
      <c r="A61" s="433" t="s">
        <v>1296</v>
      </c>
    </row>
    <row r="62" spans="1:10" ht="12.45"/>
    <row r="63" spans="1:10" ht="12.45"/>
    <row r="64" spans="1:10" ht="12.45"/>
    <row r="65" spans="1:9" ht="12.45"/>
    <row r="66" spans="1:9" ht="12.45"/>
    <row r="67" spans="1:9" ht="12.45"/>
    <row r="68" spans="1:9" ht="12.45"/>
    <row r="69" spans="1:9" ht="12.45"/>
    <row r="70" spans="1:9" ht="12.45"/>
    <row r="71" spans="1:9" ht="12.45"/>
    <row r="72" spans="1:9" ht="12.45">
      <c r="A72" s="1323" t="s">
        <v>2062</v>
      </c>
      <c r="B72" s="1323"/>
      <c r="C72" s="1323"/>
      <c r="D72" s="1323"/>
      <c r="E72" s="1323"/>
      <c r="F72" s="1323"/>
      <c r="G72" s="1323"/>
      <c r="H72" s="1323"/>
      <c r="I72" s="1323"/>
    </row>
    <row r="73" spans="1:9" ht="12.45">
      <c r="A73" s="1274" t="s">
        <v>2360</v>
      </c>
      <c r="B73" s="1274"/>
      <c r="C73" s="1274"/>
      <c r="D73" s="1274"/>
      <c r="E73" s="1274"/>
    </row>
    <row r="74" spans="1:9" ht="12.45">
      <c r="A74" s="1274" t="s">
        <v>2361</v>
      </c>
      <c r="B74" s="1274"/>
      <c r="C74" s="1274"/>
      <c r="D74" s="1274"/>
      <c r="E74" s="1274"/>
    </row>
    <row r="75" spans="1:9" ht="12.45">
      <c r="A75" s="1274" t="s">
        <v>2063</v>
      </c>
      <c r="B75" s="1274"/>
      <c r="C75" s="1274"/>
      <c r="D75" s="1274"/>
      <c r="E75" s="1274"/>
    </row>
    <row r="76" spans="1:9" ht="12.45"/>
    <row r="77" spans="1:9" ht="12.45"/>
    <row r="78" spans="1:9" ht="12.45"/>
    <row r="79" spans="1:9" ht="12.55" customHeight="1"/>
    <row r="80" spans="1:9" ht="12.55" customHeight="1"/>
    <row r="81" ht="12.55" customHeight="1"/>
    <row r="82" ht="12.55" customHeight="1"/>
    <row r="83" ht="12.55" customHeight="1"/>
    <row r="84" ht="12.55" customHeight="1"/>
    <row r="85" ht="12.5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10886</xdr:colOff>
                <xdr:row>78</xdr:row>
                <xdr:rowOff>81643</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024" zoomScale="72" workbookViewId="0">
      <selection activeCell="B250" sqref="B250"/>
    </sheetView>
  </sheetViews>
  <sheetFormatPr defaultColWidth="0" defaultRowHeight="12.45" zeroHeight="1"/>
  <cols>
    <col min="1" max="1" width="3.53515625" style="514" customWidth="1"/>
    <col min="2" max="2" width="13.53515625" style="514" customWidth="1"/>
    <col min="3" max="3" width="2.53515625" style="514" customWidth="1"/>
    <col min="4" max="5" width="3.53515625" style="433" customWidth="1"/>
    <col min="6" max="6" width="65.53515625" style="433" customWidth="1"/>
    <col min="7" max="7" width="1.53515625" style="433" customWidth="1"/>
    <col min="8" max="8" width="3.53515625" style="433" customWidth="1"/>
    <col min="9" max="9" width="24.3828125" style="435" customWidth="1"/>
    <col min="10" max="10" width="8.84375" style="433" customWidth="1"/>
    <col min="11" max="16384" width="8.84375" style="433" hidden="1"/>
  </cols>
  <sheetData>
    <row r="1" spans="1:13"/>
    <row r="2" spans="1:13">
      <c r="A2" s="1327" t="s">
        <v>2584</v>
      </c>
      <c r="B2" s="1327"/>
      <c r="C2" s="1327"/>
      <c r="D2" s="1327"/>
      <c r="E2" s="1327"/>
      <c r="F2" s="1327"/>
      <c r="G2" s="1327"/>
      <c r="H2" s="1327"/>
      <c r="I2" s="1327"/>
    </row>
    <row r="3" spans="1:13">
      <c r="A3" s="1328" t="s">
        <v>2630</v>
      </c>
      <c r="B3" s="1328"/>
      <c r="C3" s="1328"/>
      <c r="D3" s="1328"/>
      <c r="E3" s="1328"/>
      <c r="F3" s="1328"/>
      <c r="G3" s="1328"/>
      <c r="H3" s="1328"/>
      <c r="I3" s="1328"/>
    </row>
    <row r="4" spans="1:13">
      <c r="A4" s="1328"/>
      <c r="B4" s="1328"/>
      <c r="C4" s="1325"/>
      <c r="D4" s="1325"/>
      <c r="E4" s="1325"/>
      <c r="F4" s="1325"/>
      <c r="G4" s="1325"/>
    </row>
    <row r="5" spans="1:13">
      <c r="A5" s="1328"/>
      <c r="B5" s="1328"/>
      <c r="C5" s="1325"/>
      <c r="D5" s="1325"/>
      <c r="E5" s="1325"/>
      <c r="F5" s="1325"/>
      <c r="G5" s="1325"/>
    </row>
    <row r="6" spans="1:13" ht="12.75" customHeight="1">
      <c r="A6" s="1342" t="s">
        <v>2629</v>
      </c>
      <c r="B6" s="1342"/>
      <c r="C6" s="1342"/>
      <c r="D6" s="1342"/>
      <c r="E6" s="1342"/>
      <c r="F6" s="1342"/>
      <c r="G6" s="1342"/>
      <c r="I6" s="524" t="s">
        <v>2072</v>
      </c>
    </row>
    <row r="7" spans="1:13">
      <c r="A7" s="1342"/>
      <c r="B7" s="1342"/>
      <c r="C7" s="1342"/>
      <c r="D7" s="1342"/>
      <c r="E7" s="1342"/>
      <c r="F7" s="1342"/>
      <c r="G7" s="1342"/>
      <c r="I7" s="524" t="s">
        <v>2073</v>
      </c>
    </row>
    <row r="8" spans="1:13">
      <c r="A8" s="515"/>
      <c r="B8" s="515"/>
      <c r="C8" s="516"/>
      <c r="D8" s="516"/>
      <c r="E8" s="516"/>
      <c r="F8" s="516"/>
    </row>
    <row r="9" spans="1:13">
      <c r="A9" s="1288" t="s">
        <v>1169</v>
      </c>
      <c r="B9" s="1288"/>
      <c r="C9" s="1288"/>
      <c r="D9" s="1288"/>
      <c r="E9" s="1288"/>
      <c r="F9" s="1288"/>
      <c r="G9" s="1288"/>
      <c r="H9" s="1063"/>
      <c r="I9" s="1064"/>
    </row>
    <row r="10" spans="1:13">
      <c r="A10" s="516"/>
      <c r="B10" s="516"/>
      <c r="E10" s="435"/>
    </row>
    <row r="11" spans="1:13" ht="13.75" customHeight="1">
      <c r="C11" s="516"/>
      <c r="D11" s="1341" t="s">
        <v>1168</v>
      </c>
      <c r="E11" s="1341"/>
      <c r="F11" s="1341"/>
    </row>
    <row r="12" spans="1:13">
      <c r="C12" s="516"/>
      <c r="D12" s="1341"/>
      <c r="E12" s="1341"/>
      <c r="F12" s="1341"/>
    </row>
    <row r="13" spans="1:13">
      <c r="A13" s="517"/>
      <c r="B13" s="517"/>
      <c r="C13" s="517"/>
      <c r="D13" s="1311" t="s">
        <v>1151</v>
      </c>
      <c r="E13" s="1311"/>
      <c r="F13" s="1311"/>
      <c r="M13" s="96"/>
    </row>
    <row r="14" spans="1:13">
      <c r="A14" s="517"/>
      <c r="B14" s="517"/>
      <c r="C14" s="517"/>
      <c r="D14" s="510"/>
      <c r="L14" s="336"/>
    </row>
    <row r="15" spans="1:13" ht="12.9">
      <c r="A15" s="518"/>
      <c r="B15" s="519" t="s">
        <v>1070</v>
      </c>
      <c r="C15" s="517"/>
      <c r="D15" s="1282" t="s">
        <v>2223</v>
      </c>
      <c r="E15" s="1282"/>
      <c r="F15" s="1282"/>
      <c r="I15" s="524" t="s">
        <v>2074</v>
      </c>
    </row>
    <row r="16" spans="1:13">
      <c r="A16" s="517"/>
      <c r="B16" s="517"/>
      <c r="C16" s="517"/>
      <c r="D16" s="1282"/>
      <c r="E16" s="1282"/>
      <c r="F16" s="1282"/>
      <c r="I16" s="524"/>
    </row>
    <row r="17" spans="1:9">
      <c r="A17" s="517"/>
      <c r="B17" s="517"/>
      <c r="C17" s="517"/>
      <c r="D17" s="1282"/>
      <c r="E17" s="1282"/>
      <c r="F17" s="1282"/>
      <c r="I17" s="524"/>
    </row>
    <row r="18" spans="1:9">
      <c r="A18" s="517"/>
      <c r="B18" s="517"/>
      <c r="C18" s="517"/>
      <c r="D18" s="479"/>
      <c r="E18" s="336" t="s">
        <v>2221</v>
      </c>
      <c r="F18" s="479"/>
      <c r="I18" s="524"/>
    </row>
    <row r="19" spans="1:9">
      <c r="A19" s="517"/>
      <c r="B19" s="517"/>
      <c r="C19" s="517"/>
      <c r="I19" s="524"/>
    </row>
    <row r="20" spans="1:9" ht="12.9">
      <c r="A20" s="518"/>
      <c r="B20" s="519" t="s">
        <v>2639</v>
      </c>
      <c r="D20" s="1282" t="s">
        <v>2224</v>
      </c>
      <c r="E20" s="1282"/>
      <c r="F20" s="1282"/>
      <c r="I20" s="524" t="s">
        <v>2075</v>
      </c>
    </row>
    <row r="21" spans="1:9" ht="12.9">
      <c r="A21" s="518"/>
      <c r="D21" s="1282"/>
      <c r="E21" s="1282"/>
      <c r="F21" s="1282"/>
      <c r="I21" s="524"/>
    </row>
    <row r="22" spans="1:9" ht="12.9">
      <c r="A22" s="518"/>
      <c r="D22" s="423"/>
      <c r="E22" s="96" t="s">
        <v>2220</v>
      </c>
      <c r="F22" s="423"/>
      <c r="I22" s="524"/>
    </row>
    <row r="23" spans="1:9" ht="12.9">
      <c r="A23" s="518"/>
      <c r="B23" s="518"/>
      <c r="D23" s="480"/>
      <c r="I23" s="524"/>
    </row>
    <row r="24" spans="1:9" ht="12.9">
      <c r="A24" s="518"/>
      <c r="B24" s="519" t="s">
        <v>2638</v>
      </c>
      <c r="D24" s="1282" t="s">
        <v>1154</v>
      </c>
      <c r="E24" s="1282"/>
      <c r="F24" s="1282"/>
      <c r="I24" s="524" t="s">
        <v>2075</v>
      </c>
    </row>
    <row r="25" spans="1:9" ht="12.9">
      <c r="A25" s="518"/>
      <c r="B25" s="518"/>
      <c r="D25" s="1282"/>
      <c r="E25" s="1282"/>
      <c r="F25" s="1282"/>
      <c r="I25" s="524"/>
    </row>
    <row r="26" spans="1:9">
      <c r="I26" s="524"/>
    </row>
    <row r="27" spans="1:9" ht="12.9">
      <c r="A27" s="518"/>
      <c r="B27" s="519" t="s">
        <v>2639</v>
      </c>
      <c r="D27" s="1282" t="s">
        <v>2363</v>
      </c>
      <c r="E27" s="1282"/>
      <c r="F27" s="1282"/>
      <c r="I27" s="524" t="s">
        <v>2078</v>
      </c>
    </row>
    <row r="28" spans="1:9">
      <c r="D28" s="1282"/>
      <c r="E28" s="1282"/>
      <c r="F28" s="1282"/>
      <c r="I28" s="524"/>
    </row>
    <row r="29" spans="1:9">
      <c r="D29" s="1282"/>
      <c r="E29" s="1282"/>
      <c r="F29" s="1282"/>
      <c r="I29" s="524"/>
    </row>
    <row r="30" spans="1:9">
      <c r="D30" s="1282"/>
      <c r="E30" s="1282"/>
      <c r="F30" s="1282"/>
      <c r="I30" s="524"/>
    </row>
    <row r="31" spans="1:9">
      <c r="D31" s="1282"/>
      <c r="E31" s="1282"/>
      <c r="F31" s="1282"/>
      <c r="I31" s="524"/>
    </row>
    <row r="32" spans="1:9">
      <c r="D32" s="481"/>
      <c r="I32" s="524"/>
    </row>
    <row r="33" spans="1:9">
      <c r="B33" s="519" t="s">
        <v>2638</v>
      </c>
      <c r="D33" s="1282" t="s">
        <v>2364</v>
      </c>
      <c r="E33" s="1282"/>
      <c r="F33" s="1282"/>
      <c r="I33" s="524" t="s">
        <v>2074</v>
      </c>
    </row>
    <row r="34" spans="1:9">
      <c r="D34" s="1282"/>
      <c r="E34" s="1282"/>
      <c r="F34" s="1282"/>
      <c r="I34" s="524"/>
    </row>
    <row r="35" spans="1:9" ht="12.9">
      <c r="A35" s="518"/>
      <c r="B35" s="518"/>
      <c r="D35" s="481"/>
      <c r="I35" s="524"/>
    </row>
    <row r="36" spans="1:9" ht="14.5" customHeight="1">
      <c r="A36" s="518"/>
      <c r="B36" s="519" t="s">
        <v>1070</v>
      </c>
      <c r="D36" s="1282" t="s">
        <v>1321</v>
      </c>
      <c r="E36" s="1282"/>
      <c r="F36" s="1282"/>
      <c r="I36" s="524" t="s">
        <v>2145</v>
      </c>
    </row>
    <row r="37" spans="1:9" ht="12.9">
      <c r="A37" s="518"/>
      <c r="B37" s="518"/>
      <c r="D37" s="1282"/>
      <c r="E37" s="1282"/>
      <c r="F37" s="1282"/>
      <c r="I37" s="524"/>
    </row>
    <row r="38" spans="1:9" ht="12.9">
      <c r="A38" s="518"/>
      <c r="B38" s="518"/>
      <c r="D38" s="1282"/>
      <c r="E38" s="1282"/>
      <c r="F38" s="1282"/>
      <c r="I38" s="524"/>
    </row>
    <row r="39" spans="1:9" ht="12.9">
      <c r="A39" s="518"/>
      <c r="B39" s="518"/>
      <c r="D39" s="1282"/>
      <c r="E39" s="1282"/>
      <c r="F39" s="1282"/>
      <c r="I39" s="524"/>
    </row>
    <row r="40" spans="1:9" ht="12.9">
      <c r="A40" s="518"/>
      <c r="B40" s="518"/>
      <c r="I40" s="524"/>
    </row>
    <row r="41" spans="1:9" ht="12.9">
      <c r="A41" s="518"/>
      <c r="B41" s="519" t="s">
        <v>2638</v>
      </c>
      <c r="D41" s="1282" t="s">
        <v>1158</v>
      </c>
      <c r="E41" s="1282"/>
      <c r="F41" s="1282"/>
      <c r="I41" s="524"/>
    </row>
    <row r="42" spans="1:9" ht="12.9">
      <c r="A42" s="518"/>
      <c r="B42" s="518"/>
      <c r="D42" s="1282"/>
      <c r="E42" s="1282"/>
      <c r="F42" s="1282"/>
      <c r="I42" s="524"/>
    </row>
    <row r="43" spans="1:9" ht="12.9">
      <c r="A43" s="518"/>
      <c r="B43" s="518"/>
      <c r="D43" s="1282"/>
      <c r="E43" s="1282"/>
      <c r="F43" s="1282"/>
      <c r="I43" s="524"/>
    </row>
    <row r="44" spans="1:9" ht="12.9">
      <c r="A44" s="518"/>
      <c r="B44" s="518"/>
      <c r="D44" s="1282"/>
      <c r="E44" s="1282"/>
      <c r="F44" s="1282"/>
      <c r="I44" s="524"/>
    </row>
    <row r="45" spans="1:9" ht="12.9">
      <c r="A45" s="518"/>
      <c r="B45" s="518"/>
      <c r="D45" s="1282"/>
      <c r="E45" s="1282"/>
      <c r="F45" s="1282"/>
      <c r="I45" s="524"/>
    </row>
    <row r="46" spans="1:9" ht="12.9">
      <c r="A46" s="518"/>
      <c r="B46" s="518"/>
      <c r="D46" s="479"/>
      <c r="E46" s="479"/>
      <c r="F46" s="479"/>
      <c r="I46" s="524"/>
    </row>
    <row r="47" spans="1:9" ht="12.9">
      <c r="A47" s="518"/>
      <c r="B47" s="519" t="s">
        <v>2638</v>
      </c>
      <c r="D47" s="1282" t="s">
        <v>1159</v>
      </c>
      <c r="E47" s="1282"/>
      <c r="F47" s="1282"/>
      <c r="I47" s="524" t="s">
        <v>2145</v>
      </c>
    </row>
    <row r="48" spans="1:9" ht="12.9">
      <c r="A48" s="518"/>
      <c r="B48" s="518"/>
      <c r="D48" s="1282"/>
      <c r="E48" s="1282"/>
      <c r="F48" s="1282"/>
      <c r="I48" s="524"/>
    </row>
    <row r="49" spans="1:9" ht="12.9">
      <c r="A49" s="518"/>
      <c r="B49" s="518"/>
      <c r="D49" s="1282"/>
      <c r="E49" s="1282"/>
      <c r="F49" s="1282"/>
      <c r="I49" s="524"/>
    </row>
    <row r="50" spans="1:9" ht="23.25" customHeight="1">
      <c r="A50" s="518"/>
      <c r="B50" s="518"/>
      <c r="D50" s="1282"/>
      <c r="E50" s="1282"/>
      <c r="F50" s="1282"/>
      <c r="I50" s="524"/>
    </row>
    <row r="51" spans="1:9" ht="12.9">
      <c r="A51" s="518"/>
      <c r="B51" s="518"/>
      <c r="D51" s="480"/>
      <c r="I51" s="524"/>
    </row>
    <row r="52" spans="1:9" ht="14.5" customHeight="1">
      <c r="A52" s="518"/>
      <c r="B52" s="519" t="s">
        <v>1070</v>
      </c>
      <c r="D52" s="1282" t="s">
        <v>1160</v>
      </c>
      <c r="E52" s="1282"/>
      <c r="F52" s="1282"/>
      <c r="I52" s="524" t="s">
        <v>2145</v>
      </c>
    </row>
    <row r="53" spans="1:9" ht="12.9">
      <c r="A53" s="518"/>
      <c r="B53" s="518"/>
      <c r="D53" s="1282"/>
      <c r="E53" s="1282"/>
      <c r="F53" s="1282"/>
      <c r="I53" s="524"/>
    </row>
    <row r="54" spans="1:9" ht="12.9">
      <c r="A54" s="518"/>
      <c r="B54" s="518"/>
      <c r="D54" s="1282"/>
      <c r="E54" s="1282"/>
      <c r="F54" s="1282"/>
      <c r="I54" s="524"/>
    </row>
    <row r="55" spans="1:9" ht="12.9">
      <c r="A55" s="518"/>
      <c r="B55" s="518"/>
      <c r="I55" s="524"/>
    </row>
    <row r="56" spans="1:9" ht="12.9">
      <c r="A56" s="518"/>
      <c r="B56" s="519" t="s">
        <v>2639</v>
      </c>
      <c r="D56" s="1338" t="s">
        <v>1161</v>
      </c>
      <c r="E56" s="1338"/>
      <c r="F56" s="1338"/>
      <c r="I56" s="524"/>
    </row>
    <row r="57" spans="1:9" ht="12.9">
      <c r="A57" s="518"/>
      <c r="B57" s="518"/>
      <c r="D57" s="1338"/>
      <c r="E57" s="1338"/>
      <c r="F57" s="1338"/>
      <c r="I57" s="524"/>
    </row>
    <row r="58" spans="1:9" ht="12.9">
      <c r="A58" s="518"/>
      <c r="B58" s="518"/>
      <c r="D58" s="423" t="s">
        <v>2222</v>
      </c>
      <c r="E58" s="479"/>
      <c r="F58" s="479"/>
      <c r="I58" s="524"/>
    </row>
    <row r="59" spans="1:9" ht="12.9">
      <c r="A59" s="518"/>
      <c r="B59" s="518"/>
      <c r="D59" s="479"/>
      <c r="E59" s="336" t="s">
        <v>2221</v>
      </c>
      <c r="F59" s="479"/>
      <c r="I59" s="524"/>
    </row>
    <row r="60" spans="1:9">
      <c r="D60" s="481"/>
      <c r="I60" s="524"/>
    </row>
    <row r="61" spans="1:9" ht="12.9">
      <c r="A61" s="518"/>
      <c r="B61" s="519" t="s">
        <v>2638</v>
      </c>
      <c r="D61" s="1282" t="s">
        <v>1162</v>
      </c>
      <c r="E61" s="1282"/>
      <c r="F61" s="1282"/>
      <c r="I61" s="524" t="s">
        <v>2076</v>
      </c>
    </row>
    <row r="62" spans="1:9">
      <c r="D62" s="1282"/>
      <c r="E62" s="1282"/>
      <c r="F62" s="1282"/>
      <c r="I62" s="524"/>
    </row>
    <row r="63" spans="1:9">
      <c r="D63" s="1282"/>
      <c r="E63" s="1282"/>
      <c r="F63" s="1282"/>
      <c r="I63" s="524"/>
    </row>
    <row r="64" spans="1:9">
      <c r="I64" s="524"/>
    </row>
    <row r="65" spans="1:9" ht="12.9">
      <c r="A65" s="518"/>
      <c r="B65" s="519" t="s">
        <v>2638</v>
      </c>
      <c r="D65" s="1282" t="s">
        <v>1163</v>
      </c>
      <c r="E65" s="1282"/>
      <c r="F65" s="1282"/>
      <c r="I65" s="524" t="s">
        <v>2077</v>
      </c>
    </row>
    <row r="66" spans="1:9">
      <c r="D66" s="1282"/>
      <c r="E66" s="1282"/>
      <c r="F66" s="1282"/>
      <c r="I66" s="524"/>
    </row>
    <row r="67" spans="1:9">
      <c r="I67" s="524"/>
    </row>
    <row r="68" spans="1:9" ht="12.9">
      <c r="A68" s="518"/>
      <c r="B68" s="519" t="s">
        <v>2639</v>
      </c>
      <c r="D68" s="1282" t="s">
        <v>1164</v>
      </c>
      <c r="E68" s="1282"/>
      <c r="F68" s="1282"/>
      <c r="I68" s="524"/>
    </row>
    <row r="69" spans="1:9">
      <c r="D69" s="1282"/>
      <c r="E69" s="1282"/>
      <c r="F69" s="1282"/>
      <c r="I69" s="524" t="s">
        <v>2078</v>
      </c>
    </row>
    <row r="70" spans="1:9">
      <c r="D70" s="1282"/>
      <c r="E70" s="1282"/>
      <c r="F70" s="1282"/>
      <c r="I70" s="524"/>
    </row>
    <row r="71" spans="1:9">
      <c r="I71" s="524"/>
    </row>
    <row r="72" spans="1:9" ht="12.9">
      <c r="A72" s="518"/>
      <c r="B72" s="519" t="s">
        <v>2639</v>
      </c>
      <c r="D72" s="1282" t="s">
        <v>1165</v>
      </c>
      <c r="E72" s="1282"/>
      <c r="F72" s="1282"/>
      <c r="I72" s="524" t="s">
        <v>2078</v>
      </c>
    </row>
    <row r="73" spans="1:9">
      <c r="D73" s="1282"/>
      <c r="E73" s="1282"/>
      <c r="F73" s="1282"/>
      <c r="I73" s="524"/>
    </row>
    <row r="74" spans="1:9" ht="12.9">
      <c r="A74" s="518"/>
      <c r="B74" s="518"/>
      <c r="D74" s="480"/>
      <c r="I74" s="524"/>
    </row>
    <row r="75" spans="1:9">
      <c r="A75" s="1288" t="s">
        <v>1072</v>
      </c>
      <c r="B75" s="1288"/>
      <c r="C75" s="1288"/>
      <c r="D75" s="1288"/>
      <c r="E75" s="1288"/>
      <c r="F75" s="1288"/>
      <c r="G75" s="1288"/>
      <c r="H75" s="1063"/>
      <c r="I75" s="1259"/>
    </row>
    <row r="76" spans="1:9">
      <c r="I76" s="524"/>
    </row>
    <row r="77" spans="1:9">
      <c r="C77" s="520"/>
      <c r="D77" s="1310" t="s">
        <v>1170</v>
      </c>
      <c r="E77" s="1310"/>
      <c r="F77" s="1310"/>
      <c r="I77" s="524"/>
    </row>
    <row r="78" spans="1:9">
      <c r="A78" s="480"/>
      <c r="B78" s="480"/>
      <c r="D78" s="1282" t="s">
        <v>1197</v>
      </c>
      <c r="E78" s="1282"/>
      <c r="F78" s="1282"/>
      <c r="I78" s="524"/>
    </row>
    <row r="79" spans="1:9">
      <c r="A79" s="480"/>
      <c r="B79" s="480"/>
      <c r="I79" s="524"/>
    </row>
    <row r="80" spans="1:9" ht="13.75" customHeight="1">
      <c r="A80" s="518"/>
      <c r="B80" s="519" t="s">
        <v>1070</v>
      </c>
      <c r="D80" s="1282" t="s">
        <v>1354</v>
      </c>
      <c r="E80" s="1282"/>
      <c r="F80" s="1282"/>
      <c r="I80" s="524" t="s">
        <v>2079</v>
      </c>
    </row>
    <row r="81" spans="1:9" ht="12.9">
      <c r="A81" s="518"/>
      <c r="B81" s="518"/>
      <c r="D81" s="1282"/>
      <c r="E81" s="1282"/>
      <c r="F81" s="1282"/>
      <c r="I81" s="524"/>
    </row>
    <row r="82" spans="1:9" ht="12.9">
      <c r="A82" s="518"/>
      <c r="B82" s="518"/>
      <c r="D82" s="1282"/>
      <c r="E82" s="1282"/>
      <c r="F82" s="1282"/>
      <c r="I82" s="524"/>
    </row>
    <row r="83" spans="1:9" ht="12.9">
      <c r="A83" s="518"/>
      <c r="B83" s="518"/>
      <c r="D83" s="1282"/>
      <c r="E83" s="1282"/>
      <c r="F83" s="1282"/>
      <c r="I83" s="524"/>
    </row>
    <row r="84" spans="1:9" ht="12.9">
      <c r="A84" s="518"/>
      <c r="B84" s="518"/>
      <c r="D84" s="1282"/>
      <c r="E84" s="1282"/>
      <c r="F84" s="1282"/>
      <c r="I84" s="524"/>
    </row>
    <row r="85" spans="1:9" ht="12.9">
      <c r="A85" s="518"/>
      <c r="B85" s="518"/>
      <c r="D85" s="1282"/>
      <c r="E85" s="1282"/>
      <c r="F85" s="1282"/>
      <c r="I85" s="524"/>
    </row>
    <row r="86" spans="1:9" ht="12.9">
      <c r="A86" s="518"/>
      <c r="B86" s="518"/>
      <c r="D86" s="1282"/>
      <c r="E86" s="1282"/>
      <c r="F86" s="1282"/>
      <c r="I86" s="524"/>
    </row>
    <row r="87" spans="1:9" ht="12.9">
      <c r="A87" s="518"/>
      <c r="B87" s="518"/>
      <c r="D87" s="1282"/>
      <c r="E87" s="1282"/>
      <c r="F87" s="1282"/>
      <c r="I87" s="524"/>
    </row>
    <row r="88" spans="1:9" ht="12.9">
      <c r="A88" s="518"/>
      <c r="B88" s="518"/>
      <c r="D88" s="416"/>
      <c r="E88" s="416"/>
      <c r="F88" s="416"/>
      <c r="I88" s="524"/>
    </row>
    <row r="89" spans="1:9" ht="15" customHeight="1">
      <c r="A89" s="518"/>
      <c r="B89" s="519" t="s">
        <v>1070</v>
      </c>
      <c r="D89" s="1282" t="s">
        <v>1933</v>
      </c>
      <c r="E89" s="1282"/>
      <c r="F89" s="1282"/>
      <c r="I89" s="524" t="s">
        <v>2080</v>
      </c>
    </row>
    <row r="90" spans="1:9" ht="12.9">
      <c r="A90" s="518"/>
      <c r="B90" s="518"/>
      <c r="D90" s="1282"/>
      <c r="E90" s="1282"/>
      <c r="F90" s="1282"/>
      <c r="I90" s="524"/>
    </row>
    <row r="91" spans="1:9" ht="12.9">
      <c r="A91" s="518"/>
      <c r="B91" s="518"/>
      <c r="D91" s="479"/>
      <c r="E91" s="479"/>
      <c r="F91" s="479"/>
      <c r="I91" s="524"/>
    </row>
    <row r="92" spans="1:9" ht="12.9">
      <c r="A92" s="518"/>
      <c r="B92" s="519" t="s">
        <v>1070</v>
      </c>
      <c r="D92" s="1282" t="s">
        <v>1936</v>
      </c>
      <c r="E92" s="1282"/>
      <c r="F92" s="1282"/>
      <c r="I92" s="524" t="s">
        <v>2081</v>
      </c>
    </row>
    <row r="93" spans="1:9" ht="12.9">
      <c r="A93" s="518"/>
      <c r="B93" s="518"/>
      <c r="D93" s="1282"/>
      <c r="E93" s="1282"/>
      <c r="F93" s="1282"/>
      <c r="I93" s="524"/>
    </row>
    <row r="94" spans="1:9" ht="12.9">
      <c r="A94" s="518"/>
      <c r="B94" s="518"/>
      <c r="D94" s="1282"/>
      <c r="E94" s="1282"/>
      <c r="F94" s="1282"/>
      <c r="I94" s="524"/>
    </row>
    <row r="95" spans="1:9" ht="12.9">
      <c r="A95" s="518"/>
      <c r="B95" s="518"/>
      <c r="D95" s="479"/>
      <c r="E95" s="479"/>
      <c r="F95" s="479"/>
      <c r="I95" s="524"/>
    </row>
    <row r="96" spans="1:9" ht="12.9">
      <c r="A96" s="518"/>
      <c r="B96" s="519" t="s">
        <v>1070</v>
      </c>
      <c r="D96" s="1282" t="s">
        <v>1935</v>
      </c>
      <c r="E96" s="1282"/>
      <c r="F96" s="1282"/>
      <c r="I96" s="524" t="s">
        <v>2126</v>
      </c>
    </row>
    <row r="97" spans="1:9" s="1022" customFormat="1" ht="12.9">
      <c r="A97" s="1020"/>
      <c r="B97" s="1020"/>
      <c r="C97" s="1021"/>
      <c r="D97" s="1282"/>
      <c r="E97" s="1282"/>
      <c r="F97" s="1282"/>
      <c r="I97" s="1260"/>
    </row>
    <row r="98" spans="1:9" ht="12.9">
      <c r="A98" s="518"/>
      <c r="B98" s="518"/>
      <c r="D98" s="423"/>
      <c r="E98" s="336" t="s">
        <v>2225</v>
      </c>
      <c r="F98" s="479"/>
      <c r="I98" s="524"/>
    </row>
    <row r="99" spans="1:9" ht="12.9">
      <c r="A99" s="518"/>
      <c r="B99" s="518"/>
      <c r="D99" s="416"/>
      <c r="E99" s="416"/>
      <c r="F99" s="416"/>
      <c r="I99" s="524"/>
    </row>
    <row r="100" spans="1:9" ht="12.9">
      <c r="A100" s="518"/>
      <c r="B100" s="519" t="s">
        <v>2638</v>
      </c>
      <c r="D100" s="1282" t="s">
        <v>1934</v>
      </c>
      <c r="E100" s="1282"/>
      <c r="F100" s="1282"/>
      <c r="I100" s="524" t="s">
        <v>2082</v>
      </c>
    </row>
    <row r="101" spans="1:9" ht="12.9">
      <c r="A101" s="518"/>
      <c r="B101" s="518"/>
      <c r="D101" s="1282"/>
      <c r="E101" s="1282"/>
      <c r="F101" s="1282"/>
      <c r="I101" s="524"/>
    </row>
    <row r="102" spans="1:9" ht="12.9">
      <c r="A102" s="518"/>
      <c r="B102" s="518"/>
      <c r="D102" s="479"/>
      <c r="E102" s="479"/>
      <c r="F102" s="479"/>
      <c r="I102" s="524"/>
    </row>
    <row r="103" spans="1:9" ht="14.5" customHeight="1">
      <c r="A103" s="518"/>
      <c r="B103" s="519" t="s">
        <v>2638</v>
      </c>
      <c r="D103" s="1282" t="s">
        <v>1301</v>
      </c>
      <c r="E103" s="1282"/>
      <c r="F103" s="1282"/>
      <c r="I103" s="524" t="s">
        <v>2083</v>
      </c>
    </row>
    <row r="104" spans="1:9" ht="12.9">
      <c r="A104" s="518"/>
      <c r="B104" s="518"/>
      <c r="D104" s="1282"/>
      <c r="E104" s="1282"/>
      <c r="F104" s="1282"/>
      <c r="I104" s="524"/>
    </row>
    <row r="105" spans="1:9" ht="12.9">
      <c r="A105" s="518"/>
      <c r="B105" s="518"/>
      <c r="D105" s="1282"/>
      <c r="E105" s="1282"/>
      <c r="F105" s="1282"/>
      <c r="I105" s="524"/>
    </row>
    <row r="106" spans="1:9" ht="12.9">
      <c r="A106" s="518"/>
      <c r="B106" s="518"/>
      <c r="D106" s="1282"/>
      <c r="E106" s="1282"/>
      <c r="F106" s="1282"/>
      <c r="I106" s="524"/>
    </row>
    <row r="107" spans="1:9" ht="12.9">
      <c r="A107" s="518"/>
      <c r="B107" s="518"/>
      <c r="D107" s="1282"/>
      <c r="E107" s="1282"/>
      <c r="F107" s="1282"/>
      <c r="I107" s="524"/>
    </row>
    <row r="108" spans="1:9" ht="12.9">
      <c r="A108" s="518"/>
      <c r="B108" s="518"/>
      <c r="D108" s="1282"/>
      <c r="E108" s="1282"/>
      <c r="F108" s="1282"/>
      <c r="I108" s="524"/>
    </row>
    <row r="109" spans="1:9" ht="12.9">
      <c r="A109" s="518"/>
      <c r="B109" s="518"/>
      <c r="D109" s="1282"/>
      <c r="E109" s="1282"/>
      <c r="F109" s="1282"/>
      <c r="I109" s="524"/>
    </row>
    <row r="110" spans="1:9" ht="12.9">
      <c r="A110" s="518"/>
      <c r="B110" s="518"/>
      <c r="D110" s="1282"/>
      <c r="E110" s="1282"/>
      <c r="F110" s="1282"/>
      <c r="I110" s="524"/>
    </row>
    <row r="111" spans="1:9" ht="12.9">
      <c r="A111" s="518"/>
      <c r="B111" s="518"/>
      <c r="D111" s="1282"/>
      <c r="E111" s="1282"/>
      <c r="F111" s="1282"/>
      <c r="I111" s="524"/>
    </row>
    <row r="112" spans="1:9" ht="12.9">
      <c r="A112" s="518"/>
      <c r="B112" s="518"/>
      <c r="D112" s="1282"/>
      <c r="E112" s="1282"/>
      <c r="F112" s="1282"/>
      <c r="I112" s="524"/>
    </row>
    <row r="113" spans="1:9" ht="12.9">
      <c r="A113" s="518"/>
      <c r="B113" s="518"/>
      <c r="D113" s="1282"/>
      <c r="E113" s="1282"/>
      <c r="F113" s="1282"/>
      <c r="I113" s="524"/>
    </row>
    <row r="114" spans="1:9" ht="12.9">
      <c r="A114" s="518"/>
      <c r="B114" s="518"/>
      <c r="D114" s="1282"/>
      <c r="E114" s="1282"/>
      <c r="F114" s="1282"/>
      <c r="I114" s="524"/>
    </row>
    <row r="115" spans="1:9" ht="12.9">
      <c r="A115" s="518"/>
      <c r="B115" s="518"/>
      <c r="D115" s="1282"/>
      <c r="E115" s="1282"/>
      <c r="F115" s="1282"/>
      <c r="I115" s="524"/>
    </row>
    <row r="116" spans="1:9" ht="12.9">
      <c r="A116" s="518"/>
      <c r="B116" s="518"/>
      <c r="D116" s="1282"/>
      <c r="E116" s="1282"/>
      <c r="F116" s="1282"/>
      <c r="I116" s="524"/>
    </row>
    <row r="117" spans="1:9" ht="12.9">
      <c r="A117" s="518"/>
      <c r="B117" s="518"/>
      <c r="D117" s="1282"/>
      <c r="E117" s="1282"/>
      <c r="F117" s="1282"/>
      <c r="I117" s="524"/>
    </row>
    <row r="118" spans="1:9" ht="12.9">
      <c r="A118" s="518"/>
      <c r="B118" s="518"/>
      <c r="D118" s="558"/>
      <c r="E118" s="558"/>
      <c r="F118" s="558"/>
      <c r="I118" s="524"/>
    </row>
    <row r="119" spans="1:9" ht="14.25" customHeight="1">
      <c r="A119" s="518"/>
      <c r="B119" s="519" t="s">
        <v>2638</v>
      </c>
      <c r="D119" s="1309" t="s">
        <v>1172</v>
      </c>
      <c r="E119" s="1309"/>
      <c r="F119" s="1309"/>
      <c r="I119" s="524"/>
    </row>
    <row r="120" spans="1:9" ht="12.9">
      <c r="A120" s="518"/>
      <c r="B120" s="518"/>
      <c r="D120" s="1309"/>
      <c r="E120" s="1309"/>
      <c r="F120" s="1309"/>
      <c r="I120" s="524"/>
    </row>
    <row r="121" spans="1:9" ht="12.9">
      <c r="A121" s="518"/>
      <c r="B121" s="518"/>
      <c r="D121" s="1309"/>
      <c r="E121" s="1309"/>
      <c r="F121" s="1309"/>
      <c r="I121" s="524"/>
    </row>
    <row r="122" spans="1:9" ht="12.9">
      <c r="A122" s="518"/>
      <c r="B122" s="518"/>
      <c r="D122" s="1309"/>
      <c r="E122" s="1309"/>
      <c r="F122" s="1309"/>
      <c r="I122" s="524"/>
    </row>
    <row r="123" spans="1:9" ht="12.9">
      <c r="A123" s="518"/>
      <c r="B123" s="518"/>
      <c r="D123" s="1309"/>
      <c r="E123" s="1309"/>
      <c r="F123" s="1309"/>
      <c r="I123" s="524"/>
    </row>
    <row r="124" spans="1:9" ht="12.9">
      <c r="A124" s="518"/>
      <c r="B124" s="518"/>
      <c r="D124" s="1309"/>
      <c r="E124" s="1309"/>
      <c r="F124" s="1309"/>
      <c r="I124" s="524"/>
    </row>
    <row r="125" spans="1:9" ht="12.9">
      <c r="A125" s="518"/>
      <c r="B125" s="518"/>
      <c r="D125" s="1309"/>
      <c r="E125" s="1309"/>
      <c r="F125" s="1309"/>
      <c r="I125" s="524"/>
    </row>
    <row r="126" spans="1:9" ht="12.9">
      <c r="A126" s="518"/>
      <c r="B126" s="518"/>
      <c r="D126" s="1309"/>
      <c r="E126" s="1309"/>
      <c r="F126" s="1309"/>
      <c r="I126" s="524"/>
    </row>
    <row r="127" spans="1:9">
      <c r="C127" s="433"/>
      <c r="D127" s="559"/>
      <c r="E127" s="559"/>
      <c r="F127" s="559"/>
      <c r="I127" s="524"/>
    </row>
    <row r="128" spans="1:9" ht="12.9">
      <c r="A128" s="518"/>
      <c r="B128" s="519" t="s">
        <v>308</v>
      </c>
      <c r="C128" s="433"/>
      <c r="D128" s="1309" t="s">
        <v>2365</v>
      </c>
      <c r="E128" s="1309"/>
      <c r="F128" s="1309"/>
      <c r="I128" s="524" t="s">
        <v>2084</v>
      </c>
    </row>
    <row r="129" spans="1:9" ht="12.9">
      <c r="A129" s="518"/>
      <c r="B129" s="518"/>
      <c r="C129" s="433"/>
      <c r="D129" s="1309"/>
      <c r="E129" s="1309"/>
      <c r="F129" s="1309"/>
      <c r="I129" s="524"/>
    </row>
    <row r="130" spans="1:9">
      <c r="I130" s="524"/>
    </row>
    <row r="131" spans="1:9" ht="12.9">
      <c r="A131" s="518"/>
      <c r="B131" s="519" t="s">
        <v>2638</v>
      </c>
      <c r="D131" s="1282" t="s">
        <v>1175</v>
      </c>
      <c r="E131" s="1282"/>
      <c r="F131" s="1282"/>
      <c r="I131" s="524" t="s">
        <v>2084</v>
      </c>
    </row>
    <row r="132" spans="1:9">
      <c r="D132" s="1282"/>
      <c r="E132" s="1282"/>
      <c r="F132" s="1282"/>
      <c r="I132" s="524"/>
    </row>
    <row r="133" spans="1:9">
      <c r="D133" s="1282"/>
      <c r="E133" s="1282"/>
      <c r="F133" s="1282"/>
      <c r="I133" s="524"/>
    </row>
    <row r="134" spans="1:9">
      <c r="D134" s="1282"/>
      <c r="E134" s="1282"/>
      <c r="F134" s="1282"/>
      <c r="I134" s="524"/>
    </row>
    <row r="135" spans="1:9">
      <c r="D135" s="1282"/>
      <c r="E135" s="1282"/>
      <c r="F135" s="1282"/>
      <c r="I135" s="524"/>
    </row>
    <row r="136" spans="1:9">
      <c r="I136" s="524"/>
    </row>
    <row r="137" spans="1:9" ht="12.9">
      <c r="A137" s="518"/>
      <c r="B137" s="519" t="s">
        <v>2638</v>
      </c>
      <c r="D137" s="1282" t="s">
        <v>1176</v>
      </c>
      <c r="E137" s="1282"/>
      <c r="F137" s="1282"/>
      <c r="I137" s="524" t="s">
        <v>2085</v>
      </c>
    </row>
    <row r="138" spans="1:9" s="448" customFormat="1" ht="13.75" customHeight="1">
      <c r="A138" s="522"/>
      <c r="B138" s="522"/>
      <c r="C138" s="522"/>
      <c r="D138" s="1282"/>
      <c r="E138" s="1282"/>
      <c r="F138" s="1282"/>
      <c r="I138" s="1261"/>
    </row>
    <row r="139" spans="1:9" ht="13.75" customHeight="1">
      <c r="D139" s="1282"/>
      <c r="E139" s="1282"/>
      <c r="F139" s="1282"/>
      <c r="I139" s="524"/>
    </row>
    <row r="140" spans="1:9" ht="13.75" customHeight="1">
      <c r="D140" s="1282"/>
      <c r="E140" s="1282"/>
      <c r="F140" s="1282"/>
      <c r="I140" s="524"/>
    </row>
    <row r="141" spans="1:9" ht="13.75" customHeight="1">
      <c r="D141" s="1282"/>
      <c r="E141" s="1282"/>
      <c r="F141" s="1282"/>
      <c r="I141" s="524"/>
    </row>
    <row r="142" spans="1:9" ht="13.75" customHeight="1">
      <c r="A142" s="523"/>
      <c r="B142" s="523"/>
      <c r="D142" s="1282"/>
      <c r="E142" s="1282"/>
      <c r="F142" s="1282"/>
      <c r="I142" s="524"/>
    </row>
    <row r="143" spans="1:9" ht="13.75" customHeight="1">
      <c r="D143" s="1282"/>
      <c r="E143" s="1282"/>
      <c r="F143" s="1282"/>
      <c r="I143" s="524"/>
    </row>
    <row r="144" spans="1:9" ht="13.75" customHeight="1">
      <c r="D144" s="1282"/>
      <c r="E144" s="1282"/>
      <c r="F144" s="1282"/>
      <c r="I144" s="524"/>
    </row>
    <row r="145" spans="2:9" ht="13.75" customHeight="1">
      <c r="D145" s="1282"/>
      <c r="E145" s="1282"/>
      <c r="F145" s="1282"/>
      <c r="I145" s="524"/>
    </row>
    <row r="146" spans="2:9" ht="13.75" customHeight="1">
      <c r="D146" s="1282"/>
      <c r="E146" s="1282"/>
      <c r="F146" s="1282"/>
      <c r="I146" s="524"/>
    </row>
    <row r="147" spans="2:9" ht="13.75" customHeight="1">
      <c r="D147" s="1282"/>
      <c r="E147" s="1282"/>
      <c r="F147" s="1282"/>
      <c r="I147" s="524"/>
    </row>
    <row r="148" spans="2:9" ht="13.75" customHeight="1">
      <c r="D148" s="1282"/>
      <c r="E148" s="1282"/>
      <c r="F148" s="1282"/>
      <c r="I148" s="524"/>
    </row>
    <row r="149" spans="2:9" ht="13.75" customHeight="1">
      <c r="D149" s="1282"/>
      <c r="E149" s="1282"/>
      <c r="F149" s="1282"/>
      <c r="I149" s="524"/>
    </row>
    <row r="150" spans="2:9" ht="13.75" customHeight="1">
      <c r="D150" s="510"/>
      <c r="E150" s="480"/>
      <c r="F150" s="480"/>
      <c r="I150" s="524"/>
    </row>
    <row r="151" spans="2:9" ht="13.75" customHeight="1">
      <c r="B151" s="519" t="s">
        <v>2638</v>
      </c>
      <c r="D151" s="1282" t="s">
        <v>1284</v>
      </c>
      <c r="E151" s="1282"/>
      <c r="F151" s="1282"/>
      <c r="I151" s="524" t="s">
        <v>2086</v>
      </c>
    </row>
    <row r="152" spans="2:9" ht="13.75" customHeight="1">
      <c r="D152" s="1282"/>
      <c r="E152" s="1282"/>
      <c r="F152" s="1282"/>
      <c r="I152" s="524"/>
    </row>
    <row r="153" spans="2:9" ht="13.75" customHeight="1">
      <c r="D153" s="1282"/>
      <c r="E153" s="1282"/>
      <c r="F153" s="1282"/>
      <c r="I153" s="524"/>
    </row>
    <row r="154" spans="2:9" ht="13.75" customHeight="1">
      <c r="D154" s="1282"/>
      <c r="E154" s="1282"/>
      <c r="F154" s="1282"/>
      <c r="I154" s="524"/>
    </row>
    <row r="155" spans="2:9" ht="13.75" customHeight="1">
      <c r="D155" s="1282"/>
      <c r="E155" s="1282"/>
      <c r="F155" s="1282"/>
      <c r="I155" s="524"/>
    </row>
    <row r="156" spans="2:9" ht="13.75" customHeight="1">
      <c r="D156" s="1282"/>
      <c r="E156" s="1282"/>
      <c r="F156" s="1282"/>
      <c r="I156" s="524"/>
    </row>
    <row r="157" spans="2:9" ht="13.75" customHeight="1">
      <c r="D157" s="1282"/>
      <c r="E157" s="1282"/>
      <c r="F157" s="1282"/>
      <c r="I157" s="524"/>
    </row>
    <row r="158" spans="2:9" ht="13.75" customHeight="1">
      <c r="D158" s="1282"/>
      <c r="E158" s="1282"/>
      <c r="F158" s="1282"/>
      <c r="I158" s="524"/>
    </row>
    <row r="159" spans="2:9" ht="13.75" customHeight="1">
      <c r="D159" s="1282"/>
      <c r="E159" s="1282"/>
      <c r="F159" s="1282"/>
      <c r="I159" s="524"/>
    </row>
    <row r="160" spans="2:9" ht="13.75" customHeight="1">
      <c r="D160" s="1282"/>
      <c r="E160" s="1282"/>
      <c r="F160" s="1282"/>
      <c r="I160" s="524"/>
    </row>
    <row r="161" spans="1:9" ht="13.75" customHeight="1">
      <c r="D161" s="1282"/>
      <c r="E161" s="1282"/>
      <c r="F161" s="1282"/>
      <c r="I161" s="524"/>
    </row>
    <row r="162" spans="1:9" ht="13.75" customHeight="1">
      <c r="D162" s="1282"/>
      <c r="E162" s="1282"/>
      <c r="F162" s="1282"/>
      <c r="I162" s="524"/>
    </row>
    <row r="163" spans="1:9" ht="13.75" customHeight="1">
      <c r="D163" s="1282"/>
      <c r="E163" s="1282"/>
      <c r="F163" s="1282"/>
      <c r="I163" s="524"/>
    </row>
    <row r="164" spans="1:9" ht="13.75" customHeight="1">
      <c r="D164" s="1282"/>
      <c r="E164" s="1282"/>
      <c r="F164" s="1282"/>
      <c r="I164" s="524"/>
    </row>
    <row r="165" spans="1:9" ht="13.75" customHeight="1">
      <c r="D165" s="1282"/>
      <c r="E165" s="1282"/>
      <c r="F165" s="1282"/>
      <c r="I165" s="524"/>
    </row>
    <row r="166" spans="1:9" ht="13.75" customHeight="1">
      <c r="D166" s="1282"/>
      <c r="E166" s="1282"/>
      <c r="F166" s="1282"/>
      <c r="I166" s="524"/>
    </row>
    <row r="167" spans="1:9" ht="13.75" customHeight="1">
      <c r="D167" s="1282"/>
      <c r="E167" s="1282"/>
      <c r="F167" s="1282"/>
      <c r="I167" s="524"/>
    </row>
    <row r="168" spans="1:9" ht="13.75" customHeight="1">
      <c r="D168" s="1282"/>
      <c r="E168" s="1282"/>
      <c r="F168" s="1282"/>
      <c r="I168" s="524"/>
    </row>
    <row r="169" spans="1:9" ht="13.75" customHeight="1">
      <c r="D169" s="1340" t="s">
        <v>2389</v>
      </c>
      <c r="E169" s="1340"/>
      <c r="F169" s="1340"/>
      <c r="G169" s="541"/>
      <c r="I169" s="524"/>
    </row>
    <row r="170" spans="1:9" ht="13.75" customHeight="1">
      <c r="D170" s="1315"/>
      <c r="E170" s="1315"/>
      <c r="F170" s="1315"/>
      <c r="G170" s="1315"/>
      <c r="I170" s="524"/>
    </row>
    <row r="171" spans="1:9" ht="14.5" customHeight="1">
      <c r="A171" s="523"/>
      <c r="B171" s="519" t="s">
        <v>2638</v>
      </c>
      <c r="C171" s="510"/>
      <c r="D171" s="1270" t="s">
        <v>2579</v>
      </c>
      <c r="E171" s="1270"/>
      <c r="F171" s="1270"/>
      <c r="G171" s="510"/>
      <c r="I171" s="524" t="s">
        <v>2081</v>
      </c>
    </row>
    <row r="172" spans="1:9" ht="14.5" customHeight="1">
      <c r="A172" s="523"/>
      <c r="B172" s="523"/>
      <c r="C172" s="510"/>
      <c r="D172" s="1270"/>
      <c r="E172" s="1270"/>
      <c r="F172" s="1270"/>
      <c r="G172" s="510"/>
      <c r="I172" s="524"/>
    </row>
    <row r="173" spans="1:9" ht="14.5" customHeight="1">
      <c r="A173" s="523"/>
      <c r="B173" s="523"/>
      <c r="C173" s="510"/>
      <c r="D173" s="1270"/>
      <c r="E173" s="1270"/>
      <c r="F173" s="1270"/>
      <c r="G173" s="510"/>
      <c r="I173" s="524"/>
    </row>
    <row r="174" spans="1:9" ht="14.5" customHeight="1">
      <c r="A174" s="523"/>
      <c r="B174" s="523"/>
      <c r="C174" s="510"/>
      <c r="D174" s="1270"/>
      <c r="E174" s="1270"/>
      <c r="F174" s="1270"/>
      <c r="G174" s="510"/>
      <c r="I174" s="524"/>
    </row>
    <row r="175" spans="1:9" ht="13.75" customHeight="1">
      <c r="A175" s="523"/>
      <c r="B175" s="523"/>
      <c r="C175" s="510"/>
      <c r="D175" s="1270"/>
      <c r="E175" s="1270"/>
      <c r="F175" s="1270"/>
      <c r="G175" s="510"/>
      <c r="I175" s="524"/>
    </row>
    <row r="176" spans="1:9" ht="13.75" customHeight="1">
      <c r="A176" s="523"/>
      <c r="B176" s="523"/>
      <c r="C176" s="510"/>
      <c r="D176" s="510"/>
      <c r="E176" s="510"/>
      <c r="F176" s="510"/>
      <c r="G176" s="510"/>
      <c r="I176" s="524"/>
    </row>
    <row r="177" spans="1:9" ht="13.75" customHeight="1">
      <c r="A177" s="523"/>
      <c r="B177" s="519" t="s">
        <v>2638</v>
      </c>
      <c r="C177" s="510"/>
      <c r="D177" s="1270" t="s">
        <v>1178</v>
      </c>
      <c r="E177" s="1270"/>
      <c r="F177" s="1270"/>
      <c r="G177" s="510"/>
      <c r="I177" s="524" t="s">
        <v>2087</v>
      </c>
    </row>
    <row r="178" spans="1:9" ht="13.75" customHeight="1">
      <c r="A178" s="523"/>
      <c r="B178" s="523"/>
      <c r="C178" s="510"/>
      <c r="D178" s="1270"/>
      <c r="E178" s="1270"/>
      <c r="F178" s="1270"/>
      <c r="G178" s="510"/>
      <c r="I178" s="524"/>
    </row>
    <row r="179" spans="1:9" ht="13.75" customHeight="1">
      <c r="A179" s="523"/>
      <c r="B179" s="523"/>
      <c r="C179" s="510"/>
      <c r="D179" s="1270"/>
      <c r="E179" s="1270"/>
      <c r="F179" s="1270"/>
      <c r="G179" s="510"/>
      <c r="I179" s="524"/>
    </row>
    <row r="180" spans="1:9" ht="13.75" customHeight="1">
      <c r="A180" s="523"/>
      <c r="B180" s="523"/>
      <c r="C180" s="510"/>
      <c r="D180" s="1270"/>
      <c r="E180" s="1270"/>
      <c r="F180" s="1270"/>
      <c r="G180" s="510"/>
      <c r="I180" s="524"/>
    </row>
    <row r="181" spans="1:9" ht="13.75" customHeight="1">
      <c r="D181" s="480"/>
      <c r="E181" s="480"/>
      <c r="F181" s="480"/>
      <c r="I181" s="524"/>
    </row>
    <row r="182" spans="1:9" ht="13.75" customHeight="1">
      <c r="B182" s="519" t="s">
        <v>2638</v>
      </c>
      <c r="D182" s="1304" t="s">
        <v>2366</v>
      </c>
      <c r="E182" s="1304"/>
      <c r="F182" s="1304"/>
      <c r="I182" s="524" t="s">
        <v>2088</v>
      </c>
    </row>
    <row r="183" spans="1:9" ht="13.75" customHeight="1">
      <c r="D183" s="1304"/>
      <c r="E183" s="1304"/>
      <c r="F183" s="1304"/>
      <c r="I183" s="524"/>
    </row>
    <row r="184" spans="1:9" ht="13.75" customHeight="1">
      <c r="D184" s="1304"/>
      <c r="E184" s="1304"/>
      <c r="F184" s="1304"/>
      <c r="I184" s="524"/>
    </row>
    <row r="185" spans="1:9" ht="13.75" customHeight="1">
      <c r="A185" s="524"/>
      <c r="B185" s="524"/>
      <c r="E185" s="480"/>
      <c r="F185" s="480"/>
      <c r="I185" s="524"/>
    </row>
    <row r="186" spans="1:9">
      <c r="A186" s="1288" t="s">
        <v>2367</v>
      </c>
      <c r="B186" s="1288"/>
      <c r="C186" s="1288"/>
      <c r="D186" s="1288"/>
      <c r="E186" s="1288"/>
      <c r="F186" s="1288"/>
      <c r="G186" s="1288"/>
      <c r="H186" s="1063"/>
      <c r="I186" s="1259"/>
    </row>
    <row r="187" spans="1:9" ht="12" customHeight="1">
      <c r="D187" s="480"/>
      <c r="E187" s="480"/>
      <c r="F187" s="480"/>
      <c r="I187" s="524"/>
    </row>
    <row r="188" spans="1:9">
      <c r="B188" s="1297" t="s">
        <v>449</v>
      </c>
      <c r="C188" s="1297"/>
      <c r="D188" s="1297"/>
      <c r="E188" s="1297"/>
      <c r="F188" s="1297"/>
      <c r="I188" s="524"/>
    </row>
    <row r="189" spans="1:9">
      <c r="B189" s="423" t="s">
        <v>2067</v>
      </c>
      <c r="C189" s="423"/>
      <c r="D189" s="423"/>
      <c r="E189" s="423"/>
      <c r="F189" s="423"/>
      <c r="I189" s="524"/>
    </row>
    <row r="190" spans="1:9" ht="12" customHeight="1">
      <c r="A190" s="516"/>
      <c r="B190" s="516"/>
      <c r="C190" s="516"/>
      <c r="I190" s="524"/>
    </row>
    <row r="191" spans="1:9">
      <c r="A191" s="1288" t="s">
        <v>1074</v>
      </c>
      <c r="B191" s="1288"/>
      <c r="C191" s="1288"/>
      <c r="D191" s="1288"/>
      <c r="E191" s="1288"/>
      <c r="F191" s="1288"/>
      <c r="G191" s="1288"/>
      <c r="H191" s="1063"/>
      <c r="I191" s="1259"/>
    </row>
    <row r="192" spans="1:9" ht="12" customHeight="1">
      <c r="A192" s="435"/>
      <c r="B192" s="435"/>
      <c r="E192" s="435"/>
      <c r="I192" s="524"/>
    </row>
    <row r="193" spans="1:9" ht="13.75" customHeight="1">
      <c r="A193" s="435"/>
      <c r="B193" s="435"/>
      <c r="D193" s="1310" t="s">
        <v>1937</v>
      </c>
      <c r="E193" s="1310"/>
      <c r="F193" s="1310"/>
      <c r="I193" s="524"/>
    </row>
    <row r="194" spans="1:9">
      <c r="A194" s="435"/>
      <c r="B194" s="435"/>
      <c r="D194" s="1310"/>
      <c r="E194" s="1310"/>
      <c r="F194" s="1310"/>
      <c r="I194" s="524"/>
    </row>
    <row r="195" spans="1:9">
      <c r="A195" s="435"/>
      <c r="B195" s="435"/>
      <c r="D195" s="1297" t="s">
        <v>1302</v>
      </c>
      <c r="E195" s="1297"/>
      <c r="F195" s="1297"/>
      <c r="I195" s="524"/>
    </row>
    <row r="196" spans="1:9">
      <c r="A196" s="435"/>
      <c r="B196" s="435"/>
      <c r="D196" s="423"/>
      <c r="E196" s="423"/>
      <c r="F196" s="423"/>
      <c r="I196" s="524"/>
    </row>
    <row r="197" spans="1:9">
      <c r="A197" s="435"/>
      <c r="B197" s="519" t="s">
        <v>2638</v>
      </c>
      <c r="D197" s="1287" t="s">
        <v>1938</v>
      </c>
      <c r="E197" s="1287"/>
      <c r="F197" s="1287"/>
      <c r="I197" s="524" t="s">
        <v>2137</v>
      </c>
    </row>
    <row r="198" spans="1:9">
      <c r="A198" s="435"/>
      <c r="B198" s="435"/>
      <c r="D198" s="1291" t="s">
        <v>2203</v>
      </c>
      <c r="E198" s="1291"/>
      <c r="F198" s="1291"/>
      <c r="I198" s="524"/>
    </row>
    <row r="199" spans="1:9">
      <c r="A199" s="435"/>
      <c r="B199" s="435"/>
      <c r="D199" s="96" t="s">
        <v>1939</v>
      </c>
      <c r="E199" s="1339" t="s">
        <v>2226</v>
      </c>
      <c r="F199" s="1339"/>
      <c r="I199" s="524"/>
    </row>
    <row r="200" spans="1:9">
      <c r="A200" s="435"/>
      <c r="B200" s="435"/>
      <c r="D200" s="3"/>
      <c r="E200" s="3"/>
      <c r="F200" s="3"/>
      <c r="I200" s="524"/>
    </row>
    <row r="201" spans="1:9">
      <c r="A201" s="435"/>
      <c r="B201" s="519" t="s">
        <v>2638</v>
      </c>
      <c r="D201" s="1291" t="s">
        <v>1940</v>
      </c>
      <c r="E201" s="1291"/>
      <c r="F201" s="1291"/>
      <c r="I201" s="524" t="s">
        <v>2138</v>
      </c>
    </row>
    <row r="202" spans="1:9">
      <c r="A202" s="435"/>
      <c r="B202" s="435"/>
      <c r="D202" s="1287" t="s">
        <v>2203</v>
      </c>
      <c r="E202" s="1287"/>
      <c r="F202" s="1287"/>
      <c r="I202" s="524"/>
    </row>
    <row r="203" spans="1:9">
      <c r="A203" s="435"/>
      <c r="B203" s="435"/>
      <c r="D203" s="57" t="s">
        <v>1941</v>
      </c>
      <c r="E203" s="1339" t="s">
        <v>2227</v>
      </c>
      <c r="F203" s="1339"/>
      <c r="I203" s="524"/>
    </row>
    <row r="204" spans="1:9">
      <c r="A204" s="435"/>
      <c r="B204" s="435"/>
      <c r="D204" s="3"/>
      <c r="E204" s="3"/>
      <c r="F204" s="3"/>
      <c r="I204" s="524"/>
    </row>
    <row r="205" spans="1:9">
      <c r="A205" s="435"/>
      <c r="B205" s="519" t="s">
        <v>1070</v>
      </c>
      <c r="D205" s="1291" t="s">
        <v>1942</v>
      </c>
      <c r="E205" s="1291"/>
      <c r="F205" s="1291"/>
      <c r="I205" s="524" t="s">
        <v>2139</v>
      </c>
    </row>
    <row r="206" spans="1:9">
      <c r="A206" s="435"/>
      <c r="B206" s="435"/>
      <c r="D206" s="1287" t="s">
        <v>2203</v>
      </c>
      <c r="E206" s="1287"/>
      <c r="F206" s="1287"/>
      <c r="I206" s="524"/>
    </row>
    <row r="207" spans="1:9">
      <c r="A207" s="435"/>
      <c r="B207" s="435"/>
      <c r="D207" s="57" t="s">
        <v>1939</v>
      </c>
      <c r="E207" s="1339" t="s">
        <v>2228</v>
      </c>
      <c r="F207" s="1339"/>
      <c r="I207" s="524"/>
    </row>
    <row r="208" spans="1:9">
      <c r="A208" s="435"/>
      <c r="B208" s="435"/>
      <c r="D208" s="423"/>
      <c r="E208" s="423"/>
      <c r="F208" s="423"/>
      <c r="I208" s="524"/>
    </row>
    <row r="209" spans="1:9" ht="14.25" customHeight="1">
      <c r="A209" s="518"/>
      <c r="B209" s="519" t="s">
        <v>2638</v>
      </c>
      <c r="D209" s="417" t="s">
        <v>2196</v>
      </c>
      <c r="E209" s="416"/>
      <c r="F209" s="416"/>
      <c r="I209" s="524" t="s">
        <v>2140</v>
      </c>
    </row>
    <row r="210" spans="1:9" ht="12.9">
      <c r="A210" s="518"/>
      <c r="B210" s="518"/>
      <c r="D210" s="1287" t="s">
        <v>2203</v>
      </c>
      <c r="E210" s="1287"/>
      <c r="F210" s="1287"/>
      <c r="I210" s="524"/>
    </row>
    <row r="211" spans="1:9">
      <c r="D211" s="416"/>
      <c r="E211" s="1339" t="s">
        <v>2229</v>
      </c>
      <c r="F211" s="1339"/>
      <c r="I211" s="524"/>
    </row>
    <row r="212" spans="1:9">
      <c r="D212" s="481"/>
      <c r="I212" s="524"/>
    </row>
    <row r="213" spans="1:9">
      <c r="B213" s="519" t="s">
        <v>2638</v>
      </c>
      <c r="D213" s="1291" t="s">
        <v>1943</v>
      </c>
      <c r="E213" s="1291"/>
      <c r="F213" s="1291"/>
      <c r="I213" s="524" t="s">
        <v>2141</v>
      </c>
    </row>
    <row r="214" spans="1:9">
      <c r="D214" s="1287" t="s">
        <v>2203</v>
      </c>
      <c r="E214" s="1287"/>
      <c r="F214" s="1287"/>
      <c r="I214" s="524"/>
    </row>
    <row r="215" spans="1:9">
      <c r="D215" s="57" t="s">
        <v>1939</v>
      </c>
      <c r="E215" s="1339" t="s">
        <v>2230</v>
      </c>
      <c r="F215" s="1339"/>
      <c r="I215" s="524"/>
    </row>
    <row r="216" spans="1:9">
      <c r="D216" s="485"/>
      <c r="E216" s="485"/>
      <c r="F216" s="485"/>
      <c r="I216" s="524"/>
    </row>
    <row r="217" spans="1:9" ht="12.9">
      <c r="A217" s="518"/>
      <c r="B217" s="519" t="s">
        <v>2638</v>
      </c>
      <c r="D217" s="1282" t="s">
        <v>1323</v>
      </c>
      <c r="E217" s="1282"/>
      <c r="F217" s="1282"/>
      <c r="I217" s="524"/>
    </row>
    <row r="218" spans="1:9" ht="14.5" customHeight="1">
      <c r="A218" s="518"/>
      <c r="B218" s="433"/>
      <c r="D218" s="1282"/>
      <c r="E218" s="1282"/>
      <c r="F218" s="1282"/>
      <c r="I218" s="524"/>
    </row>
    <row r="219" spans="1:9" ht="12.9">
      <c r="A219" s="518"/>
      <c r="D219" s="1282"/>
      <c r="E219" s="1282"/>
      <c r="F219" s="1282"/>
      <c r="I219" s="524"/>
    </row>
    <row r="220" spans="1:9" ht="12.9">
      <c r="A220" s="518"/>
      <c r="D220" s="1282"/>
      <c r="E220" s="1282"/>
      <c r="F220" s="1282"/>
      <c r="I220" s="524"/>
    </row>
    <row r="221" spans="1:9">
      <c r="D221" s="485"/>
      <c r="E221" s="485"/>
      <c r="F221" s="485"/>
      <c r="I221" s="524"/>
    </row>
    <row r="222" spans="1:9">
      <c r="A222" s="1288" t="s">
        <v>1075</v>
      </c>
      <c r="B222" s="1288"/>
      <c r="C222" s="1288"/>
      <c r="D222" s="1288"/>
      <c r="E222" s="1288"/>
      <c r="F222" s="1288"/>
      <c r="G222" s="1288"/>
      <c r="H222" s="1063"/>
      <c r="I222" s="1259"/>
    </row>
    <row r="223" spans="1:9" ht="12" customHeight="1">
      <c r="D223" s="480"/>
      <c r="E223" s="480"/>
      <c r="F223" s="480"/>
      <c r="I223" s="524"/>
    </row>
    <row r="224" spans="1:9">
      <c r="C224" s="520"/>
      <c r="D224" s="1280" t="s">
        <v>209</v>
      </c>
      <c r="E224" s="1280"/>
      <c r="F224" s="1280"/>
      <c r="I224" s="524"/>
    </row>
    <row r="225" spans="1:9">
      <c r="A225" s="516"/>
      <c r="B225" s="516"/>
      <c r="C225" s="516"/>
      <c r="D225" s="1311" t="s">
        <v>1204</v>
      </c>
      <c r="E225" s="1311"/>
      <c r="F225" s="1311"/>
      <c r="I225" s="524"/>
    </row>
    <row r="226" spans="1:9" ht="12" customHeight="1">
      <c r="A226" s="524"/>
      <c r="B226" s="524"/>
      <c r="C226" s="524"/>
      <c r="I226" s="524"/>
    </row>
    <row r="227" spans="1:9" ht="13.75" customHeight="1">
      <c r="A227" s="524"/>
      <c r="C227" s="524"/>
      <c r="D227" s="1280" t="s">
        <v>555</v>
      </c>
      <c r="E227" s="1280"/>
      <c r="F227" s="1280"/>
      <c r="I227" s="524" t="s">
        <v>2089</v>
      </c>
    </row>
    <row r="228" spans="1:9" ht="12.9">
      <c r="A228" s="518"/>
      <c r="B228" s="519" t="s">
        <v>1070</v>
      </c>
      <c r="D228" s="1282" t="s">
        <v>1944</v>
      </c>
      <c r="E228" s="1282"/>
      <c r="F228" s="1282"/>
      <c r="I228" s="524"/>
    </row>
    <row r="229" spans="1:9" ht="14.25" customHeight="1">
      <c r="A229" s="518"/>
      <c r="B229" s="518"/>
      <c r="D229" s="1282"/>
      <c r="E229" s="1282"/>
      <c r="F229" s="1282"/>
      <c r="I229" s="524"/>
    </row>
    <row r="230" spans="1:9" ht="14.25" customHeight="1">
      <c r="A230" s="518"/>
      <c r="B230" s="518"/>
      <c r="D230" s="1282"/>
      <c r="E230" s="1282"/>
      <c r="F230" s="1282"/>
      <c r="I230" s="524"/>
    </row>
    <row r="231" spans="1:9" ht="12.9">
      <c r="A231" s="518"/>
      <c r="B231" s="518"/>
      <c r="D231" s="1282"/>
      <c r="E231" s="1282"/>
      <c r="F231" s="1282"/>
      <c r="I231" s="524"/>
    </row>
    <row r="232" spans="1:9" ht="12.9">
      <c r="A232" s="518"/>
      <c r="B232" s="518"/>
      <c r="D232" s="479"/>
      <c r="E232" s="479"/>
      <c r="F232" s="479"/>
      <c r="I232" s="524"/>
    </row>
    <row r="233" spans="1:9" ht="12.9">
      <c r="A233" s="518"/>
      <c r="B233" s="519" t="s">
        <v>1070</v>
      </c>
      <c r="D233" s="1282" t="s">
        <v>1945</v>
      </c>
      <c r="E233" s="1282"/>
      <c r="F233" s="1282"/>
      <c r="I233" s="524" t="s">
        <v>2090</v>
      </c>
    </row>
    <row r="234" spans="1:9" ht="12.9">
      <c r="A234" s="518"/>
      <c r="B234" s="518"/>
      <c r="D234" s="1282"/>
      <c r="E234" s="1282"/>
      <c r="F234" s="1282"/>
      <c r="I234" s="524"/>
    </row>
    <row r="235" spans="1:9" ht="12.9">
      <c r="A235" s="518"/>
      <c r="B235" s="518"/>
      <c r="D235" s="1282"/>
      <c r="E235" s="1282"/>
      <c r="F235" s="1282"/>
      <c r="I235" s="524"/>
    </row>
    <row r="236" spans="1:9" ht="12.9">
      <c r="A236" s="518"/>
      <c r="B236" s="518"/>
      <c r="D236" s="1282"/>
      <c r="E236" s="1282"/>
      <c r="F236" s="1282"/>
      <c r="I236" s="524"/>
    </row>
    <row r="237" spans="1:9" ht="14.25" customHeight="1">
      <c r="A237" s="518"/>
      <c r="B237" s="518"/>
      <c r="D237" s="1282"/>
      <c r="E237" s="1282"/>
      <c r="F237" s="1282"/>
      <c r="I237" s="524"/>
    </row>
    <row r="238" spans="1:9" ht="14.25" customHeight="1">
      <c r="A238" s="518"/>
      <c r="B238" s="518"/>
      <c r="D238" s="479"/>
      <c r="E238" s="479"/>
      <c r="F238" s="479"/>
      <c r="I238" s="524"/>
    </row>
    <row r="239" spans="1:9" ht="12.9">
      <c r="A239" s="518"/>
      <c r="B239" s="518"/>
      <c r="D239" s="1282" t="s">
        <v>1200</v>
      </c>
      <c r="E239" s="1282"/>
      <c r="F239" s="1282"/>
      <c r="I239" s="524" t="s">
        <v>2089</v>
      </c>
    </row>
    <row r="240" spans="1:9" ht="12.9">
      <c r="A240" s="518"/>
      <c r="B240" s="518"/>
      <c r="D240" s="1282"/>
      <c r="E240" s="1282"/>
      <c r="F240" s="1282"/>
      <c r="I240" s="524"/>
    </row>
    <row r="241" spans="1:9" ht="12.9">
      <c r="A241" s="518"/>
      <c r="B241" s="518"/>
      <c r="D241" s="1282"/>
      <c r="E241" s="1282"/>
      <c r="F241" s="1282"/>
      <c r="I241" s="524"/>
    </row>
    <row r="242" spans="1:9" ht="12.9">
      <c r="A242" s="518"/>
      <c r="B242" s="518"/>
      <c r="D242" s="1282"/>
      <c r="E242" s="1282"/>
      <c r="F242" s="1282"/>
      <c r="I242" s="524"/>
    </row>
    <row r="243" spans="1:9" ht="12.9">
      <c r="A243" s="518"/>
      <c r="B243" s="518"/>
      <c r="D243" s="1282"/>
      <c r="E243" s="1282"/>
      <c r="F243" s="1282"/>
      <c r="I243" s="524"/>
    </row>
    <row r="244" spans="1:9" ht="12.9">
      <c r="A244" s="518"/>
      <c r="B244" s="518"/>
      <c r="D244" s="480"/>
      <c r="E244" s="480"/>
      <c r="F244" s="480"/>
      <c r="I244" s="524"/>
    </row>
    <row r="245" spans="1:9" ht="12.9">
      <c r="A245" s="518"/>
      <c r="B245" s="519" t="s">
        <v>1070</v>
      </c>
      <c r="D245" s="1282" t="s">
        <v>2368</v>
      </c>
      <c r="E245" s="1282"/>
      <c r="F245" s="1282"/>
      <c r="I245" s="524" t="s">
        <v>2128</v>
      </c>
    </row>
    <row r="246" spans="1:9" ht="12.9">
      <c r="A246" s="518"/>
      <c r="B246" s="518"/>
      <c r="D246" s="1282"/>
      <c r="E246" s="1282"/>
      <c r="F246" s="1282"/>
      <c r="I246" s="524"/>
    </row>
    <row r="247" spans="1:9" ht="12.9">
      <c r="A247" s="518"/>
      <c r="B247" s="518"/>
      <c r="D247" s="1282"/>
      <c r="E247" s="1282"/>
      <c r="F247" s="1282"/>
      <c r="I247" s="524"/>
    </row>
    <row r="248" spans="1:9" ht="12.9">
      <c r="A248" s="518"/>
      <c r="B248" s="518"/>
      <c r="E248" s="1071" t="s">
        <v>2197</v>
      </c>
      <c r="I248" s="524"/>
    </row>
    <row r="249" spans="1:9" ht="12.9">
      <c r="A249" s="518"/>
      <c r="B249" s="518"/>
      <c r="D249" s="480"/>
      <c r="E249" s="480"/>
      <c r="F249" s="480"/>
      <c r="I249" s="524"/>
    </row>
    <row r="250" spans="1:9" ht="14.5" customHeight="1">
      <c r="A250" s="518"/>
      <c r="B250" s="519" t="s">
        <v>1070</v>
      </c>
      <c r="D250" s="1282" t="s">
        <v>2369</v>
      </c>
      <c r="E250" s="1282"/>
      <c r="F250" s="1282"/>
      <c r="I250" s="524" t="s">
        <v>2146</v>
      </c>
    </row>
    <row r="251" spans="1:9" ht="12.9">
      <c r="A251" s="518"/>
      <c r="B251" s="518"/>
      <c r="D251" s="1282"/>
      <c r="E251" s="1282"/>
      <c r="F251" s="1282"/>
      <c r="I251" s="524"/>
    </row>
    <row r="252" spans="1:9" ht="12.9">
      <c r="A252" s="518"/>
      <c r="B252" s="518"/>
      <c r="D252" s="1282"/>
      <c r="E252" s="1282"/>
      <c r="F252" s="1282"/>
      <c r="I252" s="524"/>
    </row>
    <row r="253" spans="1:9" ht="12.9">
      <c r="A253" s="518"/>
      <c r="B253" s="518"/>
      <c r="D253" s="1282"/>
      <c r="E253" s="1282"/>
      <c r="F253" s="1282"/>
      <c r="I253" s="524"/>
    </row>
    <row r="254" spans="1:9" ht="12.9">
      <c r="A254" s="518"/>
      <c r="B254" s="518"/>
      <c r="D254" s="1282"/>
      <c r="E254" s="1282"/>
      <c r="F254" s="1282"/>
      <c r="I254" s="524"/>
    </row>
    <row r="255" spans="1:9" ht="12.9">
      <c r="A255" s="518"/>
      <c r="B255" s="518"/>
      <c r="D255" s="479"/>
      <c r="E255" s="479"/>
      <c r="F255" s="479"/>
      <c r="I255" s="524"/>
    </row>
    <row r="256" spans="1:9" ht="12.9">
      <c r="A256" s="518"/>
      <c r="B256" s="519" t="s">
        <v>1070</v>
      </c>
      <c r="D256" s="423" t="s">
        <v>2370</v>
      </c>
      <c r="E256" s="479"/>
      <c r="F256" s="479"/>
      <c r="I256" s="524" t="s">
        <v>2127</v>
      </c>
    </row>
    <row r="257" spans="1:9" ht="12.9">
      <c r="A257" s="518"/>
      <c r="B257" s="518"/>
      <c r="E257" s="1071" t="s">
        <v>2198</v>
      </c>
      <c r="I257" s="524"/>
    </row>
    <row r="258" spans="1:9">
      <c r="D258" s="480"/>
      <c r="E258" s="480"/>
      <c r="F258" s="480"/>
      <c r="I258" s="524"/>
    </row>
    <row r="259" spans="1:9" ht="12.9">
      <c r="A259" s="518"/>
      <c r="B259" s="519" t="s">
        <v>1070</v>
      </c>
      <c r="D259" s="1282" t="s">
        <v>1202</v>
      </c>
      <c r="E259" s="1282"/>
      <c r="F259" s="1282"/>
      <c r="I259" s="524"/>
    </row>
    <row r="260" spans="1:9" ht="12.9">
      <c r="A260" s="518"/>
      <c r="B260" s="518"/>
      <c r="D260" s="1282"/>
      <c r="E260" s="1282"/>
      <c r="F260" s="1282"/>
      <c r="I260" s="524"/>
    </row>
    <row r="261" spans="1:9">
      <c r="D261" s="525"/>
      <c r="I261" s="524"/>
    </row>
    <row r="262" spans="1:9">
      <c r="A262" s="1288" t="s">
        <v>1076</v>
      </c>
      <c r="B262" s="1288"/>
      <c r="C262" s="1288"/>
      <c r="D262" s="1288"/>
      <c r="E262" s="1288"/>
      <c r="F262" s="1288"/>
      <c r="G262" s="1288"/>
      <c r="H262" s="1063"/>
      <c r="I262" s="1259"/>
    </row>
    <row r="263" spans="1:9">
      <c r="D263" s="525"/>
      <c r="I263" s="524"/>
    </row>
    <row r="264" spans="1:9">
      <c r="C264" s="520"/>
      <c r="D264" s="1280" t="s">
        <v>1205</v>
      </c>
      <c r="E264" s="1280"/>
      <c r="F264" s="1280"/>
      <c r="I264" s="524"/>
    </row>
    <row r="265" spans="1:9">
      <c r="A265" s="516"/>
      <c r="B265" s="516"/>
      <c r="C265" s="516"/>
      <c r="D265" s="480"/>
      <c r="E265" s="480"/>
      <c r="F265" s="480"/>
      <c r="I265" s="524"/>
    </row>
    <row r="266" spans="1:9">
      <c r="A266" s="517"/>
      <c r="B266" s="517"/>
      <c r="C266" s="517"/>
      <c r="D266" s="1280" t="s">
        <v>270</v>
      </c>
      <c r="E266" s="1280"/>
      <c r="F266" s="1280"/>
      <c r="I266" s="524" t="s">
        <v>2129</v>
      </c>
    </row>
    <row r="267" spans="1:9" ht="14.5" customHeight="1">
      <c r="A267" s="518"/>
      <c r="B267" s="519" t="s">
        <v>1070</v>
      </c>
      <c r="D267" s="1282" t="s">
        <v>1303</v>
      </c>
      <c r="E267" s="1282"/>
      <c r="F267" s="1282"/>
      <c r="I267" s="524"/>
    </row>
    <row r="268" spans="1:9">
      <c r="D268" s="1282"/>
      <c r="E268" s="1282"/>
      <c r="F268" s="1282"/>
      <c r="I268" s="524"/>
    </row>
    <row r="269" spans="1:9">
      <c r="E269" s="1071" t="s">
        <v>2199</v>
      </c>
      <c r="I269" s="524"/>
    </row>
    <row r="270" spans="1:9">
      <c r="D270" s="480"/>
      <c r="E270" s="480"/>
      <c r="F270" s="480"/>
      <c r="I270" s="524"/>
    </row>
    <row r="271" spans="1:9" ht="14.5" customHeight="1">
      <c r="A271" s="518"/>
      <c r="B271" s="519" t="s">
        <v>2638</v>
      </c>
      <c r="D271" s="1282" t="s">
        <v>2371</v>
      </c>
      <c r="E271" s="1282"/>
      <c r="F271" s="1282"/>
      <c r="I271" s="524" t="s">
        <v>2147</v>
      </c>
    </row>
    <row r="272" spans="1:9">
      <c r="D272" s="1282"/>
      <c r="E272" s="1282"/>
      <c r="F272" s="1282"/>
      <c r="I272" s="524"/>
    </row>
    <row r="273" spans="1:9">
      <c r="D273" s="1282"/>
      <c r="E273" s="1282"/>
      <c r="F273" s="1282"/>
      <c r="I273" s="524"/>
    </row>
    <row r="274" spans="1:9">
      <c r="D274" s="1282"/>
      <c r="E274" s="1282"/>
      <c r="F274" s="1282"/>
      <c r="I274" s="524"/>
    </row>
    <row r="275" spans="1:9">
      <c r="D275" s="1282"/>
      <c r="E275" s="1282"/>
      <c r="F275" s="1282"/>
      <c r="I275" s="524"/>
    </row>
    <row r="276" spans="1:9">
      <c r="D276" s="1282"/>
      <c r="E276" s="1282"/>
      <c r="F276" s="1282"/>
      <c r="I276" s="524"/>
    </row>
    <row r="277" spans="1:9">
      <c r="D277" s="480"/>
      <c r="E277" s="480"/>
      <c r="F277" s="480"/>
      <c r="I277" s="524"/>
    </row>
    <row r="278" spans="1:9" ht="12.9">
      <c r="A278" s="518"/>
      <c r="B278" s="519" t="s">
        <v>2638</v>
      </c>
      <c r="D278" s="1282" t="s">
        <v>1208</v>
      </c>
      <c r="E278" s="1282"/>
      <c r="F278" s="1282"/>
      <c r="I278" s="524"/>
    </row>
    <row r="279" spans="1:9">
      <c r="D279" s="1282"/>
      <c r="E279" s="1282"/>
      <c r="F279" s="1282"/>
      <c r="I279" s="524"/>
    </row>
    <row r="280" spans="1:9">
      <c r="D280" s="1282"/>
      <c r="E280" s="1282"/>
      <c r="F280" s="1282"/>
      <c r="I280" s="524"/>
    </row>
    <row r="281" spans="1:9">
      <c r="D281" s="526"/>
      <c r="E281" s="480"/>
      <c r="F281" s="480"/>
      <c r="I281" s="524"/>
    </row>
    <row r="282" spans="1:9">
      <c r="A282" s="1288" t="s">
        <v>1077</v>
      </c>
      <c r="B282" s="1288"/>
      <c r="C282" s="1288"/>
      <c r="D282" s="1288"/>
      <c r="E282" s="1288"/>
      <c r="F282" s="1288"/>
      <c r="G282" s="1288"/>
      <c r="H282" s="1063"/>
      <c r="I282" s="1259"/>
    </row>
    <row r="283" spans="1:9">
      <c r="D283" s="526"/>
      <c r="E283" s="480"/>
      <c r="F283" s="480"/>
      <c r="I283" s="524"/>
    </row>
    <row r="284" spans="1:9">
      <c r="C284" s="516"/>
      <c r="D284" s="1310" t="s">
        <v>1210</v>
      </c>
      <c r="E284" s="1310"/>
      <c r="F284" s="1310"/>
      <c r="I284" s="524"/>
    </row>
    <row r="285" spans="1:9">
      <c r="C285" s="516"/>
      <c r="D285" s="1310"/>
      <c r="E285" s="1310"/>
      <c r="F285" s="1310"/>
      <c r="I285" s="524"/>
    </row>
    <row r="286" spans="1:9">
      <c r="A286" s="517"/>
      <c r="B286" s="517"/>
      <c r="C286" s="517"/>
      <c r="D286" s="435"/>
      <c r="I286" s="524"/>
    </row>
    <row r="287" spans="1:9">
      <c r="C287" s="517"/>
      <c r="D287" s="1280" t="s">
        <v>210</v>
      </c>
      <c r="E287" s="1280"/>
      <c r="F287" s="1280"/>
      <c r="I287" s="524"/>
    </row>
    <row r="288" spans="1:9" ht="15.75" customHeight="1">
      <c r="A288" s="518"/>
      <c r="B288" s="518"/>
      <c r="D288" s="1335" t="s">
        <v>1211</v>
      </c>
      <c r="E288" s="1335"/>
      <c r="F288" s="1335"/>
      <c r="I288" s="524"/>
    </row>
    <row r="289" spans="1:9">
      <c r="E289" s="480"/>
      <c r="F289" s="480"/>
      <c r="I289" s="524"/>
    </row>
    <row r="290" spans="1:9" ht="12.9">
      <c r="A290" s="518"/>
      <c r="B290" s="519" t="s">
        <v>1070</v>
      </c>
      <c r="D290" s="1282" t="s">
        <v>1212</v>
      </c>
      <c r="E290" s="1282"/>
      <c r="F290" s="1282"/>
      <c r="I290" s="524" t="s">
        <v>2091</v>
      </c>
    </row>
    <row r="291" spans="1:9" ht="12.9">
      <c r="A291" s="518"/>
      <c r="B291" s="518"/>
      <c r="D291" s="1282"/>
      <c r="E291" s="1282"/>
      <c r="F291" s="1282"/>
      <c r="I291" s="524"/>
    </row>
    <row r="292" spans="1:9">
      <c r="D292" s="480"/>
      <c r="E292" s="480"/>
      <c r="F292" s="480"/>
      <c r="I292" s="524"/>
    </row>
    <row r="293" spans="1:9" ht="12.9">
      <c r="A293" s="518"/>
      <c r="B293" s="519" t="s">
        <v>1070</v>
      </c>
      <c r="D293" s="1282" t="s">
        <v>1213</v>
      </c>
      <c r="E293" s="1282"/>
      <c r="F293" s="1282"/>
      <c r="I293" s="524" t="s">
        <v>2091</v>
      </c>
    </row>
    <row r="294" spans="1:9" ht="12.9">
      <c r="A294" s="518"/>
      <c r="B294" s="518"/>
      <c r="D294" s="1282"/>
      <c r="E294" s="1282"/>
      <c r="F294" s="1282"/>
      <c r="I294" s="524"/>
    </row>
    <row r="295" spans="1:9" ht="12.9">
      <c r="A295" s="518"/>
      <c r="B295" s="518"/>
      <c r="D295" s="1282"/>
      <c r="E295" s="1282"/>
      <c r="F295" s="1282"/>
      <c r="I295" s="524"/>
    </row>
    <row r="296" spans="1:9">
      <c r="D296" s="480"/>
      <c r="E296" s="480"/>
      <c r="F296" s="480"/>
      <c r="I296" s="524"/>
    </row>
    <row r="297" spans="1:9" ht="12.9">
      <c r="A297" s="518"/>
      <c r="B297" s="519" t="s">
        <v>2638</v>
      </c>
      <c r="D297" s="1282" t="s">
        <v>1214</v>
      </c>
      <c r="E297" s="1282"/>
      <c r="F297" s="1282"/>
      <c r="I297" s="524" t="s">
        <v>2091</v>
      </c>
    </row>
    <row r="298" spans="1:9" ht="12.9">
      <c r="A298" s="518"/>
      <c r="B298" s="518"/>
      <c r="D298" s="1282"/>
      <c r="E298" s="1282"/>
      <c r="F298" s="1282"/>
      <c r="I298" s="524"/>
    </row>
    <row r="299" spans="1:9">
      <c r="A299" s="524"/>
      <c r="B299" s="524"/>
      <c r="E299" s="480"/>
      <c r="F299" s="480"/>
      <c r="I299" s="524"/>
    </row>
    <row r="300" spans="1:9">
      <c r="A300" s="1288" t="s">
        <v>1078</v>
      </c>
      <c r="B300" s="1288"/>
      <c r="C300" s="1288"/>
      <c r="D300" s="1288"/>
      <c r="E300" s="1288"/>
      <c r="F300" s="1288"/>
      <c r="G300" s="1288"/>
      <c r="H300" s="1063"/>
      <c r="I300" s="1259"/>
    </row>
    <row r="301" spans="1:9">
      <c r="A301" s="524"/>
      <c r="B301" s="524"/>
      <c r="D301" s="480"/>
      <c r="E301" s="480"/>
      <c r="F301" s="480"/>
      <c r="I301" s="524"/>
    </row>
    <row r="302" spans="1:9">
      <c r="C302" s="524"/>
      <c r="D302" s="1280" t="s">
        <v>691</v>
      </c>
      <c r="E302" s="1280"/>
      <c r="F302" s="1280"/>
      <c r="I302" s="524"/>
    </row>
    <row r="303" spans="1:9">
      <c r="C303" s="524"/>
      <c r="D303" s="1311" t="s">
        <v>1215</v>
      </c>
      <c r="E303" s="1311"/>
      <c r="F303" s="1311"/>
      <c r="I303" s="524"/>
    </row>
    <row r="304" spans="1:9">
      <c r="C304" s="524"/>
      <c r="D304" s="527"/>
      <c r="I304" s="524"/>
    </row>
    <row r="305" spans="1:9">
      <c r="B305" s="519" t="s">
        <v>2638</v>
      </c>
      <c r="D305" s="1311" t="s">
        <v>1216</v>
      </c>
      <c r="E305" s="1311"/>
      <c r="F305" s="1311"/>
      <c r="I305" s="524" t="s">
        <v>2092</v>
      </c>
    </row>
    <row r="306" spans="1:9" ht="12.9">
      <c r="A306" s="518"/>
      <c r="B306" s="518"/>
      <c r="D306" s="528"/>
      <c r="E306" s="529"/>
      <c r="F306" s="529"/>
      <c r="I306" s="524"/>
    </row>
    <row r="307" spans="1:9" ht="13.75" customHeight="1">
      <c r="B307" s="519" t="s">
        <v>2638</v>
      </c>
      <c r="D307" s="1332" t="s">
        <v>1326</v>
      </c>
      <c r="E307" s="1332"/>
      <c r="F307" s="1332"/>
      <c r="I307" s="524" t="s">
        <v>2092</v>
      </c>
    </row>
    <row r="308" spans="1:9" ht="12.9">
      <c r="A308" s="518"/>
      <c r="B308" s="518"/>
      <c r="D308" s="1332"/>
      <c r="E308" s="1332"/>
      <c r="F308" s="1332"/>
      <c r="I308" s="524"/>
    </row>
    <row r="309" spans="1:9" ht="12.9">
      <c r="A309" s="518"/>
      <c r="B309" s="518"/>
      <c r="D309" s="1332"/>
      <c r="E309" s="1332"/>
      <c r="F309" s="1332"/>
      <c r="I309" s="524"/>
    </row>
    <row r="310" spans="1:9" ht="12.9">
      <c r="A310" s="518"/>
      <c r="B310" s="518"/>
      <c r="D310" s="1332"/>
      <c r="E310" s="1332"/>
      <c r="F310" s="1332"/>
      <c r="I310" s="524"/>
    </row>
    <row r="311" spans="1:9" ht="12.9">
      <c r="A311" s="518"/>
      <c r="B311" s="518"/>
      <c r="D311" s="1332"/>
      <c r="E311" s="1332"/>
      <c r="F311" s="1332"/>
      <c r="I311" s="524"/>
    </row>
    <row r="312" spans="1:9" ht="12.9">
      <c r="A312" s="518"/>
      <c r="B312" s="518"/>
      <c r="D312" s="528"/>
      <c r="E312" s="529"/>
      <c r="F312" s="529"/>
      <c r="I312" s="524"/>
    </row>
    <row r="313" spans="1:9" ht="13.75" customHeight="1">
      <c r="B313" s="519" t="s">
        <v>2638</v>
      </c>
      <c r="D313" s="1332" t="s">
        <v>1218</v>
      </c>
      <c r="E313" s="1332"/>
      <c r="F313" s="1332"/>
      <c r="I313" s="524" t="s">
        <v>2092</v>
      </c>
    </row>
    <row r="314" spans="1:9">
      <c r="D314" s="1332"/>
      <c r="E314" s="1332"/>
      <c r="F314" s="1332"/>
      <c r="I314" s="524"/>
    </row>
    <row r="315" spans="1:9" ht="12.9">
      <c r="A315" s="518"/>
      <c r="B315" s="518"/>
      <c r="D315" s="528"/>
      <c r="E315" s="529"/>
      <c r="F315" s="529"/>
      <c r="I315" s="524"/>
    </row>
    <row r="316" spans="1:9">
      <c r="B316" s="519" t="s">
        <v>2638</v>
      </c>
      <c r="D316" s="1311" t="s">
        <v>1219</v>
      </c>
      <c r="E316" s="1311"/>
      <c r="F316" s="1311"/>
      <c r="I316" s="524" t="s">
        <v>2078</v>
      </c>
    </row>
    <row r="317" spans="1:9">
      <c r="E317" s="480"/>
      <c r="F317" s="480"/>
      <c r="I317" s="524"/>
    </row>
    <row r="318" spans="1:9" ht="12.9">
      <c r="A318" s="518"/>
      <c r="B318" s="519" t="s">
        <v>2638</v>
      </c>
      <c r="D318" s="1282" t="s">
        <v>2390</v>
      </c>
      <c r="E318" s="1282"/>
      <c r="F318" s="1282"/>
      <c r="I318" s="524" t="s">
        <v>2093</v>
      </c>
    </row>
    <row r="319" spans="1:9" ht="12.9">
      <c r="A319" s="518"/>
      <c r="B319" s="518"/>
      <c r="D319" s="1282"/>
      <c r="E319" s="1282"/>
      <c r="F319" s="1282"/>
      <c r="I319" s="524"/>
    </row>
    <row r="320" spans="1:9" ht="12.9">
      <c r="A320" s="518"/>
      <c r="B320" s="518"/>
      <c r="D320" s="1282"/>
      <c r="E320" s="1282"/>
      <c r="F320" s="1282"/>
      <c r="I320" s="524"/>
    </row>
    <row r="321" spans="1:9" ht="12.9">
      <c r="A321" s="518"/>
      <c r="B321" s="518"/>
      <c r="D321" s="1282"/>
      <c r="E321" s="1282"/>
      <c r="F321" s="1282"/>
      <c r="I321" s="524"/>
    </row>
    <row r="322" spans="1:9" ht="12.9">
      <c r="A322" s="518"/>
      <c r="B322" s="518"/>
      <c r="D322" s="1282"/>
      <c r="E322" s="1282"/>
      <c r="F322" s="1282"/>
      <c r="I322" s="524"/>
    </row>
    <row r="323" spans="1:9" ht="12.9">
      <c r="A323" s="518"/>
      <c r="B323" s="518"/>
      <c r="D323" s="1282"/>
      <c r="E323" s="1282"/>
      <c r="F323" s="1282"/>
      <c r="I323" s="524"/>
    </row>
    <row r="324" spans="1:9" ht="12.9">
      <c r="A324" s="518"/>
      <c r="B324" s="518"/>
      <c r="D324" s="1282"/>
      <c r="E324" s="1282"/>
      <c r="F324" s="1282"/>
      <c r="I324" s="524"/>
    </row>
    <row r="325" spans="1:9" ht="12.9">
      <c r="A325" s="518"/>
      <c r="B325" s="518"/>
      <c r="D325" s="1282"/>
      <c r="E325" s="1282"/>
      <c r="F325" s="1282"/>
      <c r="I325" s="524"/>
    </row>
    <row r="326" spans="1:9" ht="12.9">
      <c r="A326" s="518"/>
      <c r="B326" s="518"/>
      <c r="D326" s="1282"/>
      <c r="E326" s="1282"/>
      <c r="F326" s="1282"/>
      <c r="I326" s="524"/>
    </row>
    <row r="327" spans="1:9" ht="12.9">
      <c r="A327" s="518"/>
      <c r="B327" s="518"/>
      <c r="D327" s="1282"/>
      <c r="E327" s="1282"/>
      <c r="F327" s="1282"/>
      <c r="I327" s="524"/>
    </row>
    <row r="328" spans="1:9" ht="12.9">
      <c r="A328" s="518"/>
      <c r="B328" s="518"/>
      <c r="D328" s="1282"/>
      <c r="E328" s="1282"/>
      <c r="F328" s="1282"/>
      <c r="I328" s="524"/>
    </row>
    <row r="329" spans="1:9" ht="12.9">
      <c r="A329" s="518"/>
      <c r="B329" s="518"/>
      <c r="D329" s="1282"/>
      <c r="E329" s="1282"/>
      <c r="F329" s="1282"/>
      <c r="I329" s="524"/>
    </row>
    <row r="330" spans="1:9" ht="12.9">
      <c r="A330" s="518"/>
      <c r="B330" s="518"/>
      <c r="D330" s="1282"/>
      <c r="E330" s="1282"/>
      <c r="F330" s="1282"/>
      <c r="I330" s="524"/>
    </row>
    <row r="331" spans="1:9" ht="12.9">
      <c r="A331" s="518"/>
      <c r="B331" s="518"/>
      <c r="D331" s="1282"/>
      <c r="E331" s="1282"/>
      <c r="F331" s="1282"/>
      <c r="I331" s="524"/>
    </row>
    <row r="332" spans="1:9" ht="12.9">
      <c r="A332" s="518"/>
      <c r="B332" s="518"/>
      <c r="D332" s="1282"/>
      <c r="E332" s="1282"/>
      <c r="F332" s="1282"/>
      <c r="I332" s="524"/>
    </row>
    <row r="333" spans="1:9">
      <c r="D333" s="480"/>
      <c r="E333" s="480"/>
      <c r="F333" s="480"/>
      <c r="I333" s="524"/>
    </row>
    <row r="334" spans="1:9" ht="12.9">
      <c r="A334" s="518"/>
      <c r="B334" s="519" t="s">
        <v>2638</v>
      </c>
      <c r="D334" s="1282" t="s">
        <v>1221</v>
      </c>
      <c r="E334" s="1282"/>
      <c r="F334" s="1282"/>
      <c r="I334" s="524" t="s">
        <v>2093</v>
      </c>
    </row>
    <row r="335" spans="1:9">
      <c r="D335" s="1282"/>
      <c r="E335" s="1282"/>
      <c r="F335" s="1282"/>
      <c r="I335" s="524"/>
    </row>
    <row r="336" spans="1:9">
      <c r="D336" s="1282"/>
      <c r="E336" s="1282"/>
      <c r="F336" s="1282"/>
      <c r="I336" s="524"/>
    </row>
    <row r="337" spans="1:9">
      <c r="D337" s="1282"/>
      <c r="E337" s="1282"/>
      <c r="F337" s="1282"/>
      <c r="I337" s="524"/>
    </row>
    <row r="338" spans="1:9">
      <c r="D338" s="1282"/>
      <c r="E338" s="1282"/>
      <c r="F338" s="1282"/>
      <c r="I338" s="524"/>
    </row>
    <row r="339" spans="1:9">
      <c r="D339" s="1282"/>
      <c r="E339" s="1282"/>
      <c r="F339" s="1282"/>
      <c r="I339" s="524"/>
    </row>
    <row r="340" spans="1:9">
      <c r="D340" s="1282"/>
      <c r="E340" s="1282"/>
      <c r="F340" s="1282"/>
      <c r="I340" s="524"/>
    </row>
    <row r="341" spans="1:9">
      <c r="D341" s="1282"/>
      <c r="E341" s="1282"/>
      <c r="F341" s="1282"/>
      <c r="I341" s="524"/>
    </row>
    <row r="342" spans="1:9">
      <c r="D342" s="1282"/>
      <c r="E342" s="1282"/>
      <c r="F342" s="1282"/>
      <c r="I342" s="524"/>
    </row>
    <row r="343" spans="1:9">
      <c r="D343" s="480"/>
      <c r="E343" s="480"/>
      <c r="F343" s="480"/>
      <c r="I343" s="524"/>
    </row>
    <row r="344" spans="1:9" ht="14.25" customHeight="1">
      <c r="A344" s="518"/>
      <c r="B344" s="519" t="s">
        <v>2638</v>
      </c>
      <c r="D344" s="1282" t="s">
        <v>2204</v>
      </c>
      <c r="E344" s="1282"/>
      <c r="F344" s="1282"/>
      <c r="I344" s="524" t="s">
        <v>2130</v>
      </c>
    </row>
    <row r="345" spans="1:9">
      <c r="D345" s="1282"/>
      <c r="E345" s="1282"/>
      <c r="F345" s="1282"/>
      <c r="I345" s="524"/>
    </row>
    <row r="346" spans="1:9">
      <c r="D346" s="1282"/>
      <c r="E346" s="1282"/>
      <c r="F346" s="1282"/>
      <c r="I346" s="524"/>
    </row>
    <row r="347" spans="1:9">
      <c r="D347" s="1282"/>
      <c r="E347" s="1282"/>
      <c r="F347" s="1282"/>
      <c r="I347" s="524"/>
    </row>
    <row r="348" spans="1:9">
      <c r="D348" s="417" t="s">
        <v>2203</v>
      </c>
      <c r="E348" s="416"/>
      <c r="F348" s="416"/>
      <c r="I348" s="524"/>
    </row>
    <row r="349" spans="1:9">
      <c r="D349" s="416"/>
      <c r="E349" s="96" t="s">
        <v>2200</v>
      </c>
      <c r="G349" s="96"/>
      <c r="I349" s="524"/>
    </row>
    <row r="350" spans="1:9">
      <c r="D350" s="479"/>
      <c r="E350" s="479"/>
      <c r="F350" s="479"/>
      <c r="I350" s="524"/>
    </row>
    <row r="351" spans="1:9" ht="12.9" thickBot="1">
      <c r="A351" s="1057"/>
      <c r="B351" s="1057"/>
      <c r="C351" s="1057"/>
      <c r="D351" s="1337" t="s">
        <v>999</v>
      </c>
      <c r="E351" s="1337"/>
      <c r="F351" s="1337"/>
      <c r="G351" s="1062"/>
      <c r="H351" s="1062"/>
      <c r="I351" s="1262"/>
    </row>
    <row r="352" spans="1:9" ht="12.9" thickTop="1">
      <c r="D352" s="1333" t="s">
        <v>1223</v>
      </c>
      <c r="E352" s="1333"/>
      <c r="F352" s="1333"/>
      <c r="I352" s="524"/>
    </row>
    <row r="353" spans="1:9">
      <c r="D353" s="480"/>
      <c r="E353" s="480"/>
      <c r="F353" s="480"/>
      <c r="I353" s="524"/>
    </row>
    <row r="354" spans="1:9">
      <c r="A354" s="510"/>
      <c r="B354" s="510"/>
      <c r="C354" s="510"/>
      <c r="D354" s="481"/>
      <c r="E354" s="481"/>
      <c r="F354" s="480"/>
      <c r="I354" s="524" t="s">
        <v>2094</v>
      </c>
    </row>
    <row r="355" spans="1:9" ht="12.9">
      <c r="A355" s="518"/>
      <c r="B355" s="519" t="s">
        <v>2638</v>
      </c>
      <c r="C355" s="521"/>
      <c r="D355" s="1311" t="s">
        <v>2202</v>
      </c>
      <c r="E355" s="1311"/>
      <c r="F355" s="1311"/>
      <c r="I355" s="1329" t="s">
        <v>2144</v>
      </c>
    </row>
    <row r="356" spans="1:9" ht="12.75" customHeight="1">
      <c r="D356" s="1072"/>
      <c r="E356" s="96" t="s">
        <v>2201</v>
      </c>
      <c r="F356" s="1072"/>
      <c r="I356" s="1330"/>
    </row>
    <row r="357" spans="1:9">
      <c r="D357" s="1282" t="s">
        <v>1347</v>
      </c>
      <c r="E357" s="1282"/>
      <c r="F357" s="1282"/>
      <c r="I357" s="1330"/>
    </row>
    <row r="358" spans="1:9">
      <c r="D358" s="1282"/>
      <c r="E358" s="1282"/>
      <c r="F358" s="1282"/>
      <c r="I358" s="1330"/>
    </row>
    <row r="359" spans="1:9">
      <c r="D359" s="1282"/>
      <c r="E359" s="1282"/>
      <c r="F359" s="1282"/>
      <c r="I359" s="1331"/>
    </row>
    <row r="360" spans="1:9" ht="12.9">
      <c r="A360" s="518"/>
      <c r="B360" s="519" t="s">
        <v>2638</v>
      </c>
      <c r="C360" s="510"/>
      <c r="D360" s="1315" t="s">
        <v>2372</v>
      </c>
      <c r="E360" s="1315"/>
      <c r="F360" s="1315"/>
      <c r="I360" s="514"/>
    </row>
    <row r="361" spans="1:9">
      <c r="A361" s="510"/>
      <c r="B361" s="510"/>
      <c r="C361" s="510"/>
      <c r="D361" s="481"/>
      <c r="E361" s="481"/>
      <c r="F361" s="480"/>
      <c r="I361" s="524"/>
    </row>
    <row r="362" spans="1:9">
      <c r="A362" s="510"/>
      <c r="B362" s="519" t="s">
        <v>2638</v>
      </c>
      <c r="C362" s="510"/>
      <c r="D362" s="1270" t="s">
        <v>2373</v>
      </c>
      <c r="E362" s="1270"/>
      <c r="F362" s="1270"/>
      <c r="I362" s="524"/>
    </row>
    <row r="363" spans="1:9">
      <c r="A363" s="510"/>
      <c r="B363" s="510"/>
      <c r="C363" s="510"/>
      <c r="D363" s="1270"/>
      <c r="E363" s="1270"/>
      <c r="F363" s="1270"/>
      <c r="I363" s="524"/>
    </row>
    <row r="364" spans="1:9">
      <c r="A364" s="510"/>
      <c r="B364" s="510"/>
      <c r="C364" s="510"/>
      <c r="D364" s="1270"/>
      <c r="E364" s="1270"/>
      <c r="F364" s="1270"/>
      <c r="I364" s="524"/>
    </row>
    <row r="365" spans="1:9">
      <c r="A365" s="510"/>
      <c r="B365" s="510"/>
      <c r="C365" s="510"/>
      <c r="D365" s="1270"/>
      <c r="E365" s="1270"/>
      <c r="F365" s="1270"/>
      <c r="I365" s="524"/>
    </row>
    <row r="366" spans="1:9">
      <c r="A366" s="510"/>
      <c r="B366" s="510"/>
      <c r="C366" s="510"/>
      <c r="D366" s="1270"/>
      <c r="E366" s="1270"/>
      <c r="F366" s="1270"/>
      <c r="I366" s="524"/>
    </row>
    <row r="367" spans="1:9">
      <c r="A367" s="510"/>
      <c r="B367" s="510"/>
      <c r="C367" s="510"/>
      <c r="D367" s="1270"/>
      <c r="E367" s="1270"/>
      <c r="F367" s="1270"/>
      <c r="I367" s="524"/>
    </row>
    <row r="368" spans="1:9">
      <c r="A368" s="510"/>
      <c r="B368" s="510"/>
      <c r="C368" s="510"/>
      <c r="D368" s="1270"/>
      <c r="E368" s="1270"/>
      <c r="F368" s="1270"/>
      <c r="I368" s="524"/>
    </row>
    <row r="369" spans="1:9">
      <c r="A369" s="510"/>
      <c r="B369" s="510"/>
      <c r="C369" s="510"/>
      <c r="D369" s="1270"/>
      <c r="E369" s="1270"/>
      <c r="F369" s="1270"/>
      <c r="I369" s="524"/>
    </row>
    <row r="370" spans="1:9">
      <c r="A370" s="510"/>
      <c r="B370" s="510"/>
      <c r="C370" s="510"/>
      <c r="D370" s="1270"/>
      <c r="E370" s="1270"/>
      <c r="F370" s="1270"/>
      <c r="I370" s="524"/>
    </row>
    <row r="371" spans="1:9">
      <c r="A371" s="510"/>
      <c r="B371" s="510"/>
      <c r="C371" s="510"/>
      <c r="D371" s="1270"/>
      <c r="E371" s="1270"/>
      <c r="F371" s="1270"/>
      <c r="I371" s="524"/>
    </row>
    <row r="372" spans="1:9">
      <c r="A372" s="510"/>
      <c r="B372" s="510"/>
      <c r="C372" s="510"/>
      <c r="D372" s="1270"/>
      <c r="E372" s="1270"/>
      <c r="F372" s="1270"/>
      <c r="I372" s="524"/>
    </row>
    <row r="373" spans="1:9">
      <c r="A373" s="510"/>
      <c r="B373" s="510"/>
      <c r="C373" s="510"/>
      <c r="D373" s="1270"/>
      <c r="E373" s="1270"/>
      <c r="F373" s="1270"/>
      <c r="I373" s="524"/>
    </row>
    <row r="374" spans="1:9">
      <c r="A374" s="510"/>
      <c r="B374" s="510"/>
      <c r="C374" s="510"/>
      <c r="D374" s="485"/>
      <c r="E374" s="485"/>
      <c r="F374" s="485"/>
      <c r="I374" s="524"/>
    </row>
    <row r="375" spans="1:9" ht="12.55" customHeight="1">
      <c r="A375" s="510"/>
      <c r="B375" s="519" t="s">
        <v>2638</v>
      </c>
      <c r="C375" s="510"/>
      <c r="D375" s="1326" t="s">
        <v>1328</v>
      </c>
      <c r="E375" s="1326"/>
      <c r="F375" s="1326"/>
      <c r="I375" s="524"/>
    </row>
    <row r="376" spans="1:9">
      <c r="A376" s="510"/>
      <c r="B376" s="510"/>
      <c r="C376" s="510"/>
      <c r="D376" s="1326"/>
      <c r="E376" s="1326"/>
      <c r="F376" s="1326"/>
      <c r="I376" s="524"/>
    </row>
    <row r="377" spans="1:9">
      <c r="A377" s="510"/>
      <c r="B377" s="510"/>
      <c r="C377" s="510"/>
      <c r="D377" s="1326"/>
      <c r="E377" s="1326"/>
      <c r="F377" s="1326"/>
      <c r="I377" s="524"/>
    </row>
    <row r="378" spans="1:9">
      <c r="A378" s="510"/>
      <c r="B378" s="510"/>
      <c r="C378" s="510"/>
      <c r="D378" s="1326"/>
      <c r="E378" s="1326"/>
      <c r="F378" s="1326"/>
      <c r="I378" s="524"/>
    </row>
    <row r="379" spans="1:9">
      <c r="A379" s="510"/>
      <c r="B379" s="510"/>
      <c r="C379" s="510"/>
      <c r="D379" s="558"/>
      <c r="E379" s="558"/>
      <c r="F379" s="558"/>
      <c r="I379" s="524"/>
    </row>
    <row r="380" spans="1:9">
      <c r="A380" s="510"/>
      <c r="B380" s="519" t="s">
        <v>2638</v>
      </c>
      <c r="C380" s="510"/>
      <c r="D380" s="433" t="s">
        <v>2026</v>
      </c>
      <c r="E380" s="558"/>
      <c r="F380" s="558"/>
      <c r="I380" s="524"/>
    </row>
    <row r="381" spans="1:9">
      <c r="A381" s="510"/>
      <c r="B381" s="510"/>
      <c r="C381" s="510"/>
      <c r="D381" s="433" t="s">
        <v>2027</v>
      </c>
      <c r="E381" s="558"/>
      <c r="F381" s="558"/>
      <c r="I381" s="524"/>
    </row>
    <row r="382" spans="1:9">
      <c r="A382" s="510"/>
      <c r="B382" s="510"/>
      <c r="C382" s="510"/>
      <c r="D382" s="433" t="s">
        <v>2028</v>
      </c>
      <c r="E382" s="558"/>
      <c r="F382" s="558"/>
      <c r="I382" s="524"/>
    </row>
    <row r="383" spans="1:9">
      <c r="A383" s="510"/>
      <c r="B383" s="510"/>
      <c r="C383" s="510"/>
      <c r="D383" s="433" t="s">
        <v>2029</v>
      </c>
      <c r="E383" s="558"/>
      <c r="F383" s="558"/>
      <c r="I383" s="524"/>
    </row>
    <row r="384" spans="1:9">
      <c r="A384" s="510"/>
      <c r="B384" s="510"/>
      <c r="C384" s="510"/>
      <c r="D384" s="433" t="s">
        <v>2030</v>
      </c>
      <c r="E384" s="558"/>
      <c r="F384" s="558"/>
      <c r="I384" s="524"/>
    </row>
    <row r="385" spans="1:9">
      <c r="A385" s="510"/>
      <c r="B385" s="510"/>
      <c r="C385" s="510"/>
      <c r="D385" s="433" t="s">
        <v>2031</v>
      </c>
      <c r="E385" s="558"/>
      <c r="F385" s="558"/>
      <c r="I385" s="524"/>
    </row>
    <row r="386" spans="1:9">
      <c r="A386" s="510"/>
      <c r="B386" s="510"/>
      <c r="C386" s="510"/>
      <c r="E386" s="481"/>
      <c r="F386" s="480"/>
      <c r="I386" s="524"/>
    </row>
    <row r="387" spans="1:9" ht="12.9">
      <c r="A387" s="518"/>
      <c r="B387" s="519" t="s">
        <v>2638</v>
      </c>
      <c r="C387" s="510"/>
      <c r="D387" s="1270" t="s">
        <v>1226</v>
      </c>
      <c r="E387" s="1270"/>
      <c r="F387" s="1270"/>
      <c r="I387" s="524"/>
    </row>
    <row r="388" spans="1:9">
      <c r="A388" s="510"/>
      <c r="B388" s="510"/>
      <c r="C388" s="510"/>
      <c r="D388" s="1270"/>
      <c r="E388" s="1270"/>
      <c r="F388" s="1270"/>
      <c r="I388" s="524"/>
    </row>
    <row r="389" spans="1:9">
      <c r="A389" s="510"/>
      <c r="B389" s="510"/>
      <c r="C389" s="510"/>
      <c r="D389" s="1270"/>
      <c r="E389" s="1270"/>
      <c r="F389" s="1270"/>
      <c r="I389" s="524"/>
    </row>
    <row r="390" spans="1:9">
      <c r="A390" s="510"/>
      <c r="B390" s="510"/>
      <c r="C390" s="510"/>
      <c r="D390" s="1270"/>
      <c r="E390" s="1270"/>
      <c r="F390" s="1270"/>
      <c r="I390" s="524"/>
    </row>
    <row r="391" spans="1:9">
      <c r="A391" s="510"/>
      <c r="B391" s="510"/>
      <c r="C391" s="510"/>
      <c r="D391" s="481"/>
      <c r="E391" s="481"/>
      <c r="F391" s="480"/>
      <c r="I391" s="524"/>
    </row>
    <row r="392" spans="1:9">
      <c r="A392" s="510"/>
      <c r="B392" s="510"/>
      <c r="C392" s="510"/>
      <c r="D392" s="1270" t="s">
        <v>1227</v>
      </c>
      <c r="E392" s="1270"/>
      <c r="F392" s="1270"/>
      <c r="I392" s="524"/>
    </row>
    <row r="393" spans="1:9">
      <c r="A393" s="510"/>
      <c r="B393" s="510"/>
      <c r="C393" s="510"/>
      <c r="D393" s="1270"/>
      <c r="E393" s="1270"/>
      <c r="F393" s="1270"/>
      <c r="I393" s="524"/>
    </row>
    <row r="394" spans="1:9">
      <c r="A394" s="510"/>
      <c r="B394" s="510"/>
      <c r="C394" s="510"/>
      <c r="D394" s="1270"/>
      <c r="E394" s="1270"/>
      <c r="F394" s="1270"/>
      <c r="I394" s="524"/>
    </row>
    <row r="395" spans="1:9">
      <c r="A395" s="510"/>
      <c r="B395" s="510"/>
      <c r="C395" s="510"/>
      <c r="D395" s="1270"/>
      <c r="E395" s="1270"/>
      <c r="F395" s="1270"/>
      <c r="I395" s="524"/>
    </row>
    <row r="396" spans="1:9" ht="18" customHeight="1">
      <c r="A396" s="510"/>
      <c r="B396" s="510"/>
      <c r="C396" s="510"/>
      <c r="D396" s="1270"/>
      <c r="E396" s="1270"/>
      <c r="F396" s="1270"/>
      <c r="I396" s="524"/>
    </row>
    <row r="397" spans="1:9">
      <c r="A397" s="510"/>
      <c r="B397" s="510"/>
      <c r="C397" s="510"/>
      <c r="D397" s="1270"/>
      <c r="E397" s="1270"/>
      <c r="F397" s="1270"/>
      <c r="I397" s="524"/>
    </row>
    <row r="398" spans="1:9">
      <c r="A398" s="510"/>
      <c r="B398" s="510"/>
      <c r="C398" s="510"/>
      <c r="D398" s="1270"/>
      <c r="E398" s="1270"/>
      <c r="F398" s="1270"/>
      <c r="I398" s="524"/>
    </row>
    <row r="399" spans="1:9">
      <c r="A399" s="510"/>
      <c r="B399" s="510"/>
      <c r="C399" s="510"/>
      <c r="D399" s="1270"/>
      <c r="E399" s="1270"/>
      <c r="F399" s="1270"/>
      <c r="I399" s="524"/>
    </row>
    <row r="400" spans="1:9" ht="8.25" customHeight="1">
      <c r="A400" s="510"/>
      <c r="B400" s="510"/>
      <c r="C400" s="510"/>
      <c r="D400" s="1270"/>
      <c r="E400" s="1270"/>
      <c r="F400" s="1270"/>
      <c r="I400" s="524"/>
    </row>
    <row r="401" spans="1:9" ht="13.75" customHeight="1">
      <c r="A401" s="510"/>
      <c r="B401" s="510"/>
      <c r="C401" s="510"/>
      <c r="D401" s="1270" t="s">
        <v>1228</v>
      </c>
      <c r="E401" s="1270"/>
      <c r="F401" s="1270"/>
      <c r="I401" s="524"/>
    </row>
    <row r="402" spans="1:9">
      <c r="A402" s="510"/>
      <c r="B402" s="510"/>
      <c r="C402" s="510"/>
      <c r="D402" s="1270"/>
      <c r="E402" s="1270"/>
      <c r="F402" s="1270"/>
      <c r="I402" s="524"/>
    </row>
    <row r="403" spans="1:9">
      <c r="A403" s="510"/>
      <c r="B403" s="510"/>
      <c r="C403" s="510"/>
      <c r="D403" s="1270"/>
      <c r="E403" s="1270"/>
      <c r="F403" s="1270"/>
      <c r="I403" s="524"/>
    </row>
    <row r="404" spans="1:9">
      <c r="A404" s="510"/>
      <c r="B404" s="510"/>
      <c r="C404" s="510"/>
      <c r="D404" s="1270"/>
      <c r="E404" s="1270"/>
      <c r="F404" s="1270"/>
      <c r="I404" s="524"/>
    </row>
    <row r="405" spans="1:9">
      <c r="A405" s="510"/>
      <c r="B405" s="510"/>
      <c r="C405" s="510"/>
      <c r="D405" s="1270"/>
      <c r="E405" s="1270"/>
      <c r="F405" s="1270"/>
      <c r="I405" s="524"/>
    </row>
    <row r="406" spans="1:9">
      <c r="A406" s="510"/>
      <c r="B406" s="510"/>
      <c r="C406" s="510"/>
      <c r="D406" s="1270"/>
      <c r="E406" s="1270"/>
      <c r="F406" s="1270"/>
      <c r="I406" s="524"/>
    </row>
    <row r="407" spans="1:9">
      <c r="A407" s="510"/>
      <c r="B407" s="510"/>
      <c r="C407" s="510"/>
      <c r="D407" s="1270"/>
      <c r="E407" s="1270"/>
      <c r="F407" s="1270"/>
      <c r="I407" s="524"/>
    </row>
    <row r="408" spans="1:9">
      <c r="A408" s="510"/>
      <c r="B408" s="510"/>
      <c r="C408" s="510"/>
      <c r="D408" s="1270"/>
      <c r="E408" s="1270"/>
      <c r="F408" s="1270"/>
      <c r="I408" s="524"/>
    </row>
    <row r="409" spans="1:9">
      <c r="A409" s="510"/>
      <c r="B409" s="510"/>
      <c r="C409" s="510"/>
      <c r="D409" s="1270"/>
      <c r="E409" s="1270"/>
      <c r="F409" s="1270"/>
      <c r="I409" s="524"/>
    </row>
    <row r="410" spans="1:9">
      <c r="A410" s="510"/>
      <c r="B410" s="510"/>
      <c r="C410" s="510"/>
      <c r="D410" s="1270"/>
      <c r="E410" s="1270"/>
      <c r="F410" s="1270"/>
      <c r="I410" s="524"/>
    </row>
    <row r="411" spans="1:9">
      <c r="A411" s="510"/>
      <c r="B411" s="510"/>
      <c r="C411" s="510"/>
      <c r="D411" s="1270"/>
      <c r="E411" s="1270"/>
      <c r="F411" s="1270"/>
      <c r="I411" s="524"/>
    </row>
    <row r="412" spans="1:9">
      <c r="A412" s="510"/>
      <c r="B412" s="510"/>
      <c r="C412" s="510"/>
      <c r="D412" s="1270"/>
      <c r="E412" s="1270"/>
      <c r="F412" s="1270"/>
      <c r="I412" s="524"/>
    </row>
    <row r="413" spans="1:9">
      <c r="A413" s="510"/>
      <c r="B413" s="510"/>
      <c r="C413" s="530"/>
      <c r="D413" s="1270"/>
      <c r="E413" s="1270"/>
      <c r="F413" s="1270"/>
      <c r="I413" s="524"/>
    </row>
    <row r="414" spans="1:9">
      <c r="A414" s="510"/>
      <c r="B414" s="510"/>
      <c r="C414" s="530"/>
      <c r="D414" s="1270"/>
      <c r="E414" s="1270"/>
      <c r="F414" s="1270"/>
      <c r="I414" s="524"/>
    </row>
    <row r="415" spans="1:9">
      <c r="A415" s="510"/>
      <c r="B415" s="510"/>
      <c r="C415" s="510"/>
      <c r="D415" s="1270"/>
      <c r="E415" s="1270"/>
      <c r="F415" s="1270"/>
      <c r="I415" s="524"/>
    </row>
    <row r="416" spans="1:9">
      <c r="A416" s="510"/>
      <c r="B416" s="510"/>
      <c r="C416" s="530"/>
      <c r="D416" s="1270"/>
      <c r="E416" s="1270"/>
      <c r="F416" s="1270"/>
      <c r="I416" s="524"/>
    </row>
    <row r="417" spans="1:9">
      <c r="A417" s="510"/>
      <c r="B417" s="510"/>
      <c r="C417" s="530"/>
      <c r="D417" s="1270"/>
      <c r="E417" s="1270"/>
      <c r="F417" s="1270"/>
      <c r="I417" s="524"/>
    </row>
    <row r="418" spans="1:9">
      <c r="A418" s="510"/>
      <c r="B418" s="510"/>
      <c r="C418" s="530"/>
      <c r="D418" s="1270"/>
      <c r="E418" s="1270"/>
      <c r="F418" s="1270"/>
      <c r="I418" s="524"/>
    </row>
    <row r="419" spans="1:9">
      <c r="A419" s="510"/>
      <c r="B419" s="510"/>
      <c r="C419" s="510"/>
      <c r="D419" s="481"/>
      <c r="E419" s="481"/>
      <c r="F419" s="480"/>
      <c r="I419" s="524"/>
    </row>
    <row r="420" spans="1:9">
      <c r="A420" s="510"/>
      <c r="B420" s="519" t="s">
        <v>2638</v>
      </c>
      <c r="C420" s="510"/>
      <c r="D420" s="1270" t="s">
        <v>1229</v>
      </c>
      <c r="E420" s="1270"/>
      <c r="F420" s="1270"/>
      <c r="I420" s="524"/>
    </row>
    <row r="421" spans="1:9">
      <c r="A421" s="510"/>
      <c r="B421" s="510"/>
      <c r="C421" s="510"/>
      <c r="D421" s="1270"/>
      <c r="E421" s="1270"/>
      <c r="F421" s="1270"/>
      <c r="I421" s="524"/>
    </row>
    <row r="422" spans="1:9">
      <c r="A422" s="510"/>
      <c r="B422" s="510"/>
      <c r="C422" s="510"/>
      <c r="D422" s="485"/>
      <c r="E422" s="485"/>
      <c r="F422" s="485"/>
      <c r="I422" s="524"/>
    </row>
    <row r="423" spans="1:9" ht="14.5" customHeight="1">
      <c r="A423" s="518"/>
      <c r="B423" s="519" t="s">
        <v>2638</v>
      </c>
      <c r="D423" s="1270" t="s">
        <v>2131</v>
      </c>
      <c r="E423" s="1270"/>
      <c r="F423" s="1270"/>
      <c r="I423" s="524"/>
    </row>
    <row r="424" spans="1:9" ht="14.5" customHeight="1">
      <c r="A424" s="518"/>
      <c r="D424" s="1270"/>
      <c r="E424" s="1270"/>
      <c r="F424" s="1270"/>
      <c r="I424" s="524"/>
    </row>
    <row r="425" spans="1:9" ht="14.5" customHeight="1">
      <c r="A425" s="518"/>
      <c r="D425" s="1270"/>
      <c r="E425" s="1270"/>
      <c r="F425" s="1270"/>
      <c r="I425" s="524"/>
    </row>
    <row r="426" spans="1:9" ht="14.5" customHeight="1">
      <c r="A426" s="518"/>
      <c r="D426" s="1270"/>
      <c r="E426" s="1270"/>
      <c r="F426" s="1270"/>
      <c r="I426" s="524"/>
    </row>
    <row r="427" spans="1:9" ht="14.5" customHeight="1">
      <c r="A427" s="518"/>
      <c r="D427" s="1270"/>
      <c r="E427" s="1270"/>
      <c r="F427" s="1270"/>
      <c r="I427" s="524"/>
    </row>
    <row r="428" spans="1:9" ht="14.5" customHeight="1">
      <c r="A428" s="518"/>
      <c r="D428" s="416"/>
      <c r="E428" s="416"/>
      <c r="F428" s="416"/>
      <c r="I428" s="524"/>
    </row>
    <row r="429" spans="1:9" ht="13.75" customHeight="1">
      <c r="A429" s="518"/>
      <c r="B429" s="519" t="s">
        <v>2638</v>
      </c>
      <c r="C429" s="510"/>
      <c r="D429" s="1270" t="s">
        <v>1348</v>
      </c>
      <c r="E429" s="1270"/>
      <c r="F429" s="1270"/>
      <c r="I429" s="524"/>
    </row>
    <row r="430" spans="1:9" ht="12.9">
      <c r="A430" s="531"/>
      <c r="B430" s="531"/>
      <c r="C430" s="510"/>
      <c r="D430" s="1270"/>
      <c r="E430" s="1270"/>
      <c r="F430" s="1270"/>
      <c r="I430" s="524"/>
    </row>
    <row r="431" spans="1:9" ht="12.9">
      <c r="A431" s="531"/>
      <c r="B431" s="531"/>
      <c r="C431" s="510"/>
      <c r="D431" s="1270"/>
      <c r="E431" s="1270"/>
      <c r="F431" s="1270"/>
      <c r="I431" s="524"/>
    </row>
    <row r="432" spans="1:9" ht="12.9">
      <c r="A432" s="531"/>
      <c r="B432" s="531"/>
      <c r="C432" s="510"/>
      <c r="D432" s="1270"/>
      <c r="E432" s="1270"/>
      <c r="F432" s="1270"/>
      <c r="I432" s="524"/>
    </row>
    <row r="433" spans="1:9" ht="15.75" customHeight="1">
      <c r="A433" s="531"/>
      <c r="B433" s="531"/>
      <c r="C433" s="510"/>
      <c r="D433" s="1334" t="s">
        <v>2391</v>
      </c>
      <c r="E433" s="1270"/>
      <c r="F433" s="1270"/>
      <c r="I433" s="524"/>
    </row>
    <row r="434" spans="1:9">
      <c r="D434" s="480"/>
      <c r="E434" s="480"/>
      <c r="F434" s="480"/>
      <c r="I434" s="524"/>
    </row>
    <row r="435" spans="1:9" ht="12.9">
      <c r="A435" s="518"/>
      <c r="B435" s="519" t="s">
        <v>2638</v>
      </c>
      <c r="C435" s="521"/>
      <c r="D435" s="1282" t="s">
        <v>2374</v>
      </c>
      <c r="E435" s="1282"/>
      <c r="F435" s="1282"/>
      <c r="I435" s="524"/>
    </row>
    <row r="436" spans="1:9" ht="12.9">
      <c r="A436" s="518"/>
      <c r="B436" s="518"/>
      <c r="D436" s="1282"/>
      <c r="E436" s="1282"/>
      <c r="F436" s="1282"/>
      <c r="I436" s="524"/>
    </row>
    <row r="437" spans="1:9">
      <c r="D437" s="1282"/>
      <c r="E437" s="1282"/>
      <c r="F437" s="1282"/>
      <c r="I437" s="524"/>
    </row>
    <row r="438" spans="1:9">
      <c r="D438" s="1282"/>
      <c r="E438" s="1282"/>
      <c r="F438" s="1282"/>
      <c r="I438" s="524"/>
    </row>
    <row r="439" spans="1:9">
      <c r="D439" s="1282"/>
      <c r="E439" s="1282"/>
      <c r="F439" s="1282"/>
      <c r="I439" s="524"/>
    </row>
    <row r="440" spans="1:9">
      <c r="D440" s="1282"/>
      <c r="E440" s="1282"/>
      <c r="F440" s="1282"/>
      <c r="I440" s="524"/>
    </row>
    <row r="441" spans="1:9">
      <c r="D441" s="1282"/>
      <c r="E441" s="1282"/>
      <c r="F441" s="1282"/>
      <c r="I441" s="524"/>
    </row>
    <row r="442" spans="1:9">
      <c r="D442" s="1282"/>
      <c r="E442" s="1282"/>
      <c r="F442" s="1282"/>
      <c r="I442" s="524"/>
    </row>
    <row r="443" spans="1:9">
      <c r="D443" s="1282"/>
      <c r="E443" s="1282"/>
      <c r="F443" s="1282"/>
      <c r="I443" s="524"/>
    </row>
    <row r="444" spans="1:9">
      <c r="D444" s="1282"/>
      <c r="E444" s="1282"/>
      <c r="F444" s="1282"/>
      <c r="I444" s="524"/>
    </row>
    <row r="445" spans="1:9">
      <c r="D445" s="1282"/>
      <c r="E445" s="1282"/>
      <c r="F445" s="1282"/>
      <c r="I445" s="524"/>
    </row>
    <row r="446" spans="1:9">
      <c r="D446" s="1282"/>
      <c r="E446" s="1282"/>
      <c r="F446" s="1282"/>
      <c r="I446" s="524"/>
    </row>
    <row r="447" spans="1:9">
      <c r="D447" s="1282"/>
      <c r="E447" s="1282"/>
      <c r="F447" s="1282"/>
      <c r="I447" s="524"/>
    </row>
    <row r="448" spans="1:9">
      <c r="A448" s="433"/>
      <c r="B448" s="433"/>
      <c r="C448" s="433"/>
      <c r="D448" s="1282"/>
      <c r="E448" s="1282"/>
      <c r="F448" s="1282"/>
      <c r="I448" s="524"/>
    </row>
    <row r="449" spans="1:9">
      <c r="A449" s="433"/>
      <c r="B449" s="433"/>
      <c r="C449" s="433"/>
      <c r="D449" s="1282"/>
      <c r="E449" s="1282"/>
      <c r="F449" s="1282"/>
      <c r="I449" s="524"/>
    </row>
    <row r="450" spans="1:9">
      <c r="A450" s="433"/>
      <c r="B450" s="433"/>
      <c r="C450" s="433"/>
      <c r="D450" s="1282"/>
      <c r="E450" s="1282"/>
      <c r="F450" s="1282"/>
      <c r="I450" s="524"/>
    </row>
    <row r="451" spans="1:9">
      <c r="A451" s="433"/>
      <c r="B451" s="433"/>
      <c r="C451" s="433"/>
      <c r="D451" s="1282"/>
      <c r="E451" s="1282"/>
      <c r="F451" s="1282"/>
      <c r="I451" s="524"/>
    </row>
    <row r="452" spans="1:9">
      <c r="A452" s="433"/>
      <c r="B452" s="433"/>
      <c r="C452" s="433"/>
      <c r="D452" s="1282"/>
      <c r="E452" s="1282"/>
      <c r="F452" s="1282"/>
      <c r="I452" s="524"/>
    </row>
    <row r="453" spans="1:9">
      <c r="A453" s="433"/>
      <c r="B453" s="433"/>
      <c r="C453" s="433"/>
      <c r="D453" s="1282"/>
      <c r="E453" s="1282"/>
      <c r="F453" s="1282"/>
      <c r="I453" s="524"/>
    </row>
    <row r="454" spans="1:9">
      <c r="A454" s="433"/>
      <c r="B454" s="433"/>
      <c r="C454" s="433"/>
      <c r="D454" s="1282"/>
      <c r="E454" s="1282"/>
      <c r="F454" s="1282"/>
      <c r="I454" s="524"/>
    </row>
    <row r="455" spans="1:9">
      <c r="A455" s="433"/>
      <c r="B455" s="433"/>
      <c r="C455" s="433"/>
      <c r="D455" s="1282"/>
      <c r="E455" s="1282"/>
      <c r="F455" s="1282"/>
      <c r="I455" s="524"/>
    </row>
    <row r="456" spans="1:9">
      <c r="A456" s="433"/>
      <c r="B456" s="433"/>
      <c r="C456" s="433"/>
      <c r="D456" s="1282"/>
      <c r="E456" s="1282"/>
      <c r="F456" s="1282"/>
      <c r="I456" s="524"/>
    </row>
    <row r="457" spans="1:9">
      <c r="A457" s="433"/>
      <c r="B457" s="433"/>
      <c r="C457" s="433"/>
      <c r="D457" s="1282"/>
      <c r="E457" s="1282"/>
      <c r="F457" s="1282"/>
      <c r="I457" s="524"/>
    </row>
    <row r="458" spans="1:9">
      <c r="A458" s="433"/>
      <c r="B458" s="433"/>
      <c r="C458" s="433"/>
      <c r="D458" s="1282"/>
      <c r="E458" s="1282"/>
      <c r="F458" s="1282"/>
      <c r="I458" s="524"/>
    </row>
    <row r="459" spans="1:9">
      <c r="A459" s="433"/>
      <c r="B459" s="433"/>
      <c r="C459" s="433"/>
      <c r="D459" s="1282"/>
      <c r="E459" s="1282"/>
      <c r="F459" s="1282"/>
      <c r="I459" s="524"/>
    </row>
    <row r="460" spans="1:9">
      <c r="A460" s="433"/>
      <c r="B460" s="433"/>
      <c r="C460" s="433"/>
      <c r="D460" s="1282"/>
      <c r="E460" s="1282"/>
      <c r="F460" s="1282"/>
      <c r="I460" s="524"/>
    </row>
    <row r="461" spans="1:9">
      <c r="A461" s="433"/>
      <c r="B461" s="433"/>
      <c r="C461" s="433"/>
      <c r="D461" s="1282"/>
      <c r="E461" s="1282"/>
      <c r="F461" s="1282"/>
      <c r="I461" s="524"/>
    </row>
    <row r="462" spans="1:9">
      <c r="A462" s="433"/>
      <c r="B462" s="433"/>
      <c r="C462" s="433"/>
      <c r="D462" s="1282"/>
      <c r="E462" s="1282"/>
      <c r="F462" s="1282"/>
      <c r="I462" s="524"/>
    </row>
    <row r="463" spans="1:9">
      <c r="A463" s="433"/>
      <c r="B463" s="433"/>
      <c r="C463" s="433"/>
      <c r="D463" s="1282"/>
      <c r="E463" s="1282"/>
      <c r="F463" s="1282"/>
      <c r="I463" s="524"/>
    </row>
    <row r="464" spans="1:9">
      <c r="D464" s="1282"/>
      <c r="E464" s="1282"/>
      <c r="F464" s="1282"/>
      <c r="I464" s="524"/>
    </row>
    <row r="465" spans="1:9" ht="40.75" customHeight="1">
      <c r="D465" s="1282"/>
      <c r="E465" s="1282"/>
      <c r="F465" s="1282"/>
      <c r="I465" s="524"/>
    </row>
    <row r="466" spans="1:9">
      <c r="D466" s="480"/>
      <c r="E466" s="480"/>
      <c r="F466" s="480"/>
      <c r="I466" s="524"/>
    </row>
    <row r="467" spans="1:9" ht="12.9">
      <c r="A467" s="518"/>
      <c r="B467" s="519" t="s">
        <v>2638</v>
      </c>
      <c r="C467" s="521"/>
      <c r="D467" s="1282" t="s">
        <v>1234</v>
      </c>
      <c r="E467" s="1282"/>
      <c r="F467" s="1282"/>
      <c r="I467" s="524"/>
    </row>
    <row r="468" spans="1:9">
      <c r="D468" s="1282"/>
      <c r="E468" s="1282"/>
      <c r="F468" s="1282"/>
      <c r="I468" s="524"/>
    </row>
    <row r="469" spans="1:9">
      <c r="D469" s="1282"/>
      <c r="E469" s="1282"/>
      <c r="F469" s="1282"/>
      <c r="I469" s="524"/>
    </row>
    <row r="470" spans="1:9">
      <c r="D470" s="479"/>
      <c r="E470" s="479"/>
      <c r="F470" s="479"/>
      <c r="I470" s="524"/>
    </row>
    <row r="471" spans="1:9" ht="12.9">
      <c r="B471" s="519" t="s">
        <v>2638</v>
      </c>
      <c r="C471" s="518"/>
      <c r="D471" s="1282" t="s">
        <v>1304</v>
      </c>
      <c r="E471" s="1282"/>
      <c r="F471" s="1282"/>
      <c r="I471" s="524"/>
    </row>
    <row r="472" spans="1:9">
      <c r="D472" s="1282"/>
      <c r="E472" s="1282"/>
      <c r="F472" s="1282"/>
      <c r="I472" s="524"/>
    </row>
    <row r="473" spans="1:9">
      <c r="D473" s="480"/>
      <c r="E473" s="480"/>
      <c r="F473" s="480"/>
      <c r="I473" s="524"/>
    </row>
    <row r="474" spans="1:9" ht="12.9">
      <c r="B474" s="519" t="s">
        <v>2638</v>
      </c>
      <c r="C474" s="518"/>
      <c r="D474" s="1282" t="s">
        <v>1236</v>
      </c>
      <c r="E474" s="1282"/>
      <c r="F474" s="1282"/>
      <c r="I474" s="524"/>
    </row>
    <row r="475" spans="1:9">
      <c r="D475" s="1282"/>
      <c r="E475" s="1282"/>
      <c r="F475" s="1282"/>
      <c r="I475" s="524"/>
    </row>
    <row r="476" spans="1:9">
      <c r="D476" s="1282"/>
      <c r="E476" s="1282"/>
      <c r="F476" s="1282"/>
      <c r="I476" s="524"/>
    </row>
    <row r="477" spans="1:9">
      <c r="D477" s="1282"/>
      <c r="E477" s="1282"/>
      <c r="F477" s="1282"/>
      <c r="I477" s="524"/>
    </row>
    <row r="478" spans="1:9">
      <c r="B478" s="519" t="s">
        <v>2638</v>
      </c>
      <c r="D478" s="1282"/>
      <c r="E478" s="1282"/>
      <c r="F478" s="1282"/>
      <c r="I478" s="524"/>
    </row>
    <row r="479" spans="1:9">
      <c r="A479" s="433"/>
      <c r="B479" s="433"/>
      <c r="C479" s="433"/>
      <c r="D479" s="1282"/>
      <c r="E479" s="1282"/>
      <c r="F479" s="1282"/>
      <c r="I479" s="524"/>
    </row>
    <row r="480" spans="1:9">
      <c r="A480" s="433"/>
      <c r="C480" s="433"/>
      <c r="D480" s="1282"/>
      <c r="E480" s="1282"/>
      <c r="F480" s="1282"/>
      <c r="I480" s="524"/>
    </row>
    <row r="481" spans="1:9">
      <c r="A481" s="433"/>
      <c r="B481" s="519" t="s">
        <v>2638</v>
      </c>
      <c r="C481" s="433"/>
      <c r="D481" s="1282"/>
      <c r="E481" s="1282"/>
      <c r="F481" s="1282"/>
      <c r="I481" s="524"/>
    </row>
    <row r="482" spans="1:9">
      <c r="A482" s="433"/>
      <c r="B482" s="433"/>
      <c r="C482" s="433"/>
      <c r="D482" s="1282"/>
      <c r="E482" s="1282"/>
      <c r="F482" s="1282"/>
      <c r="I482" s="524"/>
    </row>
    <row r="483" spans="1:9">
      <c r="A483" s="433"/>
      <c r="C483" s="433"/>
      <c r="D483" s="1282"/>
      <c r="E483" s="1282"/>
      <c r="F483" s="1282"/>
      <c r="I483" s="524"/>
    </row>
    <row r="484" spans="1:9">
      <c r="A484" s="433"/>
      <c r="C484" s="433"/>
      <c r="D484" s="1282"/>
      <c r="E484" s="1282"/>
      <c r="F484" s="1282"/>
      <c r="I484" s="524"/>
    </row>
    <row r="485" spans="1:9">
      <c r="A485" s="433"/>
      <c r="C485" s="433"/>
      <c r="D485" s="1282"/>
      <c r="E485" s="1282"/>
      <c r="F485" s="1282"/>
      <c r="I485" s="524"/>
    </row>
    <row r="486" spans="1:9">
      <c r="A486" s="433"/>
      <c r="B486" s="519" t="s">
        <v>2638</v>
      </c>
      <c r="C486" s="433"/>
      <c r="D486" s="1282"/>
      <c r="E486" s="1282"/>
      <c r="F486" s="1282"/>
      <c r="I486" s="524"/>
    </row>
    <row r="487" spans="1:9">
      <c r="A487" s="433"/>
      <c r="C487" s="433"/>
      <c r="D487" s="1282"/>
      <c r="E487" s="1282"/>
      <c r="F487" s="1282"/>
      <c r="I487" s="524"/>
    </row>
    <row r="488" spans="1:9">
      <c r="A488" s="433"/>
      <c r="B488" s="519" t="s">
        <v>2638</v>
      </c>
      <c r="C488" s="433"/>
      <c r="D488" s="1282" t="s">
        <v>1237</v>
      </c>
      <c r="E488" s="1282"/>
      <c r="F488" s="1282"/>
      <c r="I488" s="524"/>
    </row>
    <row r="489" spans="1:9">
      <c r="A489" s="433"/>
      <c r="B489" s="433"/>
      <c r="C489" s="433"/>
      <c r="D489" s="1282"/>
      <c r="E489" s="1282"/>
      <c r="F489" s="1282"/>
      <c r="I489" s="524"/>
    </row>
    <row r="490" spans="1:9">
      <c r="A490" s="433"/>
      <c r="B490" s="433"/>
      <c r="C490" s="433"/>
      <c r="D490" s="1282"/>
      <c r="E490" s="1282"/>
      <c r="F490" s="1282"/>
      <c r="I490" s="524"/>
    </row>
    <row r="491" spans="1:9">
      <c r="A491" s="433"/>
      <c r="B491" s="433"/>
      <c r="C491" s="433"/>
      <c r="D491" s="1282"/>
      <c r="E491" s="1282"/>
      <c r="F491" s="1282"/>
      <c r="I491" s="524"/>
    </row>
    <row r="492" spans="1:9">
      <c r="D492" s="1282"/>
      <c r="E492" s="1282"/>
      <c r="F492" s="1282"/>
      <c r="I492" s="524"/>
    </row>
    <row r="493" spans="1:9">
      <c r="D493" s="480"/>
      <c r="E493" s="480"/>
      <c r="F493" s="480"/>
      <c r="I493" s="524"/>
    </row>
    <row r="494" spans="1:9">
      <c r="B494" s="519" t="s">
        <v>2638</v>
      </c>
      <c r="D494" s="1311" t="s">
        <v>1238</v>
      </c>
      <c r="E494" s="1311"/>
      <c r="F494" s="1311"/>
      <c r="I494" s="524"/>
    </row>
    <row r="495" spans="1:9">
      <c r="A495" s="480"/>
      <c r="B495" s="480"/>
      <c r="I495" s="524"/>
    </row>
    <row r="496" spans="1:9">
      <c r="A496" s="1288" t="s">
        <v>1079</v>
      </c>
      <c r="B496" s="1288"/>
      <c r="C496" s="1288"/>
      <c r="D496" s="1288"/>
      <c r="E496" s="1288"/>
      <c r="F496" s="1288"/>
      <c r="G496" s="1288"/>
      <c r="H496" s="1063"/>
      <c r="I496" s="1259"/>
    </row>
    <row r="497" spans="1:9">
      <c r="A497" s="480"/>
      <c r="B497" s="480"/>
      <c r="I497" s="524"/>
    </row>
    <row r="498" spans="1:9">
      <c r="D498" s="1318" t="s">
        <v>896</v>
      </c>
      <c r="E498" s="1318"/>
      <c r="F498" s="1318"/>
      <c r="I498" s="524"/>
    </row>
    <row r="499" spans="1:9" ht="12.9">
      <c r="A499" s="518"/>
      <c r="B499" s="518"/>
      <c r="D499" s="1315" t="s">
        <v>1239</v>
      </c>
      <c r="E499" s="1315"/>
      <c r="F499" s="1315"/>
      <c r="I499" s="524"/>
    </row>
    <row r="500" spans="1:9" ht="12.9">
      <c r="A500" s="518"/>
      <c r="B500" s="518"/>
      <c r="D500" s="481"/>
      <c r="I500" s="524"/>
    </row>
    <row r="501" spans="1:9" ht="12.9">
      <c r="A501" s="518"/>
      <c r="B501" s="519" t="s">
        <v>2638</v>
      </c>
      <c r="D501" s="1270" t="s">
        <v>1240</v>
      </c>
      <c r="E501" s="1270"/>
      <c r="F501" s="1270"/>
      <c r="I501" s="524" t="s">
        <v>2095</v>
      </c>
    </row>
    <row r="502" spans="1:9" ht="12.9">
      <c r="A502" s="518"/>
      <c r="B502" s="518"/>
      <c r="D502" s="1270"/>
      <c r="E502" s="1270"/>
      <c r="F502" s="1270"/>
      <c r="I502" s="524"/>
    </row>
    <row r="503" spans="1:9" ht="12.9">
      <c r="A503" s="518"/>
      <c r="B503" s="518"/>
      <c r="D503" s="480"/>
      <c r="I503" s="524"/>
    </row>
    <row r="504" spans="1:9" ht="12.75" customHeight="1">
      <c r="B504" s="519" t="s">
        <v>2638</v>
      </c>
      <c r="D504" s="1304" t="s">
        <v>1384</v>
      </c>
      <c r="E504" s="1304"/>
      <c r="F504" s="1304"/>
      <c r="I504" s="524" t="s">
        <v>2096</v>
      </c>
    </row>
    <row r="505" spans="1:9" ht="12.9">
      <c r="A505" s="518"/>
      <c r="D505" s="1304"/>
      <c r="E505" s="1304"/>
      <c r="F505" s="1304"/>
      <c r="I505" s="524"/>
    </row>
    <row r="506" spans="1:9" ht="12.9">
      <c r="A506" s="518"/>
      <c r="B506" s="518"/>
      <c r="D506" s="1304"/>
      <c r="E506" s="1304"/>
      <c r="F506" s="1304"/>
      <c r="I506" s="524"/>
    </row>
    <row r="507" spans="1:9" ht="12.9">
      <c r="A507" s="518"/>
      <c r="B507" s="518"/>
      <c r="D507" s="1304"/>
      <c r="E507" s="1304"/>
      <c r="F507" s="1304"/>
      <c r="I507" s="524"/>
    </row>
    <row r="508" spans="1:9" ht="12.9">
      <c r="A508" s="518"/>
      <c r="D508" s="554"/>
      <c r="E508" s="554"/>
      <c r="F508" s="554"/>
      <c r="I508" s="524"/>
    </row>
    <row r="509" spans="1:9" ht="12.9">
      <c r="A509" s="518"/>
      <c r="B509" s="519" t="s">
        <v>2638</v>
      </c>
      <c r="D509" s="1311" t="s">
        <v>1243</v>
      </c>
      <c r="E509" s="1311"/>
      <c r="F509" s="1311"/>
      <c r="I509" s="524" t="s">
        <v>2097</v>
      </c>
    </row>
    <row r="510" spans="1:9" ht="12.9">
      <c r="A510" s="518"/>
      <c r="B510" s="518"/>
      <c r="D510" s="480"/>
      <c r="I510" s="524"/>
    </row>
    <row r="511" spans="1:9" ht="12.9">
      <c r="A511" s="518"/>
      <c r="B511" s="519" t="s">
        <v>2638</v>
      </c>
      <c r="D511" s="1282" t="s">
        <v>1244</v>
      </c>
      <c r="E511" s="1282"/>
      <c r="F511" s="1282"/>
      <c r="I511" s="524" t="s">
        <v>2097</v>
      </c>
    </row>
    <row r="512" spans="1:9" ht="12.9">
      <c r="A512" s="518"/>
      <c r="D512" s="1282"/>
      <c r="E512" s="1282"/>
      <c r="F512" s="1282"/>
      <c r="I512" s="524"/>
    </row>
    <row r="513" spans="1:9">
      <c r="A513" s="524"/>
      <c r="B513" s="524"/>
      <c r="D513" s="481"/>
      <c r="I513" s="524"/>
    </row>
    <row r="514" spans="1:9">
      <c r="A514" s="524"/>
      <c r="B514" s="519" t="s">
        <v>2638</v>
      </c>
      <c r="D514" s="1311" t="s">
        <v>1245</v>
      </c>
      <c r="E514" s="1311"/>
      <c r="F514" s="1311"/>
      <c r="I514" s="524" t="s">
        <v>2150</v>
      </c>
    </row>
    <row r="515" spans="1:9" ht="12.9">
      <c r="A515" s="518"/>
      <c r="B515" s="518"/>
      <c r="D515" s="480"/>
      <c r="I515" s="524"/>
    </row>
    <row r="516" spans="1:9">
      <c r="A516" s="1288" t="s">
        <v>1080</v>
      </c>
      <c r="B516" s="1288"/>
      <c r="C516" s="1288"/>
      <c r="D516" s="1288"/>
      <c r="E516" s="1288"/>
      <c r="F516" s="1288"/>
      <c r="G516" s="1288"/>
      <c r="H516" s="1063"/>
      <c r="I516" s="1259"/>
    </row>
    <row r="517" spans="1:9" ht="12" customHeight="1">
      <c r="A517" s="518"/>
      <c r="B517" s="518"/>
      <c r="D517" s="480"/>
      <c r="I517" s="524"/>
    </row>
    <row r="518" spans="1:9">
      <c r="C518" s="516"/>
      <c r="D518" s="1280" t="s">
        <v>803</v>
      </c>
      <c r="E518" s="1280"/>
      <c r="F518" s="1280"/>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5" customHeight="1">
      <c r="A522" s="517"/>
      <c r="B522" s="519" t="s">
        <v>1070</v>
      </c>
      <c r="C522" s="517"/>
      <c r="D522" s="1270" t="s">
        <v>2375</v>
      </c>
      <c r="E522" s="1270"/>
      <c r="F522" s="1270"/>
      <c r="I522" s="524" t="s">
        <v>2132</v>
      </c>
    </row>
    <row r="523" spans="1:9">
      <c r="A523" s="517"/>
      <c r="B523" s="517"/>
      <c r="C523" s="517"/>
      <c r="D523" s="1270"/>
      <c r="E523" s="1270"/>
      <c r="F523" s="1270"/>
      <c r="I523" s="524"/>
    </row>
    <row r="524" spans="1:9">
      <c r="A524" s="517"/>
      <c r="B524" s="517"/>
      <c r="C524" s="517"/>
      <c r="D524" s="485"/>
      <c r="E524" s="485"/>
      <c r="F524" s="485"/>
      <c r="I524" s="514"/>
    </row>
    <row r="525" spans="1:9" ht="12.75" customHeight="1">
      <c r="A525" s="517"/>
      <c r="B525" s="519" t="s">
        <v>2638</v>
      </c>
      <c r="D525" s="417" t="s">
        <v>2205</v>
      </c>
      <c r="E525" s="416"/>
      <c r="F525" s="416"/>
      <c r="I525" s="524" t="s">
        <v>2098</v>
      </c>
    </row>
    <row r="526" spans="1:9">
      <c r="A526" s="517"/>
      <c r="B526" s="517"/>
      <c r="C526" s="517"/>
      <c r="D526" s="416"/>
      <c r="E526" s="96" t="s">
        <v>2206</v>
      </c>
      <c r="I526" s="524"/>
    </row>
    <row r="527" spans="1:9">
      <c r="A527" s="517"/>
      <c r="B527" s="517"/>
      <c r="D527" s="1326" t="s">
        <v>2376</v>
      </c>
      <c r="E527" s="1326"/>
      <c r="F527" s="1326"/>
      <c r="I527" s="524"/>
    </row>
    <row r="528" spans="1:9">
      <c r="A528" s="517"/>
      <c r="B528" s="517"/>
      <c r="D528" s="1326"/>
      <c r="E528" s="1326"/>
      <c r="F528" s="1326"/>
      <c r="I528" s="524"/>
    </row>
    <row r="529" spans="1:9">
      <c r="A529" s="517"/>
      <c r="B529" s="517"/>
      <c r="C529" s="517"/>
      <c r="D529" s="1326"/>
      <c r="E529" s="1326"/>
      <c r="F529" s="1326"/>
      <c r="I529" s="524"/>
    </row>
    <row r="530" spans="1:9">
      <c r="A530" s="517"/>
      <c r="B530" s="517"/>
      <c r="C530" s="517"/>
      <c r="D530" s="532"/>
      <c r="F530" s="480"/>
      <c r="I530" s="524"/>
    </row>
    <row r="531" spans="1:9" ht="13.3" customHeight="1">
      <c r="A531" s="517"/>
      <c r="B531" s="519" t="s">
        <v>2638</v>
      </c>
      <c r="C531" s="517"/>
      <c r="D531" s="1282" t="s">
        <v>2377</v>
      </c>
      <c r="E531" s="1282"/>
      <c r="F531" s="1282"/>
      <c r="I531" s="524" t="s">
        <v>2098</v>
      </c>
    </row>
    <row r="532" spans="1:9">
      <c r="A532" s="517"/>
      <c r="B532" s="517"/>
      <c r="C532" s="517"/>
      <c r="D532" s="1282"/>
      <c r="E532" s="1282"/>
      <c r="F532" s="1282"/>
      <c r="I532" s="524"/>
    </row>
    <row r="533" spans="1:9" ht="12" customHeight="1">
      <c r="A533" s="480"/>
      <c r="B533" s="480"/>
      <c r="C533" s="521"/>
      <c r="D533" s="480"/>
      <c r="F533" s="482"/>
      <c r="I533" s="524"/>
    </row>
    <row r="534" spans="1:9">
      <c r="A534" s="1288" t="s">
        <v>1081</v>
      </c>
      <c r="B534" s="1288"/>
      <c r="C534" s="1288"/>
      <c r="D534" s="1288"/>
      <c r="E534" s="1288"/>
      <c r="F534" s="1288"/>
      <c r="G534" s="1288"/>
      <c r="H534" s="1063"/>
      <c r="I534" s="1259"/>
    </row>
    <row r="535" spans="1:9">
      <c r="A535" s="480"/>
      <c r="B535" s="480"/>
      <c r="C535" s="521"/>
      <c r="F535" s="482"/>
      <c r="I535" s="524"/>
    </row>
    <row r="536" spans="1:9">
      <c r="B536" s="1297" t="s">
        <v>449</v>
      </c>
      <c r="C536" s="1297"/>
      <c r="D536" s="1297"/>
      <c r="E536" s="1297"/>
      <c r="F536" s="1297"/>
      <c r="I536" s="524"/>
    </row>
    <row r="537" spans="1:9">
      <c r="A537" s="480"/>
      <c r="B537" s="480"/>
      <c r="C537" s="521"/>
      <c r="D537" s="480"/>
      <c r="F537" s="480"/>
      <c r="I537" s="524"/>
    </row>
    <row r="538" spans="1:9">
      <c r="A538" s="1289" t="s">
        <v>1082</v>
      </c>
      <c r="B538" s="1289"/>
      <c r="C538" s="1289"/>
      <c r="D538" s="1289"/>
      <c r="E538" s="1289"/>
      <c r="F538" s="1289"/>
      <c r="G538" s="1289"/>
      <c r="H538" s="1063"/>
      <c r="I538" s="1259"/>
    </row>
    <row r="539" spans="1:9">
      <c r="A539" s="480"/>
      <c r="B539" s="480"/>
      <c r="C539" s="521"/>
      <c r="D539" s="480"/>
      <c r="F539" s="480"/>
      <c r="I539" s="524"/>
    </row>
    <row r="540" spans="1:9">
      <c r="C540" s="521"/>
      <c r="D540" s="1280" t="s">
        <v>692</v>
      </c>
      <c r="E540" s="1280"/>
      <c r="F540" s="1280"/>
      <c r="I540" s="524"/>
    </row>
    <row r="541" spans="1:9">
      <c r="C541" s="521"/>
      <c r="D541" s="1311" t="s">
        <v>1139</v>
      </c>
      <c r="E541" s="1311"/>
      <c r="F541" s="1311"/>
      <c r="I541" s="524"/>
    </row>
    <row r="542" spans="1:9">
      <c r="C542" s="521"/>
      <c r="D542" s="480"/>
      <c r="E542" s="480"/>
      <c r="F542" s="480"/>
      <c r="I542" s="524"/>
    </row>
    <row r="543" spans="1:9" ht="13.75" customHeight="1">
      <c r="A543" s="518"/>
      <c r="B543" s="519" t="s">
        <v>1070</v>
      </c>
      <c r="C543" s="521"/>
      <c r="D543" s="1311" t="s">
        <v>897</v>
      </c>
      <c r="E543" s="1311"/>
      <c r="F543" s="1311"/>
      <c r="I543" s="524" t="s">
        <v>2148</v>
      </c>
    </row>
    <row r="544" spans="1:9" ht="13.75" customHeight="1">
      <c r="A544" s="521"/>
      <c r="B544" s="521"/>
      <c r="C544" s="521"/>
      <c r="D544" s="480"/>
      <c r="I544" s="524"/>
    </row>
    <row r="545" spans="1:9" ht="12.9">
      <c r="A545" s="518"/>
      <c r="B545" s="519" t="s">
        <v>1070</v>
      </c>
      <c r="C545" s="521"/>
      <c r="D545" s="1282" t="s">
        <v>1140</v>
      </c>
      <c r="E545" s="1282"/>
      <c r="F545" s="1282"/>
      <c r="I545" s="524" t="s">
        <v>2148</v>
      </c>
    </row>
    <row r="546" spans="1:9">
      <c r="A546" s="521"/>
      <c r="B546" s="521"/>
      <c r="C546" s="521"/>
      <c r="D546" s="1282"/>
      <c r="E546" s="1282"/>
      <c r="F546" s="1282"/>
      <c r="I546" s="524"/>
    </row>
    <row r="547" spans="1:9">
      <c r="A547" s="521"/>
      <c r="B547" s="521"/>
      <c r="C547" s="521"/>
      <c r="D547" s="480"/>
      <c r="E547" s="480"/>
      <c r="F547" s="480"/>
      <c r="I547" s="524"/>
    </row>
    <row r="548" spans="1:9" ht="12.9">
      <c r="A548" s="518"/>
      <c r="B548" s="519" t="s">
        <v>1070</v>
      </c>
      <c r="C548" s="521"/>
      <c r="D548" s="1282" t="s">
        <v>1141</v>
      </c>
      <c r="E548" s="1282"/>
      <c r="F548" s="1282"/>
      <c r="I548" s="524" t="s">
        <v>2099</v>
      </c>
    </row>
    <row r="549" spans="1:9">
      <c r="A549" s="521"/>
      <c r="B549" s="521"/>
      <c r="C549" s="521"/>
      <c r="D549" s="1282"/>
      <c r="E549" s="1282"/>
      <c r="F549" s="1282"/>
      <c r="I549" s="524"/>
    </row>
    <row r="550" spans="1:9">
      <c r="A550" s="521"/>
      <c r="B550" s="521"/>
      <c r="C550" s="521"/>
      <c r="D550" s="480"/>
      <c r="E550" s="480"/>
      <c r="F550" s="480"/>
      <c r="I550" s="524"/>
    </row>
    <row r="551" spans="1:9" ht="12.9">
      <c r="A551" s="518"/>
      <c r="B551" s="519" t="s">
        <v>1070</v>
      </c>
      <c r="C551" s="521"/>
      <c r="D551" s="1282" t="s">
        <v>1142</v>
      </c>
      <c r="E551" s="1282"/>
      <c r="F551" s="1282"/>
      <c r="I551" s="524" t="s">
        <v>2100</v>
      </c>
    </row>
    <row r="552" spans="1:9">
      <c r="A552" s="521"/>
      <c r="B552" s="521"/>
      <c r="C552" s="521"/>
      <c r="D552" s="1282"/>
      <c r="E552" s="1282"/>
      <c r="F552" s="1282"/>
      <c r="I552" s="524"/>
    </row>
    <row r="553" spans="1:9">
      <c r="A553" s="521"/>
      <c r="B553" s="521"/>
      <c r="C553" s="521"/>
      <c r="D553" s="480"/>
      <c r="E553" s="480"/>
      <c r="F553" s="480"/>
      <c r="I553" s="524"/>
    </row>
    <row r="554" spans="1:9" ht="12.9">
      <c r="A554" s="518"/>
      <c r="B554" s="519" t="s">
        <v>1070</v>
      </c>
      <c r="C554" s="521"/>
      <c r="D554" s="1282" t="s">
        <v>1143</v>
      </c>
      <c r="E554" s="1282"/>
      <c r="F554" s="1282"/>
      <c r="I554" s="524" t="s">
        <v>2149</v>
      </c>
    </row>
    <row r="555" spans="1:9">
      <c r="A555" s="521"/>
      <c r="B555" s="521"/>
      <c r="C555" s="521"/>
      <c r="D555" s="1282"/>
      <c r="E555" s="1282"/>
      <c r="F555" s="1282"/>
      <c r="I555" s="524"/>
    </row>
    <row r="556" spans="1:9">
      <c r="A556" s="521"/>
      <c r="B556" s="521"/>
      <c r="C556" s="521"/>
      <c r="D556" s="1282"/>
      <c r="E556" s="1282"/>
      <c r="F556" s="1282"/>
      <c r="I556" s="524"/>
    </row>
    <row r="557" spans="1:9">
      <c r="A557" s="521"/>
      <c r="B557" s="521"/>
      <c r="C557" s="521"/>
      <c r="D557" s="480"/>
      <c r="E557" s="480"/>
      <c r="F557" s="480"/>
      <c r="I557" s="524"/>
    </row>
    <row r="558" spans="1:9" ht="12.9">
      <c r="A558" s="518"/>
      <c r="B558" s="519" t="s">
        <v>2638</v>
      </c>
      <c r="C558" s="521"/>
      <c r="D558" s="1282" t="s">
        <v>1261</v>
      </c>
      <c r="E558" s="1282"/>
      <c r="F558" s="1282"/>
      <c r="I558" s="524" t="s">
        <v>2148</v>
      </c>
    </row>
    <row r="559" spans="1:9">
      <c r="A559" s="521"/>
      <c r="B559" s="521"/>
      <c r="C559" s="521"/>
      <c r="D559" s="1282"/>
      <c r="E559" s="1282"/>
      <c r="F559" s="1282"/>
      <c r="I559" s="524"/>
    </row>
    <row r="560" spans="1:9">
      <c r="A560" s="521"/>
      <c r="B560" s="521"/>
      <c r="C560" s="521"/>
      <c r="D560" s="480"/>
      <c r="E560" s="480"/>
      <c r="F560" s="480"/>
      <c r="I560" s="524"/>
    </row>
    <row r="561" spans="1:9" ht="12.9">
      <c r="A561" s="518"/>
      <c r="B561" s="519" t="s">
        <v>1070</v>
      </c>
      <c r="C561" s="521"/>
      <c r="D561" s="1282" t="s">
        <v>1145</v>
      </c>
      <c r="E561" s="1282"/>
      <c r="F561" s="1282"/>
      <c r="I561" s="524" t="s">
        <v>2148</v>
      </c>
    </row>
    <row r="562" spans="1:9">
      <c r="A562" s="521"/>
      <c r="B562" s="521"/>
      <c r="C562" s="521"/>
      <c r="D562" s="1282"/>
      <c r="E562" s="1282"/>
      <c r="F562" s="1282"/>
      <c r="I562" s="524"/>
    </row>
    <row r="563" spans="1:9">
      <c r="A563" s="521"/>
      <c r="B563" s="521"/>
      <c r="C563" s="521"/>
      <c r="D563" s="480"/>
      <c r="E563" s="480"/>
      <c r="F563" s="480"/>
      <c r="I563" s="524"/>
    </row>
    <row r="564" spans="1:9" ht="12.9">
      <c r="A564" s="518"/>
      <c r="B564" s="519" t="s">
        <v>1070</v>
      </c>
      <c r="C564" s="521"/>
      <c r="D564" s="1311" t="s">
        <v>1146</v>
      </c>
      <c r="E564" s="1311"/>
      <c r="F564" s="1311"/>
      <c r="I564" s="524" t="s">
        <v>2151</v>
      </c>
    </row>
    <row r="565" spans="1:9">
      <c r="A565" s="524"/>
      <c r="B565" s="524"/>
      <c r="C565" s="521"/>
      <c r="D565" s="1311" t="s">
        <v>2208</v>
      </c>
      <c r="E565" s="1311"/>
      <c r="F565" s="1311"/>
      <c r="I565" s="524"/>
    </row>
    <row r="566" spans="1:9">
      <c r="A566" s="524"/>
      <c r="B566" s="524"/>
      <c r="C566" s="521"/>
      <c r="E566" s="96" t="s">
        <v>2207</v>
      </c>
      <c r="F566" s="435"/>
      <c r="I566" s="524"/>
    </row>
    <row r="567" spans="1:9" ht="12.9">
      <c r="A567" s="518"/>
      <c r="B567" s="518"/>
      <c r="C567" s="521"/>
      <c r="E567" s="480"/>
      <c r="F567" s="480"/>
      <c r="I567" s="524"/>
    </row>
    <row r="568" spans="1:9" ht="12.9">
      <c r="A568" s="518"/>
      <c r="B568" s="519" t="s">
        <v>1070</v>
      </c>
      <c r="C568" s="521"/>
      <c r="D568" s="1311" t="s">
        <v>1148</v>
      </c>
      <c r="E568" s="1311"/>
      <c r="F568" s="1311"/>
      <c r="I568" s="524" t="s">
        <v>2101</v>
      </c>
    </row>
    <row r="569" spans="1:9">
      <c r="C569" s="521"/>
      <c r="D569" s="1282" t="s">
        <v>1149</v>
      </c>
      <c r="E569" s="1282"/>
      <c r="F569" s="1282"/>
      <c r="I569" s="524"/>
    </row>
    <row r="570" spans="1:9">
      <c r="A570" s="521"/>
      <c r="B570" s="521"/>
      <c r="C570" s="521"/>
      <c r="D570" s="1282"/>
      <c r="E570" s="1282"/>
      <c r="F570" s="1282"/>
      <c r="I570" s="524"/>
    </row>
    <row r="571" spans="1:9">
      <c r="A571" s="521"/>
      <c r="B571" s="521"/>
      <c r="C571" s="521"/>
      <c r="D571" s="1282"/>
      <c r="E571" s="1282"/>
      <c r="F571" s="1282"/>
      <c r="I571" s="524"/>
    </row>
    <row r="572" spans="1:9">
      <c r="A572" s="521"/>
      <c r="B572" s="521"/>
      <c r="C572" s="521"/>
      <c r="D572" s="480"/>
      <c r="E572" s="480"/>
      <c r="F572" s="480"/>
      <c r="I572" s="524"/>
    </row>
    <row r="573" spans="1:9" ht="12.9">
      <c r="A573" s="518"/>
      <c r="B573" s="519" t="s">
        <v>1070</v>
      </c>
      <c r="C573" s="521"/>
      <c r="D573" s="1282" t="s">
        <v>2378</v>
      </c>
      <c r="E573" s="1282"/>
      <c r="F573" s="1282"/>
      <c r="I573" s="524" t="s">
        <v>2102</v>
      </c>
    </row>
    <row r="574" spans="1:9" ht="12.9">
      <c r="A574" s="518"/>
      <c r="B574" s="518"/>
      <c r="C574" s="521"/>
      <c r="D574" s="1282"/>
      <c r="E574" s="1282"/>
      <c r="F574" s="1282"/>
      <c r="I574" s="524"/>
    </row>
    <row r="575" spans="1:9" ht="12.9">
      <c r="A575" s="518"/>
      <c r="B575" s="518"/>
      <c r="C575" s="521"/>
      <c r="D575" s="1282"/>
      <c r="E575" s="1282"/>
      <c r="F575" s="1282"/>
      <c r="I575" s="524"/>
    </row>
    <row r="576" spans="1:9" ht="12.9">
      <c r="A576" s="518"/>
      <c r="B576" s="518"/>
      <c r="C576" s="521"/>
      <c r="D576" s="1282"/>
      <c r="E576" s="1282"/>
      <c r="F576" s="1282"/>
      <c r="I576" s="524"/>
    </row>
    <row r="577" spans="1:9" ht="12.9">
      <c r="A577" s="518"/>
      <c r="B577" s="518"/>
      <c r="C577" s="521"/>
      <c r="D577" s="480"/>
      <c r="E577" s="480"/>
      <c r="F577" s="480"/>
      <c r="I577" s="524"/>
    </row>
    <row r="578" spans="1:9">
      <c r="A578" s="1288" t="s">
        <v>1083</v>
      </c>
      <c r="B578" s="1288"/>
      <c r="C578" s="1288"/>
      <c r="D578" s="1288"/>
      <c r="E578" s="1288"/>
      <c r="F578" s="1288"/>
      <c r="G578" s="1288"/>
      <c r="H578" s="1063"/>
      <c r="I578" s="1259"/>
    </row>
    <row r="579" spans="1:9">
      <c r="A579" s="521"/>
      <c r="B579" s="521"/>
      <c r="C579" s="521"/>
      <c r="E579" s="480"/>
      <c r="F579" s="480"/>
      <c r="I579" s="524"/>
    </row>
    <row r="580" spans="1:9" ht="12.75" customHeight="1">
      <c r="C580" s="516"/>
      <c r="D580" s="1310" t="s">
        <v>211</v>
      </c>
      <c r="E580" s="1310"/>
      <c r="F580" s="1310"/>
      <c r="I580" s="524"/>
    </row>
    <row r="581" spans="1:9">
      <c r="A581" s="517"/>
      <c r="B581" s="517"/>
      <c r="C581" s="517"/>
      <c r="D581" s="1304" t="s">
        <v>1099</v>
      </c>
      <c r="E581" s="1304"/>
      <c r="F581" s="1304"/>
      <c r="I581" s="524"/>
    </row>
    <row r="582" spans="1:9">
      <c r="A582" s="433"/>
      <c r="B582" s="433"/>
      <c r="C582" s="517"/>
      <c r="D582" s="533"/>
      <c r="I582" s="524" t="s">
        <v>2103</v>
      </c>
    </row>
    <row r="583" spans="1:9">
      <c r="A583" s="517"/>
      <c r="B583" s="519" t="s">
        <v>1070</v>
      </c>
      <c r="D583" s="1304" t="s">
        <v>903</v>
      </c>
      <c r="E583" s="1304"/>
      <c r="F583" s="1304"/>
      <c r="I583" s="524"/>
    </row>
    <row r="584" spans="1:9">
      <c r="A584" s="524"/>
      <c r="B584" s="524"/>
      <c r="D584" s="510"/>
      <c r="I584" s="524"/>
    </row>
    <row r="585" spans="1:9">
      <c r="A585" s="524"/>
      <c r="B585" s="519" t="s">
        <v>1070</v>
      </c>
      <c r="D585" s="1304" t="s">
        <v>2379</v>
      </c>
      <c r="E585" s="1304"/>
      <c r="F585" s="1304"/>
      <c r="I585" s="524" t="s">
        <v>2105</v>
      </c>
    </row>
    <row r="586" spans="1:9">
      <c r="A586" s="524"/>
      <c r="B586" s="524"/>
      <c r="D586" s="1304"/>
      <c r="E586" s="1304"/>
      <c r="F586" s="1304"/>
      <c r="I586" s="524" t="s">
        <v>2104</v>
      </c>
    </row>
    <row r="587" spans="1:9">
      <c r="A587" s="524"/>
      <c r="B587" s="524"/>
      <c r="D587" s="1304"/>
      <c r="E587" s="1304"/>
      <c r="F587" s="1304"/>
      <c r="I587" s="524"/>
    </row>
    <row r="588" spans="1:9">
      <c r="A588" s="524"/>
      <c r="B588" s="524"/>
      <c r="D588" s="1304"/>
      <c r="E588" s="1304"/>
      <c r="F588" s="1304"/>
      <c r="I588" s="524"/>
    </row>
    <row r="589" spans="1:9">
      <c r="A589" s="524"/>
      <c r="B589" s="519" t="s">
        <v>2638</v>
      </c>
      <c r="D589" s="1304" t="s">
        <v>1101</v>
      </c>
      <c r="E589" s="1304"/>
      <c r="F589" s="1304"/>
      <c r="I589" s="524"/>
    </row>
    <row r="590" spans="1:9">
      <c r="A590" s="524"/>
      <c r="B590" s="524"/>
      <c r="D590" s="1304"/>
      <c r="E590" s="1304"/>
      <c r="F590" s="1304"/>
      <c r="I590" s="524"/>
    </row>
    <row r="591" spans="1:9">
      <c r="A591" s="524"/>
      <c r="B591" s="524"/>
      <c r="D591" s="1304"/>
      <c r="E591" s="1304"/>
      <c r="F591" s="1304"/>
      <c r="I591" s="524"/>
    </row>
    <row r="592" spans="1:9">
      <c r="A592" s="524"/>
      <c r="B592" s="524"/>
      <c r="D592" s="1304"/>
      <c r="E592" s="1304"/>
      <c r="F592" s="1304"/>
      <c r="I592" s="524"/>
    </row>
    <row r="593" spans="1:9">
      <c r="A593" s="524"/>
      <c r="B593" s="524"/>
      <c r="D593" s="473"/>
      <c r="E593" s="473"/>
      <c r="F593" s="473"/>
      <c r="I593" s="524"/>
    </row>
    <row r="594" spans="1:9">
      <c r="A594" s="524"/>
      <c r="B594" s="519" t="s">
        <v>1070</v>
      </c>
      <c r="D594" s="1304" t="s">
        <v>2380</v>
      </c>
      <c r="E594" s="1304"/>
      <c r="F594" s="1304"/>
      <c r="I594" s="524"/>
    </row>
    <row r="595" spans="1:9">
      <c r="A595" s="524"/>
      <c r="B595" s="524"/>
      <c r="D595" s="1304"/>
      <c r="E595" s="1304"/>
      <c r="F595" s="1304"/>
      <c r="I595" s="524"/>
    </row>
    <row r="596" spans="1:9">
      <c r="A596" s="524"/>
      <c r="B596" s="524"/>
      <c r="D596" s="533"/>
      <c r="I596" s="524"/>
    </row>
    <row r="597" spans="1:9">
      <c r="A597" s="524"/>
      <c r="B597" s="519" t="s">
        <v>1070</v>
      </c>
      <c r="D597" s="1304" t="s">
        <v>1103</v>
      </c>
      <c r="E597" s="1304"/>
      <c r="F597" s="1304"/>
      <c r="I597" s="524" t="s">
        <v>2152</v>
      </c>
    </row>
    <row r="598" spans="1:9">
      <c r="A598" s="524"/>
      <c r="B598" s="524"/>
      <c r="D598" s="1304"/>
      <c r="E598" s="1304"/>
      <c r="F598" s="1304"/>
      <c r="I598" s="524"/>
    </row>
    <row r="599" spans="1:9" ht="12.9">
      <c r="A599" s="518"/>
      <c r="B599" s="518"/>
      <c r="D599" s="533"/>
      <c r="I599" s="524"/>
    </row>
    <row r="600" spans="1:9">
      <c r="A600" s="1288" t="s">
        <v>1084</v>
      </c>
      <c r="B600" s="1288"/>
      <c r="C600" s="1288"/>
      <c r="D600" s="1288"/>
      <c r="E600" s="1288"/>
      <c r="F600" s="1288"/>
      <c r="G600" s="1288"/>
      <c r="H600" s="1063"/>
      <c r="I600" s="1259"/>
    </row>
    <row r="601" spans="1:9">
      <c r="I601" s="524"/>
    </row>
    <row r="602" spans="1:9">
      <c r="D602" s="1280" t="s">
        <v>1184</v>
      </c>
      <c r="E602" s="1280"/>
      <c r="F602" s="1280"/>
      <c r="I602" s="524"/>
    </row>
    <row r="603" spans="1:9">
      <c r="D603" s="1281" t="s">
        <v>1185</v>
      </c>
      <c r="E603" s="1281"/>
      <c r="F603" s="1281"/>
      <c r="I603" s="524"/>
    </row>
    <row r="604" spans="1:9">
      <c r="D604" s="478"/>
      <c r="I604" s="524"/>
    </row>
    <row r="605" spans="1:9" ht="14.25" customHeight="1">
      <c r="A605" s="518"/>
      <c r="B605" s="519" t="s">
        <v>1070</v>
      </c>
      <c r="D605" s="1345" t="s">
        <v>2209</v>
      </c>
      <c r="E605" s="1345"/>
      <c r="F605" s="1345"/>
      <c r="I605" s="524" t="s">
        <v>2133</v>
      </c>
    </row>
    <row r="606" spans="1:9">
      <c r="D606" s="1345"/>
      <c r="E606" s="1345"/>
      <c r="F606" s="1345"/>
      <c r="I606" s="524"/>
    </row>
    <row r="607" spans="1:9">
      <c r="D607" s="416"/>
      <c r="E607" s="1071" t="s">
        <v>2210</v>
      </c>
      <c r="F607" s="416"/>
      <c r="I607" s="524"/>
    </row>
    <row r="608" spans="1:9">
      <c r="I608" s="524"/>
    </row>
    <row r="609" spans="1:9">
      <c r="A609" s="1288" t="s">
        <v>1085</v>
      </c>
      <c r="B609" s="1288"/>
      <c r="C609" s="1288"/>
      <c r="D609" s="1288"/>
      <c r="E609" s="1288"/>
      <c r="F609" s="1288"/>
      <c r="G609" s="1288"/>
      <c r="H609" s="1063"/>
      <c r="I609" s="1259"/>
    </row>
    <row r="610" spans="1:9">
      <c r="A610" s="480"/>
      <c r="B610" s="480"/>
      <c r="I610" s="524"/>
    </row>
    <row r="611" spans="1:9">
      <c r="A611" s="516"/>
      <c r="B611" s="516"/>
      <c r="C611" s="516"/>
      <c r="D611" s="1283" t="s">
        <v>1187</v>
      </c>
      <c r="E611" s="1283"/>
      <c r="F611" s="1283"/>
      <c r="I611" s="524"/>
    </row>
    <row r="612" spans="1:9">
      <c r="A612" s="516"/>
      <c r="B612" s="516"/>
      <c r="C612" s="516"/>
      <c r="D612" s="1283"/>
      <c r="E612" s="1283"/>
      <c r="F612" s="1283"/>
      <c r="I612" s="524"/>
    </row>
    <row r="613" spans="1:9">
      <c r="C613" s="517"/>
      <c r="D613" s="1281" t="s">
        <v>1188</v>
      </c>
      <c r="E613" s="1281"/>
      <c r="F613" s="1281"/>
      <c r="I613" s="524"/>
    </row>
    <row r="614" spans="1:9">
      <c r="C614" s="517"/>
      <c r="D614" s="478"/>
      <c r="E614" s="478"/>
      <c r="F614" s="478"/>
      <c r="I614" s="524"/>
    </row>
    <row r="615" spans="1:9" ht="12.75" customHeight="1">
      <c r="A615" s="524"/>
      <c r="B615" s="519" t="s">
        <v>1070</v>
      </c>
      <c r="D615" s="1284" t="s">
        <v>1189</v>
      </c>
      <c r="E615" s="1284"/>
      <c r="F615" s="1284"/>
      <c r="I615" s="524" t="s">
        <v>2153</v>
      </c>
    </row>
    <row r="616" spans="1:9">
      <c r="D616" s="1284"/>
      <c r="E616" s="1284"/>
      <c r="F616" s="1284"/>
      <c r="I616" s="524"/>
    </row>
    <row r="617" spans="1:9">
      <c r="I617" s="524"/>
    </row>
    <row r="618" spans="1:9">
      <c r="B618" s="519" t="s">
        <v>1070</v>
      </c>
      <c r="D618" s="1284" t="s">
        <v>1190</v>
      </c>
      <c r="E618" s="1284"/>
      <c r="F618" s="1284"/>
      <c r="I618" s="524" t="s">
        <v>2106</v>
      </c>
    </row>
    <row r="619" spans="1:9">
      <c r="C619" s="534"/>
      <c r="D619" s="1284"/>
      <c r="E619" s="1284"/>
      <c r="F619" s="1284"/>
      <c r="I619" s="524"/>
    </row>
    <row r="620" spans="1:9">
      <c r="C620" s="534"/>
      <c r="I620" s="524"/>
    </row>
    <row r="621" spans="1:9">
      <c r="B621" s="519" t="s">
        <v>2638</v>
      </c>
      <c r="C621" s="534"/>
      <c r="D621" s="1284" t="s">
        <v>1191</v>
      </c>
      <c r="E621" s="1284"/>
      <c r="F621" s="1284"/>
      <c r="I621" s="524" t="s">
        <v>2154</v>
      </c>
    </row>
    <row r="622" spans="1:9">
      <c r="C622" s="534"/>
      <c r="D622" s="1284"/>
      <c r="E622" s="1284"/>
      <c r="F622" s="1284"/>
      <c r="I622" s="534" t="s">
        <v>2155</v>
      </c>
    </row>
    <row r="623" spans="1:9">
      <c r="C623" s="534"/>
      <c r="I623" s="524"/>
    </row>
    <row r="624" spans="1:9">
      <c r="A624" s="1288" t="s">
        <v>1086</v>
      </c>
      <c r="B624" s="1288"/>
      <c r="C624" s="1288"/>
      <c r="D624" s="1288"/>
      <c r="E624" s="1288"/>
      <c r="F624" s="1288"/>
      <c r="G624" s="1288"/>
      <c r="H624" s="1063"/>
      <c r="I624" s="1259"/>
    </row>
    <row r="625" spans="1:9">
      <c r="A625" s="516"/>
      <c r="B625" s="516"/>
      <c r="C625" s="516"/>
      <c r="I625" s="524"/>
    </row>
    <row r="626" spans="1:9">
      <c r="C626" s="524"/>
      <c r="D626" s="1280" t="s">
        <v>1192</v>
      </c>
      <c r="E626" s="1280"/>
      <c r="F626" s="1280"/>
      <c r="I626" s="524"/>
    </row>
    <row r="627" spans="1:9">
      <c r="A627" s="524"/>
      <c r="B627" s="524"/>
      <c r="D627" s="435"/>
      <c r="I627" s="524"/>
    </row>
    <row r="628" spans="1:9" ht="14.25" customHeight="1">
      <c r="A628" s="518"/>
      <c r="B628" s="519" t="s">
        <v>1070</v>
      </c>
      <c r="D628" s="1345" t="s">
        <v>2381</v>
      </c>
      <c r="E628" s="1345"/>
      <c r="F628" s="1345"/>
      <c r="I628" s="524" t="s">
        <v>2134</v>
      </c>
    </row>
    <row r="629" spans="1:9">
      <c r="D629" s="1345"/>
      <c r="E629" s="1345"/>
      <c r="F629" s="1345"/>
      <c r="I629" s="524"/>
    </row>
    <row r="630" spans="1:9">
      <c r="D630" s="416"/>
      <c r="E630" s="1071" t="s">
        <v>2212</v>
      </c>
      <c r="F630" s="416"/>
      <c r="I630" s="524"/>
    </row>
    <row r="631" spans="1:9">
      <c r="D631" s="1282" t="s">
        <v>2211</v>
      </c>
      <c r="E631" s="1282"/>
      <c r="F631" s="1282"/>
      <c r="I631" s="524"/>
    </row>
    <row r="632" spans="1:9">
      <c r="D632" s="1282"/>
      <c r="E632" s="1282"/>
      <c r="F632" s="1282"/>
      <c r="I632" s="524"/>
    </row>
    <row r="633" spans="1:9">
      <c r="D633" s="1282"/>
      <c r="E633" s="1282"/>
      <c r="F633" s="1282"/>
      <c r="I633" s="524"/>
    </row>
    <row r="634" spans="1:9">
      <c r="D634" s="479"/>
      <c r="E634" s="479"/>
      <c r="F634" s="479"/>
      <c r="I634" s="524"/>
    </row>
    <row r="635" spans="1:9" ht="12.9">
      <c r="A635" s="518"/>
      <c r="B635" s="519" t="s">
        <v>2638</v>
      </c>
      <c r="D635" s="1282" t="s">
        <v>1194</v>
      </c>
      <c r="E635" s="1282"/>
      <c r="F635" s="1282"/>
      <c r="I635" s="524" t="s">
        <v>2156</v>
      </c>
    </row>
    <row r="636" spans="1:9">
      <c r="A636" s="521"/>
      <c r="B636" s="521"/>
      <c r="C636" s="521"/>
      <c r="D636" s="1282"/>
      <c r="E636" s="1282"/>
      <c r="F636" s="1282"/>
      <c r="I636" s="524"/>
    </row>
    <row r="637" spans="1:9">
      <c r="A637" s="521"/>
      <c r="B637" s="521"/>
      <c r="C637" s="521"/>
      <c r="D637" s="480"/>
      <c r="E637" s="480"/>
      <c r="F637" s="480"/>
      <c r="I637" s="524"/>
    </row>
    <row r="638" spans="1:9" ht="12.9">
      <c r="A638" s="518"/>
      <c r="B638" s="519" t="s">
        <v>2638</v>
      </c>
      <c r="C638" s="521"/>
      <c r="D638" s="1282" t="s">
        <v>1333</v>
      </c>
      <c r="E638" s="1282"/>
      <c r="F638" s="1282"/>
      <c r="I638" s="524" t="s">
        <v>2107</v>
      </c>
    </row>
    <row r="639" spans="1:9" ht="12.9">
      <c r="A639" s="518"/>
      <c r="B639" s="518"/>
      <c r="C639" s="521"/>
      <c r="D639" s="1282"/>
      <c r="E639" s="1282"/>
      <c r="F639" s="1282"/>
      <c r="I639" s="524"/>
    </row>
    <row r="640" spans="1:9" ht="12.9">
      <c r="A640" s="518"/>
      <c r="B640" s="518"/>
      <c r="C640" s="521"/>
      <c r="D640" s="1282"/>
      <c r="E640" s="1282"/>
      <c r="F640" s="1282"/>
      <c r="I640" s="524"/>
    </row>
    <row r="641" spans="1:9">
      <c r="A641" s="521"/>
      <c r="B641" s="519" t="s">
        <v>2638</v>
      </c>
      <c r="C641" s="521"/>
      <c r="D641" s="1311" t="s">
        <v>1196</v>
      </c>
      <c r="E641" s="1311"/>
      <c r="F641" s="1311"/>
      <c r="I641" s="524" t="s">
        <v>2107</v>
      </c>
    </row>
    <row r="642" spans="1:9">
      <c r="A642" s="521"/>
      <c r="B642" s="521"/>
      <c r="C642" s="521"/>
      <c r="D642" s="480"/>
      <c r="E642" s="480"/>
      <c r="F642" s="480"/>
      <c r="I642" s="524"/>
    </row>
    <row r="643" spans="1:9">
      <c r="A643" s="1288" t="s">
        <v>1087</v>
      </c>
      <c r="B643" s="1288"/>
      <c r="C643" s="1288"/>
      <c r="D643" s="1288"/>
      <c r="E643" s="1288"/>
      <c r="F643" s="1288"/>
      <c r="G643" s="1288"/>
      <c r="H643" s="1063"/>
      <c r="I643" s="1259"/>
    </row>
    <row r="644" spans="1:9">
      <c r="A644" s="480"/>
      <c r="B644" s="480"/>
      <c r="C644" s="521"/>
      <c r="D644" s="480"/>
      <c r="E644" s="480"/>
      <c r="F644" s="480"/>
      <c r="I644" s="524"/>
    </row>
    <row r="645" spans="1:9">
      <c r="C645" s="516"/>
      <c r="D645" s="1280" t="s">
        <v>1246</v>
      </c>
      <c r="E645" s="1280"/>
      <c r="F645" s="1280"/>
      <c r="I645" s="524"/>
    </row>
    <row r="646" spans="1:9">
      <c r="A646" s="517"/>
      <c r="B646" s="517"/>
      <c r="C646" s="517"/>
      <c r="D646" s="1311" t="s">
        <v>1247</v>
      </c>
      <c r="E646" s="1311"/>
      <c r="F646" s="1311"/>
      <c r="I646" s="524"/>
    </row>
    <row r="647" spans="1:9">
      <c r="A647" s="517"/>
      <c r="B647" s="517"/>
      <c r="C647" s="517"/>
      <c r="D647" s="480"/>
      <c r="E647" s="480"/>
      <c r="F647" s="480"/>
      <c r="I647" s="524"/>
    </row>
    <row r="648" spans="1:9" ht="12.75" customHeight="1">
      <c r="B648" s="519" t="s">
        <v>2638</v>
      </c>
      <c r="C648" s="521"/>
      <c r="D648" s="1282" t="s">
        <v>1392</v>
      </c>
      <c r="E648" s="1282"/>
      <c r="F648" s="1282"/>
      <c r="I648" s="524" t="s">
        <v>2159</v>
      </c>
    </row>
    <row r="649" spans="1:9">
      <c r="D649" s="1282"/>
      <c r="E649" s="1282"/>
      <c r="F649" s="1282"/>
      <c r="I649" s="524"/>
    </row>
    <row r="650" spans="1:9">
      <c r="D650" s="1282"/>
      <c r="E650" s="1282"/>
      <c r="F650" s="1282"/>
      <c r="I650" s="524"/>
    </row>
    <row r="651" spans="1:9">
      <c r="D651" s="1282"/>
      <c r="E651" s="1282"/>
      <c r="F651" s="1282"/>
      <c r="I651" s="524"/>
    </row>
    <row r="652" spans="1:9" ht="14.5" customHeight="1">
      <c r="A652" s="518"/>
      <c r="B652" s="518"/>
      <c r="C652" s="521"/>
      <c r="D652" s="416"/>
      <c r="E652" s="416"/>
      <c r="F652" s="416"/>
      <c r="I652" s="524"/>
    </row>
    <row r="653" spans="1:9" ht="12.75" customHeight="1">
      <c r="A653" s="517"/>
      <c r="B653" s="519" t="s">
        <v>2638</v>
      </c>
      <c r="C653" s="521"/>
      <c r="D653" s="1282" t="s">
        <v>1394</v>
      </c>
      <c r="E653" s="1282"/>
      <c r="F653" s="1282"/>
      <c r="I653" s="524" t="s">
        <v>2159</v>
      </c>
    </row>
    <row r="654" spans="1:9" ht="12.9">
      <c r="A654" s="517"/>
      <c r="B654" s="518"/>
      <c r="C654" s="521"/>
      <c r="D654" s="1282"/>
      <c r="E654" s="1282"/>
      <c r="F654" s="1282"/>
      <c r="I654" s="524"/>
    </row>
    <row r="655" spans="1:9" ht="12.9">
      <c r="A655" s="517"/>
      <c r="B655" s="518"/>
      <c r="C655" s="521"/>
      <c r="D655" s="1282"/>
      <c r="E655" s="1282"/>
      <c r="F655" s="1282"/>
      <c r="I655" s="524"/>
    </row>
    <row r="656" spans="1:9" ht="12.9">
      <c r="A656" s="517"/>
      <c r="B656" s="518"/>
      <c r="C656" s="521"/>
      <c r="D656" s="1282"/>
      <c r="E656" s="1282"/>
      <c r="F656" s="1282"/>
      <c r="I656" s="524"/>
    </row>
    <row r="657" spans="1:9" ht="12.9">
      <c r="A657" s="517"/>
      <c r="B657" s="518"/>
      <c r="C657" s="521"/>
      <c r="D657" s="1282"/>
      <c r="E657" s="1282"/>
      <c r="F657" s="1282"/>
      <c r="I657" s="524"/>
    </row>
    <row r="658" spans="1:9" ht="14.25" customHeight="1">
      <c r="A658" s="517"/>
      <c r="B658" s="518"/>
      <c r="C658" s="521"/>
      <c r="F658" s="417"/>
      <c r="I658" s="524"/>
    </row>
    <row r="659" spans="1:9" ht="12.75" customHeight="1">
      <c r="A659" s="517"/>
      <c r="B659" s="519" t="s">
        <v>2638</v>
      </c>
      <c r="C659" s="521"/>
      <c r="D659" s="1282" t="s">
        <v>1393</v>
      </c>
      <c r="E659" s="1282"/>
      <c r="F659" s="1282"/>
      <c r="I659" s="524" t="s">
        <v>2159</v>
      </c>
    </row>
    <row r="660" spans="1:9" ht="12.9">
      <c r="A660" s="517"/>
      <c r="B660" s="518"/>
      <c r="C660" s="521"/>
      <c r="D660" s="1282"/>
      <c r="E660" s="1282"/>
      <c r="F660" s="1282"/>
      <c r="I660" s="524"/>
    </row>
    <row r="661" spans="1:9" ht="12.9">
      <c r="A661" s="518"/>
      <c r="B661" s="518"/>
      <c r="C661" s="521"/>
      <c r="D661" s="1282"/>
      <c r="E661" s="1282"/>
      <c r="F661" s="1282"/>
      <c r="I661" s="524"/>
    </row>
    <row r="662" spans="1:9" ht="12.9">
      <c r="A662" s="518"/>
      <c r="B662" s="518"/>
      <c r="C662" s="521"/>
      <c r="D662" s="1282"/>
      <c r="E662" s="1282"/>
      <c r="F662" s="1282"/>
      <c r="I662" s="524"/>
    </row>
    <row r="663" spans="1:9" ht="12.9">
      <c r="A663" s="518"/>
      <c r="B663" s="518"/>
      <c r="C663" s="521"/>
      <c r="D663" s="479"/>
      <c r="E663" s="479"/>
      <c r="F663" s="479"/>
      <c r="I663" s="524"/>
    </row>
    <row r="664" spans="1:9" ht="12.75" customHeight="1">
      <c r="A664" s="517"/>
      <c r="B664" s="519" t="s">
        <v>2638</v>
      </c>
      <c r="C664" s="521"/>
      <c r="D664" s="1282" t="s">
        <v>2382</v>
      </c>
      <c r="E664" s="1282"/>
      <c r="F664" s="1282"/>
      <c r="I664" s="524" t="s">
        <v>2159</v>
      </c>
    </row>
    <row r="665" spans="1:9" ht="12.75" customHeight="1">
      <c r="A665" s="517"/>
      <c r="B665" s="518"/>
      <c r="C665" s="521"/>
      <c r="D665" s="1282"/>
      <c r="E665" s="1282"/>
      <c r="F665" s="1282"/>
      <c r="I665" s="524"/>
    </row>
    <row r="666" spans="1:9" ht="12.75" customHeight="1">
      <c r="A666" s="517"/>
      <c r="B666" s="518"/>
      <c r="C666" s="521"/>
      <c r="D666" s="1282"/>
      <c r="E666" s="1282"/>
      <c r="F666" s="1282"/>
      <c r="I666" s="524"/>
    </row>
    <row r="667" spans="1:9" ht="12.75" customHeight="1">
      <c r="A667" s="517"/>
      <c r="B667" s="518"/>
      <c r="C667" s="521"/>
      <c r="D667" s="1282"/>
      <c r="E667" s="1282"/>
      <c r="F667" s="1282"/>
      <c r="I667" s="524"/>
    </row>
    <row r="668" spans="1:9" ht="12.75" customHeight="1">
      <c r="A668" s="517"/>
      <c r="B668" s="518"/>
      <c r="C668" s="521"/>
      <c r="D668" s="1282"/>
      <c r="E668" s="1282"/>
      <c r="F668" s="1282"/>
      <c r="I668" s="524"/>
    </row>
    <row r="669" spans="1:9" ht="12.75" customHeight="1">
      <c r="A669" s="517"/>
      <c r="B669" s="518"/>
      <c r="C669" s="521"/>
      <c r="D669" s="1282"/>
      <c r="E669" s="1282"/>
      <c r="F669" s="1282"/>
      <c r="I669" s="524"/>
    </row>
    <row r="670" spans="1:9" ht="12.75" customHeight="1">
      <c r="A670" s="517"/>
      <c r="B670" s="518"/>
      <c r="C670" s="521"/>
      <c r="D670" s="1282"/>
      <c r="E670" s="1282"/>
      <c r="F670" s="1282"/>
      <c r="I670" s="524"/>
    </row>
    <row r="671" spans="1:9" ht="12.75" customHeight="1">
      <c r="A671" s="517"/>
      <c r="B671" s="518"/>
      <c r="C671" s="521"/>
      <c r="D671" s="1282"/>
      <c r="E671" s="1282"/>
      <c r="F671" s="1282"/>
      <c r="I671" s="524"/>
    </row>
    <row r="672" spans="1:9" ht="12.75" customHeight="1">
      <c r="A672" s="517"/>
      <c r="B672" s="518"/>
      <c r="C672" s="521"/>
      <c r="D672" s="1282"/>
      <c r="E672" s="1282"/>
      <c r="F672" s="1282"/>
      <c r="I672" s="524"/>
    </row>
    <row r="673" spans="1:11">
      <c r="A673" s="521"/>
      <c r="B673" s="521"/>
      <c r="C673" s="521"/>
      <c r="D673" s="480"/>
      <c r="E673" s="480"/>
      <c r="F673" s="480"/>
      <c r="I673" s="524"/>
    </row>
    <row r="674" spans="1:11">
      <c r="A674" s="1288" t="s">
        <v>1088</v>
      </c>
      <c r="B674" s="1288"/>
      <c r="C674" s="1288"/>
      <c r="D674" s="1288"/>
      <c r="E674" s="1288"/>
      <c r="F674" s="1288"/>
      <c r="G674" s="1288"/>
      <c r="H674" s="1065"/>
      <c r="I674" s="1263"/>
      <c r="J674" s="535"/>
      <c r="K674" s="535"/>
    </row>
    <row r="675" spans="1:11">
      <c r="A675" s="482"/>
      <c r="B675" s="482"/>
      <c r="C675" s="482"/>
      <c r="D675" s="482"/>
      <c r="E675" s="482"/>
      <c r="F675" s="482"/>
      <c r="G675" s="482"/>
      <c r="H675" s="535"/>
      <c r="I675" s="517"/>
      <c r="J675" s="535"/>
      <c r="K675" s="535"/>
    </row>
    <row r="676" spans="1:11">
      <c r="C676" s="516"/>
      <c r="D676" s="1280" t="s">
        <v>99</v>
      </c>
      <c r="E676" s="1280"/>
      <c r="F676" s="1280"/>
      <c r="H676" s="535"/>
      <c r="I676" s="517"/>
      <c r="J676" s="535"/>
      <c r="K676" s="535"/>
    </row>
    <row r="677" spans="1:11">
      <c r="A677" s="516"/>
      <c r="B677" s="516"/>
      <c r="C677" s="516"/>
      <c r="D677" s="1280" t="s">
        <v>123</v>
      </c>
      <c r="E677" s="1280"/>
      <c r="F677" s="1280"/>
      <c r="H677" s="535"/>
      <c r="I677" s="517"/>
      <c r="J677" s="535"/>
      <c r="K677" s="535"/>
    </row>
    <row r="678" spans="1:11">
      <c r="A678" s="517"/>
      <c r="B678" s="517"/>
      <c r="C678" s="517"/>
      <c r="D678" s="1311" t="s">
        <v>1124</v>
      </c>
      <c r="E678" s="1311"/>
      <c r="F678" s="1311"/>
      <c r="H678" s="535"/>
      <c r="I678" s="517"/>
      <c r="J678" s="535"/>
      <c r="K678" s="535"/>
    </row>
    <row r="679" spans="1:11">
      <c r="A679" s="517"/>
      <c r="B679" s="517"/>
      <c r="C679" s="517"/>
      <c r="H679" s="535"/>
      <c r="I679" s="517"/>
      <c r="J679" s="535"/>
      <c r="K679" s="535"/>
    </row>
    <row r="680" spans="1:11" ht="12.9">
      <c r="A680" s="518"/>
      <c r="B680" s="519" t="s">
        <v>2638</v>
      </c>
      <c r="C680" s="517"/>
      <c r="D680" s="1311" t="s">
        <v>899</v>
      </c>
      <c r="E680" s="1311"/>
      <c r="F680" s="1311"/>
      <c r="H680" s="535"/>
      <c r="I680" s="517" t="s">
        <v>2135</v>
      </c>
      <c r="J680" s="535"/>
      <c r="K680" s="535"/>
    </row>
    <row r="681" spans="1:11">
      <c r="A681" s="517"/>
      <c r="B681" s="517"/>
      <c r="C681" s="517"/>
      <c r="D681" s="1311" t="s">
        <v>909</v>
      </c>
      <c r="E681" s="1311"/>
      <c r="F681" s="1311"/>
      <c r="H681" s="535"/>
      <c r="I681" s="517"/>
      <c r="J681" s="535"/>
      <c r="K681" s="535"/>
    </row>
    <row r="682" spans="1:11" ht="12.75" customHeight="1">
      <c r="A682" s="517"/>
      <c r="B682" s="517"/>
      <c r="C682" s="517"/>
      <c r="E682" s="1071" t="s">
        <v>2214</v>
      </c>
      <c r="F682" s="451"/>
      <c r="H682" s="535"/>
      <c r="I682" s="517"/>
      <c r="J682" s="535"/>
      <c r="K682" s="535"/>
    </row>
    <row r="683" spans="1:11">
      <c r="A683" s="517"/>
      <c r="B683" s="517"/>
      <c r="C683" s="517"/>
      <c r="E683" s="535" t="s">
        <v>2213</v>
      </c>
      <c r="F683" s="451"/>
      <c r="I683" s="517"/>
      <c r="J683" s="535"/>
      <c r="K683" s="535"/>
    </row>
    <row r="684" spans="1:11" ht="12.9">
      <c r="A684" s="517"/>
      <c r="B684" s="517"/>
      <c r="C684" s="517"/>
      <c r="D684" s="536"/>
      <c r="E684" s="480"/>
      <c r="H684" s="535"/>
      <c r="I684" s="517"/>
      <c r="J684" s="535"/>
      <c r="K684" s="535"/>
    </row>
    <row r="685" spans="1:11" ht="12.9">
      <c r="A685" s="518"/>
      <c r="B685" s="519" t="s">
        <v>2638</v>
      </c>
      <c r="C685" s="517"/>
      <c r="D685" s="1282" t="s">
        <v>2383</v>
      </c>
      <c r="E685" s="1282"/>
      <c r="F685" s="1282"/>
      <c r="H685" s="535"/>
      <c r="I685" s="517" t="s">
        <v>2157</v>
      </c>
      <c r="J685" s="535"/>
      <c r="K685" s="535"/>
    </row>
    <row r="686" spans="1:11">
      <c r="A686" s="524"/>
      <c r="B686" s="524"/>
      <c r="C686" s="517"/>
      <c r="D686" s="1282"/>
      <c r="E686" s="1282"/>
      <c r="F686" s="1282"/>
      <c r="H686" s="535"/>
      <c r="I686" s="517"/>
      <c r="J686" s="535"/>
      <c r="K686" s="535"/>
    </row>
    <row r="687" spans="1:11">
      <c r="A687" s="517"/>
      <c r="B687" s="517"/>
      <c r="C687" s="517"/>
      <c r="D687" s="1282"/>
      <c r="E687" s="1282"/>
      <c r="F687" s="1282"/>
      <c r="H687" s="535"/>
      <c r="I687" s="517"/>
      <c r="J687" s="535"/>
      <c r="K687" s="535"/>
    </row>
    <row r="688" spans="1:11">
      <c r="A688" s="517"/>
      <c r="B688" s="517"/>
      <c r="C688" s="517"/>
      <c r="H688" s="535"/>
      <c r="I688" s="517" t="s">
        <v>2136</v>
      </c>
      <c r="J688" s="535"/>
      <c r="K688" s="535"/>
    </row>
    <row r="689" spans="1:11" ht="12.9">
      <c r="A689" s="518"/>
      <c r="B689" s="519" t="s">
        <v>2638</v>
      </c>
      <c r="C689" s="517"/>
      <c r="D689" s="1311" t="s">
        <v>937</v>
      </c>
      <c r="E689" s="1311"/>
      <c r="F689" s="1311"/>
      <c r="H689" s="535"/>
      <c r="I689" s="517"/>
      <c r="J689" s="535"/>
      <c r="K689" s="535"/>
    </row>
    <row r="690" spans="1:11" ht="12.9">
      <c r="A690" s="518"/>
      <c r="B690" s="518"/>
      <c r="C690" s="517"/>
      <c r="D690" s="1311" t="s">
        <v>909</v>
      </c>
      <c r="E690" s="1311"/>
      <c r="F690" s="1311"/>
      <c r="H690" s="535"/>
      <c r="I690" s="517"/>
      <c r="J690" s="535"/>
      <c r="K690" s="535"/>
    </row>
    <row r="691" spans="1:11">
      <c r="A691" s="517"/>
      <c r="B691" s="517"/>
      <c r="C691" s="517"/>
      <c r="E691" s="1071" t="s">
        <v>2215</v>
      </c>
      <c r="F691" s="435"/>
      <c r="H691" s="535"/>
      <c r="I691" s="517"/>
      <c r="J691" s="535"/>
      <c r="K691" s="535"/>
    </row>
    <row r="692" spans="1:11">
      <c r="A692" s="517"/>
      <c r="B692" s="517"/>
      <c r="C692" s="517"/>
      <c r="D692" s="435"/>
      <c r="H692" s="535"/>
      <c r="I692" s="517"/>
      <c r="J692" s="535"/>
      <c r="K692" s="535"/>
    </row>
    <row r="693" spans="1:11" ht="12.9">
      <c r="A693" s="518"/>
      <c r="B693" s="519" t="s">
        <v>2638</v>
      </c>
      <c r="C693" s="517"/>
      <c r="D693" s="1282" t="s">
        <v>1137</v>
      </c>
      <c r="E693" s="1282"/>
      <c r="F693" s="1282"/>
      <c r="H693" s="535"/>
      <c r="I693" s="517" t="s">
        <v>2108</v>
      </c>
      <c r="J693" s="535"/>
      <c r="K693" s="535"/>
    </row>
    <row r="694" spans="1:11">
      <c r="A694" s="517"/>
      <c r="B694" s="517"/>
      <c r="C694" s="517"/>
      <c r="D694" s="1282"/>
      <c r="E694" s="1282"/>
      <c r="F694" s="1282"/>
      <c r="H694" s="535"/>
      <c r="I694" s="517"/>
      <c r="J694" s="535"/>
      <c r="K694" s="535"/>
    </row>
    <row r="695" spans="1:11">
      <c r="A695" s="517"/>
      <c r="B695" s="517"/>
      <c r="C695" s="517"/>
      <c r="D695" s="1282"/>
      <c r="E695" s="1282"/>
      <c r="F695" s="1282"/>
      <c r="H695" s="535"/>
      <c r="I695" s="517"/>
      <c r="J695" s="535"/>
      <c r="K695" s="535"/>
    </row>
    <row r="696" spans="1:11">
      <c r="A696" s="517"/>
      <c r="B696" s="517"/>
      <c r="C696" s="517"/>
      <c r="D696" s="1282"/>
      <c r="E696" s="1282"/>
      <c r="F696" s="1282"/>
      <c r="H696" s="535"/>
      <c r="I696" s="517"/>
      <c r="J696" s="535"/>
      <c r="K696" s="535"/>
    </row>
    <row r="697" spans="1:11">
      <c r="A697" s="517"/>
      <c r="B697" s="517"/>
      <c r="C697" s="517"/>
      <c r="D697" s="1282"/>
      <c r="E697" s="1282"/>
      <c r="F697" s="1282"/>
      <c r="H697" s="535"/>
      <c r="I697" s="517"/>
      <c r="J697" s="535"/>
      <c r="K697" s="535"/>
    </row>
    <row r="698" spans="1:11">
      <c r="A698" s="517"/>
      <c r="B698" s="517"/>
      <c r="C698" s="517"/>
      <c r="D698" s="1282"/>
      <c r="E698" s="1282"/>
      <c r="F698" s="1282"/>
      <c r="H698" s="535"/>
      <c r="I698" s="517"/>
      <c r="J698" s="535"/>
      <c r="K698" s="535"/>
    </row>
    <row r="699" spans="1:11">
      <c r="A699" s="517"/>
      <c r="B699" s="517"/>
      <c r="C699" s="517"/>
      <c r="D699" s="479"/>
      <c r="E699" s="479"/>
      <c r="F699" s="479"/>
      <c r="H699" s="535"/>
      <c r="I699" s="517"/>
      <c r="J699" s="535"/>
      <c r="K699" s="535"/>
    </row>
    <row r="700" spans="1:11">
      <c r="A700" s="517"/>
      <c r="B700" s="519" t="s">
        <v>2638</v>
      </c>
      <c r="C700" s="517"/>
      <c r="D700" s="1282" t="s">
        <v>1308</v>
      </c>
      <c r="E700" s="1282"/>
      <c r="F700" s="1282"/>
      <c r="H700" s="535"/>
      <c r="I700" s="517" t="s">
        <v>2108</v>
      </c>
      <c r="J700" s="535"/>
      <c r="K700" s="535"/>
    </row>
    <row r="701" spans="1:11">
      <c r="A701" s="517"/>
      <c r="B701" s="517"/>
      <c r="C701" s="517"/>
      <c r="D701" s="1282"/>
      <c r="E701" s="1282"/>
      <c r="F701" s="1282"/>
      <c r="H701" s="535"/>
      <c r="I701" s="517"/>
      <c r="J701" s="535"/>
      <c r="K701" s="535"/>
    </row>
    <row r="702" spans="1:11">
      <c r="A702" s="517"/>
      <c r="B702" s="517"/>
      <c r="C702" s="517"/>
      <c r="D702" s="479"/>
      <c r="E702" s="479"/>
      <c r="F702" s="479"/>
      <c r="H702" s="535"/>
      <c r="I702" s="517"/>
      <c r="J702" s="535"/>
      <c r="K702" s="535"/>
    </row>
    <row r="703" spans="1:11" ht="12.9">
      <c r="A703" s="518"/>
      <c r="B703" s="519" t="s">
        <v>2638</v>
      </c>
      <c r="C703" s="517"/>
      <c r="D703" s="1282" t="s">
        <v>1128</v>
      </c>
      <c r="E703" s="1282"/>
      <c r="F703" s="1282"/>
      <c r="H703" s="535"/>
      <c r="I703" s="517" t="s">
        <v>2108</v>
      </c>
      <c r="J703" s="535"/>
      <c r="K703" s="535"/>
    </row>
    <row r="704" spans="1:11">
      <c r="A704" s="517"/>
      <c r="B704" s="517"/>
      <c r="C704" s="517"/>
      <c r="D704" s="1282"/>
      <c r="E704" s="1282"/>
      <c r="F704" s="1282"/>
      <c r="H704" s="535"/>
      <c r="I704" s="517"/>
      <c r="J704" s="535"/>
      <c r="K704" s="535"/>
    </row>
    <row r="705" spans="1:11">
      <c r="A705" s="517"/>
      <c r="B705" s="517"/>
      <c r="C705" s="517"/>
      <c r="D705" s="1282"/>
      <c r="E705" s="1282"/>
      <c r="F705" s="1282"/>
      <c r="H705" s="535"/>
      <c r="I705" s="517"/>
      <c r="J705" s="535"/>
      <c r="K705" s="535"/>
    </row>
    <row r="706" spans="1:11" ht="15" customHeight="1">
      <c r="A706" s="517"/>
      <c r="B706" s="517"/>
      <c r="C706" s="517"/>
      <c r="D706" s="1282"/>
      <c r="E706" s="1282"/>
      <c r="F706" s="1282"/>
      <c r="H706" s="535"/>
      <c r="I706" s="517"/>
      <c r="J706" s="535"/>
      <c r="K706" s="535"/>
    </row>
    <row r="707" spans="1:11" ht="15" customHeight="1">
      <c r="A707" s="517"/>
      <c r="B707" s="517"/>
      <c r="C707" s="517"/>
      <c r="D707" s="1282"/>
      <c r="E707" s="1282"/>
      <c r="F707" s="1282"/>
      <c r="H707" s="535"/>
      <c r="I707" s="517"/>
      <c r="J707" s="535"/>
      <c r="K707" s="535"/>
    </row>
    <row r="708" spans="1:11">
      <c r="A708" s="517"/>
      <c r="B708" s="517"/>
      <c r="C708" s="517"/>
      <c r="D708" s="1282"/>
      <c r="E708" s="1282"/>
      <c r="F708" s="1282"/>
      <c r="H708" s="535"/>
      <c r="I708" s="517"/>
      <c r="J708" s="535"/>
      <c r="K708" s="535"/>
    </row>
    <row r="709" spans="1:11">
      <c r="A709" s="517"/>
      <c r="B709" s="517"/>
      <c r="C709" s="517"/>
      <c r="D709" s="1282"/>
      <c r="E709" s="1282"/>
      <c r="F709" s="1282"/>
      <c r="H709" s="535"/>
      <c r="I709" s="517"/>
      <c r="J709" s="535"/>
      <c r="K709" s="535"/>
    </row>
    <row r="710" spans="1:11">
      <c r="A710" s="517"/>
      <c r="B710" s="517"/>
      <c r="C710" s="517"/>
      <c r="D710" s="1282"/>
      <c r="E710" s="1282"/>
      <c r="F710" s="1282"/>
      <c r="H710" s="535"/>
      <c r="I710" s="517"/>
      <c r="J710" s="535"/>
      <c r="K710" s="535"/>
    </row>
    <row r="711" spans="1:11" ht="15" customHeight="1">
      <c r="A711" s="517"/>
      <c r="B711" s="517"/>
      <c r="C711" s="517"/>
      <c r="D711" s="1282"/>
      <c r="E711" s="1282"/>
      <c r="F711" s="1282"/>
      <c r="H711" s="535"/>
      <c r="I711" s="517"/>
      <c r="J711" s="535"/>
      <c r="K711" s="535"/>
    </row>
    <row r="712" spans="1:11">
      <c r="A712" s="517"/>
      <c r="B712" s="517"/>
      <c r="C712" s="517"/>
      <c r="D712" s="1282"/>
      <c r="E712" s="1282"/>
      <c r="F712" s="1282"/>
      <c r="H712" s="535"/>
      <c r="I712" s="517"/>
      <c r="J712" s="535"/>
      <c r="K712" s="535"/>
    </row>
    <row r="713" spans="1:11">
      <c r="A713" s="517"/>
      <c r="B713" s="517"/>
      <c r="C713" s="517"/>
      <c r="D713" s="1282"/>
      <c r="E713" s="1282"/>
      <c r="F713" s="1282"/>
      <c r="H713" s="535"/>
      <c r="I713" s="517"/>
      <c r="J713" s="535"/>
      <c r="K713" s="535"/>
    </row>
    <row r="714" spans="1:11">
      <c r="A714" s="517"/>
      <c r="B714" s="517"/>
      <c r="C714" s="517"/>
      <c r="D714" s="1282"/>
      <c r="E714" s="1282"/>
      <c r="F714" s="1282"/>
      <c r="H714" s="535"/>
      <c r="I714" s="517"/>
      <c r="J714" s="535"/>
      <c r="K714" s="535"/>
    </row>
    <row r="715" spans="1:11">
      <c r="A715" s="517"/>
      <c r="B715" s="517"/>
      <c r="C715" s="517"/>
      <c r="D715" s="1282"/>
      <c r="E715" s="1282"/>
      <c r="F715" s="1282"/>
      <c r="H715" s="535"/>
      <c r="I715" s="517"/>
      <c r="J715" s="535"/>
      <c r="K715" s="535"/>
    </row>
    <row r="716" spans="1:11">
      <c r="A716" s="517"/>
      <c r="B716" s="519" t="s">
        <v>2638</v>
      </c>
      <c r="C716" s="517"/>
      <c r="D716" s="1282" t="s">
        <v>1135</v>
      </c>
      <c r="E716" s="1282"/>
      <c r="F716" s="1282"/>
      <c r="H716" s="535"/>
      <c r="I716" s="517" t="s">
        <v>2158</v>
      </c>
      <c r="J716" s="535"/>
      <c r="K716" s="535"/>
    </row>
    <row r="717" spans="1:11">
      <c r="A717" s="517"/>
      <c r="B717" s="517"/>
      <c r="C717" s="517"/>
      <c r="D717" s="1282"/>
      <c r="E717" s="1282"/>
      <c r="F717" s="1282"/>
      <c r="H717" s="535"/>
      <c r="I717" s="517"/>
      <c r="J717" s="535"/>
      <c r="K717" s="535"/>
    </row>
    <row r="718" spans="1:11">
      <c r="A718" s="517"/>
      <c r="B718" s="517"/>
      <c r="C718" s="517"/>
      <c r="D718" s="479"/>
      <c r="E718" s="479"/>
      <c r="F718" s="479"/>
      <c r="H718" s="535"/>
      <c r="I718" s="517"/>
      <c r="J718" s="535"/>
      <c r="K718" s="535"/>
    </row>
    <row r="719" spans="1:11">
      <c r="A719" s="517"/>
      <c r="B719" s="519" t="s">
        <v>2638</v>
      </c>
      <c r="C719" s="517"/>
      <c r="D719" s="1282" t="s">
        <v>1129</v>
      </c>
      <c r="E719" s="1282"/>
      <c r="F719" s="1282"/>
      <c r="H719" s="535"/>
      <c r="I719" s="517" t="s">
        <v>2158</v>
      </c>
      <c r="J719" s="535"/>
      <c r="K719" s="535"/>
    </row>
    <row r="720" spans="1:11">
      <c r="A720" s="517"/>
      <c r="B720" s="517"/>
      <c r="C720" s="517"/>
      <c r="D720" s="1282"/>
      <c r="E720" s="1282"/>
      <c r="F720" s="1282"/>
      <c r="H720" s="535"/>
      <c r="I720" s="517"/>
      <c r="J720" s="535"/>
      <c r="K720" s="535"/>
    </row>
    <row r="721" spans="1:11">
      <c r="A721" s="517"/>
      <c r="B721" s="517"/>
      <c r="C721" s="517"/>
      <c r="D721" s="1282"/>
      <c r="E721" s="1282"/>
      <c r="F721" s="1282"/>
      <c r="H721" s="535"/>
      <c r="I721" s="517"/>
      <c r="J721" s="535"/>
      <c r="K721" s="535"/>
    </row>
    <row r="722" spans="1:11">
      <c r="A722" s="517"/>
      <c r="B722" s="517"/>
      <c r="C722" s="517"/>
      <c r="H722" s="535"/>
      <c r="I722" s="517"/>
      <c r="J722" s="535"/>
      <c r="K722" s="535"/>
    </row>
    <row r="723" spans="1:11">
      <c r="A723" s="517"/>
      <c r="B723" s="519" t="s">
        <v>2638</v>
      </c>
      <c r="C723" s="517"/>
      <c r="D723" s="1282" t="s">
        <v>1130</v>
      </c>
      <c r="E723" s="1282"/>
      <c r="F723" s="1282"/>
      <c r="H723" s="535"/>
      <c r="I723" s="517" t="s">
        <v>2158</v>
      </c>
      <c r="J723" s="535"/>
      <c r="K723" s="535"/>
    </row>
    <row r="724" spans="1:11">
      <c r="A724" s="517"/>
      <c r="B724" s="517"/>
      <c r="C724" s="517"/>
      <c r="D724" s="1282"/>
      <c r="E724" s="1282"/>
      <c r="F724" s="1282"/>
      <c r="H724" s="535"/>
      <c r="I724" s="517"/>
      <c r="J724" s="535"/>
      <c r="K724" s="535"/>
    </row>
    <row r="725" spans="1:11">
      <c r="A725" s="517"/>
      <c r="B725" s="517"/>
      <c r="C725" s="517"/>
      <c r="D725" s="1282"/>
      <c r="E725" s="1282"/>
      <c r="F725" s="1282"/>
      <c r="H725" s="535"/>
      <c r="I725" s="517"/>
      <c r="J725" s="535"/>
      <c r="K725" s="535"/>
    </row>
    <row r="726" spans="1:11">
      <c r="A726" s="517"/>
      <c r="B726" s="517"/>
      <c r="C726" s="517"/>
      <c r="H726" s="535"/>
      <c r="I726" s="517"/>
      <c r="J726" s="535"/>
      <c r="K726" s="535"/>
    </row>
    <row r="727" spans="1:11" ht="12.9">
      <c r="A727" s="518"/>
      <c r="B727" s="519" t="s">
        <v>2638</v>
      </c>
      <c r="C727" s="517"/>
      <c r="D727" s="1282" t="s">
        <v>1131</v>
      </c>
      <c r="E727" s="1282"/>
      <c r="F727" s="1282"/>
      <c r="H727" s="535"/>
      <c r="I727" s="517" t="s">
        <v>2109</v>
      </c>
      <c r="J727" s="535"/>
      <c r="K727" s="535"/>
    </row>
    <row r="728" spans="1:11">
      <c r="A728" s="517"/>
      <c r="B728" s="517"/>
      <c r="C728" s="517"/>
      <c r="D728" s="1282"/>
      <c r="E728" s="1282"/>
      <c r="F728" s="1282"/>
      <c r="H728" s="535"/>
      <c r="I728" s="517"/>
      <c r="J728" s="535"/>
      <c r="K728" s="535"/>
    </row>
    <row r="729" spans="1:11">
      <c r="A729" s="517"/>
      <c r="B729" s="517"/>
      <c r="C729" s="517"/>
      <c r="D729" s="1282"/>
      <c r="E729" s="1282"/>
      <c r="F729" s="1282"/>
      <c r="H729" s="535"/>
      <c r="I729" s="517"/>
      <c r="J729" s="535"/>
      <c r="K729" s="535"/>
    </row>
    <row r="730" spans="1:11">
      <c r="A730" s="517"/>
      <c r="B730" s="517"/>
      <c r="C730" s="517"/>
      <c r="D730" s="1282"/>
      <c r="E730" s="1282"/>
      <c r="F730" s="1282"/>
      <c r="H730" s="535"/>
      <c r="I730" s="517"/>
      <c r="J730" s="535"/>
      <c r="K730" s="535"/>
    </row>
    <row r="731" spans="1:11">
      <c r="A731" s="517"/>
      <c r="B731" s="517"/>
      <c r="C731" s="517"/>
      <c r="D731" s="526"/>
      <c r="H731" s="535"/>
      <c r="I731" s="517"/>
      <c r="J731" s="535"/>
      <c r="K731" s="535"/>
    </row>
    <row r="732" spans="1:11" ht="12.9">
      <c r="A732" s="518"/>
      <c r="B732" s="519" t="s">
        <v>2638</v>
      </c>
      <c r="C732" s="517"/>
      <c r="D732" s="1282" t="s">
        <v>2506</v>
      </c>
      <c r="E732" s="1282"/>
      <c r="F732" s="1282"/>
      <c r="H732" s="535"/>
      <c r="I732" s="517" t="s">
        <v>2125</v>
      </c>
      <c r="J732" s="535"/>
      <c r="K732" s="535"/>
    </row>
    <row r="733" spans="1:11">
      <c r="A733" s="517"/>
      <c r="B733" s="517"/>
      <c r="C733" s="517"/>
      <c r="D733" s="1282"/>
      <c r="E733" s="1282"/>
      <c r="F733" s="1282"/>
      <c r="H733" s="535"/>
      <c r="I733" s="517"/>
      <c r="J733" s="535"/>
      <c r="K733" s="535"/>
    </row>
    <row r="734" spans="1:11">
      <c r="A734" s="517"/>
      <c r="B734" s="517"/>
      <c r="C734" s="517"/>
      <c r="D734" s="1282"/>
      <c r="E734" s="1282"/>
      <c r="F734" s="1282"/>
      <c r="H734" s="535"/>
      <c r="I734" s="517"/>
      <c r="J734" s="535"/>
      <c r="K734" s="535"/>
    </row>
    <row r="735" spans="1:11">
      <c r="A735" s="517"/>
      <c r="B735" s="517"/>
      <c r="C735" s="517"/>
      <c r="D735" s="1282"/>
      <c r="E735" s="1282"/>
      <c r="F735" s="1282"/>
      <c r="H735" s="535"/>
      <c r="I735" s="517"/>
      <c r="J735" s="535"/>
      <c r="K735" s="535"/>
    </row>
    <row r="736" spans="1:11">
      <c r="A736" s="517"/>
      <c r="B736" s="517"/>
      <c r="C736" s="517"/>
      <c r="D736" s="1282"/>
      <c r="E736" s="1282"/>
      <c r="F736" s="1282"/>
      <c r="H736" s="535"/>
      <c r="I736" s="517"/>
      <c r="J736" s="535"/>
      <c r="K736" s="535"/>
    </row>
    <row r="737" spans="1:11">
      <c r="A737" s="517"/>
      <c r="B737" s="517"/>
      <c r="C737" s="517"/>
      <c r="D737" s="1282"/>
      <c r="E737" s="1282"/>
      <c r="F737" s="1282"/>
      <c r="H737" s="535"/>
      <c r="I737" s="517"/>
      <c r="J737" s="535"/>
      <c r="K737" s="535"/>
    </row>
    <row r="738" spans="1:11">
      <c r="A738" s="517"/>
      <c r="B738" s="517"/>
      <c r="C738" s="517"/>
      <c r="D738" s="1282"/>
      <c r="E738" s="1282"/>
      <c r="F738" s="1282"/>
      <c r="H738" s="535"/>
      <c r="I738" s="517"/>
      <c r="J738" s="535"/>
      <c r="K738" s="535"/>
    </row>
    <row r="739" spans="1:11">
      <c r="A739" s="517"/>
      <c r="B739" s="517"/>
      <c r="C739" s="517"/>
      <c r="D739" s="1294" t="s">
        <v>2392</v>
      </c>
      <c r="E739" s="1294"/>
      <c r="F739" s="1294"/>
      <c r="H739" s="535"/>
      <c r="I739" s="517"/>
      <c r="J739" s="535"/>
      <c r="K739" s="535"/>
    </row>
    <row r="740" spans="1:11">
      <c r="A740" s="517"/>
      <c r="B740" s="517"/>
      <c r="C740" s="517"/>
      <c r="D740" s="369"/>
      <c r="H740" s="535"/>
      <c r="I740" s="517"/>
      <c r="J740" s="535"/>
      <c r="K740" s="535"/>
    </row>
    <row r="741" spans="1:11">
      <c r="A741" s="1289" t="s">
        <v>1089</v>
      </c>
      <c r="B741" s="1289"/>
      <c r="C741" s="1289"/>
      <c r="D741" s="1289"/>
      <c r="E741" s="1289"/>
      <c r="F741" s="1289"/>
      <c r="G741" s="1289"/>
      <c r="H741" s="1065"/>
      <c r="I741" s="1263"/>
      <c r="J741" s="535"/>
      <c r="K741" s="535"/>
    </row>
    <row r="742" spans="1:11">
      <c r="A742" s="517"/>
      <c r="B742" s="517"/>
      <c r="C742" s="517"/>
      <c r="D742" s="526"/>
      <c r="G742" s="535"/>
      <c r="H742" s="535"/>
      <c r="I742" s="517"/>
      <c r="J742" s="535"/>
      <c r="K742" s="535"/>
    </row>
    <row r="743" spans="1:11" ht="13.75" customHeight="1">
      <c r="C743" s="517"/>
      <c r="D743" s="1310" t="s">
        <v>1105</v>
      </c>
      <c r="E743" s="1310"/>
      <c r="F743" s="1310"/>
      <c r="G743" s="535"/>
      <c r="H743" s="535"/>
      <c r="I743" s="517"/>
      <c r="J743" s="535"/>
      <c r="K743" s="535"/>
    </row>
    <row r="744" spans="1:11">
      <c r="A744" s="517"/>
      <c r="B744" s="517"/>
      <c r="C744" s="517"/>
      <c r="D744" s="1297" t="s">
        <v>1106</v>
      </c>
      <c r="E744" s="1297"/>
      <c r="F744" s="1297"/>
      <c r="G744" s="535"/>
      <c r="H744" s="535"/>
      <c r="I744" s="517"/>
      <c r="J744" s="535"/>
      <c r="K744" s="535"/>
    </row>
    <row r="745" spans="1:11">
      <c r="A745" s="517"/>
      <c r="B745" s="517"/>
      <c r="C745" s="517"/>
      <c r="G745" s="535"/>
      <c r="H745" s="535"/>
      <c r="I745" s="517"/>
      <c r="J745" s="535"/>
      <c r="K745" s="535"/>
    </row>
    <row r="746" spans="1:11" ht="12.9">
      <c r="A746" s="518"/>
      <c r="B746" s="519" t="s">
        <v>1070</v>
      </c>
      <c r="D746" s="1282" t="s">
        <v>1107</v>
      </c>
      <c r="E746" s="1282"/>
      <c r="F746" s="1282"/>
      <c r="G746" s="535"/>
      <c r="H746" s="535"/>
      <c r="I746" s="517" t="s">
        <v>2110</v>
      </c>
      <c r="J746" s="535"/>
      <c r="K746" s="535"/>
    </row>
    <row r="747" spans="1:11" ht="10.5" customHeight="1">
      <c r="D747" s="1282"/>
      <c r="E747" s="1282"/>
      <c r="F747" s="1282"/>
      <c r="G747" s="535"/>
      <c r="H747" s="535"/>
      <c r="I747" s="517"/>
      <c r="J747" s="535"/>
      <c r="K747" s="535"/>
    </row>
    <row r="748" spans="1:11">
      <c r="D748" s="1282"/>
      <c r="E748" s="1282"/>
      <c r="F748" s="1282"/>
      <c r="G748" s="535"/>
      <c r="H748" s="535"/>
      <c r="I748" s="517"/>
      <c r="J748" s="535"/>
      <c r="K748" s="535"/>
    </row>
    <row r="749" spans="1:11">
      <c r="D749" s="1282"/>
      <c r="E749" s="1282"/>
      <c r="F749" s="1282"/>
      <c r="G749" s="535"/>
      <c r="H749" s="535"/>
      <c r="I749" s="517"/>
      <c r="J749" s="535"/>
      <c r="K749" s="535"/>
    </row>
    <row r="750" spans="1:11">
      <c r="D750" s="1282"/>
      <c r="E750" s="1282"/>
      <c r="F750" s="1282"/>
      <c r="G750" s="535"/>
      <c r="H750" s="535"/>
      <c r="I750" s="517"/>
      <c r="J750" s="535"/>
      <c r="K750" s="535"/>
    </row>
    <row r="751" spans="1:11" ht="15.65" customHeight="1">
      <c r="D751" s="1282"/>
      <c r="E751" s="1282"/>
      <c r="F751" s="1282"/>
      <c r="G751" s="535"/>
      <c r="H751" s="535"/>
      <c r="I751" s="517"/>
      <c r="J751" s="535"/>
      <c r="K751" s="535"/>
    </row>
    <row r="752" spans="1:11">
      <c r="D752" s="533"/>
      <c r="E752" s="480"/>
      <c r="F752" s="480"/>
      <c r="G752" s="535"/>
      <c r="H752" s="535"/>
      <c r="I752" s="517"/>
      <c r="J752" s="535"/>
      <c r="K752" s="535"/>
    </row>
    <row r="753" spans="1:11" s="539" customFormat="1" ht="12.9">
      <c r="A753" s="537"/>
      <c r="B753" s="519" t="s">
        <v>1070</v>
      </c>
      <c r="C753" s="538"/>
      <c r="D753" s="1282" t="s">
        <v>1349</v>
      </c>
      <c r="E753" s="1282"/>
      <c r="F753" s="1282"/>
      <c r="I753" s="1264" t="s">
        <v>2110</v>
      </c>
    </row>
    <row r="754" spans="1:11" s="539" customFormat="1">
      <c r="A754" s="538"/>
      <c r="B754" s="538"/>
      <c r="C754" s="538"/>
      <c r="D754" s="1282"/>
      <c r="E754" s="1282"/>
      <c r="F754" s="1282"/>
      <c r="I754" s="1264"/>
    </row>
    <row r="755" spans="1:11" s="539" customFormat="1">
      <c r="A755" s="538"/>
      <c r="B755" s="538"/>
      <c r="C755" s="538"/>
      <c r="D755" s="1282"/>
      <c r="E755" s="1282"/>
      <c r="F755" s="1282"/>
      <c r="I755" s="1264"/>
    </row>
    <row r="756" spans="1:11" s="539" customFormat="1">
      <c r="A756" s="538"/>
      <c r="B756" s="538"/>
      <c r="C756" s="538"/>
      <c r="D756" s="1282"/>
      <c r="E756" s="1282"/>
      <c r="F756" s="1282"/>
      <c r="I756" s="1264"/>
    </row>
    <row r="757" spans="1:11" s="539" customFormat="1">
      <c r="A757" s="538"/>
      <c r="B757" s="538"/>
      <c r="C757" s="538"/>
      <c r="D757" s="533"/>
      <c r="I757" s="1264"/>
    </row>
    <row r="758" spans="1:11" s="539" customFormat="1" ht="12.9">
      <c r="A758" s="518"/>
      <c r="B758" s="519" t="s">
        <v>2638</v>
      </c>
      <c r="C758" s="538"/>
      <c r="D758" s="1284" t="s">
        <v>1350</v>
      </c>
      <c r="E758" s="1284"/>
      <c r="F758" s="1284"/>
      <c r="I758" s="1264" t="s">
        <v>2111</v>
      </c>
    </row>
    <row r="759" spans="1:11" s="539" customFormat="1">
      <c r="A759" s="538"/>
      <c r="B759" s="538"/>
      <c r="C759" s="538"/>
      <c r="D759" s="1284"/>
      <c r="E759" s="1284"/>
      <c r="F759" s="1284"/>
      <c r="I759" s="1264"/>
    </row>
    <row r="760" spans="1:11" s="539" customFormat="1">
      <c r="A760" s="538"/>
      <c r="B760" s="538"/>
      <c r="C760" s="538"/>
      <c r="D760" s="1284"/>
      <c r="E760" s="1284"/>
      <c r="F760" s="1284"/>
      <c r="I760" s="1264"/>
    </row>
    <row r="761" spans="1:11">
      <c r="D761" s="533"/>
      <c r="E761" s="480"/>
      <c r="F761" s="480"/>
      <c r="G761" s="535"/>
      <c r="H761" s="535"/>
      <c r="I761" s="517"/>
      <c r="J761" s="535"/>
      <c r="K761" s="535"/>
    </row>
    <row r="762" spans="1:11" ht="12.9">
      <c r="A762" s="518"/>
      <c r="B762" s="519" t="s">
        <v>2638</v>
      </c>
      <c r="D762" s="1282" t="s">
        <v>1305</v>
      </c>
      <c r="E762" s="1282"/>
      <c r="F762" s="1282"/>
      <c r="G762" s="535"/>
      <c r="H762" s="535"/>
      <c r="I762" s="517" t="s">
        <v>2110</v>
      </c>
      <c r="J762" s="535"/>
      <c r="K762" s="535"/>
    </row>
    <row r="763" spans="1:11">
      <c r="D763" s="1282"/>
      <c r="E763" s="1282"/>
      <c r="F763" s="1282"/>
      <c r="G763" s="535"/>
      <c r="H763" s="535"/>
      <c r="I763" s="517"/>
      <c r="J763" s="535"/>
      <c r="K763" s="535"/>
    </row>
    <row r="764" spans="1:11">
      <c r="D764" s="479"/>
      <c r="E764" s="479"/>
      <c r="F764" s="479"/>
      <c r="G764" s="535"/>
      <c r="H764" s="535"/>
      <c r="I764" s="517"/>
      <c r="J764" s="535"/>
      <c r="K764" s="535"/>
    </row>
    <row r="765" spans="1:11">
      <c r="B765" s="519" t="s">
        <v>2638</v>
      </c>
      <c r="D765" s="1282" t="s">
        <v>1322</v>
      </c>
      <c r="E765" s="1282"/>
      <c r="F765" s="1282"/>
      <c r="G765" s="535"/>
      <c r="H765" s="535"/>
      <c r="I765" s="517" t="s">
        <v>2110</v>
      </c>
      <c r="J765" s="535"/>
      <c r="K765" s="535"/>
    </row>
    <row r="766" spans="1:11">
      <c r="D766" s="1282"/>
      <c r="E766" s="1282"/>
      <c r="F766" s="1282"/>
      <c r="G766" s="535"/>
      <c r="H766" s="535"/>
      <c r="I766" s="517"/>
      <c r="J766" s="535"/>
      <c r="K766" s="535"/>
    </row>
    <row r="767" spans="1:11">
      <c r="D767" s="1282"/>
      <c r="E767" s="1282"/>
      <c r="F767" s="1282"/>
      <c r="G767" s="535"/>
      <c r="H767" s="535"/>
      <c r="I767" s="517"/>
      <c r="J767" s="535"/>
      <c r="K767" s="535"/>
    </row>
    <row r="768" spans="1:11">
      <c r="D768" s="479"/>
      <c r="E768" s="479"/>
      <c r="F768" s="479"/>
      <c r="G768" s="535"/>
      <c r="H768" s="535"/>
      <c r="I768" s="517"/>
      <c r="J768" s="535"/>
      <c r="K768" s="535"/>
    </row>
    <row r="769" spans="1:9">
      <c r="A769" s="1336" t="s">
        <v>1993</v>
      </c>
      <c r="B769" s="1336"/>
      <c r="C769" s="1336"/>
      <c r="D769" s="1336"/>
      <c r="E769" s="1336"/>
      <c r="F769" s="1336"/>
      <c r="G769" s="1336"/>
      <c r="H769" s="1063"/>
      <c r="I769" s="1259"/>
    </row>
    <row r="770" spans="1:9">
      <c r="A770" s="57"/>
      <c r="B770" s="57"/>
      <c r="C770" s="385"/>
      <c r="D770" s="3"/>
      <c r="E770" s="3"/>
      <c r="F770" s="3"/>
      <c r="G770" s="3"/>
      <c r="I770" s="524"/>
    </row>
    <row r="771" spans="1:9">
      <c r="A771" s="57"/>
      <c r="B771" s="57"/>
      <c r="C771" s="385"/>
      <c r="D771" s="1346" t="s">
        <v>2047</v>
      </c>
      <c r="E771" s="1346"/>
      <c r="F771" s="1346"/>
      <c r="G771" s="3"/>
      <c r="I771" s="524"/>
    </row>
    <row r="772" spans="1:9">
      <c r="A772" s="57"/>
      <c r="B772" s="57"/>
      <c r="C772" s="385"/>
      <c r="D772" s="1315" t="s">
        <v>1946</v>
      </c>
      <c r="E772" s="1315"/>
      <c r="F772" s="1315"/>
      <c r="G772" s="3"/>
      <c r="I772" s="524"/>
    </row>
    <row r="773" spans="1:9">
      <c r="A773" s="57"/>
      <c r="B773" s="57"/>
      <c r="C773" s="385"/>
      <c r="D773" s="481"/>
      <c r="E773" s="481"/>
      <c r="F773" s="481"/>
      <c r="G773" s="3"/>
      <c r="I773" s="524"/>
    </row>
    <row r="774" spans="1:9">
      <c r="A774" s="57"/>
      <c r="B774" s="519" t="s">
        <v>2638</v>
      </c>
      <c r="C774" s="385"/>
      <c r="D774" s="1300" t="s">
        <v>1947</v>
      </c>
      <c r="E774" s="1300"/>
      <c r="F774" s="1300"/>
      <c r="G774" s="3"/>
      <c r="I774" s="517" t="s">
        <v>2160</v>
      </c>
    </row>
    <row r="775" spans="1:9">
      <c r="A775" s="57"/>
      <c r="B775" s="57"/>
      <c r="C775" s="385"/>
      <c r="D775" s="1300"/>
      <c r="E775" s="1300"/>
      <c r="F775" s="1300"/>
      <c r="G775" s="3"/>
      <c r="I775" s="524"/>
    </row>
    <row r="776" spans="1:9">
      <c r="A776" s="175"/>
      <c r="B776" s="175"/>
      <c r="C776" s="175"/>
      <c r="D776" s="1300"/>
      <c r="E776" s="1300"/>
      <c r="F776" s="1300"/>
      <c r="G776" s="118"/>
      <c r="I776" s="524"/>
    </row>
    <row r="777" spans="1:9">
      <c r="A777" s="385"/>
      <c r="B777" s="385"/>
      <c r="C777" s="385"/>
      <c r="D777" s="174"/>
      <c r="E777" s="3"/>
      <c r="F777" s="3"/>
      <c r="G777" s="3"/>
      <c r="I777" s="524"/>
    </row>
    <row r="778" spans="1:9">
      <c r="A778" s="172"/>
      <c r="B778" s="519" t="s">
        <v>2638</v>
      </c>
      <c r="C778" s="172"/>
      <c r="D778" s="1300" t="s">
        <v>1948</v>
      </c>
      <c r="E778" s="1300"/>
      <c r="F778" s="1300"/>
      <c r="G778" s="3"/>
      <c r="I778" s="517" t="s">
        <v>2160</v>
      </c>
    </row>
    <row r="779" spans="1:9">
      <c r="A779" s="172"/>
      <c r="B779" s="172"/>
      <c r="C779" s="172"/>
      <c r="D779" s="1300"/>
      <c r="E779" s="1300"/>
      <c r="F779" s="1300"/>
      <c r="G779" s="3"/>
      <c r="I779" s="524"/>
    </row>
    <row r="780" spans="1:9">
      <c r="A780" s="172"/>
      <c r="B780" s="172"/>
      <c r="C780" s="172"/>
      <c r="D780" s="1300"/>
      <c r="E780" s="1300"/>
      <c r="F780" s="1300"/>
      <c r="G780" s="3"/>
      <c r="I780" s="524"/>
    </row>
    <row r="781" spans="1:9">
      <c r="A781" s="175"/>
      <c r="B781" s="175"/>
      <c r="C781" s="175"/>
      <c r="D781" s="3"/>
      <c r="E781" s="1023"/>
      <c r="F781" s="1023"/>
      <c r="G781" s="1023"/>
      <c r="I781" s="524"/>
    </row>
    <row r="782" spans="1:9" ht="12.9">
      <c r="A782" s="176"/>
      <c r="B782" s="519" t="s">
        <v>1070</v>
      </c>
      <c r="C782" s="1024"/>
      <c r="D782" s="1300" t="s">
        <v>1949</v>
      </c>
      <c r="E782" s="1300"/>
      <c r="F782" s="1300"/>
      <c r="G782" s="1023"/>
      <c r="I782" s="517" t="s">
        <v>2160</v>
      </c>
    </row>
    <row r="783" spans="1:9" ht="12.9">
      <c r="A783" s="176"/>
      <c r="B783" s="176"/>
      <c r="C783" s="1024"/>
      <c r="D783" s="1300"/>
      <c r="E783" s="1300"/>
      <c r="F783" s="1300"/>
      <c r="G783" s="1023"/>
      <c r="I783" s="524"/>
    </row>
    <row r="784" spans="1:9" ht="12.9">
      <c r="A784" s="176"/>
      <c r="B784" s="176"/>
      <c r="C784" s="1024"/>
      <c r="D784" s="1300"/>
      <c r="E784" s="1300"/>
      <c r="F784" s="1300"/>
      <c r="G784" s="1023"/>
      <c r="I784" s="524"/>
    </row>
    <row r="785" spans="1:9" ht="12.9">
      <c r="A785" s="176"/>
      <c r="B785" s="176"/>
      <c r="C785" s="1024"/>
      <c r="D785" s="118"/>
      <c r="E785" s="3"/>
      <c r="F785" s="3"/>
      <c r="G785" s="1023"/>
      <c r="I785" s="524"/>
    </row>
    <row r="786" spans="1:9" ht="12.9">
      <c r="A786" s="176"/>
      <c r="B786" s="519" t="s">
        <v>2638</v>
      </c>
      <c r="C786" s="1024"/>
      <c r="D786" s="1300" t="s">
        <v>1950</v>
      </c>
      <c r="E786" s="1300"/>
      <c r="F786" s="1300"/>
      <c r="G786" s="1023"/>
      <c r="I786" s="517" t="s">
        <v>2160</v>
      </c>
    </row>
    <row r="787" spans="1:9" ht="12.9">
      <c r="A787" s="176"/>
      <c r="B787" s="176"/>
      <c r="C787" s="1024"/>
      <c r="D787" s="1300"/>
      <c r="E787" s="1300"/>
      <c r="F787" s="1300"/>
      <c r="G787" s="1023"/>
      <c r="I787" s="524"/>
    </row>
    <row r="788" spans="1:9" ht="12.9">
      <c r="A788" s="176"/>
      <c r="B788" s="176"/>
      <c r="C788" s="1024"/>
      <c r="D788" s="1300"/>
      <c r="E788" s="1300"/>
      <c r="F788" s="1300"/>
      <c r="G788" s="1023"/>
      <c r="I788" s="524"/>
    </row>
    <row r="789" spans="1:9" ht="12.9">
      <c r="A789" s="176"/>
      <c r="B789" s="176"/>
      <c r="C789" s="1024"/>
      <c r="D789" s="1300"/>
      <c r="E789" s="1300"/>
      <c r="F789" s="1300"/>
      <c r="G789" s="1023"/>
      <c r="I789" s="524"/>
    </row>
    <row r="790" spans="1:9" ht="12.9">
      <c r="A790" s="176"/>
      <c r="B790" s="176"/>
      <c r="C790" s="1024"/>
      <c r="D790" s="1300"/>
      <c r="E790" s="1300"/>
      <c r="F790" s="1300"/>
      <c r="G790" s="1023"/>
      <c r="I790" s="524"/>
    </row>
    <row r="791" spans="1:9" ht="12.9">
      <c r="A791" s="176"/>
      <c r="B791" s="176"/>
      <c r="C791" s="1024"/>
      <c r="D791" s="1300"/>
      <c r="E791" s="1300"/>
      <c r="F791" s="1300"/>
      <c r="G791" s="1023"/>
      <c r="I791" s="524"/>
    </row>
    <row r="792" spans="1:9" ht="12.9">
      <c r="A792" s="176"/>
      <c r="B792" s="176"/>
      <c r="C792" s="1024"/>
      <c r="D792" s="1300" t="s">
        <v>1994</v>
      </c>
      <c r="E792" s="1300"/>
      <c r="F792" s="1300"/>
      <c r="G792" s="1023"/>
      <c r="I792" s="524"/>
    </row>
    <row r="793" spans="1:9" ht="12.9">
      <c r="A793" s="176"/>
      <c r="B793" s="176"/>
      <c r="C793" s="1024"/>
      <c r="D793" s="1300"/>
      <c r="E793" s="1300"/>
      <c r="F793" s="1300"/>
      <c r="G793" s="1023"/>
      <c r="I793" s="524"/>
    </row>
    <row r="794" spans="1:9" ht="12.9">
      <c r="A794" s="176"/>
      <c r="B794" s="176"/>
      <c r="C794" s="1024"/>
      <c r="D794" s="1300"/>
      <c r="E794" s="1300"/>
      <c r="F794" s="1300"/>
      <c r="G794" s="1023"/>
      <c r="I794" s="524"/>
    </row>
    <row r="795" spans="1:9" ht="12.9">
      <c r="A795" s="176"/>
      <c r="B795" s="385"/>
      <c r="C795" s="1024"/>
      <c r="D795" s="1025"/>
      <c r="E795" s="1025"/>
      <c r="F795" s="1025"/>
      <c r="G795" s="1023"/>
      <c r="I795" s="524"/>
    </row>
    <row r="796" spans="1:9" ht="12.9">
      <c r="A796" s="176"/>
      <c r="B796" s="519" t="s">
        <v>2638</v>
      </c>
      <c r="C796" s="1024"/>
      <c r="D796" s="1300" t="s">
        <v>1951</v>
      </c>
      <c r="E796" s="1300"/>
      <c r="F796" s="1300"/>
      <c r="G796" s="1023"/>
      <c r="I796" s="517" t="s">
        <v>2160</v>
      </c>
    </row>
    <row r="797" spans="1:9" ht="12.9">
      <c r="A797" s="176"/>
      <c r="B797" s="176"/>
      <c r="C797" s="1024"/>
      <c r="D797" s="1300"/>
      <c r="E797" s="1300"/>
      <c r="F797" s="1300"/>
      <c r="G797" s="1023"/>
      <c r="I797" s="524"/>
    </row>
    <row r="798" spans="1:9" ht="12.9">
      <c r="A798" s="176"/>
      <c r="B798" s="176"/>
      <c r="C798" s="1024"/>
      <c r="D798" s="1300"/>
      <c r="E798" s="1300"/>
      <c r="F798" s="1300"/>
      <c r="G798" s="1023"/>
      <c r="I798" s="524"/>
    </row>
    <row r="799" spans="1:9" ht="12.9">
      <c r="A799" s="176"/>
      <c r="B799" s="176"/>
      <c r="C799" s="1024"/>
      <c r="D799" s="1300"/>
      <c r="E799" s="1300"/>
      <c r="F799" s="1300"/>
      <c r="G799" s="1023"/>
      <c r="I799" s="524"/>
    </row>
    <row r="800" spans="1:9" ht="12.9">
      <c r="A800" s="176"/>
      <c r="B800" s="176"/>
      <c r="C800" s="1024"/>
      <c r="D800" s="1300"/>
      <c r="E800" s="1300"/>
      <c r="F800" s="1300"/>
      <c r="G800" s="1023"/>
      <c r="I800" s="524"/>
    </row>
    <row r="801" spans="1:9" ht="12.9">
      <c r="A801" s="176"/>
      <c r="B801" s="176"/>
      <c r="C801" s="1024"/>
      <c r="D801" s="1300"/>
      <c r="E801" s="1300"/>
      <c r="F801" s="1300"/>
      <c r="G801" s="1023"/>
      <c r="I801" s="524"/>
    </row>
    <row r="802" spans="1:9" ht="12.9">
      <c r="A802" s="176"/>
      <c r="B802" s="176"/>
      <c r="C802" s="1024"/>
      <c r="D802" s="1017"/>
      <c r="E802" s="1017"/>
      <c r="F802" s="1017"/>
      <c r="G802" s="1023"/>
      <c r="I802" s="524"/>
    </row>
    <row r="803" spans="1:9" ht="12.9">
      <c r="A803" s="176"/>
      <c r="B803" s="519" t="s">
        <v>1070</v>
      </c>
      <c r="C803" s="1024"/>
      <c r="D803" s="1300" t="s">
        <v>1952</v>
      </c>
      <c r="E803" s="1300"/>
      <c r="F803" s="1300"/>
      <c r="G803" s="1023"/>
      <c r="I803" s="517" t="s">
        <v>2160</v>
      </c>
    </row>
    <row r="804" spans="1:9" ht="12.9">
      <c r="A804" s="176"/>
      <c r="B804" s="176"/>
      <c r="C804" s="1024"/>
      <c r="D804" s="1300"/>
      <c r="E804" s="1300"/>
      <c r="F804" s="1300"/>
      <c r="G804" s="1023"/>
      <c r="I804" s="524"/>
    </row>
    <row r="805" spans="1:9" ht="12.9">
      <c r="A805" s="176"/>
      <c r="B805" s="176"/>
      <c r="C805" s="1024"/>
      <c r="D805" s="1300"/>
      <c r="E805" s="1300"/>
      <c r="F805" s="1300"/>
      <c r="G805" s="1023"/>
      <c r="I805" s="524"/>
    </row>
    <row r="806" spans="1:9" ht="12.9">
      <c r="A806" s="176"/>
      <c r="B806" s="176"/>
      <c r="C806" s="1024"/>
      <c r="D806" s="1300"/>
      <c r="E806" s="1300"/>
      <c r="F806" s="1300"/>
      <c r="G806" s="1023"/>
      <c r="I806" s="524"/>
    </row>
    <row r="807" spans="1:9" ht="12.9">
      <c r="A807" s="176"/>
      <c r="B807" s="176"/>
      <c r="C807" s="1024"/>
      <c r="D807" s="1300"/>
      <c r="E807" s="1300"/>
      <c r="F807" s="1300"/>
      <c r="G807" s="1023"/>
      <c r="I807" s="524"/>
    </row>
    <row r="808" spans="1:9" ht="12.9">
      <c r="A808" s="176"/>
      <c r="B808" s="176"/>
      <c r="C808" s="1024"/>
      <c r="D808" s="1300"/>
      <c r="E808" s="1300"/>
      <c r="F808" s="1300"/>
      <c r="G808" s="1023"/>
      <c r="I808" s="524"/>
    </row>
    <row r="809" spans="1:9" ht="12.9">
      <c r="A809" s="176"/>
      <c r="B809" s="176"/>
      <c r="C809" s="1024"/>
      <c r="D809" s="1017"/>
      <c r="E809" s="1017"/>
      <c r="F809" s="1017"/>
      <c r="G809" s="1023"/>
      <c r="I809" s="524"/>
    </row>
    <row r="810" spans="1:9" ht="12.9">
      <c r="A810" s="176"/>
      <c r="B810" s="519" t="s">
        <v>1070</v>
      </c>
      <c r="C810" s="1024"/>
      <c r="D810" s="1308" t="s">
        <v>1953</v>
      </c>
      <c r="E810" s="1308"/>
      <c r="F810" s="1308"/>
      <c r="G810" s="1023"/>
      <c r="I810" s="517" t="s">
        <v>2160</v>
      </c>
    </row>
    <row r="811" spans="1:9" ht="12.9">
      <c r="A811" s="176"/>
      <c r="B811" s="176"/>
      <c r="C811" s="1024"/>
      <c r="D811" s="1308"/>
      <c r="E811" s="1308"/>
      <c r="F811" s="1308"/>
      <c r="G811" s="1023"/>
      <c r="I811" s="524"/>
    </row>
    <row r="812" spans="1:9">
      <c r="A812" s="13"/>
      <c r="B812" s="13"/>
      <c r="C812" s="1024"/>
      <c r="D812" s="1308"/>
      <c r="E812" s="1308"/>
      <c r="F812" s="1308"/>
      <c r="G812" s="1023"/>
      <c r="I812" s="524"/>
    </row>
    <row r="813" spans="1:9" ht="12.9">
      <c r="A813" s="176"/>
      <c r="B813" s="13"/>
      <c r="C813" s="1024"/>
      <c r="D813" s="1308"/>
      <c r="E813" s="1308"/>
      <c r="F813" s="1308"/>
      <c r="G813" s="1023"/>
      <c r="I813" s="524"/>
    </row>
    <row r="814" spans="1:9" ht="12.75" customHeight="1">
      <c r="A814" s="176"/>
      <c r="B814" s="13"/>
      <c r="C814" s="1024"/>
      <c r="D814" s="1308"/>
      <c r="E814" s="1308"/>
      <c r="F814" s="1308"/>
      <c r="G814" s="1023"/>
      <c r="I814" s="524"/>
    </row>
    <row r="815" spans="1:9" ht="12.75" customHeight="1">
      <c r="A815" s="176"/>
      <c r="B815" s="13"/>
      <c r="C815" s="1024"/>
      <c r="D815" s="1308"/>
      <c r="E815" s="1308"/>
      <c r="F815" s="1308"/>
      <c r="G815" s="1023"/>
      <c r="I815" s="524"/>
    </row>
    <row r="816" spans="1:9" ht="12.75" customHeight="1">
      <c r="A816" s="13"/>
      <c r="B816" s="13"/>
      <c r="C816" s="1024"/>
      <c r="D816" s="1023"/>
      <c r="E816" s="3"/>
      <c r="F816" s="3"/>
      <c r="G816" s="1023"/>
      <c r="I816" s="524"/>
    </row>
    <row r="817" spans="1:9" ht="12.75" customHeight="1">
      <c r="A817" s="1295" t="s">
        <v>1954</v>
      </c>
      <c r="B817" s="1295"/>
      <c r="C817" s="1295"/>
      <c r="D817" s="1295"/>
      <c r="E817" s="1295"/>
      <c r="F817" s="1295"/>
      <c r="G817" s="1295"/>
      <c r="H817" s="1063"/>
      <c r="I817" s="1259"/>
    </row>
    <row r="818" spans="1:9" ht="12.75" customHeight="1">
      <c r="A818" s="172"/>
      <c r="B818" s="172"/>
      <c r="C818" s="1024"/>
      <c r="D818" s="1023"/>
      <c r="E818" s="1023"/>
      <c r="F818" s="1023"/>
      <c r="G818" s="1023"/>
      <c r="I818" s="524"/>
    </row>
    <row r="819" spans="1:9" ht="12.75" customHeight="1">
      <c r="A819" s="176"/>
      <c r="B819" s="176"/>
      <c r="C819" s="385"/>
      <c r="D819" s="1299" t="s">
        <v>1995</v>
      </c>
      <c r="E819" s="1299"/>
      <c r="F819" s="1299"/>
      <c r="G819" s="3"/>
      <c r="I819" s="524"/>
    </row>
    <row r="820" spans="1:9" ht="14.25" customHeight="1">
      <c r="A820" s="176"/>
      <c r="B820" s="176"/>
      <c r="C820" s="385"/>
      <c r="D820" s="1267" t="s">
        <v>1955</v>
      </c>
      <c r="E820" s="1267"/>
      <c r="F820" s="1267"/>
      <c r="G820" s="3"/>
      <c r="I820" s="524"/>
    </row>
    <row r="821" spans="1:9" ht="12.75" customHeight="1">
      <c r="A821" s="176"/>
      <c r="B821" s="176"/>
      <c r="C821" s="385"/>
      <c r="D821" s="474"/>
      <c r="E821" s="474"/>
      <c r="F821" s="474"/>
      <c r="G821" s="3"/>
      <c r="I821" s="524"/>
    </row>
    <row r="822" spans="1:9" ht="12.75" customHeight="1">
      <c r="A822" s="385"/>
      <c r="B822" s="519" t="s">
        <v>1070</v>
      </c>
      <c r="C822" s="1024"/>
      <c r="D822" s="1267" t="s">
        <v>1956</v>
      </c>
      <c r="E822" s="1267"/>
      <c r="F822" s="1267"/>
      <c r="G822" s="3"/>
      <c r="I822" s="524" t="s">
        <v>2128</v>
      </c>
    </row>
    <row r="823" spans="1:9" ht="14.25" customHeight="1">
      <c r="A823" s="13"/>
      <c r="B823" s="13"/>
      <c r="C823" s="1024"/>
      <c r="E823" s="1071" t="s">
        <v>2197</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4" t="s">
        <v>2393</v>
      </c>
      <c r="E825" s="1344"/>
      <c r="F825" s="1344"/>
      <c r="G825" s="3"/>
      <c r="I825" s="524"/>
    </row>
    <row r="826" spans="1:9" ht="12.75" hidden="1" customHeight="1">
      <c r="A826" s="13"/>
      <c r="B826" s="13"/>
      <c r="C826" s="1024"/>
      <c r="D826" s="1344"/>
      <c r="E826" s="1344"/>
      <c r="F826" s="1344"/>
      <c r="G826" s="3"/>
      <c r="I826" s="524"/>
    </row>
    <row r="827" spans="1:9" ht="12.75" hidden="1" customHeight="1">
      <c r="A827" s="13"/>
      <c r="B827" s="13"/>
      <c r="C827" s="1024"/>
      <c r="D827" s="1344"/>
      <c r="E827" s="1344"/>
      <c r="F827" s="1344"/>
      <c r="G827" s="3"/>
      <c r="I827" s="524"/>
    </row>
    <row r="828" spans="1:9" ht="12.75" hidden="1" customHeight="1">
      <c r="A828" s="13"/>
      <c r="B828" s="13"/>
      <c r="C828" s="1024"/>
      <c r="D828" s="1344"/>
      <c r="E828" s="1344"/>
      <c r="F828" s="1344"/>
      <c r="G828" s="3"/>
      <c r="I828" s="524"/>
    </row>
    <row r="829" spans="1:9" ht="12.75" hidden="1" customHeight="1">
      <c r="A829" s="13"/>
      <c r="B829" s="13"/>
      <c r="C829" s="1024"/>
      <c r="D829" s="1344"/>
      <c r="E829" s="1344"/>
      <c r="F829" s="1344"/>
      <c r="G829" s="3"/>
      <c r="I829" s="524"/>
    </row>
    <row r="830" spans="1:9" ht="12.75" hidden="1" customHeight="1">
      <c r="A830" s="13"/>
      <c r="B830" s="13"/>
      <c r="C830" s="1024"/>
      <c r="D830" s="1344"/>
      <c r="E830" s="1344"/>
      <c r="F830" s="1344"/>
      <c r="G830" s="3"/>
      <c r="I830" s="524"/>
    </row>
    <row r="831" spans="1:9" ht="12.75" hidden="1" customHeight="1">
      <c r="A831" s="13"/>
      <c r="B831" s="13"/>
      <c r="C831" s="1024"/>
      <c r="D831" s="1344"/>
      <c r="E831" s="1344"/>
      <c r="F831" s="1344"/>
      <c r="G831" s="3"/>
      <c r="I831" s="524"/>
    </row>
    <row r="832" spans="1:9" ht="12.75" hidden="1" customHeight="1">
      <c r="A832" s="13"/>
      <c r="B832" s="13"/>
      <c r="C832" s="1024"/>
      <c r="D832" s="1344"/>
      <c r="E832" s="1344"/>
      <c r="F832" s="1344"/>
      <c r="G832" s="3"/>
      <c r="I832" s="524"/>
    </row>
    <row r="833" spans="1:9" ht="12.75" hidden="1" customHeight="1">
      <c r="A833" s="13"/>
      <c r="B833" s="13"/>
      <c r="C833" s="1024"/>
      <c r="D833" s="1344"/>
      <c r="E833" s="1344"/>
      <c r="F833" s="1344"/>
      <c r="G833" s="3"/>
      <c r="I833" s="524"/>
    </row>
    <row r="834" spans="1:9" ht="12.75" hidden="1" customHeight="1">
      <c r="A834" s="13"/>
      <c r="B834" s="13"/>
      <c r="C834" s="1024"/>
      <c r="D834" s="1344"/>
      <c r="E834" s="1344"/>
      <c r="F834" s="1344"/>
      <c r="G834" s="3"/>
      <c r="I834" s="524"/>
    </row>
    <row r="835" spans="1:9" ht="12.75" hidden="1" customHeight="1">
      <c r="A835" s="13"/>
      <c r="B835" s="13"/>
      <c r="C835" s="1024"/>
      <c r="D835" s="1026"/>
      <c r="E835" s="3"/>
      <c r="F835" s="3"/>
      <c r="G835" s="3"/>
      <c r="I835" s="524"/>
    </row>
    <row r="836" spans="1:9" ht="12.75" customHeight="1">
      <c r="A836" s="176"/>
      <c r="B836" s="519" t="s">
        <v>1070</v>
      </c>
      <c r="C836" s="1024"/>
      <c r="D836" s="1267" t="s">
        <v>1957</v>
      </c>
      <c r="E836" s="1267"/>
      <c r="F836" s="1267"/>
      <c r="G836" s="3"/>
      <c r="I836" s="524" t="s">
        <v>2146</v>
      </c>
    </row>
    <row r="837" spans="1:9" ht="12.75" customHeight="1">
      <c r="A837" s="176"/>
      <c r="B837" s="176"/>
      <c r="C837" s="1024"/>
      <c r="D837" s="1267"/>
      <c r="E837" s="1267"/>
      <c r="F837" s="1267"/>
      <c r="G837" s="3"/>
      <c r="I837" s="524"/>
    </row>
    <row r="838" spans="1:9" ht="12.75" customHeight="1">
      <c r="A838" s="176"/>
      <c r="B838" s="176"/>
      <c r="C838" s="1024"/>
      <c r="D838" s="1267"/>
      <c r="E838" s="1267"/>
      <c r="F838" s="1267"/>
      <c r="G838" s="3"/>
      <c r="I838" s="524"/>
    </row>
    <row r="839" spans="1:9" ht="12.75" customHeight="1">
      <c r="A839" s="176"/>
      <c r="B839" s="176"/>
      <c r="C839" s="1024"/>
      <c r="D839" s="118"/>
      <c r="E839" s="3"/>
      <c r="F839" s="3"/>
      <c r="G839" s="3"/>
      <c r="I839" s="524"/>
    </row>
    <row r="840" spans="1:9" ht="12.75" customHeight="1">
      <c r="A840" s="1027"/>
      <c r="B840" s="519" t="s">
        <v>2638</v>
      </c>
      <c r="C840" s="1024"/>
      <c r="D840" s="1299" t="s">
        <v>1958</v>
      </c>
      <c r="E840" s="1299"/>
      <c r="F840" s="1299"/>
      <c r="G840" s="3"/>
      <c r="I840" s="524"/>
    </row>
    <row r="841" spans="1:9" ht="12.75" customHeight="1">
      <c r="A841" s="385"/>
      <c r="B841" s="1027"/>
      <c r="C841" s="1024"/>
      <c r="D841" s="1299"/>
      <c r="E841" s="1299"/>
      <c r="F841" s="1299"/>
      <c r="G841" s="3"/>
      <c r="I841" s="524"/>
    </row>
    <row r="842" spans="1:9" ht="12.75" customHeight="1">
      <c r="A842" s="176"/>
      <c r="B842" s="385"/>
      <c r="C842" s="1024"/>
      <c r="D842" s="1267" t="s">
        <v>2384</v>
      </c>
      <c r="E842" s="1267"/>
      <c r="F842" s="1267"/>
      <c r="G842" s="3"/>
      <c r="I842" s="524"/>
    </row>
    <row r="843" spans="1:9" ht="12.75" customHeight="1">
      <c r="A843" s="176"/>
      <c r="B843" s="176"/>
      <c r="C843" s="1024"/>
      <c r="D843" s="1267"/>
      <c r="E843" s="1267"/>
      <c r="F843" s="1267"/>
      <c r="G843" s="3"/>
      <c r="I843" s="524"/>
    </row>
    <row r="844" spans="1:9" ht="12.75" customHeight="1">
      <c r="A844" s="176"/>
      <c r="B844" s="176"/>
      <c r="C844" s="1024"/>
      <c r="D844" s="1267"/>
      <c r="E844" s="1267"/>
      <c r="F844" s="1267"/>
      <c r="G844" s="3"/>
      <c r="I844" s="524"/>
    </row>
    <row r="845" spans="1:9" ht="12.75" customHeight="1">
      <c r="A845" s="176"/>
      <c r="B845" s="176"/>
      <c r="C845" s="1024"/>
      <c r="D845" s="1267"/>
      <c r="E845" s="1267"/>
      <c r="F845" s="1267"/>
      <c r="G845" s="3"/>
      <c r="I845" s="524"/>
    </row>
    <row r="846" spans="1:9" ht="12.75" customHeight="1">
      <c r="A846" s="176"/>
      <c r="B846" s="176"/>
      <c r="C846" s="1024"/>
      <c r="D846" s="1267"/>
      <c r="E846" s="1267"/>
      <c r="F846" s="1267"/>
      <c r="G846" s="3"/>
      <c r="I846" s="524"/>
    </row>
    <row r="847" spans="1:9" ht="12.75" customHeight="1">
      <c r="A847" s="176"/>
      <c r="B847" s="176"/>
      <c r="C847" s="1024"/>
      <c r="D847" s="1267"/>
      <c r="E847" s="1267"/>
      <c r="F847" s="1267"/>
      <c r="G847" s="3"/>
      <c r="I847" s="524"/>
    </row>
    <row r="848" spans="1:9" ht="12.75" customHeight="1">
      <c r="A848" s="176"/>
      <c r="B848" s="176"/>
      <c r="C848" s="1024"/>
      <c r="D848" s="118"/>
      <c r="E848" s="3"/>
      <c r="F848" s="3"/>
      <c r="G848" s="3"/>
      <c r="I848" s="524"/>
    </row>
    <row r="849" spans="1:9" ht="12.75" customHeight="1">
      <c r="A849" s="176"/>
      <c r="B849" s="519" t="s">
        <v>2638</v>
      </c>
      <c r="C849" s="1024"/>
      <c r="D849" s="1267" t="s">
        <v>1959</v>
      </c>
      <c r="E849" s="1267"/>
      <c r="F849" s="1267"/>
      <c r="G849" s="3"/>
      <c r="I849" s="524" t="s">
        <v>2129</v>
      </c>
    </row>
    <row r="850" spans="1:9" ht="12.75" customHeight="1">
      <c r="A850" s="176"/>
      <c r="B850" s="176"/>
      <c r="C850" s="1024"/>
      <c r="D850" s="1267" t="s">
        <v>1960</v>
      </c>
      <c r="E850" s="1267"/>
      <c r="F850" s="1267"/>
      <c r="G850" s="3"/>
      <c r="I850" s="524"/>
    </row>
    <row r="851" spans="1:9" ht="12.75" customHeight="1">
      <c r="A851" s="176"/>
      <c r="B851" s="176"/>
      <c r="C851" s="1024"/>
      <c r="E851" s="1071" t="s">
        <v>2199</v>
      </c>
      <c r="F851" s="1073"/>
      <c r="G851" s="3"/>
      <c r="I851" s="524"/>
    </row>
    <row r="852" spans="1:9" ht="12.75" customHeight="1">
      <c r="A852" s="176"/>
      <c r="B852" s="176"/>
      <c r="C852" s="1024"/>
      <c r="D852" s="118"/>
      <c r="E852" s="3"/>
      <c r="F852" s="3"/>
      <c r="G852" s="3"/>
      <c r="I852" s="524"/>
    </row>
    <row r="853" spans="1:9" ht="12.75" customHeight="1">
      <c r="A853" s="176"/>
      <c r="B853" s="519" t="s">
        <v>2638</v>
      </c>
      <c r="C853" s="1024"/>
      <c r="D853" s="1267" t="s">
        <v>1961</v>
      </c>
      <c r="E853" s="1267"/>
      <c r="F853" s="1267"/>
      <c r="G853" s="3"/>
      <c r="I853" s="524" t="s">
        <v>2147</v>
      </c>
    </row>
    <row r="854" spans="1:9" ht="12.75" customHeight="1">
      <c r="A854" s="176"/>
      <c r="B854" s="176"/>
      <c r="C854" s="1024"/>
      <c r="D854" s="1267"/>
      <c r="E854" s="1267"/>
      <c r="F854" s="1267"/>
      <c r="G854" s="3"/>
      <c r="I854" s="524"/>
    </row>
    <row r="855" spans="1:9" ht="12.75" customHeight="1">
      <c r="A855" s="176"/>
      <c r="B855" s="176"/>
      <c r="C855" s="1024"/>
      <c r="D855" s="1267"/>
      <c r="E855" s="1267"/>
      <c r="F855" s="1267"/>
      <c r="G855" s="3"/>
      <c r="I855" s="524"/>
    </row>
    <row r="856" spans="1:9" ht="12.75" customHeight="1">
      <c r="A856" s="176"/>
      <c r="B856" s="176"/>
      <c r="C856" s="1024"/>
      <c r="D856" s="1267"/>
      <c r="E856" s="1267"/>
      <c r="F856" s="1267"/>
      <c r="G856" s="3"/>
      <c r="I856" s="524"/>
    </row>
    <row r="857" spans="1:9" ht="12.75" customHeight="1">
      <c r="A857" s="172"/>
      <c r="B857" s="172"/>
      <c r="C857" s="172"/>
      <c r="D857" s="118"/>
      <c r="E857" s="3"/>
      <c r="F857" s="3"/>
      <c r="G857" s="3"/>
      <c r="I857" s="524"/>
    </row>
    <row r="858" spans="1:9" ht="12.75" customHeight="1">
      <c r="A858" s="1018" t="s">
        <v>1962</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6" t="s">
        <v>1996</v>
      </c>
      <c r="E860" s="1286"/>
      <c r="F860" s="1286"/>
      <c r="G860" s="1023"/>
      <c r="I860" s="524"/>
    </row>
    <row r="861" spans="1:9" ht="12.75" customHeight="1">
      <c r="A861" s="385"/>
      <c r="B861" s="385"/>
      <c r="C861" s="175"/>
      <c r="D861" s="1343" t="s">
        <v>1963</v>
      </c>
      <c r="E861" s="1343"/>
      <c r="F861" s="1343"/>
      <c r="G861" s="1023"/>
      <c r="I861" s="524"/>
    </row>
    <row r="862" spans="1:9" ht="12.75" customHeight="1">
      <c r="A862" s="385"/>
      <c r="B862" s="385"/>
      <c r="C862" s="175"/>
      <c r="D862" s="1030"/>
      <c r="E862" s="1030"/>
      <c r="F862" s="1030"/>
      <c r="G862" s="1023"/>
      <c r="I862" s="524"/>
    </row>
    <row r="863" spans="1:9" ht="12.75" customHeight="1">
      <c r="A863" s="176"/>
      <c r="B863" s="519" t="s">
        <v>1070</v>
      </c>
      <c r="C863" s="385"/>
      <c r="D863" s="1287" t="s">
        <v>1964</v>
      </c>
      <c r="E863" s="1287"/>
      <c r="F863" s="1287"/>
      <c r="G863" s="1023"/>
      <c r="I863" s="524" t="s">
        <v>2129</v>
      </c>
    </row>
    <row r="864" spans="1:9" ht="12.75" customHeight="1">
      <c r="A864" s="385"/>
      <c r="B864" s="385"/>
      <c r="C864" s="385"/>
      <c r="D864" s="2" t="s">
        <v>1939</v>
      </c>
      <c r="E864" s="1071" t="s">
        <v>2199</v>
      </c>
      <c r="F864" s="1074"/>
      <c r="G864" s="1023"/>
      <c r="I864" s="524"/>
    </row>
    <row r="865" spans="1:9" ht="12.75" customHeight="1">
      <c r="A865" s="385"/>
      <c r="B865" s="385"/>
      <c r="C865" s="385"/>
      <c r="D865" s="118"/>
      <c r="E865" s="1023"/>
      <c r="F865" s="1023"/>
      <c r="G865" s="1023"/>
      <c r="I865" s="524"/>
    </row>
    <row r="866" spans="1:9" ht="12.75" customHeight="1">
      <c r="A866" s="176"/>
      <c r="B866" s="519" t="s">
        <v>1070</v>
      </c>
      <c r="C866" s="385"/>
      <c r="D866" s="1267" t="s">
        <v>1965</v>
      </c>
      <c r="E866" s="1316"/>
      <c r="F866" s="1316"/>
      <c r="G866" s="3"/>
      <c r="I866" s="524" t="s">
        <v>2147</v>
      </c>
    </row>
    <row r="867" spans="1:9" ht="12.75" customHeight="1">
      <c r="A867" s="385"/>
      <c r="B867" s="385"/>
      <c r="C867" s="385"/>
      <c r="D867" s="1316"/>
      <c r="E867" s="1316"/>
      <c r="F867" s="1316"/>
      <c r="G867" s="3"/>
      <c r="I867" s="524"/>
    </row>
    <row r="868" spans="1:9" ht="12.75" customHeight="1">
      <c r="A868" s="385"/>
      <c r="B868" s="385"/>
      <c r="C868" s="385"/>
      <c r="D868" s="118"/>
      <c r="E868" s="3"/>
      <c r="F868" s="3"/>
      <c r="G868" s="3"/>
      <c r="I868" s="524"/>
    </row>
    <row r="869" spans="1:9" ht="12.75" customHeight="1">
      <c r="A869" s="385"/>
      <c r="B869" s="519" t="s">
        <v>2638</v>
      </c>
      <c r="C869" s="385"/>
      <c r="D869" s="1347" t="s">
        <v>1966</v>
      </c>
      <c r="E869" s="1347"/>
      <c r="F869" s="1347"/>
      <c r="G869" s="1023"/>
      <c r="I869" s="524"/>
    </row>
    <row r="870" spans="1:9" ht="12.75" customHeight="1">
      <c r="A870" s="385"/>
      <c r="B870" s="1031"/>
      <c r="C870" s="385"/>
      <c r="D870" s="1347"/>
      <c r="E870" s="1347"/>
      <c r="F870" s="1347"/>
      <c r="G870" s="1023"/>
      <c r="I870" s="524"/>
    </row>
    <row r="871" spans="1:9" ht="12.75" customHeight="1">
      <c r="A871" s="176"/>
      <c r="B871"/>
      <c r="C871" s="385"/>
      <c r="D871" s="1267" t="s">
        <v>2384</v>
      </c>
      <c r="E871" s="1267"/>
      <c r="F871" s="1267"/>
      <c r="G871" s="1023"/>
      <c r="I871" s="524"/>
    </row>
    <row r="872" spans="1:9" ht="12.75" customHeight="1">
      <c r="A872" s="176"/>
      <c r="B872" s="176"/>
      <c r="C872" s="385"/>
      <c r="D872" s="1267"/>
      <c r="E872" s="1267"/>
      <c r="F872" s="1267"/>
      <c r="G872" s="1023"/>
      <c r="I872" s="524"/>
    </row>
    <row r="873" spans="1:9" ht="12.75" customHeight="1">
      <c r="A873" s="176"/>
      <c r="B873" s="176"/>
      <c r="C873" s="385"/>
      <c r="D873" s="1267"/>
      <c r="E873" s="1267"/>
      <c r="F873" s="1267"/>
      <c r="G873" s="1023"/>
      <c r="I873" s="524"/>
    </row>
    <row r="874" spans="1:9" ht="12.75" customHeight="1">
      <c r="A874" s="176"/>
      <c r="B874" s="176"/>
      <c r="C874" s="385"/>
      <c r="D874" s="1267"/>
      <c r="E874" s="1267"/>
      <c r="F874" s="1267"/>
      <c r="G874" s="1023"/>
      <c r="I874" s="524"/>
    </row>
    <row r="875" spans="1:9" ht="12.75" customHeight="1">
      <c r="A875" s="176"/>
      <c r="B875" s="176"/>
      <c r="C875" s="385"/>
      <c r="D875" s="1267"/>
      <c r="E875" s="1267"/>
      <c r="F875" s="1267"/>
      <c r="G875" s="1023"/>
      <c r="I875" s="524"/>
    </row>
    <row r="876" spans="1:9" ht="12.75" customHeight="1">
      <c r="A876" s="176"/>
      <c r="B876" s="176"/>
      <c r="C876" s="385"/>
      <c r="D876" s="1267"/>
      <c r="E876" s="1267"/>
      <c r="F876" s="1267"/>
      <c r="G876" s="1023"/>
      <c r="I876" s="524"/>
    </row>
    <row r="877" spans="1:9" ht="12.75" customHeight="1">
      <c r="A877" s="176"/>
      <c r="B877" s="176"/>
      <c r="C877" s="385"/>
      <c r="D877" s="118"/>
      <c r="E877" s="1023"/>
      <c r="F877" s="1023"/>
      <c r="G877" s="1023"/>
      <c r="I877" s="524"/>
    </row>
    <row r="878" spans="1:9" ht="12.75" customHeight="1">
      <c r="A878" s="176"/>
      <c r="B878" s="519" t="s">
        <v>2638</v>
      </c>
      <c r="C878" s="385"/>
      <c r="D878" s="1291" t="s">
        <v>1959</v>
      </c>
      <c r="E878" s="1291"/>
      <c r="F878" s="1291"/>
      <c r="G878" s="1023"/>
      <c r="I878" s="524" t="s">
        <v>2129</v>
      </c>
    </row>
    <row r="879" spans="1:9" ht="12.75" customHeight="1">
      <c r="A879" s="176"/>
      <c r="B879" s="176"/>
      <c r="C879" s="385"/>
      <c r="D879" s="1291" t="s">
        <v>1960</v>
      </c>
      <c r="E879" s="1291"/>
      <c r="F879" s="1291"/>
      <c r="G879" s="1023"/>
      <c r="I879" s="524"/>
    </row>
    <row r="880" spans="1:9" ht="12.75" customHeight="1">
      <c r="A880" s="176"/>
      <c r="B880" s="176"/>
      <c r="C880" s="385"/>
      <c r="D880" s="2" t="s">
        <v>1381</v>
      </c>
      <c r="E880" s="1071" t="s">
        <v>2199</v>
      </c>
      <c r="F880" s="1075"/>
      <c r="G880" s="1023"/>
      <c r="I880" s="524"/>
    </row>
    <row r="881" spans="1:9" ht="12.75" customHeight="1">
      <c r="A881" s="176"/>
      <c r="B881" s="176"/>
      <c r="C881" s="385"/>
      <c r="D881" s="118"/>
      <c r="E881" s="1023"/>
      <c r="F881" s="1023"/>
      <c r="G881" s="1023"/>
      <c r="I881" s="524"/>
    </row>
    <row r="882" spans="1:9" ht="12.75" customHeight="1">
      <c r="A882" s="176"/>
      <c r="B882" s="519" t="s">
        <v>2638</v>
      </c>
      <c r="C882" s="385"/>
      <c r="D882" s="1267" t="s">
        <v>1961</v>
      </c>
      <c r="E882" s="1267"/>
      <c r="F882" s="1267"/>
      <c r="G882" s="1023"/>
      <c r="I882" s="524" t="s">
        <v>2147</v>
      </c>
    </row>
    <row r="883" spans="1:9" ht="12.75" customHeight="1">
      <c r="A883" s="176"/>
      <c r="B883" s="176"/>
      <c r="C883" s="385"/>
      <c r="D883" s="1267"/>
      <c r="E883" s="1267"/>
      <c r="F883" s="1267"/>
      <c r="G883" s="1023"/>
      <c r="I883" s="524"/>
    </row>
    <row r="884" spans="1:9" ht="12.75" customHeight="1">
      <c r="A884" s="176"/>
      <c r="B884" s="176"/>
      <c r="C884" s="385"/>
      <c r="D884" s="1267"/>
      <c r="E884" s="1267"/>
      <c r="F884" s="1267"/>
      <c r="G884" s="1023"/>
      <c r="I884" s="524"/>
    </row>
    <row r="885" spans="1:9" ht="12.75" customHeight="1">
      <c r="A885" s="176"/>
      <c r="B885" s="176"/>
      <c r="C885" s="385"/>
      <c r="D885" s="1267"/>
      <c r="E885" s="1267"/>
      <c r="F885" s="1267"/>
      <c r="G885" s="1023"/>
      <c r="I885" s="524"/>
    </row>
    <row r="886" spans="1:9" ht="12.75" customHeight="1">
      <c r="A886" s="118"/>
      <c r="B886" s="118"/>
      <c r="C886" s="1024"/>
      <c r="D886" s="1023"/>
      <c r="E886" s="1023"/>
      <c r="F886" s="1023"/>
      <c r="G886" s="1023"/>
      <c r="I886" s="524"/>
    </row>
    <row r="887" spans="1:9" ht="12.75" customHeight="1">
      <c r="A887" s="1295" t="s">
        <v>1997</v>
      </c>
      <c r="B887" s="1295"/>
      <c r="C887" s="1295"/>
      <c r="D887" s="1295"/>
      <c r="E887" s="1295"/>
      <c r="F887" s="1295"/>
      <c r="G887" s="1295"/>
      <c r="H887" s="1063"/>
      <c r="I887" s="1259"/>
    </row>
    <row r="888" spans="1:9" ht="12.75" customHeight="1">
      <c r="A888" s="57"/>
      <c r="B888" s="57"/>
      <c r="C888" s="57"/>
      <c r="D888" s="57"/>
      <c r="E888" s="57"/>
      <c r="F888" s="57"/>
      <c r="G888" s="57"/>
      <c r="I888" s="524"/>
    </row>
    <row r="889" spans="1:9" ht="12.75" customHeight="1">
      <c r="A889" s="57"/>
      <c r="B889" s="57"/>
      <c r="C889" s="57"/>
      <c r="D889" s="1301" t="s">
        <v>2003</v>
      </c>
      <c r="E889" s="1301"/>
      <c r="F889" s="1301"/>
      <c r="G889" s="57"/>
      <c r="I889" s="524"/>
    </row>
    <row r="890" spans="1:9" ht="12.75" customHeight="1">
      <c r="A890" s="57"/>
      <c r="B890" s="57"/>
      <c r="C890" s="57"/>
      <c r="D890" s="1016"/>
      <c r="E890" s="1016"/>
      <c r="F890" s="1016"/>
      <c r="G890" s="57"/>
      <c r="I890" s="524"/>
    </row>
    <row r="891" spans="1:9" ht="12.75" customHeight="1">
      <c r="A891" s="57"/>
      <c r="B891" s="519" t="s">
        <v>1070</v>
      </c>
      <c r="C891" s="57"/>
      <c r="D891" s="1019" t="s">
        <v>2004</v>
      </c>
      <c r="E891" s="1016"/>
      <c r="F891" s="1016"/>
      <c r="G891" s="57"/>
      <c r="I891" s="524" t="s">
        <v>2161</v>
      </c>
    </row>
    <row r="892" spans="1:9" ht="12.75" customHeight="1">
      <c r="A892" s="57"/>
      <c r="B892" s="57"/>
      <c r="C892" s="57"/>
      <c r="D892" s="1016"/>
      <c r="E892" s="1016"/>
      <c r="F892" s="1016"/>
      <c r="G892" s="57"/>
      <c r="I892" s="524"/>
    </row>
    <row r="893" spans="1:9" ht="12.75" customHeight="1">
      <c r="A893" s="385"/>
      <c r="B893" s="385"/>
      <c r="C893" s="1024"/>
      <c r="D893" s="1301" t="s">
        <v>1998</v>
      </c>
      <c r="E893" s="1301"/>
      <c r="F893" s="1301"/>
      <c r="G893" s="1023"/>
      <c r="I893" s="524"/>
    </row>
    <row r="894" spans="1:9" ht="12.75" customHeight="1">
      <c r="A894" s="172"/>
      <c r="B894" s="172"/>
      <c r="C894" s="172"/>
      <c r="D894" s="1287" t="s">
        <v>1967</v>
      </c>
      <c r="E894" s="1287"/>
      <c r="F894" s="1287"/>
      <c r="G894" s="1023"/>
      <c r="I894" s="524"/>
    </row>
    <row r="895" spans="1:9" ht="12.75" customHeight="1">
      <c r="A895" s="1024"/>
      <c r="B895" s="1024"/>
      <c r="C895" s="1024"/>
      <c r="D895" s="2"/>
      <c r="E895" s="1023"/>
      <c r="F895" s="1023"/>
      <c r="G895" s="1023"/>
      <c r="I895" s="524"/>
    </row>
    <row r="896" spans="1:9" ht="12.75" customHeight="1">
      <c r="A896" s="176"/>
      <c r="B896" s="519" t="s">
        <v>1070</v>
      </c>
      <c r="C896" s="385"/>
      <c r="D896" s="1267" t="s">
        <v>1971</v>
      </c>
      <c r="E896" s="1267"/>
      <c r="F896" s="1267"/>
      <c r="G896" s="3"/>
      <c r="I896" s="524" t="s">
        <v>2113</v>
      </c>
    </row>
    <row r="897" spans="1:9" ht="12.75" customHeight="1">
      <c r="A897" s="385"/>
      <c r="B897" s="385"/>
      <c r="C897" s="385"/>
      <c r="D897" s="1267"/>
      <c r="E897" s="1267"/>
      <c r="F897" s="1267"/>
      <c r="G897" s="3"/>
      <c r="I897" s="524"/>
    </row>
    <row r="898" spans="1:9" ht="12.75" customHeight="1">
      <c r="A898" s="172"/>
      <c r="B898" s="172"/>
      <c r="C898" s="172"/>
      <c r="D898" s="1267" t="s">
        <v>1970</v>
      </c>
      <c r="E898" s="1267"/>
      <c r="F898" s="1267"/>
      <c r="G898" s="1023"/>
      <c r="I898" s="524"/>
    </row>
    <row r="899" spans="1:9" ht="12.75" customHeight="1">
      <c r="A899" s="172"/>
      <c r="B899" s="172"/>
      <c r="C899" s="172"/>
      <c r="D899" s="1267"/>
      <c r="E899" s="1267"/>
      <c r="F899" s="1267"/>
      <c r="G899" s="1023"/>
      <c r="I899" s="524"/>
    </row>
    <row r="900" spans="1:9" ht="12.75" customHeight="1">
      <c r="A900" s="172"/>
      <c r="B900" s="172"/>
      <c r="C900" s="172"/>
      <c r="D900" s="3"/>
      <c r="E900" s="3"/>
      <c r="F900" s="1023"/>
      <c r="G900" s="1023"/>
      <c r="I900" s="524"/>
    </row>
    <row r="901" spans="1:9" ht="12.75" customHeight="1">
      <c r="A901" s="176"/>
      <c r="B901" s="519" t="s">
        <v>1070</v>
      </c>
      <c r="C901" s="175"/>
      <c r="D901" s="1271" t="s">
        <v>1968</v>
      </c>
      <c r="E901" s="1271"/>
      <c r="F901" s="1271"/>
      <c r="G901" s="1023"/>
      <c r="I901" s="524" t="s">
        <v>2112</v>
      </c>
    </row>
    <row r="902" spans="1:9" ht="12.75" customHeight="1">
      <c r="A902" s="176"/>
      <c r="B902" s="176"/>
      <c r="C902" s="175"/>
      <c r="D902" s="1271"/>
      <c r="E902" s="1271"/>
      <c r="F902" s="1271"/>
      <c r="G902" s="1023"/>
      <c r="I902" s="524"/>
    </row>
    <row r="903" spans="1:9" ht="12.75" customHeight="1">
      <c r="A903" s="176"/>
      <c r="B903" s="176"/>
      <c r="C903" s="175"/>
      <c r="D903" s="1271"/>
      <c r="E903" s="1271"/>
      <c r="F903" s="1271"/>
      <c r="G903" s="1023"/>
      <c r="I903" s="524"/>
    </row>
    <row r="904" spans="1:9" ht="12.75" customHeight="1">
      <c r="A904" s="176"/>
      <c r="B904" s="176"/>
      <c r="C904" s="175"/>
      <c r="D904" s="1271"/>
      <c r="E904" s="1271"/>
      <c r="F904" s="1271"/>
      <c r="G904" s="1023"/>
      <c r="I904" s="524"/>
    </row>
    <row r="905" spans="1:9" ht="12.75" customHeight="1">
      <c r="A905" s="176"/>
      <c r="B905" s="176"/>
      <c r="C905" s="175"/>
      <c r="D905" s="1271"/>
      <c r="E905" s="1271"/>
      <c r="F905" s="1271"/>
      <c r="G905" s="1023"/>
      <c r="I905" s="524"/>
    </row>
    <row r="906" spans="1:9" ht="12.75" customHeight="1">
      <c r="A906" s="175"/>
      <c r="B906" s="175"/>
      <c r="C906" s="175"/>
      <c r="D906" s="1271"/>
      <c r="E906" s="1271"/>
      <c r="F906" s="1271"/>
      <c r="G906" s="1023"/>
      <c r="I906" s="524"/>
    </row>
    <row r="907" spans="1:9" ht="12.75" customHeight="1">
      <c r="A907" s="175"/>
      <c r="B907" s="175"/>
      <c r="C907" s="175"/>
      <c r="D907" s="1271"/>
      <c r="E907" s="1271"/>
      <c r="F907" s="1271"/>
      <c r="G907" s="1023"/>
      <c r="I907" s="524"/>
    </row>
    <row r="908" spans="1:9" ht="12.75" customHeight="1">
      <c r="A908" s="175"/>
      <c r="B908" s="175"/>
      <c r="C908" s="175"/>
      <c r="D908" s="1271"/>
      <c r="E908" s="1271"/>
      <c r="F908" s="1271"/>
      <c r="G908" s="1023"/>
      <c r="I908" s="524"/>
    </row>
    <row r="909" spans="1:9" ht="12.75" customHeight="1">
      <c r="A909" s="175"/>
      <c r="B909" s="175"/>
      <c r="C909" s="175"/>
      <c r="D909" s="363"/>
      <c r="E909" s="363"/>
      <c r="F909" s="363"/>
      <c r="G909" s="1023"/>
      <c r="I909" s="524"/>
    </row>
    <row r="910" spans="1:9" ht="12.75" customHeight="1">
      <c r="A910" s="1024"/>
      <c r="B910" s="519" t="s">
        <v>2638</v>
      </c>
      <c r="C910" s="1024"/>
      <c r="D910" s="1267" t="s">
        <v>1972</v>
      </c>
      <c r="E910" s="1267"/>
      <c r="F910" s="1267"/>
      <c r="G910" s="1023"/>
      <c r="I910" s="524"/>
    </row>
    <row r="911" spans="1:9" ht="12.75" customHeight="1">
      <c r="A911" s="1024"/>
      <c r="B911" s="1024"/>
      <c r="C911" s="1024"/>
      <c r="D911" s="1267"/>
      <c r="E911" s="1267"/>
      <c r="F911" s="1267"/>
      <c r="G911" s="1023"/>
      <c r="I911" s="524"/>
    </row>
    <row r="912" spans="1:9" ht="12.75" customHeight="1">
      <c r="A912" s="1024"/>
      <c r="B912" s="1024"/>
      <c r="C912" s="1024"/>
      <c r="D912" s="1023"/>
      <c r="E912" s="1023"/>
      <c r="F912" s="1023"/>
      <c r="G912" s="1023"/>
      <c r="I912" s="524"/>
    </row>
    <row r="913" spans="1:9" ht="12.75" customHeight="1">
      <c r="A913" s="1024"/>
      <c r="B913" s="519" t="s">
        <v>2638</v>
      </c>
      <c r="C913" s="1024"/>
      <c r="D913" s="1308" t="s">
        <v>1973</v>
      </c>
      <c r="E913" s="1308"/>
      <c r="F913" s="1308"/>
      <c r="G913" s="1023"/>
      <c r="I913" s="524"/>
    </row>
    <row r="914" spans="1:9" ht="12.75" customHeight="1">
      <c r="A914" s="1024"/>
      <c r="B914" s="1024"/>
      <c r="C914" s="1024"/>
      <c r="D914" s="1308"/>
      <c r="E914" s="1308"/>
      <c r="F914" s="1308"/>
      <c r="G914" s="1023"/>
      <c r="I914" s="524"/>
    </row>
    <row r="915" spans="1:9" ht="12.75" customHeight="1">
      <c r="A915" s="1024"/>
      <c r="B915" s="1024"/>
      <c r="C915" s="1024"/>
      <c r="D915" s="1308"/>
      <c r="E915" s="1308"/>
      <c r="F915" s="1308"/>
      <c r="G915" s="1023"/>
      <c r="I915" s="524"/>
    </row>
    <row r="916" spans="1:9" ht="12.75" customHeight="1">
      <c r="A916" s="1024"/>
      <c r="B916" s="1024"/>
      <c r="C916" s="1024"/>
      <c r="D916" s="1308"/>
      <c r="E916" s="1308"/>
      <c r="F916" s="1308"/>
      <c r="G916" s="1023"/>
      <c r="I916" s="524"/>
    </row>
    <row r="917" spans="1:9" ht="12.75" customHeight="1">
      <c r="A917" s="1024"/>
      <c r="B917" s="1024"/>
      <c r="C917" s="1024"/>
      <c r="D917" s="118"/>
      <c r="E917" s="1023"/>
      <c r="F917" s="1023"/>
      <c r="G917" s="1023"/>
      <c r="I917" s="524"/>
    </row>
    <row r="918" spans="1:9" ht="12.75" customHeight="1">
      <c r="A918" s="1024"/>
      <c r="B918" s="519" t="s">
        <v>2638</v>
      </c>
      <c r="C918" s="1024"/>
      <c r="D918" s="1287" t="s">
        <v>2385</v>
      </c>
      <c r="E918" s="1287"/>
      <c r="F918" s="1287"/>
      <c r="G918" s="1023"/>
      <c r="I918" s="524"/>
    </row>
    <row r="919" spans="1:9" ht="12.75" customHeight="1">
      <c r="A919" s="1024"/>
      <c r="B919" s="1024"/>
      <c r="C919" s="1024"/>
      <c r="D919" s="118"/>
      <c r="E919" s="1023"/>
      <c r="F919" s="1023"/>
      <c r="G919" s="1023"/>
      <c r="I919" s="524"/>
    </row>
    <row r="920" spans="1:9" ht="12.75" customHeight="1">
      <c r="A920" s="1024"/>
      <c r="B920" s="519" t="s">
        <v>2638</v>
      </c>
      <c r="C920" s="1024"/>
      <c r="D920" s="1287" t="s">
        <v>2386</v>
      </c>
      <c r="E920" s="1287"/>
      <c r="F920" s="1287"/>
      <c r="G920" s="1023"/>
      <c r="I920" s="524"/>
    </row>
    <row r="921" spans="1:9" ht="12.75" customHeight="1">
      <c r="A921" s="175"/>
      <c r="B921" s="175"/>
      <c r="C921" s="175"/>
      <c r="D921" s="2"/>
      <c r="E921" s="3"/>
      <c r="F921" s="1023"/>
      <c r="G921" s="1023"/>
      <c r="I921" s="524"/>
    </row>
    <row r="922" spans="1:9" ht="12.75" customHeight="1">
      <c r="A922" s="1032"/>
      <c r="B922" s="519" t="s">
        <v>1070</v>
      </c>
      <c r="C922" s="1033"/>
      <c r="D922" s="1271" t="s">
        <v>1969</v>
      </c>
      <c r="E922" s="1271"/>
      <c r="F922" s="1271"/>
      <c r="G922" s="1034"/>
      <c r="I922" s="524" t="s">
        <v>2162</v>
      </c>
    </row>
    <row r="923" spans="1:9" ht="12.75" customHeight="1">
      <c r="A923" s="1032"/>
      <c r="B923" s="1032"/>
      <c r="C923" s="1033"/>
      <c r="D923" s="1271"/>
      <c r="E923" s="1271"/>
      <c r="F923" s="1271"/>
      <c r="G923" s="1034"/>
      <c r="I923" s="524"/>
    </row>
    <row r="924" spans="1:9" ht="12.75" customHeight="1">
      <c r="A924" s="1032"/>
      <c r="B924" s="1032"/>
      <c r="C924" s="1033"/>
      <c r="D924" s="1271"/>
      <c r="E924" s="1271"/>
      <c r="F924" s="1271"/>
      <c r="G924" s="1034"/>
      <c r="I924" s="524"/>
    </row>
    <row r="925" spans="1:9" ht="12.75" customHeight="1">
      <c r="A925" s="1032"/>
      <c r="B925" s="1032"/>
      <c r="C925" s="1033"/>
      <c r="D925" s="1271"/>
      <c r="E925" s="1271"/>
      <c r="F925" s="1271"/>
      <c r="G925" s="1034"/>
      <c r="I925" s="524"/>
    </row>
    <row r="926" spans="1:9" ht="12.75" customHeight="1">
      <c r="A926" s="1032"/>
      <c r="B926" s="1032"/>
      <c r="C926" s="1033"/>
      <c r="D926" s="1271"/>
      <c r="E926" s="1271"/>
      <c r="F926" s="1271"/>
      <c r="G926" s="1034"/>
      <c r="I926" s="524"/>
    </row>
    <row r="927" spans="1:9" ht="12.75" customHeight="1">
      <c r="A927" s="1032"/>
      <c r="B927" s="1032"/>
      <c r="C927" s="1033"/>
      <c r="D927" s="1271"/>
      <c r="E927" s="1271"/>
      <c r="F927" s="1271"/>
      <c r="G927" s="1034"/>
      <c r="I927" s="524"/>
    </row>
    <row r="928" spans="1:9" ht="12.75" customHeight="1">
      <c r="A928" s="1032"/>
      <c r="B928" s="1032"/>
      <c r="C928" s="1033"/>
      <c r="D928" s="1271"/>
      <c r="E928" s="1271"/>
      <c r="F928" s="1271"/>
      <c r="G928" s="1034"/>
      <c r="I928" s="524"/>
    </row>
    <row r="929" spans="1:9" ht="12.75" customHeight="1">
      <c r="A929" s="1032"/>
      <c r="B929" s="1032"/>
      <c r="C929" s="1033"/>
      <c r="D929" s="1271"/>
      <c r="E929" s="1271"/>
      <c r="F929" s="1271"/>
      <c r="G929" s="1034"/>
      <c r="I929" s="524"/>
    </row>
    <row r="930" spans="1:9" ht="12.75" customHeight="1">
      <c r="A930" s="1032"/>
      <c r="B930" s="1032"/>
      <c r="C930" s="1033"/>
      <c r="D930" s="1271"/>
      <c r="E930" s="1271"/>
      <c r="F930" s="1271"/>
      <c r="G930" s="1034"/>
      <c r="I930" s="524"/>
    </row>
    <row r="931" spans="1:9" ht="12.75" customHeight="1">
      <c r="A931" s="175"/>
      <c r="B931" s="175"/>
      <c r="C931" s="175"/>
      <c r="D931" s="2"/>
      <c r="E931" s="3"/>
      <c r="F931" s="1023"/>
      <c r="G931" s="1023"/>
      <c r="I931" s="524"/>
    </row>
    <row r="932" spans="1:9" ht="12.75" customHeight="1">
      <c r="A932" s="176"/>
      <c r="B932" s="519" t="s">
        <v>2638</v>
      </c>
      <c r="C932" s="175"/>
      <c r="D932" s="1348" t="s">
        <v>2164</v>
      </c>
      <c r="E932" s="1348"/>
      <c r="F932" s="1348"/>
      <c r="G932" s="1023"/>
      <c r="I932" s="524" t="s">
        <v>2162</v>
      </c>
    </row>
    <row r="933" spans="1:9" ht="12.75" customHeight="1">
      <c r="A933" s="176"/>
      <c r="B933" s="176"/>
      <c r="C933" s="175"/>
      <c r="D933" s="1348"/>
      <c r="E933" s="1348"/>
      <c r="F933" s="1348"/>
      <c r="G933" s="1023"/>
      <c r="I933" s="524"/>
    </row>
    <row r="934" spans="1:9" ht="12.75" customHeight="1">
      <c r="A934" s="176"/>
      <c r="B934" s="176"/>
      <c r="C934" s="175"/>
      <c r="D934" s="1348"/>
      <c r="E934" s="1348"/>
      <c r="F934" s="1348"/>
      <c r="G934" s="1023"/>
      <c r="I934" s="524"/>
    </row>
    <row r="935" spans="1:9" ht="12.75" customHeight="1">
      <c r="A935" s="176"/>
      <c r="B935" s="176"/>
      <c r="C935" s="175"/>
      <c r="D935" s="1348"/>
      <c r="E935" s="1348"/>
      <c r="F935" s="1348"/>
      <c r="G935" s="1023"/>
      <c r="I935" s="524"/>
    </row>
    <row r="936" spans="1:9" ht="12.75" customHeight="1">
      <c r="A936" s="176"/>
      <c r="B936" s="176"/>
      <c r="C936" s="175"/>
      <c r="D936" s="1348"/>
      <c r="E936" s="1348"/>
      <c r="F936" s="1348"/>
      <c r="G936" s="1023"/>
      <c r="I936" s="524"/>
    </row>
    <row r="937" spans="1:9" ht="12.75" customHeight="1">
      <c r="A937" s="176"/>
      <c r="B937" s="176"/>
      <c r="C937" s="175"/>
      <c r="D937" s="1348"/>
      <c r="E937" s="1348"/>
      <c r="F937" s="1348"/>
      <c r="G937" s="1023"/>
      <c r="I937" s="524"/>
    </row>
    <row r="938" spans="1:9" ht="12.75" customHeight="1">
      <c r="A938" s="176"/>
      <c r="B938" s="176"/>
      <c r="C938" s="175"/>
      <c r="D938" s="1348"/>
      <c r="E938" s="1348"/>
      <c r="F938" s="1348"/>
      <c r="G938" s="1023"/>
      <c r="I938" s="524"/>
    </row>
    <row r="939" spans="1:9" ht="12.75" customHeight="1">
      <c r="A939" s="176"/>
      <c r="B939" s="176"/>
      <c r="C939" s="175"/>
      <c r="D939" s="1061"/>
      <c r="E939" s="1061"/>
      <c r="F939" s="1061"/>
      <c r="G939" s="1023"/>
      <c r="I939" s="524"/>
    </row>
    <row r="940" spans="1:9" ht="12.75" customHeight="1">
      <c r="A940" s="176"/>
      <c r="B940" s="519" t="s">
        <v>2638</v>
      </c>
      <c r="C940" s="175"/>
      <c r="D940" s="1270" t="s">
        <v>2458</v>
      </c>
      <c r="E940" s="1270"/>
      <c r="F940" s="1270"/>
      <c r="G940" s="1023"/>
      <c r="I940" s="524"/>
    </row>
    <row r="941" spans="1:9" ht="12.75" customHeight="1">
      <c r="A941" s="176"/>
      <c r="B941" s="176"/>
      <c r="C941" s="175"/>
      <c r="D941" s="1270"/>
      <c r="E941" s="1270"/>
      <c r="F941" s="1270"/>
      <c r="G941" s="1023"/>
      <c r="I941" s="524"/>
    </row>
    <row r="942" spans="1:9" ht="12.75" customHeight="1">
      <c r="A942" s="176"/>
      <c r="B942" s="176"/>
      <c r="C942" s="175"/>
      <c r="D942" s="1270"/>
      <c r="E942" s="1270"/>
      <c r="F942" s="1270"/>
      <c r="G942" s="1023"/>
      <c r="I942" s="524"/>
    </row>
    <row r="943" spans="1:9" ht="12.75" customHeight="1">
      <c r="A943" s="176"/>
      <c r="B943" s="176"/>
      <c r="C943" s="175"/>
      <c r="D943" s="1270"/>
      <c r="E943" s="1270"/>
      <c r="F943" s="1270"/>
      <c r="G943" s="1023"/>
      <c r="I943" s="524"/>
    </row>
    <row r="944" spans="1:9" ht="12.75" customHeight="1">
      <c r="A944" s="176"/>
      <c r="B944" s="176"/>
      <c r="C944" s="175"/>
      <c r="D944" s="1270"/>
      <c r="E944" s="1270"/>
      <c r="F944" s="1270"/>
      <c r="G944" s="1023"/>
      <c r="I944" s="524"/>
    </row>
    <row r="945" spans="1:9" ht="12.75" customHeight="1">
      <c r="A945" s="176"/>
      <c r="B945" s="176"/>
      <c r="C945" s="175"/>
      <c r="D945" s="1270"/>
      <c r="E945" s="1270"/>
      <c r="F945" s="1270"/>
      <c r="G945" s="1023"/>
      <c r="I945" s="524"/>
    </row>
    <row r="946" spans="1:9" ht="12.75" customHeight="1">
      <c r="A946" s="176"/>
      <c r="B946" s="176"/>
      <c r="C946" s="175"/>
      <c r="D946" s="1061"/>
      <c r="E946" s="1061"/>
      <c r="F946" s="1061"/>
      <c r="G946" s="1023"/>
      <c r="I946" s="524"/>
    </row>
    <row r="947" spans="1:9" ht="12.75" customHeight="1">
      <c r="A947" s="1024"/>
      <c r="B947" s="519" t="s">
        <v>2638</v>
      </c>
      <c r="C947" s="1024"/>
      <c r="D947" s="1308" t="s">
        <v>1974</v>
      </c>
      <c r="E947" s="1308"/>
      <c r="F947" s="1308"/>
      <c r="G947" s="1023"/>
      <c r="I947" s="524"/>
    </row>
    <row r="948" spans="1:9" ht="12.75" customHeight="1">
      <c r="A948" s="1024"/>
      <c r="B948" s="1024"/>
      <c r="C948" s="1024"/>
      <c r="D948" s="1308"/>
      <c r="E948" s="1308"/>
      <c r="F948" s="1308"/>
      <c r="G948" s="1023"/>
      <c r="I948" s="524"/>
    </row>
    <row r="949" spans="1:9" ht="12.75" customHeight="1">
      <c r="A949" s="1024"/>
      <c r="B949" s="1024"/>
      <c r="C949" s="1024"/>
      <c r="D949" s="1308"/>
      <c r="E949" s="1308"/>
      <c r="F949" s="1308"/>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2638</v>
      </c>
      <c r="C952" s="175"/>
      <c r="D952" s="1271" t="s">
        <v>2163</v>
      </c>
      <c r="E952" s="1271"/>
      <c r="F952" s="1271"/>
      <c r="G952" s="1023"/>
      <c r="I952" s="524" t="s">
        <v>2162</v>
      </c>
    </row>
    <row r="953" spans="1:9" ht="12.75" customHeight="1">
      <c r="A953" s="176"/>
      <c r="B953" s="176"/>
      <c r="C953" s="175"/>
      <c r="D953" s="1271"/>
      <c r="E953" s="1271"/>
      <c r="F953" s="1271"/>
      <c r="G953" s="1023"/>
      <c r="I953" s="524"/>
    </row>
    <row r="954" spans="1:9" ht="12.75" customHeight="1">
      <c r="A954" s="176"/>
      <c r="B954" s="176"/>
      <c r="C954" s="175"/>
      <c r="D954" s="1271"/>
      <c r="E954" s="1271"/>
      <c r="F954" s="1271"/>
      <c r="G954" s="1023"/>
      <c r="I954" s="524"/>
    </row>
    <row r="955" spans="1:9" ht="12.75" customHeight="1">
      <c r="A955" s="176"/>
      <c r="B955" s="176"/>
      <c r="C955" s="175"/>
      <c r="D955" s="1271"/>
      <c r="E955" s="1271"/>
      <c r="F955" s="1271"/>
      <c r="G955" s="1023"/>
      <c r="I955" s="524"/>
    </row>
    <row r="956" spans="1:9" ht="12.75" customHeight="1">
      <c r="A956" s="1024"/>
      <c r="B956" s="1024"/>
      <c r="C956" s="1024"/>
      <c r="D956" s="1015"/>
      <c r="E956" s="1015"/>
      <c r="F956" s="1015"/>
      <c r="G956" s="1015"/>
      <c r="I956" s="524"/>
    </row>
    <row r="957" spans="1:9" ht="12.75" customHeight="1">
      <c r="A957" s="385"/>
      <c r="B957" s="385"/>
      <c r="C957" s="385"/>
      <c r="D957" s="1286" t="s">
        <v>1975</v>
      </c>
      <c r="E957" s="1286"/>
      <c r="F957" s="1286"/>
      <c r="G957" s="3"/>
      <c r="I957" s="524"/>
    </row>
    <row r="958" spans="1:9" ht="12.75" customHeight="1">
      <c r="A958" s="176"/>
      <c r="B958" s="519" t="s">
        <v>2638</v>
      </c>
      <c r="C958" s="385"/>
      <c r="D958" s="1287" t="s">
        <v>1999</v>
      </c>
      <c r="E958" s="1287"/>
      <c r="F958" s="1287"/>
      <c r="G958" s="3"/>
      <c r="I958" s="524" t="s">
        <v>2162</v>
      </c>
    </row>
    <row r="959" spans="1:9" ht="12.75" customHeight="1">
      <c r="A959" s="385"/>
      <c r="B959" s="385"/>
      <c r="C959" s="385"/>
      <c r="D959" s="3"/>
      <c r="E959" s="3"/>
      <c r="F959" s="3"/>
      <c r="G959" s="3"/>
      <c r="I959" s="524"/>
    </row>
    <row r="960" spans="1:9" ht="12.75" customHeight="1">
      <c r="A960" s="385"/>
      <c r="B960" s="385"/>
      <c r="C960" s="385"/>
      <c r="D960" s="1286" t="s">
        <v>1976</v>
      </c>
      <c r="E960" s="1286"/>
      <c r="F960" s="1286"/>
      <c r="G960"/>
      <c r="I960" s="524"/>
    </row>
    <row r="961" spans="1:9" ht="12.75" customHeight="1">
      <c r="A961" s="176"/>
      <c r="B961" s="519" t="s">
        <v>2638</v>
      </c>
      <c r="C961" s="385"/>
      <c r="D961" s="1267" t="s">
        <v>2387</v>
      </c>
      <c r="E961" s="1267"/>
      <c r="F961" s="1267"/>
      <c r="G961"/>
      <c r="I961" s="524" t="s">
        <v>2162</v>
      </c>
    </row>
    <row r="962" spans="1:9" ht="12.75" customHeight="1">
      <c r="A962" s="176"/>
      <c r="B962" s="176"/>
      <c r="C962" s="385"/>
      <c r="D962" s="1267"/>
      <c r="E962" s="1267"/>
      <c r="F962" s="1267"/>
      <c r="G962"/>
      <c r="I962" s="524"/>
    </row>
    <row r="963" spans="1:9" ht="12.75" customHeight="1">
      <c r="A963" s="176"/>
      <c r="B963" s="176"/>
      <c r="C963" s="385"/>
      <c r="D963" s="1267"/>
      <c r="E963" s="1267"/>
      <c r="F963" s="1267"/>
      <c r="G963"/>
      <c r="I963" s="524"/>
    </row>
    <row r="964" spans="1:9" ht="12.75" customHeight="1">
      <c r="A964" s="176"/>
      <c r="B964" s="176"/>
      <c r="C964" s="385"/>
      <c r="D964" s="1267"/>
      <c r="E964" s="1267"/>
      <c r="F964" s="1267"/>
      <c r="G964"/>
      <c r="I964" s="524"/>
    </row>
    <row r="965" spans="1:9" ht="12.75" customHeight="1">
      <c r="A965" s="176"/>
      <c r="B965" s="176"/>
      <c r="C965" s="385"/>
      <c r="D965" s="1267"/>
      <c r="E965" s="1267"/>
      <c r="F965" s="1267"/>
      <c r="G965"/>
      <c r="I965" s="524"/>
    </row>
    <row r="966" spans="1:9" ht="12.75" customHeight="1">
      <c r="A966" s="176"/>
      <c r="B966" s="176"/>
      <c r="C966" s="385"/>
      <c r="D966" s="1267"/>
      <c r="E966" s="1267"/>
      <c r="F966" s="1267"/>
      <c r="G966"/>
      <c r="I966" s="524"/>
    </row>
    <row r="967" spans="1:9" ht="12.75" customHeight="1">
      <c r="A967" s="176"/>
      <c r="B967" s="176"/>
      <c r="C967" s="385"/>
      <c r="D967" s="1267"/>
      <c r="E967" s="1267"/>
      <c r="F967" s="1267"/>
      <c r="G967"/>
      <c r="I967" s="524"/>
    </row>
    <row r="968" spans="1:9" ht="12.75" customHeight="1">
      <c r="A968" s="176"/>
      <c r="B968" s="176"/>
      <c r="C968" s="385"/>
      <c r="D968" s="1267"/>
      <c r="E968" s="1267"/>
      <c r="F968" s="1267"/>
      <c r="G968"/>
      <c r="I968" s="524"/>
    </row>
    <row r="969" spans="1:9" ht="12.75" customHeight="1">
      <c r="A969" s="176"/>
      <c r="B969" s="176"/>
      <c r="C969" s="385"/>
      <c r="D969" s="1267"/>
      <c r="E969" s="1267"/>
      <c r="F969" s="1267"/>
      <c r="G969"/>
      <c r="I969" s="524"/>
    </row>
    <row r="970" spans="1:9" ht="12.75" customHeight="1">
      <c r="A970" s="176"/>
      <c r="B970" s="176"/>
      <c r="C970" s="385"/>
      <c r="D970" s="1267"/>
      <c r="E970" s="1267"/>
      <c r="F970" s="1267"/>
      <c r="G970"/>
      <c r="I970" s="524"/>
    </row>
    <row r="971" spans="1:9" ht="12.75" customHeight="1">
      <c r="A971" s="176"/>
      <c r="B971" s="176"/>
      <c r="C971" s="385"/>
      <c r="D971" s="1267"/>
      <c r="E971" s="1267"/>
      <c r="F971" s="1267"/>
      <c r="G971"/>
      <c r="I971" s="524"/>
    </row>
    <row r="972" spans="1:9" ht="12.75" customHeight="1">
      <c r="A972" s="176"/>
      <c r="B972" s="176"/>
      <c r="C972" s="385"/>
      <c r="D972" s="1267"/>
      <c r="E972" s="1267"/>
      <c r="F972" s="1267"/>
      <c r="G972"/>
      <c r="I972" s="524"/>
    </row>
    <row r="973" spans="1:9" ht="12.75" customHeight="1">
      <c r="A973" s="176"/>
      <c r="B973" s="176"/>
      <c r="C973" s="385"/>
      <c r="D973" s="1267"/>
      <c r="E973" s="1267"/>
      <c r="F973" s="1267"/>
      <c r="G973"/>
      <c r="I973" s="524"/>
    </row>
    <row r="974" spans="1:9" ht="12.75" customHeight="1">
      <c r="A974" s="176"/>
      <c r="B974" s="176"/>
      <c r="C974" s="385"/>
      <c r="D974" s="1267"/>
      <c r="E974" s="1267"/>
      <c r="F974" s="1267"/>
      <c r="G974"/>
      <c r="I974" s="524"/>
    </row>
    <row r="975" spans="1:9" ht="12.75" customHeight="1">
      <c r="A975" s="176"/>
      <c r="B975" s="176"/>
      <c r="C975" s="385"/>
      <c r="D975" s="1267"/>
      <c r="E975" s="1267"/>
      <c r="F975" s="1267"/>
      <c r="G975" s="3"/>
      <c r="I975" s="524"/>
    </row>
    <row r="976" spans="1:9" ht="12.75" customHeight="1">
      <c r="A976" s="385"/>
      <c r="B976" s="385"/>
      <c r="C976" s="385"/>
      <c r="D976" s="3"/>
      <c r="E976" s="3"/>
      <c r="F976" s="3"/>
      <c r="G976" s="3"/>
      <c r="I976" s="524"/>
    </row>
    <row r="977" spans="1:9" ht="12.75" customHeight="1">
      <c r="A977" s="1295" t="s">
        <v>1977</v>
      </c>
      <c r="B977" s="1295"/>
      <c r="C977" s="1295"/>
      <c r="D977" s="1295"/>
      <c r="E977" s="1295"/>
      <c r="F977" s="1295"/>
      <c r="G977" s="1295"/>
      <c r="H977" s="1063"/>
      <c r="I977" s="1259"/>
    </row>
    <row r="978" spans="1:9" ht="12.75" customHeight="1">
      <c r="A978" s="118"/>
      <c r="B978" s="118"/>
      <c r="C978" s="385"/>
      <c r="D978" s="3"/>
      <c r="E978" s="3"/>
      <c r="F978" s="3"/>
      <c r="G978" s="3"/>
      <c r="I978" s="524"/>
    </row>
    <row r="979" spans="1:9" ht="12.75" customHeight="1">
      <c r="A979" s="385"/>
      <c r="B979" s="385"/>
      <c r="C979" s="1024"/>
      <c r="D979" s="1286" t="s">
        <v>2000</v>
      </c>
      <c r="E979" s="1286"/>
      <c r="F979" s="1286"/>
      <c r="G979" s="3"/>
      <c r="I979" s="524"/>
    </row>
    <row r="980" spans="1:9" ht="12.75" customHeight="1">
      <c r="A980" s="172"/>
      <c r="B980" s="172"/>
      <c r="C980" s="172"/>
      <c r="D980" s="1287" t="s">
        <v>1978</v>
      </c>
      <c r="E980" s="1287"/>
      <c r="F980" s="1287"/>
      <c r="G980" s="3"/>
      <c r="I980" s="524"/>
    </row>
    <row r="981" spans="1:9" ht="12.75" customHeight="1">
      <c r="A981" s="172"/>
      <c r="B981" s="172"/>
      <c r="C981" s="172"/>
      <c r="D981" s="3"/>
      <c r="E981" s="3"/>
      <c r="F981" s="1023"/>
      <c r="G981"/>
      <c r="I981" s="524"/>
    </row>
    <row r="982" spans="1:9" ht="12.75" customHeight="1">
      <c r="A982" s="385"/>
      <c r="B982" s="519" t="s">
        <v>1070</v>
      </c>
      <c r="C982" s="385"/>
      <c r="D982" s="1350" t="s">
        <v>2217</v>
      </c>
      <c r="E982" s="1350"/>
      <c r="F982" s="1350"/>
      <c r="G982"/>
      <c r="I982" s="524" t="s">
        <v>2142</v>
      </c>
    </row>
    <row r="983" spans="1:9" ht="12.75" customHeight="1">
      <c r="A983" s="385"/>
      <c r="B983" s="385"/>
      <c r="C983" s="385"/>
      <c r="D983" s="1350"/>
      <c r="E983" s="1350"/>
      <c r="F983" s="1350"/>
      <c r="G983"/>
      <c r="I983" s="524"/>
    </row>
    <row r="984" spans="1:9" ht="12.75" customHeight="1">
      <c r="A984" s="385"/>
      <c r="B984" s="385"/>
      <c r="C984" s="385"/>
      <c r="D984" s="1073"/>
      <c r="E984" s="1071" t="s">
        <v>2218</v>
      </c>
      <c r="F984" s="1073"/>
      <c r="G984"/>
      <c r="I984" s="524"/>
    </row>
    <row r="985" spans="1:9" ht="12.75" customHeight="1">
      <c r="A985" s="385"/>
      <c r="B985" s="385"/>
      <c r="C985" s="385"/>
      <c r="D985" s="1273" t="s">
        <v>2216</v>
      </c>
      <c r="E985" s="1273"/>
      <c r="F985" s="1273"/>
      <c r="G985"/>
      <c r="I985" s="524"/>
    </row>
    <row r="986" spans="1:9" ht="12.75" customHeight="1">
      <c r="A986" s="385"/>
      <c r="B986" s="385"/>
      <c r="C986" s="385"/>
      <c r="D986" s="1273"/>
      <c r="E986" s="1273"/>
      <c r="F986" s="1273"/>
      <c r="G986"/>
      <c r="I986" s="524"/>
    </row>
    <row r="987" spans="1:9" ht="12.75" customHeight="1">
      <c r="A987" s="175"/>
      <c r="B987" s="175"/>
      <c r="C987" s="175"/>
      <c r="D987" s="1273"/>
      <c r="E987" s="1273"/>
      <c r="F987" s="1273"/>
      <c r="G987"/>
      <c r="I987" s="524"/>
    </row>
    <row r="988" spans="1:9" ht="12.75" customHeight="1">
      <c r="A988" s="175"/>
      <c r="B988" s="175"/>
      <c r="C988" s="175"/>
      <c r="D988" s="1273"/>
      <c r="E988" s="1273"/>
      <c r="F988" s="1273"/>
      <c r="G988"/>
      <c r="I988" s="524"/>
    </row>
    <row r="989" spans="1:9" ht="12.75" customHeight="1">
      <c r="A989" s="175"/>
      <c r="B989" s="175"/>
      <c r="C989" s="175"/>
      <c r="D989" s="363"/>
      <c r="E989" s="363"/>
      <c r="F989" s="363"/>
      <c r="G989"/>
      <c r="I989" s="524"/>
    </row>
    <row r="990" spans="1:9" ht="12.75" customHeight="1">
      <c r="A990" s="175"/>
      <c r="B990" s="519" t="s">
        <v>1070</v>
      </c>
      <c r="C990" s="175"/>
      <c r="D990" s="1267" t="s">
        <v>1979</v>
      </c>
      <c r="E990" s="1267"/>
      <c r="F990" s="1267"/>
      <c r="G990"/>
      <c r="I990" s="524"/>
    </row>
    <row r="991" spans="1:9" ht="12.75" customHeight="1">
      <c r="A991" s="175"/>
      <c r="B991" s="175"/>
      <c r="C991" s="175"/>
      <c r="D991" s="1267"/>
      <c r="E991" s="1267"/>
      <c r="F991" s="1267"/>
      <c r="G991"/>
      <c r="I991" s="524"/>
    </row>
    <row r="992" spans="1:9" ht="12.75" customHeight="1">
      <c r="A992" s="175"/>
      <c r="B992" s="175"/>
      <c r="C992" s="175"/>
      <c r="D992" s="1267"/>
      <c r="E992" s="1267"/>
      <c r="F992" s="1267"/>
      <c r="G992"/>
      <c r="I992" s="524"/>
    </row>
    <row r="993" spans="1:9" ht="12.75" customHeight="1">
      <c r="A993" s="175"/>
      <c r="B993" s="175"/>
      <c r="C993" s="175"/>
      <c r="D993" s="1267"/>
      <c r="E993" s="1267"/>
      <c r="F993" s="1267"/>
      <c r="G993"/>
      <c r="I993" s="524"/>
    </row>
    <row r="994" spans="1:9" ht="12.75" customHeight="1">
      <c r="A994" s="175"/>
      <c r="B994" s="175"/>
      <c r="C994" s="175"/>
      <c r="D994" s="474"/>
      <c r="E994" s="474"/>
      <c r="F994" s="474"/>
      <c r="G994"/>
      <c r="I994" s="524"/>
    </row>
    <row r="995" spans="1:9" ht="12.75" customHeight="1">
      <c r="A995" s="175"/>
      <c r="B995" s="519" t="s">
        <v>2638</v>
      </c>
      <c r="C995" s="175"/>
      <c r="D995" s="1267" t="s">
        <v>1980</v>
      </c>
      <c r="E995" s="1267"/>
      <c r="F995" s="1267"/>
      <c r="G995"/>
      <c r="I995" s="524"/>
    </row>
    <row r="996" spans="1:9" ht="12.75" customHeight="1">
      <c r="A996" s="175"/>
      <c r="B996" s="175"/>
      <c r="C996" s="175"/>
      <c r="D996" s="1267"/>
      <c r="E996" s="1267"/>
      <c r="F996" s="1267"/>
      <c r="G996"/>
      <c r="I996" s="524"/>
    </row>
    <row r="997" spans="1:9" ht="12.75" customHeight="1">
      <c r="A997" s="175"/>
      <c r="B997" s="175"/>
      <c r="C997" s="175"/>
      <c r="D997" s="474"/>
      <c r="E997" s="474"/>
      <c r="F997" s="474"/>
      <c r="G997"/>
      <c r="I997" s="524"/>
    </row>
    <row r="998" spans="1:9" ht="12.75" customHeight="1">
      <c r="A998" s="176"/>
      <c r="B998" s="519" t="s">
        <v>1070</v>
      </c>
      <c r="C998" s="385"/>
      <c r="D998" s="1287" t="s">
        <v>1981</v>
      </c>
      <c r="E998" s="1287"/>
      <c r="F998" s="1287"/>
      <c r="G998"/>
      <c r="I998" s="524"/>
    </row>
    <row r="999" spans="1:9" ht="12.75" customHeight="1">
      <c r="A999" s="385"/>
      <c r="B999" s="385"/>
      <c r="C999" s="385"/>
      <c r="D999" s="3"/>
      <c r="E999" s="3"/>
      <c r="F999" s="3"/>
      <c r="G999"/>
      <c r="I999" s="524"/>
    </row>
    <row r="1000" spans="1:9" ht="12.75" customHeight="1">
      <c r="A1000" s="176"/>
      <c r="B1000" s="519" t="s">
        <v>1070</v>
      </c>
      <c r="C1000" s="385"/>
      <c r="D1000" s="1287" t="s">
        <v>1982</v>
      </c>
      <c r="E1000" s="1287"/>
      <c r="F1000" s="1287"/>
      <c r="G1000"/>
      <c r="I1000" s="524"/>
    </row>
    <row r="1001" spans="1:9" ht="12.75" customHeight="1">
      <c r="A1001" s="385"/>
      <c r="B1001" s="385"/>
      <c r="C1001" s="385"/>
      <c r="D1001" s="118"/>
      <c r="E1001" s="3"/>
      <c r="F1001" s="3"/>
      <c r="G1001"/>
      <c r="I1001" s="524"/>
    </row>
    <row r="1002" spans="1:9" ht="12.75" customHeight="1">
      <c r="A1002" s="176"/>
      <c r="B1002" s="519" t="s">
        <v>1070</v>
      </c>
      <c r="C1002" s="385"/>
      <c r="D1002" s="1287" t="s">
        <v>1983</v>
      </c>
      <c r="E1002" s="1287"/>
      <c r="F1002" s="1287"/>
      <c r="G1002"/>
      <c r="I1002" s="524"/>
    </row>
    <row r="1003" spans="1:9" ht="12.75" customHeight="1">
      <c r="A1003" s="385"/>
      <c r="B1003" s="385"/>
      <c r="C1003" s="385"/>
      <c r="D1003" s="118"/>
      <c r="E1003" s="3"/>
      <c r="F1003" s="3"/>
      <c r="G1003"/>
      <c r="I1003" s="524"/>
    </row>
    <row r="1004" spans="1:9" ht="12.75" customHeight="1">
      <c r="A1004" s="176"/>
      <c r="B1004" s="519" t="s">
        <v>2638</v>
      </c>
      <c r="C1004" s="385"/>
      <c r="D1004" s="1267" t="s">
        <v>1984</v>
      </c>
      <c r="E1004" s="1267"/>
      <c r="F1004" s="1267"/>
      <c r="G1004"/>
      <c r="I1004" s="524"/>
    </row>
    <row r="1005" spans="1:9" ht="12.75" customHeight="1">
      <c r="A1005" s="176"/>
      <c r="B1005" s="176"/>
      <c r="C1005" s="385"/>
      <c r="D1005" s="1267"/>
      <c r="E1005" s="1267"/>
      <c r="F1005" s="1267"/>
      <c r="G1005"/>
      <c r="I1005" s="524"/>
    </row>
    <row r="1006" spans="1:9" ht="12.75" customHeight="1">
      <c r="A1006" s="176"/>
      <c r="B1006" s="176"/>
      <c r="C1006" s="385"/>
      <c r="D1006" s="118"/>
      <c r="E1006" s="3"/>
      <c r="F1006" s="3"/>
      <c r="G1006" s="3"/>
      <c r="I1006" s="524"/>
    </row>
    <row r="1007" spans="1:9" ht="12.75" customHeight="1">
      <c r="A1007" s="272"/>
      <c r="B1007" s="519" t="s">
        <v>2638</v>
      </c>
      <c r="C1007" s="1035"/>
      <c r="D1007" s="1300" t="s">
        <v>1985</v>
      </c>
      <c r="E1007" s="1300"/>
      <c r="F1007" s="1300"/>
      <c r="G1007" s="1036"/>
      <c r="I1007" s="524"/>
    </row>
    <row r="1008" spans="1:9" ht="12.75" customHeight="1">
      <c r="A1008" s="1035"/>
      <c r="B1008" s="1035"/>
      <c r="C1008" s="1035"/>
      <c r="D1008" s="1300"/>
      <c r="E1008" s="1300"/>
      <c r="F1008" s="1300"/>
      <c r="G1008" s="1036"/>
      <c r="I1008" s="524"/>
    </row>
    <row r="1009" spans="1:9" ht="12.75" customHeight="1">
      <c r="A1009" s="1035"/>
      <c r="B1009" s="1035"/>
      <c r="C1009" s="1035"/>
      <c r="D1009" s="1019"/>
      <c r="E1009" s="1036"/>
      <c r="F1009" s="1036"/>
      <c r="G1009" s="1036"/>
      <c r="I1009" s="524"/>
    </row>
    <row r="1010" spans="1:9" ht="12.75" customHeight="1">
      <c r="A1010" s="272"/>
      <c r="B1010" s="519" t="s">
        <v>2638</v>
      </c>
      <c r="C1010" s="1035"/>
      <c r="D1010" s="1349" t="s">
        <v>1986</v>
      </c>
      <c r="E1010" s="1349"/>
      <c r="F1010" s="1349"/>
      <c r="G1010" s="1036"/>
      <c r="I1010" s="524"/>
    </row>
    <row r="1011" spans="1:9" ht="12.75" customHeight="1">
      <c r="A1011" s="1035"/>
      <c r="B1011" s="1035"/>
      <c r="C1011" s="1035"/>
      <c r="D1011" s="1019"/>
      <c r="E1011" s="1036"/>
      <c r="F1011" s="1036"/>
      <c r="G1011" s="1036"/>
      <c r="I1011" s="524"/>
    </row>
    <row r="1012" spans="1:9" ht="12.75" customHeight="1">
      <c r="A1012" s="176"/>
      <c r="B1012" s="519" t="s">
        <v>2638</v>
      </c>
      <c r="C1012" s="385"/>
      <c r="D1012" s="1287" t="s">
        <v>1987</v>
      </c>
      <c r="E1012" s="1287"/>
      <c r="F1012" s="1287"/>
      <c r="G1012" s="3"/>
      <c r="I1012" s="524"/>
    </row>
    <row r="1013" spans="1:9" ht="12.75" customHeight="1">
      <c r="A1013" s="176"/>
      <c r="B1013" s="176"/>
      <c r="C1013" s="385"/>
      <c r="D1013" s="118"/>
      <c r="E1013" s="3"/>
      <c r="F1013" s="3"/>
      <c r="G1013" s="3"/>
      <c r="I1013" s="524"/>
    </row>
    <row r="1014" spans="1:9" ht="12.75" customHeight="1">
      <c r="A1014" s="176"/>
      <c r="B1014" s="519" t="s">
        <v>2638</v>
      </c>
      <c r="C1014" s="385"/>
      <c r="D1014" s="1267" t="s">
        <v>1988</v>
      </c>
      <c r="E1014" s="1267"/>
      <c r="F1014" s="1267"/>
      <c r="G1014" s="3"/>
      <c r="I1014" s="524"/>
    </row>
    <row r="1015" spans="1:9" ht="12.75" customHeight="1">
      <c r="A1015" s="176"/>
      <c r="B1015" s="176"/>
      <c r="C1015" s="385"/>
      <c r="D1015" s="1267"/>
      <c r="E1015" s="1267"/>
      <c r="F1015" s="1267"/>
      <c r="G1015" s="3"/>
      <c r="I1015" s="524"/>
    </row>
    <row r="1016" spans="1:9" ht="12.75" customHeight="1">
      <c r="A1016" s="385"/>
      <c r="B1016" s="385"/>
      <c r="C1016" s="385"/>
      <c r="D1016" s="3"/>
      <c r="E1016" s="3"/>
      <c r="F1016" s="3"/>
      <c r="G1016" s="3"/>
      <c r="I1016" s="524"/>
    </row>
    <row r="1017" spans="1:9" ht="12.75" customHeight="1">
      <c r="A1017" s="1295" t="s">
        <v>1989</v>
      </c>
      <c r="B1017" s="1295"/>
      <c r="C1017" s="1295"/>
      <c r="D1017" s="1295"/>
      <c r="E1017" s="1295"/>
      <c r="F1017" s="1295"/>
      <c r="G1017" s="1295"/>
      <c r="H1017" s="1063"/>
      <c r="I1017" s="1259"/>
    </row>
    <row r="1018" spans="1:9" ht="12.75" customHeight="1">
      <c r="A1018" s="385"/>
      <c r="B1018" s="385"/>
      <c r="C1018" s="385"/>
      <c r="D1018" s="3"/>
      <c r="E1018" s="3"/>
      <c r="F1018" s="3"/>
      <c r="G1018" s="3"/>
      <c r="I1018" s="524"/>
    </row>
    <row r="1019" spans="1:9" ht="12.75" customHeight="1">
      <c r="A1019" s="385"/>
      <c r="B1019" s="385"/>
      <c r="C1019" s="385"/>
      <c r="D1019" s="1301" t="s">
        <v>1990</v>
      </c>
      <c r="E1019" s="1301"/>
      <c r="F1019" s="1301"/>
      <c r="G1019" s="3"/>
      <c r="I1019" s="524"/>
    </row>
    <row r="1020" spans="1:9" ht="12.75" customHeight="1">
      <c r="A1020" s="385"/>
      <c r="B1020" s="385"/>
      <c r="C1020" s="385"/>
      <c r="D1020" s="1349" t="s">
        <v>1991</v>
      </c>
      <c r="E1020" s="1349"/>
      <c r="F1020" s="1349"/>
      <c r="G1020" s="3"/>
      <c r="I1020" s="524"/>
    </row>
    <row r="1021" spans="1:9" ht="12.75" customHeight="1">
      <c r="A1021" s="172"/>
      <c r="B1021" s="172"/>
      <c r="C1021" s="172"/>
      <c r="D1021" s="3"/>
      <c r="E1021" s="3"/>
      <c r="F1021" s="3"/>
      <c r="G1021" s="3"/>
      <c r="I1021" s="524"/>
    </row>
    <row r="1022" spans="1:9" ht="12.75" customHeight="1">
      <c r="A1022" s="176"/>
      <c r="B1022" s="176"/>
      <c r="C1022" s="175"/>
      <c r="D1022" s="1301" t="s">
        <v>2005</v>
      </c>
      <c r="E1022" s="1301"/>
      <c r="F1022" s="1301"/>
      <c r="G1022" s="3"/>
      <c r="I1022" s="524" t="s">
        <v>2114</v>
      </c>
    </row>
    <row r="1023" spans="1:9" ht="12.75" customHeight="1">
      <c r="A1023" s="385"/>
      <c r="B1023" s="519" t="s">
        <v>1070</v>
      </c>
      <c r="C1023" s="385"/>
      <c r="D1023" s="1349" t="s">
        <v>1382</v>
      </c>
      <c r="E1023" s="1349"/>
      <c r="F1023" s="1349"/>
      <c r="G1023" s="3"/>
      <c r="I1023" s="524"/>
    </row>
    <row r="1024" spans="1:9" ht="12.75" customHeight="1">
      <c r="A1024" s="385"/>
      <c r="B1024" s="176"/>
      <c r="C1024" s="385"/>
      <c r="D1024" s="1349" t="s">
        <v>1992</v>
      </c>
      <c r="E1024" s="1349"/>
      <c r="F1024" s="1349"/>
      <c r="G1024" s="3"/>
      <c r="I1024" s="524"/>
    </row>
    <row r="1025" spans="1:9" ht="12.75" customHeight="1">
      <c r="A1025" s="385"/>
      <c r="B1025" s="385"/>
      <c r="C1025" s="385"/>
      <c r="D1025" s="1349"/>
      <c r="E1025" s="1349"/>
      <c r="F1025" s="1349"/>
      <c r="G1025" s="3"/>
      <c r="I1025" s="524"/>
    </row>
    <row r="1026" spans="1:9" ht="12.75" customHeight="1">
      <c r="A1026" s="1295" t="s">
        <v>2001</v>
      </c>
      <c r="B1026" s="1295"/>
      <c r="C1026" s="1295"/>
      <c r="D1026" s="1295"/>
      <c r="E1026" s="1295"/>
      <c r="F1026" s="1295"/>
      <c r="G1026" s="1295"/>
      <c r="H1026" s="1063"/>
      <c r="I1026" s="1259"/>
    </row>
    <row r="1027" spans="1:9" ht="12.75" customHeight="1">
      <c r="A1027" s="118"/>
      <c r="B1027" s="118"/>
      <c r="C1027" s="385"/>
      <c r="D1027" s="3"/>
      <c r="E1027" s="3"/>
      <c r="F1027" s="3"/>
      <c r="G1027" s="3"/>
      <c r="I1027" s="524"/>
    </row>
    <row r="1028" spans="1:9" ht="12.75" hidden="1" customHeight="1">
      <c r="A1028" s="118"/>
      <c r="B1028" s="433"/>
      <c r="D1028" s="1296" t="s">
        <v>1383</v>
      </c>
      <c r="E1028" s="1296"/>
      <c r="F1028" s="1296"/>
      <c r="G1028" s="3"/>
      <c r="I1028" s="524"/>
    </row>
    <row r="1029" spans="1:9" ht="12.75" hidden="1" customHeight="1">
      <c r="A1029" s="118"/>
      <c r="B1029" s="519" t="s">
        <v>308</v>
      </c>
      <c r="D1029" s="1281" t="s">
        <v>1382</v>
      </c>
      <c r="E1029" s="1281"/>
      <c r="F1029" s="1281"/>
      <c r="G1029" s="3"/>
      <c r="I1029" s="524"/>
    </row>
    <row r="1030" spans="1:9" ht="12.75" hidden="1" customHeight="1">
      <c r="A1030" s="118"/>
      <c r="B1030" s="433"/>
      <c r="D1030" s="1281" t="s">
        <v>2002</v>
      </c>
      <c r="E1030" s="1281"/>
      <c r="F1030" s="1281"/>
      <c r="G1030" s="3"/>
      <c r="I1030" s="524"/>
    </row>
    <row r="1031" spans="1:9" ht="12.75" hidden="1" customHeight="1">
      <c r="A1031" s="118"/>
      <c r="B1031" s="433"/>
      <c r="D1031" s="478"/>
      <c r="E1031" s="478"/>
      <c r="F1031" s="478"/>
      <c r="G1031" s="3"/>
      <c r="I1031" s="524"/>
    </row>
    <row r="1032" spans="1:9" ht="12.75" customHeight="1">
      <c r="A1032" s="118"/>
      <c r="B1032" s="118"/>
      <c r="C1032" s="385"/>
      <c r="D1032" s="1355" t="s">
        <v>1096</v>
      </c>
      <c r="E1032" s="1355"/>
      <c r="F1032" s="1355"/>
      <c r="G1032" s="3"/>
      <c r="I1032" s="524" t="s">
        <v>2143</v>
      </c>
    </row>
    <row r="1033" spans="1:9" ht="12.75" customHeight="1">
      <c r="A1033" s="345"/>
      <c r="B1033" s="345"/>
      <c r="C1033" s="345"/>
      <c r="D1033" s="1291" t="s">
        <v>1113</v>
      </c>
      <c r="E1033" s="1291"/>
      <c r="F1033" s="1291"/>
      <c r="G1033" s="98"/>
      <c r="I1033" s="524"/>
    </row>
    <row r="1034" spans="1:9" ht="12.75" customHeight="1">
      <c r="A1034" s="176"/>
      <c r="B1034" s="519" t="s">
        <v>2638</v>
      </c>
      <c r="C1034" s="385"/>
      <c r="D1034" s="1291" t="s">
        <v>1006</v>
      </c>
      <c r="E1034" s="1291"/>
      <c r="F1034" s="1291"/>
      <c r="G1034" s="3"/>
      <c r="I1034" s="524"/>
    </row>
    <row r="1035" spans="1:9" ht="12.75" customHeight="1">
      <c r="A1035" s="385"/>
      <c r="B1035" s="385"/>
      <c r="C1035" s="385"/>
      <c r="D1035" s="1071" t="s">
        <v>2219</v>
      </c>
      <c r="E1035" s="96"/>
      <c r="F1035" s="96"/>
      <c r="G1035" s="3"/>
      <c r="I1035" s="524"/>
    </row>
    <row r="1036" spans="1:9">
      <c r="A1036" s="433"/>
      <c r="B1036" s="433"/>
      <c r="C1036" s="433"/>
      <c r="I1036" s="524"/>
    </row>
    <row r="1037" spans="1:9">
      <c r="A1037" s="1295" t="s">
        <v>2022</v>
      </c>
      <c r="B1037" s="1295"/>
      <c r="C1037" s="1295"/>
      <c r="D1037" s="1295"/>
      <c r="E1037" s="1295"/>
      <c r="F1037" s="1295"/>
      <c r="G1037" s="1295"/>
      <c r="H1037" s="1063"/>
      <c r="I1037" s="1259"/>
    </row>
    <row r="1038" spans="1:9">
      <c r="A1038" s="433"/>
      <c r="B1038" s="433"/>
      <c r="C1038" s="433"/>
      <c r="I1038" s="524"/>
    </row>
    <row r="1039" spans="1:9">
      <c r="A1039" s="433"/>
      <c r="B1039" s="433"/>
      <c r="C1039" s="433"/>
      <c r="D1039" s="435" t="s">
        <v>2008</v>
      </c>
      <c r="I1039" s="524"/>
    </row>
    <row r="1040" spans="1:9">
      <c r="A1040" s="433"/>
      <c r="B1040" s="433"/>
      <c r="C1040" s="433"/>
      <c r="D1040" s="433" t="s">
        <v>2007</v>
      </c>
      <c r="I1040" s="524"/>
    </row>
    <row r="1041" spans="1:9">
      <c r="A1041" s="433"/>
      <c r="B1041" s="433"/>
      <c r="C1041" s="433"/>
      <c r="D1041" s="435"/>
      <c r="I1041" s="524"/>
    </row>
    <row r="1042" spans="1:9">
      <c r="A1042" s="433"/>
      <c r="B1042" s="519" t="s">
        <v>2638</v>
      </c>
      <c r="C1042" s="433"/>
      <c r="D1042" s="1352" t="s">
        <v>2006</v>
      </c>
      <c r="E1042" s="1352"/>
      <c r="F1042" s="1352"/>
      <c r="I1042" s="524" t="s">
        <v>2115</v>
      </c>
    </row>
    <row r="1043" spans="1:9">
      <c r="A1043" s="433"/>
      <c r="B1043" s="433"/>
      <c r="C1043" s="433"/>
      <c r="D1043" s="1352"/>
      <c r="E1043" s="1352"/>
      <c r="F1043" s="1352"/>
      <c r="I1043" s="524"/>
    </row>
    <row r="1044" spans="1:9">
      <c r="A1044" s="433"/>
      <c r="B1044" s="433"/>
      <c r="C1044" s="433"/>
      <c r="D1044" s="1352"/>
      <c r="E1044" s="1352"/>
      <c r="F1044" s="1352"/>
      <c r="I1044" s="524"/>
    </row>
    <row r="1045" spans="1:9">
      <c r="A1045" s="433"/>
      <c r="B1045" s="433"/>
      <c r="C1045" s="433"/>
      <c r="D1045" s="1352"/>
      <c r="E1045" s="1352"/>
      <c r="F1045" s="1352"/>
      <c r="I1045" s="524"/>
    </row>
    <row r="1046" spans="1:9">
      <c r="A1046" s="433"/>
      <c r="B1046" s="433"/>
      <c r="C1046" s="433"/>
      <c r="I1046" s="524"/>
    </row>
    <row r="1047" spans="1:9">
      <c r="A1047" s="433"/>
      <c r="B1047" s="433"/>
      <c r="C1047" s="433"/>
      <c r="D1047" s="435" t="s">
        <v>1425</v>
      </c>
      <c r="I1047" s="524"/>
    </row>
    <row r="1048" spans="1:9">
      <c r="A1048" s="433"/>
      <c r="B1048" s="433"/>
      <c r="C1048" s="433"/>
      <c r="D1048" s="433" t="s">
        <v>2009</v>
      </c>
      <c r="I1048" s="524"/>
    </row>
    <row r="1049" spans="1:9">
      <c r="A1049" s="433"/>
      <c r="B1049" s="433"/>
      <c r="C1049" s="433"/>
      <c r="I1049" s="524"/>
    </row>
    <row r="1050" spans="1:9">
      <c r="A1050" s="433"/>
      <c r="B1050" s="519" t="s">
        <v>1070</v>
      </c>
      <c r="C1050" s="433"/>
      <c r="D1050" s="433" t="s">
        <v>2004</v>
      </c>
      <c r="I1050" s="524" t="s">
        <v>2116</v>
      </c>
    </row>
    <row r="1051" spans="1:9">
      <c r="A1051" s="433"/>
      <c r="B1051" s="433"/>
      <c r="C1051" s="433"/>
      <c r="I1051" s="524"/>
    </row>
    <row r="1052" spans="1:9">
      <c r="A1052" s="433"/>
      <c r="B1052" s="519" t="s">
        <v>1070</v>
      </c>
      <c r="C1052" s="433"/>
      <c r="D1052" s="1352" t="s">
        <v>2010</v>
      </c>
      <c r="E1052" s="1352"/>
      <c r="F1052" s="1352"/>
      <c r="I1052" s="524" t="s">
        <v>2117</v>
      </c>
    </row>
    <row r="1053" spans="1:9">
      <c r="A1053" s="433"/>
      <c r="B1053" s="433"/>
      <c r="C1053" s="433"/>
      <c r="D1053" s="1352"/>
      <c r="E1053" s="1352"/>
      <c r="F1053" s="1352"/>
      <c r="I1053" s="524"/>
    </row>
    <row r="1054" spans="1:9">
      <c r="A1054" s="433"/>
      <c r="B1054" s="433"/>
      <c r="C1054" s="433"/>
      <c r="D1054" s="1352"/>
      <c r="E1054" s="1352"/>
      <c r="F1054" s="1352"/>
      <c r="I1054" s="524"/>
    </row>
    <row r="1055" spans="1:9">
      <c r="A1055" s="433"/>
      <c r="B1055" s="433"/>
      <c r="C1055" s="433"/>
      <c r="D1055" s="1352"/>
      <c r="E1055" s="1352"/>
      <c r="F1055" s="1352"/>
      <c r="I1055" s="524"/>
    </row>
    <row r="1056" spans="1:9">
      <c r="A1056" s="433"/>
      <c r="B1056" s="433"/>
      <c r="C1056" s="433"/>
      <c r="D1056" s="1352"/>
      <c r="E1056" s="1352"/>
      <c r="F1056" s="1352"/>
      <c r="I1056" s="524"/>
    </row>
    <row r="1057" spans="1:9">
      <c r="A1057" s="433"/>
      <c r="B1057" s="433"/>
      <c r="C1057" s="433"/>
      <c r="I1057" s="524"/>
    </row>
    <row r="1058" spans="1:9">
      <c r="A1058" s="1295" t="s">
        <v>2011</v>
      </c>
      <c r="B1058" s="1295"/>
      <c r="C1058" s="1295"/>
      <c r="D1058" s="1295"/>
      <c r="E1058" s="1295"/>
      <c r="F1058" s="1295"/>
      <c r="G1058" s="1295"/>
      <c r="H1058" s="1063"/>
      <c r="I1058" s="1259"/>
    </row>
    <row r="1059" spans="1:9">
      <c r="A1059" s="433"/>
      <c r="B1059" s="433"/>
      <c r="C1059" s="433"/>
      <c r="I1059" s="524"/>
    </row>
    <row r="1060" spans="1:9">
      <c r="A1060" s="433"/>
      <c r="B1060" s="433"/>
      <c r="C1060" s="433"/>
      <c r="I1060" s="524"/>
    </row>
    <row r="1061" spans="1:9">
      <c r="A1061" s="433"/>
      <c r="B1061" s="519" t="s">
        <v>1070</v>
      </c>
      <c r="C1061" s="433"/>
      <c r="D1061" s="561" t="s">
        <v>2014</v>
      </c>
      <c r="I1061" s="524" t="s">
        <v>2118</v>
      </c>
    </row>
    <row r="1062" spans="1:9">
      <c r="A1062" s="433"/>
      <c r="B1062" s="433"/>
      <c r="C1062" s="433"/>
      <c r="D1062" s="561" t="s">
        <v>2016</v>
      </c>
      <c r="I1062" s="524"/>
    </row>
    <row r="1063" spans="1:9">
      <c r="A1063" s="433"/>
      <c r="B1063" s="433"/>
      <c r="C1063" s="433"/>
      <c r="D1063" s="561"/>
      <c r="I1063" s="524"/>
    </row>
    <row r="1064" spans="1:9">
      <c r="A1064" s="433"/>
      <c r="B1064" s="519" t="s">
        <v>2638</v>
      </c>
      <c r="C1064" s="433"/>
      <c r="D1064" s="561" t="s">
        <v>2017</v>
      </c>
      <c r="I1064" s="524" t="s">
        <v>2119</v>
      </c>
    </row>
    <row r="1065" spans="1:9">
      <c r="A1065" s="433"/>
      <c r="B1065" s="433"/>
      <c r="C1065" s="433"/>
      <c r="D1065" s="561" t="s">
        <v>2015</v>
      </c>
      <c r="I1065" s="524"/>
    </row>
    <row r="1066" spans="1:9">
      <c r="A1066" s="433"/>
      <c r="B1066" s="433"/>
      <c r="C1066" s="433"/>
      <c r="D1066" s="561"/>
      <c r="I1066" s="524"/>
    </row>
    <row r="1067" spans="1:9">
      <c r="A1067" s="433"/>
      <c r="B1067" s="519" t="s">
        <v>2638</v>
      </c>
      <c r="C1067" s="433"/>
      <c r="D1067" s="119" t="s">
        <v>2020</v>
      </c>
      <c r="I1067" s="524" t="s">
        <v>2120</v>
      </c>
    </row>
    <row r="1068" spans="1:9">
      <c r="A1068" s="433"/>
      <c r="B1068" s="433"/>
      <c r="C1068" s="433"/>
      <c r="D1068" s="1267" t="s">
        <v>2021</v>
      </c>
      <c r="E1068" s="1267"/>
      <c r="F1068" s="1267"/>
      <c r="I1068" s="524"/>
    </row>
    <row r="1069" spans="1:9">
      <c r="A1069" s="433"/>
      <c r="B1069" s="433"/>
      <c r="C1069" s="433"/>
      <c r="D1069" s="1267"/>
      <c r="E1069" s="1267"/>
      <c r="F1069" s="1267"/>
      <c r="I1069" s="524"/>
    </row>
    <row r="1070" spans="1:9">
      <c r="A1070" s="433"/>
      <c r="B1070" s="433"/>
      <c r="C1070" s="433"/>
      <c r="D1070" s="1267"/>
      <c r="E1070" s="1267"/>
      <c r="F1070" s="1267"/>
      <c r="I1070" s="524"/>
    </row>
    <row r="1071" spans="1:9">
      <c r="A1071" s="433"/>
      <c r="B1071" s="433"/>
      <c r="C1071" s="433"/>
      <c r="D1071" s="1267"/>
      <c r="E1071" s="1267"/>
      <c r="F1071" s="1267"/>
      <c r="I1071" s="524"/>
    </row>
    <row r="1072" spans="1:9">
      <c r="A1072" s="433"/>
      <c r="B1072" s="433"/>
      <c r="C1072" s="433"/>
      <c r="D1072" s="119" t="s">
        <v>2019</v>
      </c>
      <c r="I1072" s="524"/>
    </row>
    <row r="1073" spans="1:9">
      <c r="A1073" s="433"/>
      <c r="B1073" s="433"/>
      <c r="C1073" s="433"/>
      <c r="D1073" s="119"/>
      <c r="I1073" s="524"/>
    </row>
    <row r="1074" spans="1:9">
      <c r="A1074" s="433"/>
      <c r="B1074" s="433"/>
      <c r="C1074" s="433"/>
      <c r="D1074" s="561" t="s">
        <v>2012</v>
      </c>
      <c r="I1074" s="524" t="s">
        <v>2121</v>
      </c>
    </row>
    <row r="1075" spans="1:9">
      <c r="A1075" s="433"/>
      <c r="B1075" s="519" t="s">
        <v>2638</v>
      </c>
      <c r="C1075" s="433"/>
      <c r="D1075" s="1351" t="s">
        <v>2013</v>
      </c>
      <c r="E1075" s="1351"/>
      <c r="F1075" s="1351"/>
      <c r="I1075" s="524"/>
    </row>
    <row r="1076" spans="1:9">
      <c r="A1076" s="433"/>
      <c r="B1076" s="433"/>
      <c r="C1076" s="433"/>
      <c r="D1076" s="1351"/>
      <c r="E1076" s="1351"/>
      <c r="F1076" s="1351"/>
      <c r="I1076" s="524"/>
    </row>
    <row r="1077" spans="1:9">
      <c r="A1077" s="433"/>
      <c r="B1077" s="433"/>
      <c r="C1077" s="433"/>
      <c r="D1077" s="1351"/>
      <c r="E1077" s="1351"/>
      <c r="F1077" s="1351"/>
      <c r="I1077" s="524"/>
    </row>
    <row r="1078" spans="1:9">
      <c r="A1078" s="433"/>
      <c r="B1078" s="433"/>
      <c r="C1078" s="433"/>
      <c r="D1078" s="1351"/>
      <c r="E1078" s="1351"/>
      <c r="F1078" s="1351"/>
      <c r="I1078" s="524"/>
    </row>
    <row r="1079" spans="1:9">
      <c r="A1079" s="433"/>
      <c r="B1079" s="433"/>
      <c r="C1079" s="433"/>
      <c r="D1079" s="1351"/>
      <c r="E1079" s="1351"/>
      <c r="F1079" s="1351"/>
      <c r="I1079" s="524"/>
    </row>
    <row r="1080" spans="1:9">
      <c r="A1080" s="433"/>
      <c r="B1080" s="433"/>
      <c r="C1080" s="433"/>
      <c r="D1080" s="561" t="s">
        <v>2018</v>
      </c>
      <c r="I1080" s="524"/>
    </row>
    <row r="1081" spans="1:9">
      <c r="A1081" s="433"/>
      <c r="B1081" s="433"/>
      <c r="C1081" s="433"/>
      <c r="I1081" s="524"/>
    </row>
    <row r="1082" spans="1:9">
      <c r="A1082" s="1295" t="s">
        <v>2023</v>
      </c>
      <c r="B1082" s="1295"/>
      <c r="C1082" s="1295"/>
      <c r="D1082" s="1295"/>
      <c r="E1082" s="1295"/>
      <c r="F1082" s="1295"/>
      <c r="G1082" s="1295"/>
      <c r="H1082" s="1063"/>
      <c r="I1082" s="1259"/>
    </row>
    <row r="1083" spans="1:9">
      <c r="A1083" s="433"/>
      <c r="B1083" s="433"/>
      <c r="C1083" s="433"/>
      <c r="I1083" s="524"/>
    </row>
    <row r="1084" spans="1:9">
      <c r="A1084" s="433"/>
      <c r="B1084" s="433"/>
      <c r="C1084" s="433"/>
      <c r="I1084" s="524"/>
    </row>
    <row r="1085" spans="1:9" ht="12.75" customHeight="1">
      <c r="A1085" s="433"/>
      <c r="B1085" s="519" t="s">
        <v>2638</v>
      </c>
      <c r="C1085" s="433"/>
      <c r="D1085" s="1353" t="s">
        <v>2231</v>
      </c>
      <c r="E1085" s="1353"/>
      <c r="F1085" s="1353"/>
      <c r="I1085" s="524" t="s">
        <v>2122</v>
      </c>
    </row>
    <row r="1086" spans="1:9">
      <c r="A1086" s="433"/>
      <c r="B1086" s="433"/>
      <c r="C1086" s="433"/>
      <c r="D1086" s="1353"/>
      <c r="E1086" s="1353"/>
      <c r="F1086" s="1353"/>
      <c r="I1086" s="524"/>
    </row>
    <row r="1087" spans="1:9">
      <c r="A1087" s="433"/>
      <c r="B1087" s="433"/>
      <c r="C1087" s="433"/>
      <c r="D1087" s="1354" t="s">
        <v>2504</v>
      </c>
      <c r="E1087" s="1267"/>
      <c r="F1087" s="1267"/>
      <c r="I1087" s="524"/>
    </row>
    <row r="1088" spans="1:9">
      <c r="A1088" s="433"/>
      <c r="B1088" s="433"/>
      <c r="C1088" s="433"/>
      <c r="D1088" s="561"/>
      <c r="I1088" s="524"/>
    </row>
    <row r="1089" spans="1:9">
      <c r="A1089" s="433"/>
      <c r="B1089" s="519" t="s">
        <v>2638</v>
      </c>
      <c r="C1089" s="433"/>
      <c r="D1089" s="1351" t="s">
        <v>2024</v>
      </c>
      <c r="E1089" s="1351"/>
      <c r="F1089" s="1351"/>
      <c r="I1089" s="524" t="s">
        <v>2123</v>
      </c>
    </row>
    <row r="1090" spans="1:9">
      <c r="A1090" s="433"/>
      <c r="B1090" s="433"/>
      <c r="C1090" s="433"/>
      <c r="D1090" s="1351"/>
      <c r="E1090" s="1351"/>
      <c r="F1090" s="1351"/>
      <c r="I1090" s="524"/>
    </row>
    <row r="1091" spans="1:9">
      <c r="A1091" s="433"/>
      <c r="B1091" s="433"/>
      <c r="C1091" s="433"/>
      <c r="D1091" s="561"/>
      <c r="I1091" s="524"/>
    </row>
    <row r="1092" spans="1:9">
      <c r="A1092" s="433"/>
      <c r="B1092" s="519" t="s">
        <v>308</v>
      </c>
      <c r="C1092" s="433"/>
      <c r="D1092" s="1351" t="s">
        <v>2167</v>
      </c>
      <c r="E1092" s="1351"/>
      <c r="F1092" s="1351"/>
      <c r="I1092" s="524" t="s">
        <v>2165</v>
      </c>
    </row>
    <row r="1093" spans="1:9">
      <c r="A1093" s="433"/>
      <c r="B1093" s="433"/>
      <c r="C1093" s="433"/>
      <c r="D1093" s="1351"/>
      <c r="E1093" s="1351"/>
      <c r="F1093" s="1351"/>
      <c r="I1093" s="524"/>
    </row>
    <row r="1094" spans="1:9">
      <c r="A1094" s="433"/>
      <c r="B1094" s="433"/>
      <c r="C1094" s="433"/>
      <c r="D1094" s="1351"/>
      <c r="E1094" s="1351"/>
      <c r="F1094" s="1351"/>
      <c r="I1094" s="524"/>
    </row>
    <row r="1095" spans="1:9">
      <c r="A1095" s="433"/>
      <c r="B1095" s="433"/>
      <c r="C1095" s="433"/>
      <c r="D1095" s="1351"/>
      <c r="E1095" s="1351"/>
      <c r="F1095" s="1351"/>
      <c r="I1095" s="524"/>
    </row>
    <row r="1096" spans="1:9">
      <c r="A1096" s="433"/>
      <c r="B1096" s="433"/>
      <c r="C1096" s="433"/>
      <c r="D1096" s="1351"/>
      <c r="E1096" s="1351"/>
      <c r="F1096" s="1351"/>
      <c r="I1096" s="524"/>
    </row>
    <row r="1097" spans="1:9">
      <c r="A1097" s="433"/>
      <c r="B1097" s="433"/>
      <c r="C1097" s="433"/>
      <c r="D1097" s="1351"/>
      <c r="E1097" s="1351"/>
      <c r="F1097" s="1351"/>
      <c r="I1097" s="524"/>
    </row>
    <row r="1098" spans="1:9">
      <c r="A1098" s="433"/>
      <c r="B1098" s="433"/>
      <c r="C1098" s="433"/>
      <c r="D1098" s="561" t="s">
        <v>2166</v>
      </c>
      <c r="I1098" s="514"/>
    </row>
    <row r="1099" spans="1:9">
      <c r="A1099" s="433"/>
      <c r="B1099" s="519" t="s">
        <v>1070</v>
      </c>
      <c r="C1099" s="433"/>
      <c r="D1099" s="1351" t="s">
        <v>2025</v>
      </c>
      <c r="E1099" s="1351"/>
      <c r="F1099" s="1351"/>
      <c r="I1099" s="524" t="s">
        <v>2124</v>
      </c>
    </row>
    <row r="1100" spans="1:9">
      <c r="A1100" s="433"/>
      <c r="B1100" s="433"/>
      <c r="C1100" s="433"/>
      <c r="D1100" s="1351"/>
      <c r="E1100" s="1351"/>
      <c r="F1100" s="1351"/>
      <c r="I1100" s="524"/>
    </row>
    <row r="1101" spans="1:9">
      <c r="A1101" s="433"/>
      <c r="B1101" s="433"/>
      <c r="C1101" s="433"/>
      <c r="D1101" s="1351"/>
      <c r="E1101" s="1351"/>
      <c r="F1101" s="1351"/>
      <c r="I1101" s="524"/>
    </row>
    <row r="1102" spans="1:9">
      <c r="A1102" s="433"/>
      <c r="B1102" s="433"/>
      <c r="C1102" s="433"/>
      <c r="D1102" s="561"/>
      <c r="I1102" s="524"/>
    </row>
    <row r="1103" spans="1:9">
      <c r="A1103" s="433"/>
      <c r="B1103" s="519" t="s">
        <v>2638</v>
      </c>
      <c r="C1103" s="433"/>
      <c r="D1103" s="1273" t="s">
        <v>2168</v>
      </c>
      <c r="E1103" s="1273"/>
      <c r="F1103" s="1273"/>
      <c r="I1103" s="524" t="s">
        <v>2125</v>
      </c>
    </row>
    <row r="1104" spans="1:9">
      <c r="A1104" s="433"/>
      <c r="B1104" s="433"/>
      <c r="C1104" s="433"/>
      <c r="D1104" s="1273"/>
      <c r="E1104" s="1273"/>
      <c r="F1104" s="1273"/>
      <c r="I1104" s="524"/>
    </row>
    <row r="1105" spans="1:9">
      <c r="A1105" s="433"/>
      <c r="B1105" s="433"/>
      <c r="C1105" s="433"/>
      <c r="D1105" s="1273"/>
      <c r="E1105" s="1273"/>
      <c r="F1105" s="1273"/>
      <c r="I1105" s="524"/>
    </row>
    <row r="1106" spans="1:9">
      <c r="A1106" s="433"/>
      <c r="B1106" s="433"/>
      <c r="C1106" s="433"/>
      <c r="D1106" s="1015"/>
      <c r="E1106" s="1015"/>
      <c r="F1106" s="1015"/>
      <c r="I1106" s="524"/>
    </row>
    <row r="1107" spans="1:9" ht="15.75" customHeight="1">
      <c r="A1107" s="433"/>
      <c r="B1107" s="519" t="s">
        <v>2638</v>
      </c>
      <c r="C1107" s="433"/>
      <c r="D1107" s="1267" t="s">
        <v>2170</v>
      </c>
      <c r="E1107" s="1267"/>
      <c r="F1107" s="1267"/>
      <c r="I1107" s="524" t="s">
        <v>2169</v>
      </c>
    </row>
    <row r="1108" spans="1:9">
      <c r="A1108" s="433"/>
      <c r="B1108" s="433"/>
      <c r="C1108" s="433"/>
      <c r="D1108" s="1267"/>
      <c r="E1108" s="1267"/>
      <c r="F1108" s="1267"/>
      <c r="I1108" s="524"/>
    </row>
    <row r="1109" spans="1:9">
      <c r="A1109" s="433"/>
      <c r="B1109" s="433"/>
      <c r="C1109" s="433"/>
      <c r="D1109" s="1267"/>
      <c r="E1109" s="1267"/>
      <c r="F1109" s="1267"/>
      <c r="I1109" s="524"/>
    </row>
    <row r="1110" spans="1:9">
      <c r="A1110" s="433"/>
      <c r="B1110" s="433"/>
      <c r="C1110" s="433"/>
      <c r="D1110" s="1267"/>
      <c r="E1110" s="1267"/>
      <c r="F1110" s="1267"/>
      <c r="I1110" s="524"/>
    </row>
    <row r="1111" spans="1:9">
      <c r="A1111" s="433"/>
      <c r="B1111" s="433"/>
      <c r="C1111" s="433"/>
      <c r="D1111" s="1015"/>
      <c r="E1111" s="1015"/>
      <c r="F1111" s="1015"/>
      <c r="I1111" s="524"/>
    </row>
    <row r="1112" spans="1:9" ht="37.299999999999997">
      <c r="A1112" s="433"/>
      <c r="B1112" s="433"/>
      <c r="C1112" s="433"/>
      <c r="I1112" s="1265" t="s">
        <v>2388</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80"/>
      <c r="H1525" s="1280"/>
      <c r="I1525" s="1280"/>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430" zoomScale="92" zoomScaleNormal="92" workbookViewId="0">
      <selection activeCell="AG442" sqref="AG442:AJ442"/>
    </sheetView>
  </sheetViews>
  <sheetFormatPr defaultColWidth="0" defaultRowHeight="0" customHeight="1" zeroHeight="1"/>
  <cols>
    <col min="1" max="36" width="2.53515625" customWidth="1"/>
    <col min="37" max="37" width="2.84375" customWidth="1"/>
    <col min="38" max="45" width="2.53515625" customWidth="1"/>
    <col min="46" max="46" width="3.69140625" customWidth="1"/>
    <col min="47" max="59" width="3.69140625" hidden="1"/>
    <col min="60" max="60" width="5.23046875" hidden="1"/>
    <col min="61" max="61" width="5" hidden="1"/>
    <col min="62" max="72" width="3.69140625" hidden="1"/>
    <col min="73" max="74" width="7.23046875" hidden="1"/>
    <col min="16384" max="16384" width="3.69140625" hidden="1"/>
  </cols>
  <sheetData>
    <row r="1" spans="1:51" ht="13" customHeight="1">
      <c r="J1" s="100"/>
      <c r="AS1" s="1066">
        <v>4</v>
      </c>
    </row>
    <row r="2" spans="1:51" ht="13" customHeight="1"/>
    <row r="3" spans="1:51" ht="13" customHeight="1"/>
    <row r="4" spans="1:51" ht="13" customHeight="1"/>
    <row r="5" spans="1:51" ht="13" customHeight="1"/>
    <row r="6" spans="1:51" ht="13" customHeight="1"/>
    <row r="7" spans="1:51" ht="13" customHeight="1"/>
    <row r="8" spans="1:51" ht="26.25" customHeight="1">
      <c r="A8" s="1838" t="s">
        <v>100</v>
      </c>
      <c r="B8" s="1838"/>
      <c r="C8" s="1838"/>
      <c r="D8" s="1838"/>
      <c r="E8" s="1838"/>
      <c r="F8" s="1838"/>
      <c r="G8" s="1838"/>
      <c r="H8" s="1838"/>
      <c r="I8" s="1838"/>
      <c r="J8" s="1838"/>
      <c r="K8" s="1838"/>
      <c r="L8" s="1838"/>
      <c r="M8" s="1838"/>
      <c r="N8" s="1838"/>
      <c r="O8" s="1838"/>
      <c r="P8" s="1838"/>
      <c r="Q8" s="1838"/>
      <c r="R8" s="1838"/>
      <c r="S8" s="1838"/>
      <c r="T8" s="1838"/>
      <c r="U8" s="1838"/>
      <c r="V8" s="1838"/>
      <c r="W8" s="1838"/>
      <c r="X8" s="1838"/>
      <c r="Y8" s="1838"/>
      <c r="Z8" s="1838"/>
      <c r="AA8" s="1838"/>
      <c r="AB8" s="1838"/>
      <c r="AC8" s="1838"/>
      <c r="AD8" s="1838"/>
      <c r="AE8" s="1838"/>
      <c r="AF8" s="1838"/>
      <c r="AG8" s="1838"/>
      <c r="AH8" s="1838"/>
      <c r="AI8" s="1838"/>
      <c r="AJ8" s="1838"/>
      <c r="AK8" s="1838"/>
      <c r="AL8" s="1838"/>
      <c r="AM8" s="1838"/>
      <c r="AN8" s="1838"/>
      <c r="AO8" s="1838"/>
      <c r="AP8" s="1838"/>
      <c r="AQ8" s="1838"/>
      <c r="AR8" s="1838"/>
      <c r="AS8" s="1838"/>
      <c r="AT8" s="1838"/>
      <c r="AU8" s="933"/>
      <c r="AV8" s="933"/>
      <c r="AW8" s="933"/>
      <c r="AX8" s="933"/>
      <c r="AY8" s="933"/>
    </row>
    <row r="9" spans="1:51" ht="13" customHeight="1">
      <c r="A9" s="1307" t="s">
        <v>2394</v>
      </c>
      <c r="B9" s="1307"/>
      <c r="C9" s="1307"/>
      <c r="D9" s="1307"/>
      <c r="E9" s="1307"/>
      <c r="F9" s="1307"/>
      <c r="G9" s="1307"/>
      <c r="H9" s="1307"/>
      <c r="I9" s="1307"/>
      <c r="J9" s="1307"/>
      <c r="K9" s="1307"/>
      <c r="L9" s="1307"/>
      <c r="M9" s="1307"/>
      <c r="N9" s="1307"/>
      <c r="O9" s="1307"/>
      <c r="P9" s="1307"/>
      <c r="Q9" s="1307"/>
      <c r="R9" s="1307"/>
      <c r="S9" s="1307"/>
      <c r="T9" s="1307"/>
      <c r="U9" s="1307"/>
      <c r="V9" s="1307"/>
      <c r="W9" s="1307"/>
      <c r="X9" s="1307"/>
      <c r="Y9" s="1307"/>
      <c r="Z9" s="1307"/>
      <c r="AA9" s="1307"/>
      <c r="AB9" s="1307"/>
      <c r="AC9" s="1307"/>
      <c r="AD9" s="1307"/>
      <c r="AE9" s="1307"/>
      <c r="AF9" s="1307"/>
      <c r="AG9" s="1307"/>
      <c r="AH9" s="1307"/>
      <c r="AI9" s="1307"/>
      <c r="AJ9" s="1307"/>
      <c r="AK9" s="1307"/>
      <c r="AL9" s="1307"/>
      <c r="AM9" s="1307"/>
      <c r="AN9" s="1307"/>
      <c r="AO9" s="1307"/>
      <c r="AP9" s="1307"/>
      <c r="AQ9" s="1307"/>
      <c r="AR9" s="1307"/>
      <c r="AS9" s="1307"/>
      <c r="AT9" s="1307"/>
      <c r="AU9" s="13"/>
      <c r="AV9" s="13"/>
      <c r="AW9" s="13"/>
      <c r="AX9" s="13"/>
      <c r="AY9" s="13"/>
    </row>
    <row r="10" spans="1:51" ht="13" customHeight="1">
      <c r="A10" s="1307" t="s">
        <v>2585</v>
      </c>
      <c r="B10" s="1307"/>
      <c r="C10" s="1307"/>
      <c r="D10" s="1307"/>
      <c r="E10" s="1307"/>
      <c r="F10" s="1307"/>
      <c r="G10" s="1307"/>
      <c r="H10" s="1307"/>
      <c r="I10" s="1307"/>
      <c r="J10" s="1307"/>
      <c r="K10" s="1307"/>
      <c r="L10" s="1307"/>
      <c r="M10" s="1307"/>
      <c r="N10" s="1307"/>
      <c r="O10" s="1307"/>
      <c r="P10" s="1307"/>
      <c r="Q10" s="1307"/>
      <c r="R10" s="1307"/>
      <c r="S10" s="1307"/>
      <c r="T10" s="1307"/>
      <c r="U10" s="1307"/>
      <c r="V10" s="1307"/>
      <c r="W10" s="1307"/>
      <c r="X10" s="1307"/>
      <c r="Y10" s="1307"/>
      <c r="Z10" s="1307"/>
      <c r="AA10" s="1307"/>
      <c r="AB10" s="1307"/>
      <c r="AC10" s="1307"/>
      <c r="AD10" s="1307"/>
      <c r="AE10" s="1307"/>
      <c r="AF10" s="1307"/>
      <c r="AG10" s="1307"/>
      <c r="AH10" s="1307"/>
      <c r="AI10" s="1307"/>
      <c r="AJ10" s="1307"/>
      <c r="AK10" s="1307"/>
      <c r="AL10" s="1307"/>
      <c r="AM10" s="1307"/>
      <c r="AN10" s="1307"/>
      <c r="AO10" s="1307"/>
      <c r="AP10" s="1307"/>
      <c r="AQ10" s="1307"/>
      <c r="AR10" s="1307"/>
      <c r="AS10" s="1307"/>
      <c r="AT10" s="1307"/>
      <c r="AU10" s="13"/>
      <c r="AV10" s="13"/>
      <c r="AW10" s="13"/>
      <c r="AX10" s="13"/>
      <c r="AY10" s="13"/>
    </row>
    <row r="11" spans="1:51" ht="13" customHeight="1">
      <c r="A11" s="1307" t="s">
        <v>1772</v>
      </c>
      <c r="B11" s="1307"/>
      <c r="C11" s="1307"/>
      <c r="D11" s="1307"/>
      <c r="E11" s="1307"/>
      <c r="F11" s="1307"/>
      <c r="G11" s="1307"/>
      <c r="H11" s="1307"/>
      <c r="I11" s="1307"/>
      <c r="J11" s="1307"/>
      <c r="K11" s="1307"/>
      <c r="L11" s="1307"/>
      <c r="M11" s="1307"/>
      <c r="N11" s="1307"/>
      <c r="O11" s="1307"/>
      <c r="P11" s="1307"/>
      <c r="Q11" s="1307"/>
      <c r="R11" s="1307"/>
      <c r="S11" s="1307"/>
      <c r="T11" s="1307"/>
      <c r="U11" s="1307"/>
      <c r="V11" s="1307"/>
      <c r="W11" s="1307"/>
      <c r="X11" s="1307"/>
      <c r="Y11" s="1307"/>
      <c r="Z11" s="1307"/>
      <c r="AA11" s="1307"/>
      <c r="AB11" s="1307"/>
      <c r="AC11" s="1307"/>
      <c r="AD11" s="1307"/>
      <c r="AE11" s="1307"/>
      <c r="AF11" s="1307"/>
      <c r="AG11" s="1307"/>
      <c r="AH11" s="1307"/>
      <c r="AI11" s="1307"/>
      <c r="AJ11" s="1307"/>
      <c r="AK11" s="1307"/>
      <c r="AL11" s="1307"/>
      <c r="AM11" s="1307"/>
      <c r="AN11" s="1307"/>
      <c r="AO11" s="1307"/>
      <c r="AP11" s="1307"/>
      <c r="AQ11" s="1307"/>
      <c r="AR11" s="1307"/>
      <c r="AS11" s="1307"/>
      <c r="AT11" s="1307"/>
      <c r="AU11" s="13"/>
      <c r="AV11" s="13"/>
      <c r="AW11" s="13"/>
      <c r="AX11" s="13"/>
      <c r="AY11" s="13"/>
    </row>
    <row r="12" spans="1:51" ht="13" customHeight="1">
      <c r="A12" s="1839" t="s">
        <v>2637</v>
      </c>
      <c r="B12" s="1839"/>
      <c r="C12" s="1839"/>
      <c r="D12" s="1839"/>
      <c r="E12" s="1839"/>
      <c r="F12" s="1839"/>
      <c r="G12" s="1839"/>
      <c r="H12" s="1839"/>
      <c r="I12" s="1839"/>
      <c r="J12" s="1839"/>
      <c r="K12" s="1839"/>
      <c r="L12" s="1839"/>
      <c r="M12" s="1839"/>
      <c r="N12" s="1839"/>
      <c r="O12" s="1839"/>
      <c r="P12" s="1839"/>
      <c r="Q12" s="1839"/>
      <c r="R12" s="1839"/>
      <c r="S12" s="1839"/>
      <c r="T12" s="1839"/>
      <c r="U12" s="1839"/>
      <c r="V12" s="1839"/>
      <c r="W12" s="1839"/>
      <c r="X12" s="1839"/>
      <c r="Y12" s="1839"/>
      <c r="Z12" s="1839"/>
      <c r="AA12" s="1839"/>
      <c r="AB12" s="1839"/>
      <c r="AC12" s="1839"/>
      <c r="AD12" s="1839"/>
      <c r="AE12" s="1839"/>
      <c r="AF12" s="1839"/>
      <c r="AG12" s="1839"/>
      <c r="AH12" s="1839"/>
      <c r="AI12" s="1839"/>
      <c r="AJ12" s="1839"/>
      <c r="AK12" s="1839"/>
      <c r="AL12" s="1839"/>
      <c r="AM12" s="1839"/>
      <c r="AN12" s="1839"/>
      <c r="AO12" s="1839"/>
      <c r="AP12" s="1839"/>
      <c r="AQ12" s="1839"/>
      <c r="AR12" s="1839"/>
      <c r="AS12" s="1839"/>
      <c r="AT12" s="1839"/>
      <c r="AU12" s="6"/>
      <c r="AV12" s="6"/>
      <c r="AW12" s="6"/>
      <c r="AX12" s="6"/>
      <c r="AY12" s="6"/>
    </row>
    <row r="13" spans="1:51" ht="13" customHeight="1">
      <c r="A13" s="1277" t="s">
        <v>2395</v>
      </c>
      <c r="B13" s="1277"/>
      <c r="C13" s="1277"/>
      <c r="D13" s="1277"/>
      <c r="E13" s="1277"/>
      <c r="F13" s="1277"/>
      <c r="G13" s="1277"/>
      <c r="H13" s="1277"/>
      <c r="I13" s="1277"/>
      <c r="J13" s="1277"/>
      <c r="K13" s="1277"/>
      <c r="L13" s="1277"/>
      <c r="M13" s="1277"/>
      <c r="N13" s="1277"/>
      <c r="O13" s="1277"/>
      <c r="P13" s="1277"/>
      <c r="Q13" s="1277"/>
      <c r="R13" s="1277"/>
      <c r="S13" s="1277"/>
      <c r="T13" s="1277"/>
      <c r="U13" s="1277"/>
      <c r="V13" s="1277"/>
      <c r="W13" s="1277"/>
      <c r="X13" s="1277"/>
      <c r="Y13" s="1277"/>
      <c r="Z13" s="1277"/>
      <c r="AA13" s="1277"/>
      <c r="AB13" s="1277"/>
      <c r="AC13" s="1277"/>
      <c r="AD13" s="1277"/>
      <c r="AE13" s="1277"/>
      <c r="AF13" s="1277"/>
      <c r="AG13" s="1277"/>
      <c r="AH13" s="1277"/>
      <c r="AI13" s="1277"/>
      <c r="AJ13" s="1277"/>
      <c r="AK13" s="1277"/>
      <c r="AL13" s="1277"/>
      <c r="AM13" s="1277"/>
      <c r="AN13" s="1277"/>
      <c r="AO13" s="1277"/>
      <c r="AP13" s="1277"/>
      <c r="AQ13" s="1277"/>
      <c r="AR13" s="1277"/>
      <c r="AS13" s="1277"/>
      <c r="AT13" s="1277"/>
      <c r="AU13" s="934"/>
      <c r="AV13" s="934"/>
      <c r="AW13" s="934"/>
      <c r="AX13" s="934"/>
      <c r="AY13" s="934"/>
    </row>
    <row r="14" spans="1:51" ht="13" customHeight="1">
      <c r="A14" s="1277"/>
      <c r="B14" s="1277"/>
      <c r="C14" s="1277"/>
      <c r="D14" s="1277"/>
      <c r="E14" s="1277"/>
      <c r="F14" s="1277"/>
      <c r="G14" s="1277"/>
      <c r="H14" s="1277"/>
      <c r="I14" s="1277"/>
      <c r="J14" s="1277"/>
      <c r="K14" s="1277"/>
      <c r="L14" s="1277"/>
      <c r="M14" s="1277"/>
      <c r="N14" s="1277"/>
      <c r="O14" s="1277"/>
      <c r="P14" s="1277"/>
      <c r="Q14" s="1277"/>
      <c r="R14" s="1277"/>
      <c r="S14" s="1277"/>
      <c r="T14" s="1277"/>
      <c r="U14" s="1277"/>
      <c r="V14" s="1277"/>
      <c r="W14" s="1277"/>
      <c r="X14" s="1277"/>
      <c r="Y14" s="1277"/>
      <c r="Z14" s="1277"/>
      <c r="AA14" s="1277"/>
      <c r="AB14" s="1277"/>
      <c r="AC14" s="1277"/>
      <c r="AD14" s="1277"/>
      <c r="AE14" s="1277"/>
      <c r="AF14" s="1277"/>
      <c r="AG14" s="1277"/>
      <c r="AH14" s="1277"/>
      <c r="AI14" s="1277"/>
      <c r="AJ14" s="1277"/>
      <c r="AK14" s="1277"/>
      <c r="AL14" s="1277"/>
      <c r="AM14" s="1277"/>
      <c r="AN14" s="1277"/>
      <c r="AO14" s="1277"/>
      <c r="AP14" s="1277"/>
      <c r="AQ14" s="1277"/>
      <c r="AR14" s="1277"/>
      <c r="AS14" s="1277"/>
      <c r="AT14" s="1277"/>
      <c r="AU14" s="934"/>
      <c r="AV14" s="934"/>
      <c r="AW14" s="934"/>
      <c r="AX14" s="934"/>
      <c r="AY14" s="934"/>
    </row>
    <row r="15" spans="1:51"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2396</v>
      </c>
      <c r="C16" s="4"/>
      <c r="D16" s="4"/>
      <c r="E16" s="4"/>
      <c r="F16" s="4"/>
      <c r="G16" s="4"/>
      <c r="H16" s="1554" t="s">
        <v>2650</v>
      </c>
      <c r="I16" s="1555"/>
      <c r="J16" s="1555"/>
      <c r="K16" s="1555"/>
      <c r="L16" s="1555"/>
      <c r="M16" s="1555"/>
      <c r="N16" s="1555"/>
      <c r="O16" s="1555"/>
      <c r="P16" s="1555"/>
      <c r="Q16" s="1555"/>
      <c r="R16" s="1555"/>
      <c r="S16" s="1555"/>
      <c r="T16" s="1555"/>
      <c r="U16" s="1555"/>
      <c r="V16" s="1555"/>
      <c r="W16" s="1555"/>
      <c r="X16" s="1555"/>
      <c r="Y16" s="1555"/>
      <c r="Z16" s="1555"/>
      <c r="AA16" s="1555"/>
      <c r="AB16" s="1555"/>
      <c r="AC16" s="1555"/>
      <c r="AD16" s="1555"/>
      <c r="AE16" s="1555"/>
      <c r="AF16" s="1555"/>
      <c r="AG16" s="1555"/>
      <c r="AH16" s="1555"/>
      <c r="AI16" s="1555"/>
      <c r="AJ16" s="1555"/>
    </row>
    <row r="17" spans="1:52" ht="13" customHeight="1"/>
    <row r="18" spans="1:52" ht="13" customHeight="1">
      <c r="A18" s="57" t="s">
        <v>101</v>
      </c>
      <c r="C18" s="4"/>
      <c r="D18" s="4"/>
      <c r="E18" s="4"/>
      <c r="F18" s="4"/>
      <c r="G18" s="4"/>
      <c r="H18" s="1396" t="s">
        <v>2705</v>
      </c>
      <c r="I18" s="1512"/>
      <c r="J18" s="1512"/>
      <c r="K18" s="1512"/>
      <c r="L18" s="1512"/>
      <c r="M18" s="1512"/>
      <c r="N18" s="1512"/>
      <c r="O18" s="1512"/>
      <c r="P18" s="1512"/>
      <c r="Q18" s="1512"/>
      <c r="R18" s="1512"/>
      <c r="S18" s="1512"/>
      <c r="T18" s="1512"/>
      <c r="U18" s="1512"/>
      <c r="V18" s="1512"/>
      <c r="W18" s="1512"/>
      <c r="X18" s="1512"/>
      <c r="Y18" s="1512"/>
      <c r="Z18" s="1512"/>
      <c r="AA18" s="1512"/>
      <c r="AB18" s="1512"/>
      <c r="AC18" s="1512"/>
      <c r="AD18" s="1512"/>
      <c r="AE18" s="1512"/>
      <c r="AF18" s="1512"/>
      <c r="AG18" s="1512"/>
      <c r="AH18" s="1512"/>
      <c r="AI18" s="1512"/>
      <c r="AJ18" s="1512"/>
    </row>
    <row r="19" spans="1:52" ht="13" customHeight="1"/>
    <row r="20" spans="1:52" ht="13" customHeight="1">
      <c r="A20" s="1840" t="s">
        <v>885</v>
      </c>
      <c r="B20" s="1840"/>
      <c r="C20" s="1840"/>
      <c r="D20" s="1840"/>
      <c r="E20" s="1840"/>
      <c r="F20" s="1840"/>
      <c r="G20" s="1840"/>
      <c r="H20" s="1840"/>
      <c r="I20" s="1840"/>
      <c r="J20" s="1840"/>
      <c r="K20" s="1840"/>
      <c r="L20" s="1840"/>
      <c r="M20" s="1840"/>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c r="AL20" s="1840"/>
      <c r="AM20" s="1840"/>
      <c r="AN20" s="1840"/>
      <c r="AO20" s="1840"/>
      <c r="AP20" s="1840"/>
      <c r="AQ20" s="1840"/>
      <c r="AR20" s="1840"/>
      <c r="AS20" s="1840"/>
      <c r="AT20" s="1840"/>
      <c r="AU20" s="935"/>
      <c r="AV20" s="935"/>
      <c r="AW20" s="935"/>
      <c r="AX20" s="935"/>
      <c r="AY20" s="935"/>
    </row>
    <row r="21" spans="1:52" ht="13" customHeight="1">
      <c r="A21" s="1843" t="s">
        <v>1034</v>
      </c>
      <c r="B21" s="1843"/>
      <c r="C21" s="1843"/>
      <c r="D21" s="1843"/>
      <c r="E21" s="1843"/>
      <c r="F21" s="1843"/>
      <c r="G21" s="1843"/>
      <c r="H21" s="1843"/>
      <c r="I21" s="1843"/>
      <c r="J21" s="1843"/>
      <c r="K21" s="1843"/>
      <c r="L21" s="1843"/>
      <c r="M21" s="1843"/>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c r="AL21" s="1843"/>
      <c r="AM21" s="936"/>
      <c r="AN21" s="936"/>
      <c r="AO21" s="936"/>
      <c r="AP21" s="936"/>
      <c r="AQ21" s="936"/>
      <c r="AR21" s="936"/>
      <c r="AS21" s="936"/>
      <c r="AT21" s="936"/>
      <c r="AU21" s="936"/>
      <c r="AV21" s="936"/>
      <c r="AW21" s="936"/>
      <c r="AX21" s="936"/>
      <c r="AY21" s="936"/>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353" t="s">
        <v>2510</v>
      </c>
      <c r="B23" s="1353"/>
      <c r="C23" s="1353"/>
      <c r="D23" s="1353"/>
      <c r="E23" s="1353"/>
      <c r="F23" s="1353"/>
      <c r="G23" s="1353"/>
      <c r="H23" s="1353"/>
      <c r="I23" s="1353"/>
      <c r="J23" s="1353"/>
      <c r="K23" s="1353"/>
      <c r="L23" s="1353"/>
      <c r="M23" s="1353"/>
      <c r="N23" s="1353"/>
      <c r="O23" s="1353"/>
      <c r="P23" s="1353"/>
      <c r="Q23" s="1353"/>
      <c r="R23" s="1353"/>
      <c r="S23" s="1353"/>
      <c r="T23" s="1353"/>
      <c r="U23" s="1353"/>
      <c r="V23" s="1353"/>
      <c r="W23" s="1353"/>
      <c r="X23" s="1353"/>
      <c r="Y23" s="1353"/>
      <c r="Z23" s="1353"/>
      <c r="AA23" s="1353"/>
      <c r="AB23" s="1353"/>
      <c r="AC23" s="1353"/>
      <c r="AD23" s="1353"/>
      <c r="AE23" s="1353"/>
      <c r="AF23" s="1353"/>
      <c r="AG23" s="1353"/>
      <c r="AH23" s="1353"/>
      <c r="AI23" s="1353"/>
      <c r="AJ23" s="1353"/>
      <c r="AK23" s="1353"/>
      <c r="AL23" s="1353"/>
      <c r="AM23" s="1353"/>
      <c r="AN23" s="1353"/>
      <c r="AO23" s="1353"/>
      <c r="AP23" s="1353"/>
      <c r="AQ23" s="1353"/>
      <c r="AR23" s="1353"/>
      <c r="AS23" s="1353"/>
      <c r="AT23" s="1353"/>
      <c r="AU23" s="18"/>
      <c r="AV23" s="18"/>
      <c r="AW23" s="18"/>
      <c r="AX23" s="18"/>
      <c r="AY23" s="18"/>
      <c r="AZ23" s="18"/>
    </row>
    <row r="24" spans="1:52" ht="13" customHeight="1">
      <c r="A24" s="1353"/>
      <c r="B24" s="1353"/>
      <c r="C24" s="1353"/>
      <c r="D24" s="1353"/>
      <c r="E24" s="1353"/>
      <c r="F24" s="1353"/>
      <c r="G24" s="1353"/>
      <c r="H24" s="1353"/>
      <c r="I24" s="1353"/>
      <c r="J24" s="1353"/>
      <c r="K24" s="1353"/>
      <c r="L24" s="1353"/>
      <c r="M24" s="1353"/>
      <c r="N24" s="1353"/>
      <c r="O24" s="1353"/>
      <c r="P24" s="1353"/>
      <c r="Q24" s="1353"/>
      <c r="R24" s="1353"/>
      <c r="S24" s="1353"/>
      <c r="T24" s="1353"/>
      <c r="U24" s="1353"/>
      <c r="V24" s="1353"/>
      <c r="W24" s="1353"/>
      <c r="X24" s="1353"/>
      <c r="Y24" s="1353"/>
      <c r="Z24" s="1353"/>
      <c r="AA24" s="1353"/>
      <c r="AB24" s="1353"/>
      <c r="AC24" s="1353"/>
      <c r="AD24" s="1353"/>
      <c r="AE24" s="1353"/>
      <c r="AF24" s="1353"/>
      <c r="AG24" s="1353"/>
      <c r="AH24" s="1353"/>
      <c r="AI24" s="1353"/>
      <c r="AJ24" s="1353"/>
      <c r="AK24" s="1353"/>
      <c r="AL24" s="1353"/>
      <c r="AM24" s="1353"/>
      <c r="AN24" s="1353"/>
      <c r="AO24" s="1353"/>
      <c r="AP24" s="1353"/>
      <c r="AQ24" s="1353"/>
      <c r="AR24" s="1353"/>
      <c r="AS24" s="1353"/>
      <c r="AT24" s="1353"/>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842">
        <f>'Basis &amp; Credits'!AB56</f>
        <v>2625338</v>
      </c>
      <c r="N26" s="1842"/>
      <c r="O26" s="1842"/>
      <c r="P26" s="1842"/>
      <c r="Q26" s="1842"/>
      <c r="R26" s="4" t="s">
        <v>769</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64">
        <f>'Basis &amp; Credits'!AB77</f>
        <v>9528968</v>
      </c>
      <c r="N27" s="1364"/>
      <c r="O27" s="1364"/>
      <c r="P27" s="1364"/>
      <c r="Q27" s="1364"/>
      <c r="R27" s="3" t="s">
        <v>1378</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1834" t="s">
        <v>2511</v>
      </c>
      <c r="B29" s="1834"/>
      <c r="C29" s="1834"/>
      <c r="D29" s="1834"/>
      <c r="E29" s="1834"/>
      <c r="F29" s="1834"/>
      <c r="G29" s="1834"/>
      <c r="H29" s="1834"/>
      <c r="I29" s="1834"/>
      <c r="J29" s="1834"/>
      <c r="K29" s="1834"/>
      <c r="L29" s="1834"/>
      <c r="M29" s="1834"/>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c r="AL29" s="1834"/>
      <c r="AM29" s="1834"/>
      <c r="AN29" s="1834"/>
      <c r="AO29" s="1834"/>
      <c r="AP29" s="1834"/>
      <c r="AQ29" s="1834"/>
      <c r="AR29" s="1834"/>
      <c r="AS29" s="1834"/>
      <c r="AT29" s="1834"/>
    </row>
    <row r="30" spans="1:52" ht="13" customHeight="1">
      <c r="A30" s="1834"/>
      <c r="B30" s="1834"/>
      <c r="C30" s="1834"/>
      <c r="D30" s="1834"/>
      <c r="E30" s="1834"/>
      <c r="F30" s="1834"/>
      <c r="G30" s="1834"/>
      <c r="H30" s="1834"/>
      <c r="I30" s="1834"/>
      <c r="J30" s="1834"/>
      <c r="K30" s="1834"/>
      <c r="L30" s="1834"/>
      <c r="M30" s="1834"/>
      <c r="N30" s="1834"/>
      <c r="O30" s="1834"/>
      <c r="P30" s="1834"/>
      <c r="Q30" s="1834"/>
      <c r="R30" s="1834"/>
      <c r="S30" s="1834"/>
      <c r="T30" s="1834"/>
      <c r="U30" s="1834"/>
      <c r="V30" s="1834"/>
      <c r="W30" s="1834"/>
      <c r="X30" s="1834"/>
      <c r="Y30" s="1834"/>
      <c r="Z30" s="1834"/>
      <c r="AA30" s="1834"/>
      <c r="AB30" s="1834"/>
      <c r="AC30" s="1834"/>
      <c r="AD30" s="1834"/>
      <c r="AE30" s="1834"/>
      <c r="AF30" s="1834"/>
      <c r="AG30" s="1834"/>
      <c r="AH30" s="1834"/>
      <c r="AI30" s="1834"/>
      <c r="AJ30" s="1834"/>
      <c r="AK30" s="1834"/>
      <c r="AL30" s="1834"/>
      <c r="AM30" s="1834"/>
      <c r="AN30" s="1834"/>
      <c r="AO30" s="1834"/>
      <c r="AP30" s="1834"/>
      <c r="AQ30" s="1834"/>
      <c r="AR30" s="1834"/>
      <c r="AS30" s="1834"/>
      <c r="AT30" s="1834"/>
      <c r="AZ30" s="20"/>
    </row>
    <row r="31" spans="1:52" ht="13" customHeight="1">
      <c r="A31" s="1834"/>
      <c r="B31" s="1834"/>
      <c r="C31" s="1834"/>
      <c r="D31" s="1834"/>
      <c r="E31" s="1834"/>
      <c r="F31" s="1834"/>
      <c r="G31" s="1834"/>
      <c r="H31" s="1834"/>
      <c r="I31" s="1834"/>
      <c r="J31" s="1834"/>
      <c r="K31" s="1834"/>
      <c r="L31" s="1834"/>
      <c r="M31" s="1834"/>
      <c r="N31" s="1834"/>
      <c r="O31" s="1834"/>
      <c r="P31" s="1834"/>
      <c r="Q31" s="1834"/>
      <c r="R31" s="1834"/>
      <c r="S31" s="1834"/>
      <c r="T31" s="1834"/>
      <c r="U31" s="1834"/>
      <c r="V31" s="1834"/>
      <c r="W31" s="1834"/>
      <c r="X31" s="1834"/>
      <c r="Y31" s="1834"/>
      <c r="Z31" s="1834"/>
      <c r="AA31" s="1834"/>
      <c r="AB31" s="1834"/>
      <c r="AC31" s="1834"/>
      <c r="AD31" s="1834"/>
      <c r="AE31" s="1834"/>
      <c r="AF31" s="1834"/>
      <c r="AG31" s="1834"/>
      <c r="AH31" s="1834"/>
      <c r="AI31" s="1834"/>
      <c r="AJ31" s="1834"/>
      <c r="AK31" s="1834"/>
      <c r="AL31" s="1834"/>
      <c r="AM31" s="1834"/>
      <c r="AN31" s="1834"/>
      <c r="AO31" s="1834"/>
      <c r="AP31" s="1834"/>
      <c r="AQ31" s="1834"/>
      <c r="AR31" s="1834"/>
      <c r="AS31" s="1834"/>
      <c r="AT31" s="1834"/>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3" t="s">
        <v>1389</v>
      </c>
      <c r="C33" s="553"/>
      <c r="D33" s="553"/>
      <c r="E33" s="553"/>
      <c r="F33" s="553"/>
      <c r="G33" s="553"/>
      <c r="H33" s="553"/>
      <c r="I33" s="553"/>
      <c r="J33" s="553"/>
      <c r="K33" s="553"/>
      <c r="L33" s="553"/>
      <c r="M33" s="553"/>
      <c r="N33" s="553"/>
      <c r="O33" s="1381" t="s">
        <v>554</v>
      </c>
      <c r="P33" s="1381"/>
      <c r="Q33" s="1841" t="s">
        <v>2512</v>
      </c>
      <c r="R33" s="1841"/>
      <c r="S33" s="1841"/>
      <c r="T33" s="1841"/>
      <c r="U33" s="1841"/>
      <c r="V33" s="1841"/>
      <c r="W33" s="1841"/>
      <c r="X33" s="1841"/>
      <c r="Y33" s="1841"/>
      <c r="Z33" s="1841"/>
      <c r="AA33" s="1841"/>
      <c r="AB33" s="1841"/>
      <c r="AC33" s="1841"/>
      <c r="AD33" s="1841"/>
      <c r="AE33" s="1841"/>
      <c r="AF33" s="1841"/>
      <c r="AG33" s="1841"/>
      <c r="AH33" s="1841"/>
      <c r="AI33" s="1841"/>
      <c r="AJ33" s="1841"/>
      <c r="AK33" s="1841"/>
      <c r="AL33" s="1841"/>
      <c r="AM33" s="1841"/>
      <c r="AN33" s="1841"/>
      <c r="AO33" s="1841"/>
      <c r="AP33" s="1841"/>
      <c r="AQ33" s="1841"/>
      <c r="AR33" s="1841"/>
      <c r="AS33" s="1841"/>
      <c r="AT33" s="1841"/>
      <c r="AU33" s="20"/>
      <c r="AV33" s="20"/>
      <c r="AW33" s="20"/>
      <c r="AX33" s="20"/>
      <c r="AY33" s="20"/>
    </row>
    <row r="34" spans="1:52" ht="13" customHeight="1">
      <c r="A34" s="1834" t="s">
        <v>2513</v>
      </c>
      <c r="B34" s="1834"/>
      <c r="C34" s="1834"/>
      <c r="D34" s="1834"/>
      <c r="E34" s="1834"/>
      <c r="F34" s="1834"/>
      <c r="G34" s="1834"/>
      <c r="H34" s="1834"/>
      <c r="I34" s="1834"/>
      <c r="J34" s="1834"/>
      <c r="K34" s="1834"/>
      <c r="L34" s="1834"/>
      <c r="M34" s="1834"/>
      <c r="N34" s="1834"/>
      <c r="O34" s="1834"/>
      <c r="P34" s="1834"/>
      <c r="Q34" s="1834"/>
      <c r="R34" s="1834"/>
      <c r="S34" s="1834"/>
      <c r="T34" s="1834"/>
      <c r="U34" s="1834"/>
      <c r="V34" s="1834"/>
      <c r="W34" s="1834"/>
      <c r="X34" s="1834"/>
      <c r="Y34" s="1834"/>
      <c r="Z34" s="1834"/>
      <c r="AA34" s="1834"/>
      <c r="AB34" s="1834"/>
      <c r="AC34" s="1834"/>
      <c r="AD34" s="1834"/>
      <c r="AE34" s="1834"/>
      <c r="AF34" s="1834"/>
      <c r="AG34" s="1834"/>
      <c r="AH34" s="1834"/>
      <c r="AI34" s="1834"/>
      <c r="AJ34" s="1834"/>
      <c r="AK34" s="1834"/>
      <c r="AL34" s="1834"/>
      <c r="AM34" s="1834"/>
      <c r="AN34" s="1834"/>
      <c r="AO34" s="1834"/>
      <c r="AP34" s="1834"/>
      <c r="AQ34" s="1834"/>
      <c r="AR34" s="1834"/>
      <c r="AS34" s="1834"/>
      <c r="AT34" s="1834"/>
      <c r="AU34" s="20"/>
      <c r="AV34" s="20"/>
      <c r="AW34" s="20"/>
      <c r="AX34" s="20"/>
      <c r="AY34" s="20"/>
      <c r="AZ34" s="20"/>
    </row>
    <row r="35" spans="1:52" ht="13" customHeight="1">
      <c r="A35" s="1834"/>
      <c r="B35" s="1834"/>
      <c r="C35" s="1834"/>
      <c r="D35" s="1834"/>
      <c r="E35" s="1834"/>
      <c r="F35" s="1834"/>
      <c r="G35" s="1834"/>
      <c r="H35" s="1834"/>
      <c r="I35" s="1834"/>
      <c r="J35" s="1834"/>
      <c r="K35" s="1834"/>
      <c r="L35" s="1834"/>
      <c r="M35" s="1834"/>
      <c r="N35" s="1834"/>
      <c r="O35" s="1834"/>
      <c r="P35" s="1834"/>
      <c r="Q35" s="1834"/>
      <c r="R35" s="1834"/>
      <c r="S35" s="1834"/>
      <c r="T35" s="1834"/>
      <c r="U35" s="1834"/>
      <c r="V35" s="1834"/>
      <c r="W35" s="1834"/>
      <c r="X35" s="1834"/>
      <c r="Y35" s="1834"/>
      <c r="Z35" s="1834"/>
      <c r="AA35" s="1834"/>
      <c r="AB35" s="1834"/>
      <c r="AC35" s="1834"/>
      <c r="AD35" s="1834"/>
      <c r="AE35" s="1834"/>
      <c r="AF35" s="1834"/>
      <c r="AG35" s="1834"/>
      <c r="AH35" s="1834"/>
      <c r="AI35" s="1834"/>
      <c r="AJ35" s="1834"/>
      <c r="AK35" s="1834"/>
      <c r="AL35" s="1834"/>
      <c r="AM35" s="1834"/>
      <c r="AN35" s="1834"/>
      <c r="AO35" s="1834"/>
      <c r="AP35" s="1834"/>
      <c r="AQ35" s="1834"/>
      <c r="AR35" s="1834"/>
      <c r="AS35" s="1834"/>
      <c r="AT35" s="1834"/>
      <c r="AU35" s="20"/>
      <c r="AV35" s="20"/>
      <c r="AW35" s="20"/>
      <c r="AX35" s="20"/>
      <c r="AY35" s="20"/>
      <c r="AZ35" s="20"/>
    </row>
    <row r="36" spans="1:52" ht="13" customHeight="1">
      <c r="A36" s="1834"/>
      <c r="B36" s="1834"/>
      <c r="C36" s="1834"/>
      <c r="D36" s="1834"/>
      <c r="E36" s="1834"/>
      <c r="F36" s="1834"/>
      <c r="G36" s="1834"/>
      <c r="H36" s="1834"/>
      <c r="I36" s="1834"/>
      <c r="J36" s="1834"/>
      <c r="K36" s="1834"/>
      <c r="L36" s="1834"/>
      <c r="M36" s="1834"/>
      <c r="N36" s="1834"/>
      <c r="O36" s="1834"/>
      <c r="P36" s="1834"/>
      <c r="Q36" s="1834"/>
      <c r="R36" s="1834"/>
      <c r="S36" s="1834"/>
      <c r="T36" s="1834"/>
      <c r="U36" s="1834"/>
      <c r="V36" s="1834"/>
      <c r="W36" s="1834"/>
      <c r="X36" s="1834"/>
      <c r="Y36" s="1834"/>
      <c r="Z36" s="1834"/>
      <c r="AA36" s="1834"/>
      <c r="AB36" s="1834"/>
      <c r="AC36" s="1834"/>
      <c r="AD36" s="1834"/>
      <c r="AE36" s="1834"/>
      <c r="AF36" s="1834"/>
      <c r="AG36" s="1834"/>
      <c r="AH36" s="1834"/>
      <c r="AI36" s="1834"/>
      <c r="AJ36" s="1834"/>
      <c r="AK36" s="1834"/>
      <c r="AL36" s="1834"/>
      <c r="AM36" s="1834"/>
      <c r="AN36" s="1834"/>
      <c r="AO36" s="1834"/>
      <c r="AP36" s="1834"/>
      <c r="AQ36" s="1834"/>
      <c r="AR36" s="1834"/>
      <c r="AS36" s="1834"/>
      <c r="AT36" s="1834"/>
      <c r="AU36" s="20"/>
      <c r="AV36" s="20"/>
      <c r="AW36" s="20"/>
      <c r="AX36" s="20"/>
      <c r="AY36" s="20"/>
      <c r="AZ36" s="20"/>
    </row>
    <row r="37" spans="1:52" ht="13" customHeight="1">
      <c r="A37" s="1834"/>
      <c r="B37" s="1834"/>
      <c r="C37" s="1834"/>
      <c r="D37" s="1834"/>
      <c r="E37" s="1834"/>
      <c r="F37" s="1834"/>
      <c r="G37" s="1834"/>
      <c r="H37" s="1834"/>
      <c r="I37" s="1834"/>
      <c r="J37" s="1834"/>
      <c r="K37" s="1834"/>
      <c r="L37" s="1834"/>
      <c r="M37" s="1834"/>
      <c r="N37" s="1834"/>
      <c r="O37" s="1834"/>
      <c r="P37" s="1834"/>
      <c r="Q37" s="1834"/>
      <c r="R37" s="1834"/>
      <c r="S37" s="1834"/>
      <c r="T37" s="1834"/>
      <c r="U37" s="1834"/>
      <c r="V37" s="1834"/>
      <c r="W37" s="1834"/>
      <c r="X37" s="1834"/>
      <c r="Y37" s="1834"/>
      <c r="Z37" s="1834"/>
      <c r="AA37" s="1834"/>
      <c r="AB37" s="1834"/>
      <c r="AC37" s="1834"/>
      <c r="AD37" s="1834"/>
      <c r="AE37" s="1834"/>
      <c r="AF37" s="1834"/>
      <c r="AG37" s="1834"/>
      <c r="AH37" s="1834"/>
      <c r="AI37" s="1834"/>
      <c r="AJ37" s="1834"/>
      <c r="AK37" s="1834"/>
      <c r="AL37" s="1834"/>
      <c r="AM37" s="1834"/>
      <c r="AN37" s="1834"/>
      <c r="AO37" s="1834"/>
      <c r="AP37" s="1834"/>
      <c r="AQ37" s="1834"/>
      <c r="AR37" s="1834"/>
      <c r="AS37" s="1834"/>
      <c r="AT37" s="1834"/>
      <c r="AZ37" s="20"/>
    </row>
    <row r="38" spans="1:52" ht="13" customHeight="1">
      <c r="A38" s="3"/>
      <c r="AZ38" s="20"/>
    </row>
    <row r="39" spans="1:52" ht="13" customHeight="1">
      <c r="A39" s="1267" t="s">
        <v>2514</v>
      </c>
      <c r="B39" s="1267"/>
      <c r="C39" s="1267"/>
      <c r="D39" s="1267"/>
      <c r="E39" s="1267"/>
      <c r="F39" s="1267"/>
      <c r="G39" s="1267"/>
      <c r="H39" s="1267"/>
      <c r="I39" s="1267"/>
      <c r="J39" s="1267"/>
      <c r="K39" s="1267"/>
      <c r="L39" s="1267"/>
      <c r="M39" s="1267"/>
      <c r="N39" s="1267"/>
      <c r="O39" s="1267"/>
      <c r="P39" s="1267"/>
      <c r="Q39" s="1267"/>
      <c r="R39" s="1267"/>
      <c r="S39" s="1267"/>
      <c r="T39" s="1267"/>
      <c r="U39" s="1267"/>
      <c r="V39" s="1267"/>
      <c r="W39" s="1267"/>
      <c r="X39" s="1267"/>
      <c r="Y39" s="1267"/>
      <c r="Z39" s="1267"/>
      <c r="AA39" s="1267"/>
      <c r="AB39" s="1267"/>
      <c r="AC39" s="1267"/>
      <c r="AD39" s="1267"/>
      <c r="AE39" s="1267"/>
      <c r="AF39" s="1267"/>
      <c r="AG39" s="1267"/>
      <c r="AH39" s="1267"/>
      <c r="AI39" s="1267"/>
      <c r="AJ39" s="1267"/>
      <c r="AK39" s="1267"/>
      <c r="AL39" s="1267"/>
      <c r="AM39" s="1267"/>
      <c r="AN39" s="1267"/>
      <c r="AO39" s="1267"/>
      <c r="AP39" s="1267"/>
      <c r="AQ39" s="1267"/>
      <c r="AR39" s="1267"/>
      <c r="AS39" s="1267"/>
      <c r="AT39" s="1267"/>
      <c r="AZ39" s="20"/>
    </row>
    <row r="40" spans="1:52" ht="13" customHeight="1">
      <c r="A40" s="1267"/>
      <c r="B40" s="1267"/>
      <c r="C40" s="1267"/>
      <c r="D40" s="1267"/>
      <c r="E40" s="1267"/>
      <c r="F40" s="1267"/>
      <c r="G40" s="1267"/>
      <c r="H40" s="1267"/>
      <c r="I40" s="1267"/>
      <c r="J40" s="1267"/>
      <c r="K40" s="1267"/>
      <c r="L40" s="1267"/>
      <c r="M40" s="1267"/>
      <c r="N40" s="1267"/>
      <c r="O40" s="1267"/>
      <c r="P40" s="1267"/>
      <c r="Q40" s="1267"/>
      <c r="R40" s="1267"/>
      <c r="S40" s="1267"/>
      <c r="T40" s="1267"/>
      <c r="U40" s="1267"/>
      <c r="V40" s="1267"/>
      <c r="W40" s="1267"/>
      <c r="X40" s="1267"/>
      <c r="Y40" s="1267"/>
      <c r="Z40" s="1267"/>
      <c r="AA40" s="1267"/>
      <c r="AB40" s="1267"/>
      <c r="AC40" s="1267"/>
      <c r="AD40" s="1267"/>
      <c r="AE40" s="1267"/>
      <c r="AF40" s="1267"/>
      <c r="AG40" s="1267"/>
      <c r="AH40" s="1267"/>
      <c r="AI40" s="1267"/>
      <c r="AJ40" s="1267"/>
      <c r="AK40" s="1267"/>
      <c r="AL40" s="1267"/>
      <c r="AM40" s="1267"/>
      <c r="AN40" s="1267"/>
      <c r="AO40" s="1267"/>
      <c r="AP40" s="1267"/>
      <c r="AQ40" s="1267"/>
      <c r="AR40" s="1267"/>
      <c r="AS40" s="1267"/>
      <c r="AT40" s="1267"/>
      <c r="AU40" s="20"/>
      <c r="AV40" s="20"/>
      <c r="AW40" s="20"/>
      <c r="AX40" s="20"/>
      <c r="AY40" s="20"/>
      <c r="AZ40" s="20"/>
    </row>
    <row r="41" spans="1:52" ht="13" customHeight="1">
      <c r="A41" s="1267"/>
      <c r="B41" s="1267"/>
      <c r="C41" s="1267"/>
      <c r="D41" s="1267"/>
      <c r="E41" s="1267"/>
      <c r="F41" s="1267"/>
      <c r="G41" s="1267"/>
      <c r="H41" s="1267"/>
      <c r="I41" s="1267"/>
      <c r="J41" s="1267"/>
      <c r="K41" s="1267"/>
      <c r="L41" s="1267"/>
      <c r="M41" s="1267"/>
      <c r="N41" s="1267"/>
      <c r="O41" s="1267"/>
      <c r="P41" s="1267"/>
      <c r="Q41" s="1267"/>
      <c r="R41" s="1267"/>
      <c r="S41" s="1267"/>
      <c r="T41" s="1267"/>
      <c r="U41" s="1267"/>
      <c r="V41" s="1267"/>
      <c r="W41" s="1267"/>
      <c r="X41" s="1267"/>
      <c r="Y41" s="1267"/>
      <c r="Z41" s="1267"/>
      <c r="AA41" s="1267"/>
      <c r="AB41" s="1267"/>
      <c r="AC41" s="1267"/>
      <c r="AD41" s="1267"/>
      <c r="AE41" s="1267"/>
      <c r="AF41" s="1267"/>
      <c r="AG41" s="1267"/>
      <c r="AH41" s="1267"/>
      <c r="AI41" s="1267"/>
      <c r="AJ41" s="1267"/>
      <c r="AK41" s="1267"/>
      <c r="AL41" s="1267"/>
      <c r="AM41" s="1267"/>
      <c r="AN41" s="1267"/>
      <c r="AO41" s="1267"/>
      <c r="AP41" s="1267"/>
      <c r="AQ41" s="1267"/>
      <c r="AR41" s="1267"/>
      <c r="AS41" s="1267"/>
      <c r="AT41" s="1267"/>
      <c r="AU41" s="20"/>
      <c r="AV41" s="20"/>
      <c r="AW41" s="20"/>
      <c r="AX41" s="20"/>
      <c r="AY41" s="20"/>
      <c r="AZ41" s="20"/>
    </row>
    <row r="42" spans="1:52" ht="13" customHeight="1">
      <c r="A42" s="1267"/>
      <c r="B42" s="1267"/>
      <c r="C42" s="1267"/>
      <c r="D42" s="1267"/>
      <c r="E42" s="1267"/>
      <c r="F42" s="1267"/>
      <c r="G42" s="1267"/>
      <c r="H42" s="1267"/>
      <c r="I42" s="1267"/>
      <c r="J42" s="1267"/>
      <c r="K42" s="1267"/>
      <c r="L42" s="1267"/>
      <c r="M42" s="1267"/>
      <c r="N42" s="1267"/>
      <c r="O42" s="1267"/>
      <c r="P42" s="1267"/>
      <c r="Q42" s="1267"/>
      <c r="R42" s="1267"/>
      <c r="S42" s="1267"/>
      <c r="T42" s="1267"/>
      <c r="U42" s="1267"/>
      <c r="V42" s="1267"/>
      <c r="W42" s="1267"/>
      <c r="X42" s="1267"/>
      <c r="Y42" s="1267"/>
      <c r="Z42" s="1267"/>
      <c r="AA42" s="1267"/>
      <c r="AB42" s="1267"/>
      <c r="AC42" s="1267"/>
      <c r="AD42" s="1267"/>
      <c r="AE42" s="1267"/>
      <c r="AF42" s="1267"/>
      <c r="AG42" s="1267"/>
      <c r="AH42" s="1267"/>
      <c r="AI42" s="1267"/>
      <c r="AJ42" s="1267"/>
      <c r="AK42" s="1267"/>
      <c r="AL42" s="1267"/>
      <c r="AM42" s="1267"/>
      <c r="AN42" s="1267"/>
      <c r="AO42" s="1267"/>
      <c r="AP42" s="1267"/>
      <c r="AQ42" s="1267"/>
      <c r="AR42" s="1267"/>
      <c r="AS42" s="1267"/>
      <c r="AT42" s="1267"/>
      <c r="AZ42" s="20"/>
    </row>
    <row r="43" spans="1:52" ht="13" customHeight="1">
      <c r="A43" s="1267"/>
      <c r="B43" s="1267"/>
      <c r="C43" s="1267"/>
      <c r="D43" s="1267"/>
      <c r="E43" s="1267"/>
      <c r="F43" s="1267"/>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c r="AM43" s="1267"/>
      <c r="AN43" s="1267"/>
      <c r="AO43" s="1267"/>
      <c r="AP43" s="1267"/>
      <c r="AQ43" s="1267"/>
      <c r="AR43" s="1267"/>
      <c r="AS43" s="1267"/>
      <c r="AT43" s="1267"/>
      <c r="AU43" s="20"/>
      <c r="AV43" s="20"/>
      <c r="AW43" s="20"/>
      <c r="AX43" s="20"/>
      <c r="AY43" s="20"/>
      <c r="AZ43" s="20"/>
    </row>
    <row r="44" spans="1:52" ht="13" customHeight="1">
      <c r="A44" s="1267"/>
      <c r="B44" s="1267"/>
      <c r="C44" s="1267"/>
      <c r="D44" s="1267"/>
      <c r="E44" s="1267"/>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c r="AM44" s="1267"/>
      <c r="AN44" s="1267"/>
      <c r="AO44" s="1267"/>
      <c r="AP44" s="1267"/>
      <c r="AQ44" s="1267"/>
      <c r="AR44" s="1267"/>
      <c r="AS44" s="1267"/>
      <c r="AT44" s="1267"/>
      <c r="AU44" s="20"/>
      <c r="AV44" s="20"/>
      <c r="AW44" s="20"/>
      <c r="AX44" s="20"/>
      <c r="AY44" s="20"/>
      <c r="AZ44" s="20"/>
    </row>
    <row r="45" spans="1:52" ht="13"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1353" t="s">
        <v>2515</v>
      </c>
      <c r="B46" s="1353"/>
      <c r="C46" s="1353"/>
      <c r="D46" s="1353"/>
      <c r="E46" s="1353"/>
      <c r="F46" s="1353"/>
      <c r="G46" s="1353"/>
      <c r="H46" s="1353"/>
      <c r="I46" s="1353"/>
      <c r="J46" s="1353"/>
      <c r="K46" s="1353"/>
      <c r="L46" s="1353"/>
      <c r="M46" s="1353"/>
      <c r="N46" s="1353"/>
      <c r="O46" s="1353"/>
      <c r="P46" s="1353"/>
      <c r="Q46" s="1353"/>
      <c r="R46" s="1353"/>
      <c r="S46" s="1353"/>
      <c r="T46" s="1353"/>
      <c r="U46" s="1353"/>
      <c r="V46" s="1353"/>
      <c r="W46" s="1353"/>
      <c r="X46" s="1353"/>
      <c r="Y46" s="1353"/>
      <c r="Z46" s="1353"/>
      <c r="AA46" s="1353"/>
      <c r="AB46" s="1353"/>
      <c r="AC46" s="1353"/>
      <c r="AD46" s="1353"/>
      <c r="AE46" s="1353"/>
      <c r="AF46" s="1353"/>
      <c r="AG46" s="1353"/>
      <c r="AH46" s="1353"/>
      <c r="AI46" s="1353"/>
      <c r="AJ46" s="1353"/>
      <c r="AK46" s="1353"/>
      <c r="AL46" s="1353"/>
      <c r="AM46" s="1353"/>
      <c r="AN46" s="1353"/>
      <c r="AO46" s="1353"/>
      <c r="AP46" s="1353"/>
      <c r="AQ46" s="1353"/>
      <c r="AR46" s="1353"/>
      <c r="AS46" s="1353"/>
      <c r="AT46" s="1353"/>
      <c r="AU46" s="20"/>
      <c r="AV46" s="20"/>
      <c r="AW46" s="20"/>
      <c r="AX46" s="20"/>
      <c r="AY46" s="20"/>
      <c r="AZ46" s="20"/>
    </row>
    <row r="47" spans="1:52" ht="13" customHeight="1">
      <c r="A47" s="1353"/>
      <c r="B47" s="1353"/>
      <c r="C47" s="1353"/>
      <c r="D47" s="1353"/>
      <c r="E47" s="1353"/>
      <c r="F47" s="1353"/>
      <c r="G47" s="1353"/>
      <c r="H47" s="1353"/>
      <c r="I47" s="1353"/>
      <c r="J47" s="1353"/>
      <c r="K47" s="1353"/>
      <c r="L47" s="1353"/>
      <c r="M47" s="1353"/>
      <c r="N47" s="1353"/>
      <c r="O47" s="1353"/>
      <c r="P47" s="1353"/>
      <c r="Q47" s="1353"/>
      <c r="R47" s="1353"/>
      <c r="S47" s="1353"/>
      <c r="T47" s="1353"/>
      <c r="U47" s="1353"/>
      <c r="V47" s="1353"/>
      <c r="W47" s="1353"/>
      <c r="X47" s="1353"/>
      <c r="Y47" s="1353"/>
      <c r="Z47" s="1353"/>
      <c r="AA47" s="1353"/>
      <c r="AB47" s="1353"/>
      <c r="AC47" s="1353"/>
      <c r="AD47" s="1353"/>
      <c r="AE47" s="1353"/>
      <c r="AF47" s="1353"/>
      <c r="AG47" s="1353"/>
      <c r="AH47" s="1353"/>
      <c r="AI47" s="1353"/>
      <c r="AJ47" s="1353"/>
      <c r="AK47" s="1353"/>
      <c r="AL47" s="1353"/>
      <c r="AM47" s="1353"/>
      <c r="AN47" s="1353"/>
      <c r="AO47" s="1353"/>
      <c r="AP47" s="1353"/>
      <c r="AQ47" s="1353"/>
      <c r="AR47" s="1353"/>
      <c r="AS47" s="1353"/>
      <c r="AT47" s="1353"/>
      <c r="AU47" s="20"/>
      <c r="AV47" s="20"/>
      <c r="AW47" s="20"/>
      <c r="AX47" s="20"/>
      <c r="AY47" s="20"/>
      <c r="AZ47" s="20"/>
    </row>
    <row r="48" spans="1:52" ht="13" customHeight="1">
      <c r="A48" s="1353"/>
      <c r="B48" s="1353"/>
      <c r="C48" s="1353"/>
      <c r="D48" s="1353"/>
      <c r="E48" s="1353"/>
      <c r="F48" s="1353"/>
      <c r="G48" s="1353"/>
      <c r="H48" s="1353"/>
      <c r="I48" s="1353"/>
      <c r="J48" s="1353"/>
      <c r="K48" s="1353"/>
      <c r="L48" s="1353"/>
      <c r="M48" s="1353"/>
      <c r="N48" s="1353"/>
      <c r="O48" s="1353"/>
      <c r="P48" s="1353"/>
      <c r="Q48" s="1353"/>
      <c r="R48" s="1353"/>
      <c r="S48" s="1353"/>
      <c r="T48" s="1353"/>
      <c r="U48" s="1353"/>
      <c r="V48" s="1353"/>
      <c r="W48" s="1353"/>
      <c r="X48" s="1353"/>
      <c r="Y48" s="1353"/>
      <c r="Z48" s="1353"/>
      <c r="AA48" s="1353"/>
      <c r="AB48" s="1353"/>
      <c r="AC48" s="1353"/>
      <c r="AD48" s="1353"/>
      <c r="AE48" s="1353"/>
      <c r="AF48" s="1353"/>
      <c r="AG48" s="1353"/>
      <c r="AH48" s="1353"/>
      <c r="AI48" s="1353"/>
      <c r="AJ48" s="1353"/>
      <c r="AK48" s="1353"/>
      <c r="AL48" s="1353"/>
      <c r="AM48" s="1353"/>
      <c r="AN48" s="1353"/>
      <c r="AO48" s="1353"/>
      <c r="AP48" s="1353"/>
      <c r="AQ48" s="1353"/>
      <c r="AR48" s="1353"/>
      <c r="AS48" s="1353"/>
      <c r="AT48" s="1353"/>
      <c r="AU48" s="20"/>
      <c r="AV48" s="20"/>
      <c r="AW48" s="20"/>
      <c r="AX48" s="20"/>
      <c r="AY48" s="20"/>
      <c r="AZ48" s="20"/>
    </row>
    <row r="49" spans="1:52" ht="13" customHeight="1">
      <c r="A49" s="1353"/>
      <c r="B49" s="1353"/>
      <c r="C49" s="1353"/>
      <c r="D49" s="1353"/>
      <c r="E49" s="1353"/>
      <c r="F49" s="1353"/>
      <c r="G49" s="1353"/>
      <c r="H49" s="1353"/>
      <c r="I49" s="1353"/>
      <c r="J49" s="1353"/>
      <c r="K49" s="1353"/>
      <c r="L49" s="1353"/>
      <c r="M49" s="1353"/>
      <c r="N49" s="1353"/>
      <c r="O49" s="1353"/>
      <c r="P49" s="1353"/>
      <c r="Q49" s="1353"/>
      <c r="R49" s="1353"/>
      <c r="S49" s="1353"/>
      <c r="T49" s="1353"/>
      <c r="U49" s="1353"/>
      <c r="V49" s="1353"/>
      <c r="W49" s="1353"/>
      <c r="X49" s="1353"/>
      <c r="Y49" s="1353"/>
      <c r="Z49" s="1353"/>
      <c r="AA49" s="1353"/>
      <c r="AB49" s="1353"/>
      <c r="AC49" s="1353"/>
      <c r="AD49" s="1353"/>
      <c r="AE49" s="1353"/>
      <c r="AF49" s="1353"/>
      <c r="AG49" s="1353"/>
      <c r="AH49" s="1353"/>
      <c r="AI49" s="1353"/>
      <c r="AJ49" s="1353"/>
      <c r="AK49" s="1353"/>
      <c r="AL49" s="1353"/>
      <c r="AM49" s="1353"/>
      <c r="AN49" s="1353"/>
      <c r="AO49" s="1353"/>
      <c r="AP49" s="1353"/>
      <c r="AQ49" s="1353"/>
      <c r="AR49" s="1353"/>
      <c r="AS49" s="1353"/>
      <c r="AT49" s="1353"/>
      <c r="AU49" s="20"/>
      <c r="AV49" s="20"/>
      <c r="AW49" s="20"/>
      <c r="AX49" s="20"/>
      <c r="AY49" s="20"/>
      <c r="AZ49" s="20"/>
    </row>
    <row r="50" spans="1:52" ht="13"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 customHeight="1">
      <c r="A51" s="1267" t="s">
        <v>2516</v>
      </c>
      <c r="B51" s="1267"/>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c r="AL51" s="1267"/>
      <c r="AM51" s="1267"/>
      <c r="AN51" s="1267"/>
      <c r="AO51" s="1267"/>
      <c r="AP51" s="1267"/>
      <c r="AQ51" s="1267"/>
      <c r="AR51" s="1267"/>
      <c r="AS51" s="1267"/>
      <c r="AT51" s="1267"/>
      <c r="AU51" s="20"/>
      <c r="AV51" s="20"/>
      <c r="AW51" s="20"/>
      <c r="AX51" s="20"/>
      <c r="AY51" s="20"/>
      <c r="AZ51" s="20"/>
    </row>
    <row r="52" spans="1:52" ht="13" customHeight="1">
      <c r="A52" s="1267"/>
      <c r="B52" s="1267"/>
      <c r="C52" s="1267"/>
      <c r="D52" s="1267"/>
      <c r="E52" s="1267"/>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c r="AL52" s="1267"/>
      <c r="AM52" s="1267"/>
      <c r="AN52" s="1267"/>
      <c r="AO52" s="1267"/>
      <c r="AP52" s="1267"/>
      <c r="AQ52" s="1267"/>
      <c r="AR52" s="1267"/>
      <c r="AS52" s="1267"/>
      <c r="AT52" s="1267"/>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1267" t="s">
        <v>2517</v>
      </c>
      <c r="B54" s="1267"/>
      <c r="C54" s="1267"/>
      <c r="D54" s="1267"/>
      <c r="E54" s="1267"/>
      <c r="F54" s="1267"/>
      <c r="G54" s="1267"/>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1267"/>
      <c r="AM54" s="1267"/>
      <c r="AN54" s="1267"/>
      <c r="AO54" s="1267"/>
      <c r="AP54" s="1267"/>
      <c r="AQ54" s="1267"/>
      <c r="AR54" s="1267"/>
      <c r="AS54" s="1267"/>
      <c r="AT54" s="1267"/>
      <c r="AU54" s="20"/>
      <c r="AV54" s="20"/>
      <c r="AW54" s="20"/>
      <c r="AX54" s="20"/>
      <c r="AY54" s="20"/>
      <c r="AZ54" s="21"/>
    </row>
    <row r="55" spans="1:52" ht="13" customHeight="1">
      <c r="A55" s="1267"/>
      <c r="B55" s="1267"/>
      <c r="C55" s="1267"/>
      <c r="D55" s="1267"/>
      <c r="E55" s="1267"/>
      <c r="F55" s="1267"/>
      <c r="G55" s="1267"/>
      <c r="H55" s="1267"/>
      <c r="I55" s="1267"/>
      <c r="J55" s="1267"/>
      <c r="K55" s="1267"/>
      <c r="L55" s="1267"/>
      <c r="M55" s="1267"/>
      <c r="N55" s="1267"/>
      <c r="O55" s="1267"/>
      <c r="P55" s="1267"/>
      <c r="Q55" s="1267"/>
      <c r="R55" s="1267"/>
      <c r="S55" s="1267"/>
      <c r="T55" s="1267"/>
      <c r="U55" s="1267"/>
      <c r="V55" s="1267"/>
      <c r="W55" s="1267"/>
      <c r="X55" s="1267"/>
      <c r="Y55" s="1267"/>
      <c r="Z55" s="1267"/>
      <c r="AA55" s="1267"/>
      <c r="AB55" s="1267"/>
      <c r="AC55" s="1267"/>
      <c r="AD55" s="1267"/>
      <c r="AE55" s="1267"/>
      <c r="AF55" s="1267"/>
      <c r="AG55" s="1267"/>
      <c r="AH55" s="1267"/>
      <c r="AI55" s="1267"/>
      <c r="AJ55" s="1267"/>
      <c r="AK55" s="1267"/>
      <c r="AL55" s="1267"/>
      <c r="AM55" s="1267"/>
      <c r="AN55" s="1267"/>
      <c r="AO55" s="1267"/>
      <c r="AP55" s="1267"/>
      <c r="AQ55" s="1267"/>
      <c r="AR55" s="1267"/>
      <c r="AS55" s="1267"/>
      <c r="AT55" s="1267"/>
      <c r="AZ55" s="21"/>
    </row>
    <row r="56" spans="1:52" ht="13" customHeight="1">
      <c r="A56" s="1267"/>
      <c r="B56" s="1267"/>
      <c r="C56" s="1267"/>
      <c r="D56" s="1267"/>
      <c r="E56" s="1267"/>
      <c r="F56" s="1267"/>
      <c r="G56" s="1267"/>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1267"/>
      <c r="AM56" s="1267"/>
      <c r="AN56" s="1267"/>
      <c r="AO56" s="1267"/>
      <c r="AP56" s="1267"/>
      <c r="AQ56" s="1267"/>
      <c r="AR56" s="1267"/>
      <c r="AS56" s="1267"/>
      <c r="AT56" s="1267"/>
    </row>
    <row r="57" spans="1:52" ht="13" customHeight="1">
      <c r="A57" s="1267"/>
      <c r="B57" s="1267"/>
      <c r="C57" s="1267"/>
      <c r="D57" s="1267"/>
      <c r="E57" s="1267"/>
      <c r="F57" s="1267"/>
      <c r="G57" s="1267"/>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c r="AM57" s="1267"/>
      <c r="AN57" s="1267"/>
      <c r="AO57" s="1267"/>
      <c r="AP57" s="1267"/>
      <c r="AQ57" s="1267"/>
      <c r="AR57" s="1267"/>
      <c r="AS57" s="1267"/>
      <c r="AT57" s="1267"/>
    </row>
    <row r="58" spans="1:52" ht="13" customHeight="1">
      <c r="A58" s="1267"/>
      <c r="B58" s="1267"/>
      <c r="C58" s="1267"/>
      <c r="D58" s="1267"/>
      <c r="E58" s="1267"/>
      <c r="F58" s="1267"/>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c r="AM58" s="1267"/>
      <c r="AN58" s="1267"/>
      <c r="AO58" s="1267"/>
      <c r="AP58" s="1267"/>
      <c r="AQ58" s="1267"/>
      <c r="AR58" s="1267"/>
      <c r="AS58" s="1267"/>
      <c r="AT58" s="1267"/>
    </row>
    <row r="59" spans="1:52" ht="13"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1267" t="s">
        <v>2518</v>
      </c>
      <c r="B60" s="1267"/>
      <c r="C60" s="1267"/>
      <c r="D60" s="1267"/>
      <c r="E60" s="1267"/>
      <c r="F60" s="1267"/>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c r="AM60" s="1267"/>
      <c r="AN60" s="1267"/>
      <c r="AO60" s="1267"/>
      <c r="AP60" s="1267"/>
      <c r="AQ60" s="1267"/>
      <c r="AR60" s="1267"/>
      <c r="AS60" s="1267"/>
      <c r="AT60" s="1267"/>
      <c r="AU60" s="20"/>
      <c r="AV60" s="20"/>
      <c r="AW60" s="20"/>
      <c r="AX60" s="20"/>
      <c r="AY60" s="20"/>
      <c r="AZ60" s="20"/>
    </row>
    <row r="61" spans="1:52" ht="13" customHeight="1">
      <c r="A61" s="1267"/>
      <c r="B61" s="1267"/>
      <c r="C61" s="1267"/>
      <c r="D61" s="1267"/>
      <c r="E61" s="1267"/>
      <c r="F61" s="1267"/>
      <c r="G61" s="1267"/>
      <c r="H61" s="1267"/>
      <c r="I61" s="1267"/>
      <c r="J61" s="1267"/>
      <c r="K61" s="1267"/>
      <c r="L61" s="1267"/>
      <c r="M61" s="1267"/>
      <c r="N61" s="1267"/>
      <c r="O61" s="1267"/>
      <c r="P61" s="1267"/>
      <c r="Q61" s="1267"/>
      <c r="R61" s="1267"/>
      <c r="S61" s="1267"/>
      <c r="T61" s="1267"/>
      <c r="U61" s="1267"/>
      <c r="V61" s="1267"/>
      <c r="W61" s="1267"/>
      <c r="X61" s="1267"/>
      <c r="Y61" s="1267"/>
      <c r="Z61" s="1267"/>
      <c r="AA61" s="1267"/>
      <c r="AB61" s="1267"/>
      <c r="AC61" s="1267"/>
      <c r="AD61" s="1267"/>
      <c r="AE61" s="1267"/>
      <c r="AF61" s="1267"/>
      <c r="AG61" s="1267"/>
      <c r="AH61" s="1267"/>
      <c r="AI61" s="1267"/>
      <c r="AJ61" s="1267"/>
      <c r="AK61" s="1267"/>
      <c r="AL61" s="1267"/>
      <c r="AM61" s="1267"/>
      <c r="AN61" s="1267"/>
      <c r="AO61" s="1267"/>
      <c r="AP61" s="1267"/>
      <c r="AQ61" s="1267"/>
      <c r="AR61" s="1267"/>
      <c r="AS61" s="1267"/>
      <c r="AT61" s="1267"/>
      <c r="AU61" s="20"/>
      <c r="AV61" s="20"/>
      <c r="AW61" s="20"/>
      <c r="AX61" s="20"/>
      <c r="AY61" s="20"/>
      <c r="AZ61" s="20"/>
    </row>
    <row r="62" spans="1:52" ht="13"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2519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1511" t="s">
        <v>2520</v>
      </c>
      <c r="B65" s="1511"/>
      <c r="C65" s="1511"/>
      <c r="D65" s="1511"/>
      <c r="E65" s="1511"/>
      <c r="F65" s="1511"/>
      <c r="G65" s="1511"/>
      <c r="H65" s="1511"/>
      <c r="I65" s="1511"/>
      <c r="J65" s="1511"/>
      <c r="K65" s="1511"/>
      <c r="L65" s="1511"/>
      <c r="M65" s="1511"/>
      <c r="N65" s="1511"/>
      <c r="O65" s="1511"/>
      <c r="P65" s="1511"/>
      <c r="Q65" s="1511"/>
      <c r="R65" s="1511"/>
      <c r="S65" s="1511"/>
      <c r="T65" s="1511"/>
      <c r="U65" s="1511"/>
      <c r="V65" s="1511"/>
      <c r="W65" s="1511"/>
      <c r="X65" s="1511"/>
      <c r="Y65" s="1511"/>
      <c r="Z65" s="1511"/>
      <c r="AA65" s="1511"/>
      <c r="AB65" s="1511"/>
      <c r="AC65" s="1511"/>
      <c r="AD65" s="1511"/>
      <c r="AE65" s="1511"/>
      <c r="AF65" s="1511"/>
      <c r="AG65" s="1511"/>
      <c r="AH65" s="1511"/>
      <c r="AI65" s="1511"/>
      <c r="AJ65" s="1511"/>
      <c r="AK65" s="1511"/>
      <c r="AL65" s="1511"/>
      <c r="AM65" s="1511"/>
      <c r="AN65" s="1511"/>
      <c r="AO65" s="1511"/>
      <c r="AP65" s="1511"/>
      <c r="AQ65" s="1511"/>
      <c r="AR65" s="1511"/>
      <c r="AS65" s="1511"/>
      <c r="AT65" s="1511"/>
      <c r="AU65" s="21"/>
      <c r="AV65" s="21"/>
      <c r="AW65" s="21"/>
      <c r="AX65" s="21"/>
      <c r="AY65" s="21"/>
      <c r="AZ65" s="20"/>
    </row>
    <row r="66" spans="1:52" ht="13" customHeight="1">
      <c r="A66" s="1511"/>
      <c r="B66" s="1511"/>
      <c r="C66" s="1511"/>
      <c r="D66" s="1511"/>
      <c r="E66" s="1511"/>
      <c r="F66" s="1511"/>
      <c r="G66" s="1511"/>
      <c r="H66" s="1511"/>
      <c r="I66" s="1511"/>
      <c r="J66" s="1511"/>
      <c r="K66" s="1511"/>
      <c r="L66" s="1511"/>
      <c r="M66" s="1511"/>
      <c r="N66" s="1511"/>
      <c r="O66" s="1511"/>
      <c r="P66" s="1511"/>
      <c r="Q66" s="1511"/>
      <c r="R66" s="1511"/>
      <c r="S66" s="1511"/>
      <c r="T66" s="1511"/>
      <c r="U66" s="1511"/>
      <c r="V66" s="1511"/>
      <c r="W66" s="1511"/>
      <c r="X66" s="1511"/>
      <c r="Y66" s="1511"/>
      <c r="Z66" s="1511"/>
      <c r="AA66" s="1511"/>
      <c r="AB66" s="1511"/>
      <c r="AC66" s="1511"/>
      <c r="AD66" s="1511"/>
      <c r="AE66" s="1511"/>
      <c r="AF66" s="1511"/>
      <c r="AG66" s="1511"/>
      <c r="AH66" s="1511"/>
      <c r="AI66" s="1511"/>
      <c r="AJ66" s="1511"/>
      <c r="AK66" s="1511"/>
      <c r="AL66" s="1511"/>
      <c r="AM66" s="1511"/>
      <c r="AN66" s="1511"/>
      <c r="AO66" s="1511"/>
      <c r="AP66" s="1511"/>
      <c r="AQ66" s="1511"/>
      <c r="AR66" s="1511"/>
      <c r="AS66" s="1511"/>
      <c r="AT66" s="1511"/>
      <c r="AU66" s="21"/>
      <c r="AV66" s="21"/>
      <c r="AW66" s="21"/>
      <c r="AX66" s="21"/>
      <c r="AY66" s="21"/>
      <c r="AZ66" s="20"/>
    </row>
    <row r="67" spans="1:52" ht="13" customHeight="1">
      <c r="A67" s="1511"/>
      <c r="B67" s="1511"/>
      <c r="C67" s="1511"/>
      <c r="D67" s="1511"/>
      <c r="E67" s="1511"/>
      <c r="F67" s="1511"/>
      <c r="G67" s="1511"/>
      <c r="H67" s="1511"/>
      <c r="I67" s="1511"/>
      <c r="J67" s="1511"/>
      <c r="K67" s="1511"/>
      <c r="L67" s="1511"/>
      <c r="M67" s="1511"/>
      <c r="N67" s="1511"/>
      <c r="O67" s="1511"/>
      <c r="P67" s="1511"/>
      <c r="Q67" s="1511"/>
      <c r="R67" s="1511"/>
      <c r="S67" s="1511"/>
      <c r="T67" s="1511"/>
      <c r="U67" s="1511"/>
      <c r="V67" s="1511"/>
      <c r="W67" s="1511"/>
      <c r="X67" s="1511"/>
      <c r="Y67" s="1511"/>
      <c r="Z67" s="1511"/>
      <c r="AA67" s="1511"/>
      <c r="AB67" s="1511"/>
      <c r="AC67" s="1511"/>
      <c r="AD67" s="1511"/>
      <c r="AE67" s="1511"/>
      <c r="AF67" s="1511"/>
      <c r="AG67" s="1511"/>
      <c r="AH67" s="1511"/>
      <c r="AI67" s="1511"/>
      <c r="AJ67" s="1511"/>
      <c r="AK67" s="1511"/>
      <c r="AL67" s="1511"/>
      <c r="AM67" s="1511"/>
      <c r="AN67" s="1511"/>
      <c r="AO67" s="1511"/>
      <c r="AP67" s="1511"/>
      <c r="AQ67" s="1511"/>
      <c r="AR67" s="1511"/>
      <c r="AS67" s="1511"/>
      <c r="AT67" s="1511"/>
      <c r="AZ67" s="20"/>
    </row>
    <row r="68" spans="1:52"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1511" t="s">
        <v>2521</v>
      </c>
      <c r="B69" s="1511"/>
      <c r="C69" s="1511"/>
      <c r="D69" s="1511"/>
      <c r="E69" s="1511"/>
      <c r="F69" s="1511"/>
      <c r="G69" s="1511"/>
      <c r="H69" s="1511"/>
      <c r="I69" s="1511"/>
      <c r="J69" s="1511"/>
      <c r="K69" s="1511"/>
      <c r="L69" s="1511"/>
      <c r="M69" s="1511"/>
      <c r="N69" s="1511"/>
      <c r="O69" s="1511"/>
      <c r="P69" s="1511"/>
      <c r="Q69" s="1511"/>
      <c r="R69" s="1511"/>
      <c r="S69" s="1511"/>
      <c r="T69" s="1511"/>
      <c r="U69" s="1511"/>
      <c r="V69" s="1511"/>
      <c r="W69" s="1511"/>
      <c r="X69" s="1511"/>
      <c r="Y69" s="1511"/>
      <c r="Z69" s="1511"/>
      <c r="AA69" s="1511"/>
      <c r="AB69" s="1511"/>
      <c r="AC69" s="1511"/>
      <c r="AD69" s="1511"/>
      <c r="AE69" s="1511"/>
      <c r="AF69" s="1511"/>
      <c r="AG69" s="1511"/>
      <c r="AH69" s="1511"/>
      <c r="AI69" s="1511"/>
      <c r="AJ69" s="1511"/>
      <c r="AK69" s="1511"/>
      <c r="AL69" s="1511"/>
      <c r="AM69" s="1511"/>
      <c r="AN69" s="1511"/>
      <c r="AO69" s="1511"/>
      <c r="AP69" s="1511"/>
      <c r="AQ69" s="1511"/>
      <c r="AR69" s="1511"/>
      <c r="AS69" s="1511"/>
      <c r="AT69" s="1511"/>
      <c r="AZ69" s="20"/>
    </row>
    <row r="70" spans="1:52" ht="13" customHeight="1">
      <c r="A70" s="1511"/>
      <c r="B70" s="1511"/>
      <c r="C70" s="1511"/>
      <c r="D70" s="1511"/>
      <c r="E70" s="1511"/>
      <c r="F70" s="1511"/>
      <c r="G70" s="1511"/>
      <c r="H70" s="1511"/>
      <c r="I70" s="1511"/>
      <c r="J70" s="1511"/>
      <c r="K70" s="1511"/>
      <c r="L70" s="1511"/>
      <c r="M70" s="1511"/>
      <c r="N70" s="1511"/>
      <c r="O70" s="1511"/>
      <c r="P70" s="1511"/>
      <c r="Q70" s="1511"/>
      <c r="R70" s="1511"/>
      <c r="S70" s="1511"/>
      <c r="T70" s="1511"/>
      <c r="U70" s="1511"/>
      <c r="V70" s="1511"/>
      <c r="W70" s="1511"/>
      <c r="X70" s="1511"/>
      <c r="Y70" s="1511"/>
      <c r="Z70" s="1511"/>
      <c r="AA70" s="1511"/>
      <c r="AB70" s="1511"/>
      <c r="AC70" s="1511"/>
      <c r="AD70" s="1511"/>
      <c r="AE70" s="1511"/>
      <c r="AF70" s="1511"/>
      <c r="AG70" s="1511"/>
      <c r="AH70" s="1511"/>
      <c r="AI70" s="1511"/>
      <c r="AJ70" s="1511"/>
      <c r="AK70" s="1511"/>
      <c r="AL70" s="1511"/>
      <c r="AM70" s="1511"/>
      <c r="AN70" s="1511"/>
      <c r="AO70" s="1511"/>
      <c r="AP70" s="1511"/>
      <c r="AQ70" s="1511"/>
      <c r="AR70" s="1511"/>
      <c r="AS70" s="1511"/>
      <c r="AT70" s="1511"/>
      <c r="AU70" s="20"/>
      <c r="AV70" s="20"/>
      <c r="AW70" s="20"/>
      <c r="AX70" s="20"/>
      <c r="AY70" s="20"/>
      <c r="AZ70" s="20"/>
    </row>
    <row r="71" spans="1:52" ht="13"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1834" t="s">
        <v>2522</v>
      </c>
      <c r="B72" s="1834"/>
      <c r="C72" s="1834"/>
      <c r="D72" s="1834"/>
      <c r="E72" s="1834"/>
      <c r="F72" s="1834"/>
      <c r="G72" s="1834"/>
      <c r="H72" s="1834"/>
      <c r="I72" s="1834"/>
      <c r="J72" s="1834"/>
      <c r="K72" s="1834"/>
      <c r="L72" s="1834"/>
      <c r="M72" s="1834"/>
      <c r="N72" s="1834"/>
      <c r="O72" s="1834"/>
      <c r="P72" s="1834"/>
      <c r="Q72" s="1834"/>
      <c r="R72" s="1834"/>
      <c r="S72" s="1834"/>
      <c r="T72" s="1834"/>
      <c r="U72" s="1834"/>
      <c r="V72" s="1834"/>
      <c r="W72" s="1834"/>
      <c r="X72" s="1834"/>
      <c r="Y72" s="1834"/>
      <c r="Z72" s="1834"/>
      <c r="AA72" s="1834"/>
      <c r="AB72" s="1834"/>
      <c r="AC72" s="1834"/>
      <c r="AD72" s="1834"/>
      <c r="AE72" s="1834"/>
      <c r="AF72" s="1834"/>
      <c r="AG72" s="1834"/>
      <c r="AH72" s="1834"/>
      <c r="AI72" s="1834"/>
      <c r="AJ72" s="1834"/>
      <c r="AK72" s="1834"/>
      <c r="AL72" s="1834"/>
      <c r="AM72" s="1834"/>
      <c r="AN72" s="1834"/>
      <c r="AO72" s="1834"/>
      <c r="AP72" s="1834"/>
      <c r="AQ72" s="1834"/>
      <c r="AR72" s="1834"/>
      <c r="AS72" s="1834"/>
      <c r="AT72" s="1834"/>
      <c r="AU72" s="20"/>
      <c r="AV72" s="20"/>
      <c r="AW72" s="20"/>
      <c r="AX72" s="20"/>
      <c r="AY72" s="20"/>
      <c r="AZ72" s="20"/>
    </row>
    <row r="73" spans="1:52" ht="13" customHeight="1">
      <c r="A73" s="1834"/>
      <c r="B73" s="1834"/>
      <c r="C73" s="1834"/>
      <c r="D73" s="1834"/>
      <c r="E73" s="1834"/>
      <c r="F73" s="1834"/>
      <c r="G73" s="1834"/>
      <c r="H73" s="1834"/>
      <c r="I73" s="1834"/>
      <c r="J73" s="1834"/>
      <c r="K73" s="1834"/>
      <c r="L73" s="1834"/>
      <c r="M73" s="1834"/>
      <c r="N73" s="1834"/>
      <c r="O73" s="1834"/>
      <c r="P73" s="1834"/>
      <c r="Q73" s="1834"/>
      <c r="R73" s="1834"/>
      <c r="S73" s="1834"/>
      <c r="T73" s="1834"/>
      <c r="U73" s="1834"/>
      <c r="V73" s="1834"/>
      <c r="W73" s="1834"/>
      <c r="X73" s="1834"/>
      <c r="Y73" s="1834"/>
      <c r="Z73" s="1834"/>
      <c r="AA73" s="1834"/>
      <c r="AB73" s="1834"/>
      <c r="AC73" s="1834"/>
      <c r="AD73" s="1834"/>
      <c r="AE73" s="1834"/>
      <c r="AF73" s="1834"/>
      <c r="AG73" s="1834"/>
      <c r="AH73" s="1834"/>
      <c r="AI73" s="1834"/>
      <c r="AJ73" s="1834"/>
      <c r="AK73" s="1834"/>
      <c r="AL73" s="1834"/>
      <c r="AM73" s="1834"/>
      <c r="AN73" s="1834"/>
      <c r="AO73" s="1834"/>
      <c r="AP73" s="1834"/>
      <c r="AQ73" s="1834"/>
      <c r="AR73" s="1834"/>
      <c r="AS73" s="1834"/>
      <c r="AT73" s="1834"/>
      <c r="AU73" s="20"/>
      <c r="AV73" s="20"/>
      <c r="AW73" s="20"/>
      <c r="AX73" s="20"/>
      <c r="AY73" s="20"/>
      <c r="AZ73" s="20"/>
    </row>
    <row r="74" spans="1:52"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A75" s="1565" t="s">
        <v>2523</v>
      </c>
      <c r="B75" s="1565"/>
      <c r="C75" s="1565"/>
      <c r="D75" s="1565"/>
      <c r="E75" s="1565"/>
      <c r="F75" s="1565"/>
      <c r="G75" s="1565"/>
      <c r="H75" s="1565"/>
      <c r="I75" s="1565"/>
      <c r="J75" s="1565"/>
      <c r="K75" s="1565"/>
      <c r="L75" s="1565"/>
      <c r="M75" s="1565"/>
      <c r="N75" s="1565"/>
      <c r="O75" s="1565"/>
      <c r="P75" s="1565"/>
      <c r="Q75" s="1565"/>
      <c r="R75" s="1565"/>
      <c r="S75" s="1565"/>
      <c r="T75" s="1565"/>
      <c r="U75" s="1565"/>
      <c r="V75" s="1565"/>
      <c r="W75" s="1565"/>
      <c r="X75" s="1565"/>
      <c r="Y75" s="1565"/>
      <c r="Z75" s="1565"/>
      <c r="AA75" s="1565"/>
      <c r="AB75" s="1565"/>
      <c r="AC75" s="1565"/>
      <c r="AD75" s="1565"/>
      <c r="AE75" s="1565"/>
      <c r="AF75" s="1565"/>
      <c r="AG75" s="1565"/>
      <c r="AH75" s="1565"/>
      <c r="AI75" s="1565"/>
      <c r="AJ75" s="1565"/>
      <c r="AK75" s="1565"/>
      <c r="AL75" s="1565"/>
      <c r="AM75" s="1565"/>
      <c r="AN75" s="1565"/>
      <c r="AO75" s="1565"/>
      <c r="AP75" s="1565"/>
      <c r="AQ75" s="1565"/>
      <c r="AR75" s="1565"/>
      <c r="AS75" s="1565"/>
      <c r="AT75" s="1565"/>
      <c r="AU75" s="20"/>
      <c r="AV75" s="20"/>
      <c r="AW75" s="20"/>
      <c r="AX75" s="20"/>
      <c r="AY75" s="20"/>
      <c r="AZ75" s="20"/>
    </row>
    <row r="76" spans="1:52" ht="13" customHeight="1">
      <c r="A76" s="1565"/>
      <c r="B76" s="1565"/>
      <c r="C76" s="1565"/>
      <c r="D76" s="1565"/>
      <c r="E76" s="1565"/>
      <c r="F76" s="1565"/>
      <c r="G76" s="1565"/>
      <c r="H76" s="1565"/>
      <c r="I76" s="1565"/>
      <c r="J76" s="1565"/>
      <c r="K76" s="1565"/>
      <c r="L76" s="1565"/>
      <c r="M76" s="1565"/>
      <c r="N76" s="1565"/>
      <c r="O76" s="1565"/>
      <c r="P76" s="1565"/>
      <c r="Q76" s="1565"/>
      <c r="R76" s="1565"/>
      <c r="S76" s="1565"/>
      <c r="T76" s="1565"/>
      <c r="U76" s="1565"/>
      <c r="V76" s="1565"/>
      <c r="W76" s="1565"/>
      <c r="X76" s="1565"/>
      <c r="Y76" s="1565"/>
      <c r="Z76" s="1565"/>
      <c r="AA76" s="1565"/>
      <c r="AB76" s="1565"/>
      <c r="AC76" s="1565"/>
      <c r="AD76" s="1565"/>
      <c r="AE76" s="1565"/>
      <c r="AF76" s="1565"/>
      <c r="AG76" s="1565"/>
      <c r="AH76" s="1565"/>
      <c r="AI76" s="1565"/>
      <c r="AJ76" s="1565"/>
      <c r="AK76" s="1565"/>
      <c r="AL76" s="1565"/>
      <c r="AM76" s="1565"/>
      <c r="AN76" s="1565"/>
      <c r="AO76" s="1565"/>
      <c r="AP76" s="1565"/>
      <c r="AQ76" s="1565"/>
      <c r="AR76" s="1565"/>
      <c r="AS76" s="1565"/>
      <c r="AT76" s="1565"/>
      <c r="AU76" s="20"/>
      <c r="AV76" s="20"/>
      <c r="AW76" s="20"/>
      <c r="AX76" s="20"/>
      <c r="AY76" s="20"/>
      <c r="AZ76" s="17"/>
    </row>
    <row r="77" spans="1:52" ht="13" customHeight="1">
      <c r="A77" s="1565"/>
      <c r="B77" s="1565"/>
      <c r="C77" s="1565"/>
      <c r="D77" s="1565"/>
      <c r="E77" s="1565"/>
      <c r="F77" s="1565"/>
      <c r="G77" s="1565"/>
      <c r="H77" s="1565"/>
      <c r="I77" s="1565"/>
      <c r="J77" s="1565"/>
      <c r="K77" s="1565"/>
      <c r="L77" s="1565"/>
      <c r="M77" s="1565"/>
      <c r="N77" s="1565"/>
      <c r="O77" s="1565"/>
      <c r="P77" s="1565"/>
      <c r="Q77" s="1565"/>
      <c r="R77" s="1565"/>
      <c r="S77" s="1565"/>
      <c r="T77" s="1565"/>
      <c r="U77" s="1565"/>
      <c r="V77" s="1565"/>
      <c r="W77" s="1565"/>
      <c r="X77" s="1565"/>
      <c r="Y77" s="1565"/>
      <c r="Z77" s="1565"/>
      <c r="AA77" s="1565"/>
      <c r="AB77" s="1565"/>
      <c r="AC77" s="1565"/>
      <c r="AD77" s="1565"/>
      <c r="AE77" s="1565"/>
      <c r="AF77" s="1565"/>
      <c r="AG77" s="1565"/>
      <c r="AH77" s="1565"/>
      <c r="AI77" s="1565"/>
      <c r="AJ77" s="1565"/>
      <c r="AK77" s="1565"/>
      <c r="AL77" s="1565"/>
      <c r="AM77" s="1565"/>
      <c r="AN77" s="1565"/>
      <c r="AO77" s="1565"/>
      <c r="AP77" s="1565"/>
      <c r="AQ77" s="1565"/>
      <c r="AR77" s="1565"/>
      <c r="AS77" s="1565"/>
      <c r="AT77" s="1565"/>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1511" t="s">
        <v>2524</v>
      </c>
      <c r="B79" s="1511"/>
      <c r="C79" s="1511"/>
      <c r="D79" s="1511"/>
      <c r="E79" s="1511"/>
      <c r="F79" s="1511"/>
      <c r="G79" s="1511"/>
      <c r="H79" s="1511"/>
      <c r="I79" s="1511"/>
      <c r="J79" s="1511"/>
      <c r="K79" s="1511"/>
      <c r="L79" s="1511"/>
      <c r="M79" s="1511"/>
      <c r="N79" s="1511"/>
      <c r="O79" s="1511"/>
      <c r="P79" s="1511"/>
      <c r="Q79" s="1511"/>
      <c r="R79" s="1511"/>
      <c r="S79" s="1511"/>
      <c r="T79" s="1511"/>
      <c r="U79" s="1511"/>
      <c r="V79" s="1511"/>
      <c r="W79" s="1511"/>
      <c r="X79" s="1511"/>
      <c r="Y79" s="1511"/>
      <c r="Z79" s="1511"/>
      <c r="AA79" s="1511"/>
      <c r="AB79" s="1511"/>
      <c r="AC79" s="1511"/>
      <c r="AD79" s="1511"/>
      <c r="AE79" s="1511"/>
      <c r="AF79" s="1511"/>
      <c r="AG79" s="1511"/>
      <c r="AH79" s="1511"/>
      <c r="AI79" s="1511"/>
      <c r="AJ79" s="1511"/>
      <c r="AK79" s="1511"/>
      <c r="AL79" s="1511"/>
      <c r="AM79" s="1511"/>
      <c r="AN79" s="1511"/>
      <c r="AO79" s="1511"/>
      <c r="AP79" s="1511"/>
      <c r="AQ79" s="1511"/>
      <c r="AR79" s="1511"/>
      <c r="AS79" s="1511"/>
      <c r="AT79" s="1511"/>
      <c r="AU79" s="20"/>
      <c r="AV79" s="20"/>
      <c r="AW79" s="20"/>
      <c r="AX79" s="20"/>
      <c r="AY79" s="20"/>
      <c r="AZ79" s="20"/>
    </row>
    <row r="80" spans="1:52" ht="13" customHeight="1">
      <c r="A80" s="1511"/>
      <c r="B80" s="1511"/>
      <c r="C80" s="1511"/>
      <c r="D80" s="1511"/>
      <c r="E80" s="1511"/>
      <c r="F80" s="1511"/>
      <c r="G80" s="1511"/>
      <c r="H80" s="1511"/>
      <c r="I80" s="1511"/>
      <c r="J80" s="1511"/>
      <c r="K80" s="1511"/>
      <c r="L80" s="1511"/>
      <c r="M80" s="1511"/>
      <c r="N80" s="1511"/>
      <c r="O80" s="1511"/>
      <c r="P80" s="1511"/>
      <c r="Q80" s="1511"/>
      <c r="R80" s="1511"/>
      <c r="S80" s="1511"/>
      <c r="T80" s="1511"/>
      <c r="U80" s="1511"/>
      <c r="V80" s="1511"/>
      <c r="W80" s="1511"/>
      <c r="X80" s="1511"/>
      <c r="Y80" s="1511"/>
      <c r="Z80" s="1511"/>
      <c r="AA80" s="1511"/>
      <c r="AB80" s="1511"/>
      <c r="AC80" s="1511"/>
      <c r="AD80" s="1511"/>
      <c r="AE80" s="1511"/>
      <c r="AF80" s="1511"/>
      <c r="AG80" s="1511"/>
      <c r="AH80" s="1511"/>
      <c r="AI80" s="1511"/>
      <c r="AJ80" s="1511"/>
      <c r="AK80" s="1511"/>
      <c r="AL80" s="1511"/>
      <c r="AM80" s="1511"/>
      <c r="AN80" s="1511"/>
      <c r="AO80" s="1511"/>
      <c r="AP80" s="1511"/>
      <c r="AQ80" s="1511"/>
      <c r="AR80" s="1511"/>
      <c r="AS80" s="1511"/>
      <c r="AT80" s="1511"/>
      <c r="AU80" s="20"/>
      <c r="AV80" s="20"/>
      <c r="AW80" s="20"/>
      <c r="AX80" s="20"/>
      <c r="AY80" s="20"/>
      <c r="AZ80" s="20"/>
    </row>
    <row r="81" spans="1:52" ht="13" customHeight="1">
      <c r="A81" s="1511"/>
      <c r="B81" s="1511"/>
      <c r="C81" s="1511"/>
      <c r="D81" s="1511"/>
      <c r="E81" s="1511"/>
      <c r="F81" s="1511"/>
      <c r="G81" s="1511"/>
      <c r="H81" s="1511"/>
      <c r="I81" s="1511"/>
      <c r="J81" s="1511"/>
      <c r="K81" s="1511"/>
      <c r="L81" s="1511"/>
      <c r="M81" s="1511"/>
      <c r="N81" s="1511"/>
      <c r="O81" s="1511"/>
      <c r="P81" s="1511"/>
      <c r="Q81" s="1511"/>
      <c r="R81" s="1511"/>
      <c r="S81" s="1511"/>
      <c r="T81" s="1511"/>
      <c r="U81" s="1511"/>
      <c r="V81" s="1511"/>
      <c r="W81" s="1511"/>
      <c r="X81" s="1511"/>
      <c r="Y81" s="1511"/>
      <c r="Z81" s="1511"/>
      <c r="AA81" s="1511"/>
      <c r="AB81" s="1511"/>
      <c r="AC81" s="1511"/>
      <c r="AD81" s="1511"/>
      <c r="AE81" s="1511"/>
      <c r="AF81" s="1511"/>
      <c r="AG81" s="1511"/>
      <c r="AH81" s="1511"/>
      <c r="AI81" s="1511"/>
      <c r="AJ81" s="1511"/>
      <c r="AK81" s="1511"/>
      <c r="AL81" s="1511"/>
      <c r="AM81" s="1511"/>
      <c r="AN81" s="1511"/>
      <c r="AO81" s="1511"/>
      <c r="AP81" s="1511"/>
      <c r="AQ81" s="1511"/>
      <c r="AR81" s="1511"/>
      <c r="AS81" s="1511"/>
      <c r="AT81" s="1511"/>
      <c r="AU81" s="20"/>
      <c r="AV81" s="20"/>
      <c r="AW81" s="20"/>
      <c r="AX81" s="20"/>
      <c r="AY81" s="20"/>
      <c r="AZ81" s="20"/>
    </row>
    <row r="82" spans="1:52" ht="13"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1267" t="s">
        <v>2525</v>
      </c>
      <c r="B83" s="1267"/>
      <c r="C83" s="1267"/>
      <c r="D83" s="1267"/>
      <c r="E83" s="1267"/>
      <c r="F83" s="1267"/>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c r="AL83" s="1267"/>
      <c r="AM83" s="1267"/>
      <c r="AN83" s="1267"/>
      <c r="AO83" s="1267"/>
      <c r="AP83" s="1267"/>
      <c r="AQ83" s="1267"/>
      <c r="AR83" s="1267"/>
      <c r="AS83" s="1267"/>
      <c r="AT83" s="1267"/>
      <c r="AU83" s="20"/>
      <c r="AV83" s="20"/>
      <c r="AW83" s="20"/>
      <c r="AX83" s="20"/>
      <c r="AY83" s="20"/>
      <c r="AZ83" s="20"/>
    </row>
    <row r="84" spans="1:52" ht="13" customHeight="1">
      <c r="A84" s="1267"/>
      <c r="B84" s="1267"/>
      <c r="C84" s="1267"/>
      <c r="D84" s="1267"/>
      <c r="E84" s="1267"/>
      <c r="F84" s="1267"/>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c r="AL84" s="1267"/>
      <c r="AM84" s="1267"/>
      <c r="AN84" s="1267"/>
      <c r="AO84" s="1267"/>
      <c r="AP84" s="1267"/>
      <c r="AQ84" s="1267"/>
      <c r="AR84" s="1267"/>
      <c r="AS84" s="1267"/>
      <c r="AT84" s="1267"/>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1267" t="s">
        <v>2526</v>
      </c>
      <c r="B86" s="1267"/>
      <c r="C86" s="1267"/>
      <c r="D86" s="1267"/>
      <c r="E86" s="1267"/>
      <c r="F86" s="1267"/>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c r="AL86" s="1267"/>
      <c r="AM86" s="1267"/>
      <c r="AN86" s="1267"/>
      <c r="AO86" s="1267"/>
      <c r="AP86" s="1267"/>
      <c r="AQ86" s="1267"/>
      <c r="AR86" s="1267"/>
      <c r="AS86" s="1267"/>
      <c r="AT86" s="1267"/>
      <c r="AU86" s="20"/>
      <c r="AV86" s="20"/>
      <c r="AW86" s="20"/>
      <c r="AX86" s="20"/>
      <c r="AY86" s="20"/>
      <c r="AZ86" s="20"/>
    </row>
    <row r="87" spans="1:52" ht="13" customHeight="1">
      <c r="A87" s="1267"/>
      <c r="B87" s="1267"/>
      <c r="C87" s="1267"/>
      <c r="D87" s="1267"/>
      <c r="E87" s="1267"/>
      <c r="F87" s="1267"/>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c r="AL87" s="1267"/>
      <c r="AM87" s="1267"/>
      <c r="AN87" s="1267"/>
      <c r="AO87" s="1267"/>
      <c r="AP87" s="1267"/>
      <c r="AQ87" s="1267"/>
      <c r="AR87" s="1267"/>
      <c r="AS87" s="1267"/>
      <c r="AT87" s="1267"/>
      <c r="AU87" s="20"/>
      <c r="AV87" s="20"/>
      <c r="AW87" s="20"/>
      <c r="AX87" s="20"/>
      <c r="AY87" s="20"/>
      <c r="AZ87" s="20"/>
    </row>
    <row r="88" spans="1:52"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A89" s="1564" t="s">
        <v>2527</v>
      </c>
      <c r="B89" s="1564"/>
      <c r="C89" s="1564"/>
      <c r="D89" s="1564"/>
      <c r="E89" s="1564"/>
      <c r="F89" s="1564"/>
      <c r="G89" s="1564"/>
      <c r="H89" s="1564"/>
      <c r="I89" s="1564"/>
      <c r="J89" s="1564"/>
      <c r="K89" s="1564"/>
      <c r="L89" s="1564"/>
      <c r="M89" s="1564"/>
      <c r="N89" s="1564"/>
      <c r="O89" s="1564"/>
      <c r="P89" s="1564"/>
      <c r="Q89" s="1564"/>
      <c r="R89" s="1564"/>
      <c r="S89" s="1564"/>
      <c r="T89" s="1564"/>
      <c r="U89" s="1564"/>
      <c r="V89" s="1564"/>
      <c r="W89" s="1564"/>
      <c r="X89" s="1564"/>
      <c r="Y89" s="1564"/>
      <c r="Z89" s="1564"/>
      <c r="AA89" s="1564"/>
      <c r="AB89" s="1564"/>
      <c r="AC89" s="1564"/>
      <c r="AD89" s="1564"/>
      <c r="AE89" s="1564"/>
      <c r="AF89" s="1564"/>
      <c r="AG89" s="1564"/>
      <c r="AH89" s="1564"/>
      <c r="AI89" s="1564"/>
      <c r="AJ89" s="1564"/>
      <c r="AK89" s="1564"/>
      <c r="AL89" s="1564"/>
      <c r="AM89" s="1564"/>
      <c r="AN89" s="1564"/>
      <c r="AO89" s="1564"/>
      <c r="AP89" s="1564"/>
      <c r="AQ89" s="1564"/>
      <c r="AR89" s="1564"/>
      <c r="AS89" s="1564"/>
      <c r="AT89" s="1564"/>
      <c r="AU89" s="17"/>
      <c r="AV89" s="17"/>
      <c r="AW89" s="17"/>
      <c r="AX89" s="17"/>
      <c r="AY89" s="17"/>
      <c r="AZ89" s="20"/>
    </row>
    <row r="90" spans="1:52" ht="13" customHeight="1">
      <c r="A90" s="1564"/>
      <c r="B90" s="1564"/>
      <c r="C90" s="1564"/>
      <c r="D90" s="1564"/>
      <c r="E90" s="1564"/>
      <c r="F90" s="1564"/>
      <c r="G90" s="1564"/>
      <c r="H90" s="1564"/>
      <c r="I90" s="1564"/>
      <c r="J90" s="1564"/>
      <c r="K90" s="1564"/>
      <c r="L90" s="1564"/>
      <c r="M90" s="1564"/>
      <c r="N90" s="1564"/>
      <c r="O90" s="1564"/>
      <c r="P90" s="1564"/>
      <c r="Q90" s="1564"/>
      <c r="R90" s="1564"/>
      <c r="S90" s="1564"/>
      <c r="T90" s="1564"/>
      <c r="U90" s="1564"/>
      <c r="V90" s="1564"/>
      <c r="W90" s="1564"/>
      <c r="X90" s="1564"/>
      <c r="Y90" s="1564"/>
      <c r="Z90" s="1564"/>
      <c r="AA90" s="1564"/>
      <c r="AB90" s="1564"/>
      <c r="AC90" s="1564"/>
      <c r="AD90" s="1564"/>
      <c r="AE90" s="1564"/>
      <c r="AF90" s="1564"/>
      <c r="AG90" s="1564"/>
      <c r="AH90" s="1564"/>
      <c r="AI90" s="1564"/>
      <c r="AJ90" s="1564"/>
      <c r="AK90" s="1564"/>
      <c r="AL90" s="1564"/>
      <c r="AM90" s="1564"/>
      <c r="AN90" s="1564"/>
      <c r="AO90" s="1564"/>
      <c r="AP90" s="1564"/>
      <c r="AQ90" s="1564"/>
      <c r="AR90" s="1564"/>
      <c r="AS90" s="1564"/>
      <c r="AT90" s="1564"/>
      <c r="AU90" s="17"/>
      <c r="AV90" s="17"/>
      <c r="AW90" s="17"/>
      <c r="AX90" s="17"/>
      <c r="AY90" s="17"/>
      <c r="AZ90" s="20"/>
    </row>
    <row r="91" spans="1:52"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A92" s="1565" t="s">
        <v>2528</v>
      </c>
      <c r="B92" s="1565"/>
      <c r="C92" s="1565"/>
      <c r="D92" s="1565"/>
      <c r="E92" s="1565"/>
      <c r="F92" s="1565"/>
      <c r="G92" s="1565"/>
      <c r="H92" s="1565"/>
      <c r="I92" s="1565"/>
      <c r="J92" s="1565"/>
      <c r="K92" s="1565"/>
      <c r="L92" s="1565"/>
      <c r="M92" s="1565"/>
      <c r="N92" s="1565"/>
      <c r="O92" s="1565"/>
      <c r="P92" s="1565"/>
      <c r="Q92" s="1565"/>
      <c r="R92" s="1565"/>
      <c r="S92" s="1565"/>
      <c r="T92" s="1565"/>
      <c r="U92" s="1565"/>
      <c r="V92" s="1565"/>
      <c r="W92" s="1565"/>
      <c r="X92" s="1565"/>
      <c r="Y92" s="1565"/>
      <c r="Z92" s="1565"/>
      <c r="AA92" s="1565"/>
      <c r="AB92" s="1565"/>
      <c r="AC92" s="1565"/>
      <c r="AD92" s="1565"/>
      <c r="AE92" s="1565"/>
      <c r="AF92" s="1565"/>
      <c r="AG92" s="1565"/>
      <c r="AH92" s="1565"/>
      <c r="AI92" s="1565"/>
      <c r="AJ92" s="1565"/>
      <c r="AK92" s="1565"/>
      <c r="AL92" s="1565"/>
      <c r="AM92" s="1565"/>
      <c r="AN92" s="1565"/>
      <c r="AO92" s="1565"/>
      <c r="AP92" s="1565"/>
      <c r="AQ92" s="1565"/>
      <c r="AR92" s="1565"/>
      <c r="AS92" s="1565"/>
      <c r="AT92" s="1565"/>
      <c r="AU92" s="20"/>
      <c r="AV92" s="20"/>
      <c r="AW92" s="20"/>
      <c r="AX92" s="20"/>
      <c r="AY92" s="20"/>
      <c r="AZ92" s="20"/>
    </row>
    <row r="93" spans="1:52" ht="13" customHeight="1">
      <c r="A93" s="1565"/>
      <c r="B93" s="1565"/>
      <c r="C93" s="1565"/>
      <c r="D93" s="1565"/>
      <c r="E93" s="1565"/>
      <c r="F93" s="1565"/>
      <c r="G93" s="1565"/>
      <c r="H93" s="1565"/>
      <c r="I93" s="1565"/>
      <c r="J93" s="1565"/>
      <c r="K93" s="1565"/>
      <c r="L93" s="1565"/>
      <c r="M93" s="1565"/>
      <c r="N93" s="1565"/>
      <c r="O93" s="1565"/>
      <c r="P93" s="1565"/>
      <c r="Q93" s="1565"/>
      <c r="R93" s="1565"/>
      <c r="S93" s="1565"/>
      <c r="T93" s="1565"/>
      <c r="U93" s="1565"/>
      <c r="V93" s="1565"/>
      <c r="W93" s="1565"/>
      <c r="X93" s="1565"/>
      <c r="Y93" s="1565"/>
      <c r="Z93" s="1565"/>
      <c r="AA93" s="1565"/>
      <c r="AB93" s="1565"/>
      <c r="AC93" s="1565"/>
      <c r="AD93" s="1565"/>
      <c r="AE93" s="1565"/>
      <c r="AF93" s="1565"/>
      <c r="AG93" s="1565"/>
      <c r="AH93" s="1565"/>
      <c r="AI93" s="1565"/>
      <c r="AJ93" s="1565"/>
      <c r="AK93" s="1565"/>
      <c r="AL93" s="1565"/>
      <c r="AM93" s="1565"/>
      <c r="AN93" s="1565"/>
      <c r="AO93" s="1565"/>
      <c r="AP93" s="1565"/>
      <c r="AQ93" s="1565"/>
      <c r="AR93" s="1565"/>
      <c r="AS93" s="1565"/>
      <c r="AT93" s="1565"/>
      <c r="AU93" s="20"/>
      <c r="AV93" s="20"/>
      <c r="AW93" s="20"/>
      <c r="AX93" s="20"/>
      <c r="AY93" s="20"/>
      <c r="AZ93" s="20"/>
    </row>
    <row r="94" spans="1:52" ht="13" customHeight="1">
      <c r="A94" s="1565"/>
      <c r="B94" s="1565"/>
      <c r="C94" s="1565"/>
      <c r="D94" s="1565"/>
      <c r="E94" s="1565"/>
      <c r="F94" s="1565"/>
      <c r="G94" s="1565"/>
      <c r="H94" s="1565"/>
      <c r="I94" s="1565"/>
      <c r="J94" s="1565"/>
      <c r="K94" s="1565"/>
      <c r="L94" s="1565"/>
      <c r="M94" s="1565"/>
      <c r="N94" s="1565"/>
      <c r="O94" s="1565"/>
      <c r="P94" s="1565"/>
      <c r="Q94" s="1565"/>
      <c r="R94" s="1565"/>
      <c r="S94" s="1565"/>
      <c r="T94" s="1565"/>
      <c r="U94" s="1565"/>
      <c r="V94" s="1565"/>
      <c r="W94" s="1565"/>
      <c r="X94" s="1565"/>
      <c r="Y94" s="1565"/>
      <c r="Z94" s="1565"/>
      <c r="AA94" s="1565"/>
      <c r="AB94" s="1565"/>
      <c r="AC94" s="1565"/>
      <c r="AD94" s="1565"/>
      <c r="AE94" s="1565"/>
      <c r="AF94" s="1565"/>
      <c r="AG94" s="1565"/>
      <c r="AH94" s="1565"/>
      <c r="AI94" s="1565"/>
      <c r="AJ94" s="1565"/>
      <c r="AK94" s="1565"/>
      <c r="AL94" s="1565"/>
      <c r="AM94" s="1565"/>
      <c r="AN94" s="1565"/>
      <c r="AO94" s="1565"/>
      <c r="AP94" s="1565"/>
      <c r="AQ94" s="1565"/>
      <c r="AR94" s="1565"/>
      <c r="AS94" s="1565"/>
      <c r="AT94" s="1565"/>
      <c r="AU94" s="20"/>
      <c r="AV94" s="20"/>
      <c r="AW94" s="20"/>
      <c r="AX94" s="20"/>
      <c r="AY94" s="20"/>
      <c r="AZ94" s="20"/>
    </row>
    <row r="95" spans="1:52" ht="13" customHeight="1">
      <c r="A95" s="1565"/>
      <c r="B95" s="1565"/>
      <c r="C95" s="1565"/>
      <c r="D95" s="1565"/>
      <c r="E95" s="1565"/>
      <c r="F95" s="1565"/>
      <c r="G95" s="1565"/>
      <c r="H95" s="1565"/>
      <c r="I95" s="1565"/>
      <c r="J95" s="1565"/>
      <c r="K95" s="1565"/>
      <c r="L95" s="1565"/>
      <c r="M95" s="1565"/>
      <c r="N95" s="1565"/>
      <c r="O95" s="1565"/>
      <c r="P95" s="1565"/>
      <c r="Q95" s="1565"/>
      <c r="R95" s="1565"/>
      <c r="S95" s="1565"/>
      <c r="T95" s="1565"/>
      <c r="U95" s="1565"/>
      <c r="V95" s="1565"/>
      <c r="W95" s="1565"/>
      <c r="X95" s="1565"/>
      <c r="Y95" s="1565"/>
      <c r="Z95" s="1565"/>
      <c r="AA95" s="1565"/>
      <c r="AB95" s="1565"/>
      <c r="AC95" s="1565"/>
      <c r="AD95" s="1565"/>
      <c r="AE95" s="1565"/>
      <c r="AF95" s="1565"/>
      <c r="AG95" s="1565"/>
      <c r="AH95" s="1565"/>
      <c r="AI95" s="1565"/>
      <c r="AJ95" s="1565"/>
      <c r="AK95" s="1565"/>
      <c r="AL95" s="1565"/>
      <c r="AM95" s="1565"/>
      <c r="AN95" s="1565"/>
      <c r="AO95" s="1565"/>
      <c r="AP95" s="1565"/>
      <c r="AQ95" s="1565"/>
      <c r="AR95" s="1565"/>
      <c r="AS95" s="1565"/>
      <c r="AT95" s="1565"/>
      <c r="AU95" s="20"/>
      <c r="AV95" s="20"/>
      <c r="AW95" s="20"/>
      <c r="AX95" s="20"/>
      <c r="AY95" s="20"/>
      <c r="AZ95" s="20"/>
    </row>
    <row r="96" spans="1:52" ht="13" customHeight="1">
      <c r="A96" s="1565"/>
      <c r="B96" s="1565"/>
      <c r="C96" s="1565"/>
      <c r="D96" s="1565"/>
      <c r="E96" s="1565"/>
      <c r="F96" s="1565"/>
      <c r="G96" s="1565"/>
      <c r="H96" s="1565"/>
      <c r="I96" s="1565"/>
      <c r="J96" s="1565"/>
      <c r="K96" s="1565"/>
      <c r="L96" s="1565"/>
      <c r="M96" s="1565"/>
      <c r="N96" s="1565"/>
      <c r="O96" s="1565"/>
      <c r="P96" s="1565"/>
      <c r="Q96" s="1565"/>
      <c r="R96" s="1565"/>
      <c r="S96" s="1565"/>
      <c r="T96" s="1565"/>
      <c r="U96" s="1565"/>
      <c r="V96" s="1565"/>
      <c r="W96" s="1565"/>
      <c r="X96" s="1565"/>
      <c r="Y96" s="1565"/>
      <c r="Z96" s="1565"/>
      <c r="AA96" s="1565"/>
      <c r="AB96" s="1565"/>
      <c r="AC96" s="1565"/>
      <c r="AD96" s="1565"/>
      <c r="AE96" s="1565"/>
      <c r="AF96" s="1565"/>
      <c r="AG96" s="1565"/>
      <c r="AH96" s="1565"/>
      <c r="AI96" s="1565"/>
      <c r="AJ96" s="1565"/>
      <c r="AK96" s="1565"/>
      <c r="AL96" s="1565"/>
      <c r="AM96" s="1565"/>
      <c r="AN96" s="1565"/>
      <c r="AO96" s="1565"/>
      <c r="AP96" s="1565"/>
      <c r="AQ96" s="1565"/>
      <c r="AR96" s="1565"/>
      <c r="AS96" s="1565"/>
      <c r="AT96" s="1565"/>
      <c r="AU96" s="20"/>
      <c r="AV96" s="20"/>
      <c r="AW96" s="20"/>
      <c r="AX96" s="20"/>
      <c r="AY96" s="20"/>
      <c r="AZ96" s="20"/>
    </row>
    <row r="97" spans="1:52" ht="13" customHeight="1">
      <c r="A97" s="1565"/>
      <c r="B97" s="1565"/>
      <c r="C97" s="1565"/>
      <c r="D97" s="1565"/>
      <c r="E97" s="1565"/>
      <c r="F97" s="1565"/>
      <c r="G97" s="1565"/>
      <c r="H97" s="1565"/>
      <c r="I97" s="1565"/>
      <c r="J97" s="1565"/>
      <c r="K97" s="1565"/>
      <c r="L97" s="1565"/>
      <c r="M97" s="1565"/>
      <c r="N97" s="1565"/>
      <c r="O97" s="1565"/>
      <c r="P97" s="1565"/>
      <c r="Q97" s="1565"/>
      <c r="R97" s="1565"/>
      <c r="S97" s="1565"/>
      <c r="T97" s="1565"/>
      <c r="U97" s="1565"/>
      <c r="V97" s="1565"/>
      <c r="W97" s="1565"/>
      <c r="X97" s="1565"/>
      <c r="Y97" s="1565"/>
      <c r="Z97" s="1565"/>
      <c r="AA97" s="1565"/>
      <c r="AB97" s="1565"/>
      <c r="AC97" s="1565"/>
      <c r="AD97" s="1565"/>
      <c r="AE97" s="1565"/>
      <c r="AF97" s="1565"/>
      <c r="AG97" s="1565"/>
      <c r="AH97" s="1565"/>
      <c r="AI97" s="1565"/>
      <c r="AJ97" s="1565"/>
      <c r="AK97" s="1565"/>
      <c r="AL97" s="1565"/>
      <c r="AM97" s="1565"/>
      <c r="AN97" s="1565"/>
      <c r="AO97" s="1565"/>
      <c r="AP97" s="1565"/>
      <c r="AQ97" s="1565"/>
      <c r="AR97" s="1565"/>
      <c r="AS97" s="1565"/>
      <c r="AT97" s="1565"/>
      <c r="AU97" s="20"/>
      <c r="AV97" s="20"/>
      <c r="AW97" s="20"/>
      <c r="AX97" s="20"/>
      <c r="AY97" s="20"/>
      <c r="AZ97" s="20"/>
    </row>
    <row r="98" spans="1:52" ht="13" customHeight="1">
      <c r="A98" s="1565"/>
      <c r="B98" s="1565"/>
      <c r="C98" s="1565"/>
      <c r="D98" s="1565"/>
      <c r="E98" s="1565"/>
      <c r="F98" s="1565"/>
      <c r="G98" s="1565"/>
      <c r="H98" s="1565"/>
      <c r="I98" s="1565"/>
      <c r="J98" s="1565"/>
      <c r="K98" s="1565"/>
      <c r="L98" s="1565"/>
      <c r="M98" s="1565"/>
      <c r="N98" s="1565"/>
      <c r="O98" s="1565"/>
      <c r="P98" s="1565"/>
      <c r="Q98" s="1565"/>
      <c r="R98" s="1565"/>
      <c r="S98" s="1565"/>
      <c r="T98" s="1565"/>
      <c r="U98" s="1565"/>
      <c r="V98" s="1565"/>
      <c r="W98" s="1565"/>
      <c r="X98" s="1565"/>
      <c r="Y98" s="1565"/>
      <c r="Z98" s="1565"/>
      <c r="AA98" s="1565"/>
      <c r="AB98" s="1565"/>
      <c r="AC98" s="1565"/>
      <c r="AD98" s="1565"/>
      <c r="AE98" s="1565"/>
      <c r="AF98" s="1565"/>
      <c r="AG98" s="1565"/>
      <c r="AH98" s="1565"/>
      <c r="AI98" s="1565"/>
      <c r="AJ98" s="1565"/>
      <c r="AK98" s="1565"/>
      <c r="AL98" s="1565"/>
      <c r="AM98" s="1565"/>
      <c r="AN98" s="1565"/>
      <c r="AO98" s="1565"/>
      <c r="AP98" s="1565"/>
      <c r="AQ98" s="1565"/>
      <c r="AR98" s="1565"/>
      <c r="AS98" s="1565"/>
      <c r="AT98" s="1565"/>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1303" t="s">
        <v>2529</v>
      </c>
      <c r="B100" s="1303"/>
      <c r="C100" s="1303"/>
      <c r="D100" s="1303"/>
      <c r="E100" s="1303"/>
      <c r="F100" s="1303"/>
      <c r="G100" s="1303"/>
      <c r="H100" s="1303"/>
      <c r="I100" s="1303"/>
      <c r="J100" s="1303"/>
      <c r="K100" s="1303"/>
      <c r="L100" s="1303"/>
      <c r="M100" s="1303"/>
      <c r="N100" s="1303"/>
      <c r="O100" s="1303"/>
      <c r="P100" s="1303"/>
      <c r="Q100" s="1303"/>
      <c r="R100" s="1303"/>
      <c r="S100" s="1303"/>
      <c r="T100" s="1303"/>
      <c r="U100" s="1303"/>
      <c r="V100" s="1303"/>
      <c r="W100" s="1303"/>
      <c r="X100" s="1303"/>
      <c r="Y100" s="1303"/>
      <c r="Z100" s="1303"/>
      <c r="AA100" s="1303"/>
      <c r="AB100" s="1303"/>
      <c r="AC100" s="1303"/>
      <c r="AD100" s="1303"/>
      <c r="AE100" s="1303"/>
      <c r="AF100" s="1303"/>
      <c r="AG100" s="1303"/>
      <c r="AH100" s="1303"/>
      <c r="AI100" s="1303"/>
      <c r="AJ100" s="1303"/>
      <c r="AK100" s="1303"/>
      <c r="AL100" s="1303"/>
      <c r="AM100" s="1303"/>
      <c r="AN100" s="1303"/>
      <c r="AO100" s="1303"/>
      <c r="AP100" s="1303"/>
      <c r="AQ100" s="1303"/>
      <c r="AR100" s="1303"/>
      <c r="AS100" s="1303"/>
      <c r="AT100" s="1303"/>
      <c r="AU100" s="20"/>
      <c r="AV100" s="20"/>
      <c r="AW100" s="20"/>
      <c r="AX100" s="20"/>
      <c r="AY100" s="20"/>
      <c r="AZ100" s="20"/>
    </row>
    <row r="101" spans="1:52" ht="13" customHeight="1">
      <c r="A101" s="1303"/>
      <c r="B101" s="1303"/>
      <c r="C101" s="1303"/>
      <c r="D101" s="1303"/>
      <c r="E101" s="1303"/>
      <c r="F101" s="1303"/>
      <c r="G101" s="1303"/>
      <c r="H101" s="1303"/>
      <c r="I101" s="1303"/>
      <c r="J101" s="1303"/>
      <c r="K101" s="1303"/>
      <c r="L101" s="1303"/>
      <c r="M101" s="1303"/>
      <c r="N101" s="1303"/>
      <c r="O101" s="1303"/>
      <c r="P101" s="1303"/>
      <c r="Q101" s="1303"/>
      <c r="R101" s="1303"/>
      <c r="S101" s="1303"/>
      <c r="T101" s="1303"/>
      <c r="U101" s="1303"/>
      <c r="V101" s="1303"/>
      <c r="W101" s="1303"/>
      <c r="X101" s="1303"/>
      <c r="Y101" s="1303"/>
      <c r="Z101" s="1303"/>
      <c r="AA101" s="1303"/>
      <c r="AB101" s="1303"/>
      <c r="AC101" s="1303"/>
      <c r="AD101" s="1303"/>
      <c r="AE101" s="1303"/>
      <c r="AF101" s="1303"/>
      <c r="AG101" s="1303"/>
      <c r="AH101" s="1303"/>
      <c r="AI101" s="1303"/>
      <c r="AJ101" s="1303"/>
      <c r="AK101" s="1303"/>
      <c r="AL101" s="1303"/>
      <c r="AM101" s="1303"/>
      <c r="AN101" s="1303"/>
      <c r="AO101" s="1303"/>
      <c r="AP101" s="1303"/>
      <c r="AQ101" s="1303"/>
      <c r="AR101" s="1303"/>
      <c r="AS101" s="1303"/>
      <c r="AT101" s="1303"/>
      <c r="AU101" s="20"/>
      <c r="AV101" s="20"/>
      <c r="AW101" s="20"/>
      <c r="AX101" s="20"/>
      <c r="AY101" s="20"/>
      <c r="AZ101" s="20"/>
    </row>
    <row r="102" spans="1:52" ht="13" customHeight="1">
      <c r="A102" s="1303"/>
      <c r="B102" s="1303"/>
      <c r="C102" s="1303"/>
      <c r="D102" s="1303"/>
      <c r="E102" s="1303"/>
      <c r="F102" s="1303"/>
      <c r="G102" s="1303"/>
      <c r="H102" s="1303"/>
      <c r="I102" s="1303"/>
      <c r="J102" s="1303"/>
      <c r="K102" s="1303"/>
      <c r="L102" s="1303"/>
      <c r="M102" s="1303"/>
      <c r="N102" s="1303"/>
      <c r="O102" s="1303"/>
      <c r="P102" s="1303"/>
      <c r="Q102" s="1303"/>
      <c r="R102" s="1303"/>
      <c r="S102" s="1303"/>
      <c r="T102" s="1303"/>
      <c r="U102" s="1303"/>
      <c r="V102" s="1303"/>
      <c r="W102" s="1303"/>
      <c r="X102" s="1303"/>
      <c r="Y102" s="1303"/>
      <c r="Z102" s="1303"/>
      <c r="AA102" s="1303"/>
      <c r="AB102" s="1303"/>
      <c r="AC102" s="1303"/>
      <c r="AD102" s="1303"/>
      <c r="AE102" s="1303"/>
      <c r="AF102" s="1303"/>
      <c r="AG102" s="1303"/>
      <c r="AH102" s="1303"/>
      <c r="AI102" s="1303"/>
      <c r="AJ102" s="1303"/>
      <c r="AK102" s="1303"/>
      <c r="AL102" s="1303"/>
      <c r="AM102" s="1303"/>
      <c r="AN102" s="1303"/>
      <c r="AO102" s="1303"/>
      <c r="AP102" s="1303"/>
      <c r="AQ102" s="1303"/>
      <c r="AR102" s="1303"/>
      <c r="AS102" s="1303"/>
      <c r="AT102" s="1303"/>
      <c r="AU102" s="20"/>
      <c r="AV102" s="20"/>
      <c r="AW102" s="20"/>
      <c r="AX102" s="20"/>
      <c r="AY102" s="20"/>
      <c r="AZ102" s="20"/>
    </row>
    <row r="103" spans="1:52" ht="13" customHeight="1">
      <c r="A103" s="1303"/>
      <c r="B103" s="1303"/>
      <c r="C103" s="1303"/>
      <c r="D103" s="1303"/>
      <c r="E103" s="1303"/>
      <c r="F103" s="1303"/>
      <c r="G103" s="1303"/>
      <c r="H103" s="1303"/>
      <c r="I103" s="1303"/>
      <c r="J103" s="1303"/>
      <c r="K103" s="1303"/>
      <c r="L103" s="1303"/>
      <c r="M103" s="1303"/>
      <c r="N103" s="1303"/>
      <c r="O103" s="1303"/>
      <c r="P103" s="1303"/>
      <c r="Q103" s="1303"/>
      <c r="R103" s="1303"/>
      <c r="S103" s="1303"/>
      <c r="T103" s="1303"/>
      <c r="U103" s="1303"/>
      <c r="V103" s="1303"/>
      <c r="W103" s="1303"/>
      <c r="X103" s="1303"/>
      <c r="Y103" s="1303"/>
      <c r="Z103" s="1303"/>
      <c r="AA103" s="1303"/>
      <c r="AB103" s="1303"/>
      <c r="AC103" s="1303"/>
      <c r="AD103" s="1303"/>
      <c r="AE103" s="1303"/>
      <c r="AF103" s="1303"/>
      <c r="AG103" s="1303"/>
      <c r="AH103" s="1303"/>
      <c r="AI103" s="1303"/>
      <c r="AJ103" s="1303"/>
      <c r="AK103" s="1303"/>
      <c r="AL103" s="1303"/>
      <c r="AM103" s="1303"/>
      <c r="AN103" s="1303"/>
      <c r="AO103" s="1303"/>
      <c r="AP103" s="1303"/>
      <c r="AQ103" s="1303"/>
      <c r="AR103" s="1303"/>
      <c r="AS103" s="1303"/>
      <c r="AT103" s="1303"/>
      <c r="AU103" s="20"/>
      <c r="AV103" s="20"/>
      <c r="AW103" s="20"/>
      <c r="AX103" s="20"/>
      <c r="AY103" s="20"/>
    </row>
    <row r="104" spans="1:52"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1303" t="s">
        <v>2530</v>
      </c>
      <c r="B105" s="1303"/>
      <c r="C105" s="1303"/>
      <c r="D105" s="1303"/>
      <c r="E105" s="1303"/>
      <c r="F105" s="1303"/>
      <c r="G105" s="1303"/>
      <c r="H105" s="1303"/>
      <c r="I105" s="1303"/>
      <c r="J105" s="1303"/>
      <c r="K105" s="1303"/>
      <c r="L105" s="1303"/>
      <c r="M105" s="1303"/>
      <c r="N105" s="1303"/>
      <c r="O105" s="1303"/>
      <c r="P105" s="1303"/>
      <c r="Q105" s="1303"/>
      <c r="R105" s="1303"/>
      <c r="S105" s="1303"/>
      <c r="T105" s="1303"/>
      <c r="U105" s="1303"/>
      <c r="V105" s="1303"/>
      <c r="W105" s="1303"/>
      <c r="X105" s="1303"/>
      <c r="Y105" s="1303"/>
      <c r="Z105" s="1303"/>
      <c r="AA105" s="1303"/>
      <c r="AB105" s="1303"/>
      <c r="AC105" s="1303"/>
      <c r="AD105" s="1303"/>
      <c r="AE105" s="1303"/>
      <c r="AF105" s="1303"/>
      <c r="AG105" s="1303"/>
      <c r="AH105" s="1303"/>
      <c r="AI105" s="1303"/>
      <c r="AJ105" s="1303"/>
      <c r="AK105" s="1303"/>
      <c r="AL105" s="1303"/>
      <c r="AM105" s="1303"/>
      <c r="AN105" s="1303"/>
      <c r="AO105" s="1303"/>
      <c r="AP105" s="1303"/>
      <c r="AQ105" s="1303"/>
      <c r="AR105" s="1303"/>
      <c r="AS105" s="1303"/>
      <c r="AT105" s="1303"/>
      <c r="AU105" s="20"/>
      <c r="AV105" s="20"/>
      <c r="AW105" s="20"/>
      <c r="AX105" s="20"/>
      <c r="AY105" s="20"/>
    </row>
    <row r="106" spans="1:52" ht="13" customHeight="1">
      <c r="A106" s="1303"/>
      <c r="B106" s="1303"/>
      <c r="C106" s="1303"/>
      <c r="D106" s="1303"/>
      <c r="E106" s="1303"/>
      <c r="F106" s="1303"/>
      <c r="G106" s="1303"/>
      <c r="H106" s="1303"/>
      <c r="I106" s="1303"/>
      <c r="J106" s="1303"/>
      <c r="K106" s="1303"/>
      <c r="L106" s="1303"/>
      <c r="M106" s="1303"/>
      <c r="N106" s="1303"/>
      <c r="O106" s="1303"/>
      <c r="P106" s="1303"/>
      <c r="Q106" s="1303"/>
      <c r="R106" s="1303"/>
      <c r="S106" s="1303"/>
      <c r="T106" s="1303"/>
      <c r="U106" s="1303"/>
      <c r="V106" s="1303"/>
      <c r="W106" s="1303"/>
      <c r="X106" s="1303"/>
      <c r="Y106" s="1303"/>
      <c r="Z106" s="1303"/>
      <c r="AA106" s="1303"/>
      <c r="AB106" s="1303"/>
      <c r="AC106" s="1303"/>
      <c r="AD106" s="1303"/>
      <c r="AE106" s="1303"/>
      <c r="AF106" s="1303"/>
      <c r="AG106" s="1303"/>
      <c r="AH106" s="1303"/>
      <c r="AI106" s="1303"/>
      <c r="AJ106" s="1303"/>
      <c r="AK106" s="1303"/>
      <c r="AL106" s="1303"/>
      <c r="AM106" s="1303"/>
      <c r="AN106" s="1303"/>
      <c r="AO106" s="1303"/>
      <c r="AP106" s="1303"/>
      <c r="AQ106" s="1303"/>
      <c r="AR106" s="1303"/>
      <c r="AS106" s="1303"/>
      <c r="AT106" s="1303"/>
      <c r="AU106" s="20"/>
      <c r="AV106" s="20"/>
      <c r="AW106" s="20"/>
      <c r="AX106" s="20"/>
      <c r="AY106" s="20"/>
    </row>
    <row r="107" spans="1:52" ht="13"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1" t="s">
        <v>2531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c r="C113" s="3" t="s">
        <v>181</v>
      </c>
      <c r="G113" s="1568"/>
      <c r="H113" s="1568"/>
      <c r="I113" s="3" t="s">
        <v>182</v>
      </c>
      <c r="L113" s="1568"/>
      <c r="M113" s="1568"/>
      <c r="N113" s="1568"/>
      <c r="O113" s="1568"/>
      <c r="P113" s="1584" t="s">
        <v>2532</v>
      </c>
      <c r="Q113" s="1584"/>
      <c r="R113" s="1584"/>
      <c r="S113" s="158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c r="C115" s="1571"/>
      <c r="D115" s="1571"/>
      <c r="E115" s="1571"/>
      <c r="F115" s="1571"/>
      <c r="G115" s="1571"/>
      <c r="H115" s="1571"/>
      <c r="I115" s="1571"/>
      <c r="J115" s="1571"/>
      <c r="K115" s="1571"/>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c r="B117" s="22"/>
      <c r="C117" s="22"/>
      <c r="X117" s="3" t="s">
        <v>637</v>
      </c>
      <c r="Y117" s="1568"/>
      <c r="Z117" s="1568"/>
      <c r="AA117" s="1568"/>
      <c r="AB117" s="1568"/>
      <c r="AC117" s="1568"/>
      <c r="AD117" s="1568"/>
      <c r="AE117" s="1568"/>
      <c r="AF117" s="1568"/>
      <c r="AG117" s="1568"/>
      <c r="AH117" s="1568"/>
      <c r="AI117" s="1568"/>
      <c r="AJ117" s="1568"/>
      <c r="AK117" s="1568"/>
    </row>
    <row r="118" spans="1:51" ht="13" customHeight="1">
      <c r="X118" s="3"/>
      <c r="Y118" s="3"/>
      <c r="Z118" s="3" t="s">
        <v>638</v>
      </c>
      <c r="AA118" s="3"/>
      <c r="AB118" s="3"/>
      <c r="AC118" s="3"/>
      <c r="AD118" s="3"/>
      <c r="AE118" s="3"/>
      <c r="AF118" s="3"/>
      <c r="AG118" s="3"/>
      <c r="AH118" s="3"/>
      <c r="AI118" s="3"/>
      <c r="AJ118" s="3"/>
      <c r="AK118" s="3"/>
    </row>
    <row r="119" spans="1:51"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91"/>
      <c r="B120" s="3"/>
      <c r="P120" s="3"/>
      <c r="Q120" s="3"/>
      <c r="R120" s="3"/>
      <c r="S120" s="3"/>
      <c r="T120" s="3"/>
      <c r="U120" s="3"/>
      <c r="V120" s="3"/>
      <c r="W120" s="3"/>
      <c r="X120" s="3"/>
      <c r="Y120" s="1568" t="s">
        <v>2641</v>
      </c>
      <c r="Z120" s="1568"/>
      <c r="AA120" s="1568"/>
      <c r="AB120" s="1568"/>
      <c r="AC120" s="1568"/>
      <c r="AD120" s="1568"/>
      <c r="AE120" s="1568"/>
      <c r="AF120" s="1568"/>
      <c r="AG120" s="1568"/>
      <c r="AH120" s="1568"/>
      <c r="AI120" s="1568"/>
      <c r="AJ120" s="1568"/>
      <c r="AK120" s="1568"/>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568" t="s">
        <v>2642</v>
      </c>
      <c r="Z123" s="1568"/>
      <c r="AA123" s="1568"/>
      <c r="AB123" s="1568"/>
      <c r="AC123" s="1568"/>
      <c r="AD123" s="1568"/>
      <c r="AE123" s="1568"/>
      <c r="AF123" s="1568"/>
      <c r="AG123" s="1568"/>
      <c r="AH123" s="1568"/>
      <c r="AI123" s="1568"/>
      <c r="AJ123" s="1568"/>
      <c r="AK123" s="1568"/>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385"/>
      <c r="AL128" s="385"/>
      <c r="AM128" s="385"/>
      <c r="AN128" s="385"/>
      <c r="AO128" s="385"/>
      <c r="AP128" s="385"/>
      <c r="AQ128" s="385"/>
      <c r="AR128" s="385"/>
      <c r="AS128" s="385"/>
      <c r="AT128" s="385"/>
      <c r="AU128" s="385"/>
      <c r="AV128" s="385"/>
      <c r="AW128" s="385"/>
      <c r="AX128" s="385"/>
      <c r="AY128" s="385"/>
    </row>
    <row r="129" spans="1:51" ht="13"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306"/>
      <c r="G150" s="1306"/>
      <c r="H150" s="1306"/>
      <c r="I150" s="1306"/>
      <c r="J150" s="1306"/>
      <c r="K150" s="1306"/>
      <c r="L150" s="1306"/>
      <c r="M150" s="1306"/>
      <c r="N150" s="1306"/>
      <c r="O150" s="1306"/>
      <c r="P150" s="1306"/>
      <c r="Q150" s="1306"/>
      <c r="R150" s="1306"/>
      <c r="S150" s="1306"/>
      <c r="T150" s="130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654</v>
      </c>
      <c r="O153" s="1512" t="s">
        <v>2643</v>
      </c>
      <c r="P153" s="1512"/>
      <c r="Q153" s="1512"/>
      <c r="R153" s="1512"/>
      <c r="S153" s="1512"/>
      <c r="T153" s="1512"/>
      <c r="U153" s="1512"/>
      <c r="V153" s="1512"/>
      <c r="W153" s="1512"/>
      <c r="X153" s="1512"/>
      <c r="Y153" s="1512"/>
      <c r="Z153" s="1512"/>
      <c r="AA153" s="1512"/>
      <c r="AB153" s="1512"/>
      <c r="AC153" s="1512"/>
      <c r="AD153" s="1512"/>
      <c r="AE153" s="1512"/>
      <c r="AF153" s="1512"/>
      <c r="AG153" s="1512"/>
      <c r="AH153" s="1512"/>
    </row>
    <row r="154" spans="1:72" ht="13" customHeight="1">
      <c r="D154" s="325" t="s">
        <v>442</v>
      </c>
      <c r="O154" s="1518" t="s">
        <v>2715</v>
      </c>
      <c r="P154" s="1518"/>
      <c r="Q154" s="1518"/>
      <c r="R154" s="1518"/>
      <c r="S154" s="1518"/>
      <c r="T154" s="1518"/>
      <c r="U154" s="1518"/>
      <c r="V154" s="1518"/>
      <c r="W154" s="1518"/>
      <c r="X154" s="1518"/>
      <c r="Y154" s="1518"/>
      <c r="Z154" s="1518"/>
      <c r="AA154" s="1518"/>
      <c r="AB154" s="1518"/>
      <c r="AC154" s="1518"/>
      <c r="AD154" s="1518"/>
      <c r="AE154" s="1518"/>
      <c r="AF154" s="1518"/>
      <c r="AG154" s="1518"/>
      <c r="AH154" s="1518"/>
    </row>
    <row r="155" spans="1:72" ht="13" customHeight="1">
      <c r="D155" s="8" t="s">
        <v>444</v>
      </c>
      <c r="F155" s="8"/>
      <c r="G155" s="8"/>
      <c r="H155" s="8"/>
      <c r="I155" s="8"/>
      <c r="J155" s="8"/>
      <c r="K155" s="8"/>
      <c r="L155" s="8"/>
      <c r="M155" s="8"/>
      <c r="N155" s="8"/>
      <c r="O155" s="1581" t="s">
        <v>443</v>
      </c>
      <c r="P155" s="1581"/>
      <c r="Q155" s="1581"/>
      <c r="R155" s="1581"/>
      <c r="S155" s="1581"/>
      <c r="T155" s="1581"/>
      <c r="U155" s="1581"/>
      <c r="V155" s="1581"/>
      <c r="W155" s="1581"/>
      <c r="X155" s="1581"/>
      <c r="Y155" s="1581"/>
      <c r="Z155" s="1581"/>
      <c r="AA155" s="1581"/>
      <c r="AB155" s="1581"/>
      <c r="AC155" s="1581"/>
      <c r="AD155" s="1581"/>
      <c r="AE155" s="1581"/>
      <c r="AF155" s="1581"/>
      <c r="AG155" s="1581"/>
      <c r="AH155" s="1581"/>
    </row>
    <row r="156" spans="1:72" ht="13" customHeight="1">
      <c r="D156" t="s">
        <v>314</v>
      </c>
      <c r="O156" s="1385" t="s">
        <v>2716</v>
      </c>
      <c r="P156" s="1385"/>
      <c r="Q156" s="1385"/>
      <c r="R156" s="1385"/>
      <c r="S156" s="1385"/>
      <c r="T156" s="1385"/>
      <c r="U156" s="1385"/>
      <c r="V156" s="1385"/>
      <c r="W156" s="1385"/>
      <c r="X156" s="1385"/>
      <c r="Y156" s="1385"/>
      <c r="Z156" s="1385"/>
      <c r="AA156" s="1385"/>
      <c r="AB156" s="1385"/>
      <c r="AC156" s="1385"/>
      <c r="AD156" s="1385"/>
      <c r="AE156" s="1385"/>
      <c r="AF156" s="1385"/>
      <c r="AG156" s="1385"/>
      <c r="AH156" s="1385"/>
      <c r="BT156" t="s">
        <v>308</v>
      </c>
    </row>
    <row r="157" spans="1:72" ht="13" customHeight="1">
      <c r="D157" t="s">
        <v>315</v>
      </c>
      <c r="O157" s="1512" t="s">
        <v>2640</v>
      </c>
      <c r="P157" s="1512"/>
      <c r="Q157" s="1512"/>
      <c r="R157" s="1512"/>
      <c r="S157" s="1512"/>
      <c r="T157" s="1512"/>
      <c r="U157" s="1512"/>
      <c r="V157" s="1512"/>
      <c r="W157" s="1512"/>
      <c r="X157" s="1512"/>
      <c r="Y157" s="8"/>
      <c r="Z157" s="8"/>
      <c r="AA157" s="8"/>
      <c r="AB157" s="8"/>
      <c r="AC157" s="8"/>
      <c r="AD157" s="8"/>
      <c r="AE157" s="8"/>
      <c r="AF157" s="8"/>
      <c r="BN157" s="23" t="s">
        <v>645</v>
      </c>
      <c r="BT157" t="s">
        <v>485</v>
      </c>
    </row>
    <row r="158" spans="1:72" ht="13" customHeight="1">
      <c r="D158" t="s">
        <v>316</v>
      </c>
      <c r="O158" s="1582">
        <v>94612</v>
      </c>
      <c r="P158" s="1582"/>
      <c r="Q158" s="1582"/>
      <c r="R158" s="1582"/>
      <c r="S158" s="9"/>
      <c r="T158" s="9"/>
      <c r="U158" s="9"/>
      <c r="V158" s="9"/>
      <c r="W158" s="9"/>
      <c r="X158" s="9"/>
      <c r="Y158" s="9"/>
      <c r="Z158" s="9"/>
      <c r="AA158" s="9"/>
      <c r="AB158" s="9"/>
      <c r="AC158" s="9"/>
      <c r="AD158" s="9"/>
      <c r="AE158" s="9"/>
      <c r="AF158" s="9"/>
      <c r="BN158" s="23" t="s">
        <v>646</v>
      </c>
      <c r="BT158" t="s">
        <v>486</v>
      </c>
    </row>
    <row r="159" spans="1:72" ht="13" customHeight="1">
      <c r="D159" t="s">
        <v>317</v>
      </c>
      <c r="O159" s="1863" t="s">
        <v>2717</v>
      </c>
      <c r="P159" s="1863"/>
      <c r="Q159" s="1863"/>
      <c r="R159" s="1863"/>
      <c r="S159" s="1863"/>
      <c r="T159" s="1863"/>
      <c r="V159" s="97" t="s">
        <v>272</v>
      </c>
      <c r="W159" s="1583"/>
      <c r="X159" s="1583"/>
      <c r="Y159" s="10"/>
      <c r="Z159" s="10"/>
      <c r="AA159" s="10"/>
      <c r="AB159" s="10"/>
      <c r="AC159" s="10"/>
      <c r="AD159" s="10"/>
      <c r="AE159" s="10"/>
      <c r="AF159" s="10"/>
      <c r="BN159" s="23" t="s">
        <v>340</v>
      </c>
      <c r="BT159" t="s">
        <v>487</v>
      </c>
    </row>
    <row r="160" spans="1:72" ht="13" customHeight="1">
      <c r="D160" t="s">
        <v>318</v>
      </c>
      <c r="O160" s="1863" t="s">
        <v>2718</v>
      </c>
      <c r="P160" s="1863"/>
      <c r="Q160" s="1863"/>
      <c r="R160" s="1863"/>
      <c r="S160" s="1863"/>
      <c r="T160" s="1863"/>
      <c r="U160" s="10"/>
      <c r="V160" s="10"/>
      <c r="W160" s="10"/>
      <c r="X160" s="10"/>
      <c r="Y160" s="10"/>
      <c r="Z160" s="10"/>
      <c r="AA160" s="10"/>
      <c r="AB160" s="10"/>
      <c r="AC160" s="10"/>
      <c r="AD160" s="10"/>
      <c r="AE160" s="10"/>
      <c r="AF160" s="10"/>
      <c r="BN160" s="23" t="s">
        <v>669</v>
      </c>
      <c r="BT160" t="s">
        <v>488</v>
      </c>
    </row>
    <row r="161" spans="1:72" ht="13" customHeight="1">
      <c r="D161" t="s">
        <v>319</v>
      </c>
      <c r="O161" s="1556" t="s">
        <v>2719</v>
      </c>
      <c r="P161" s="1556"/>
      <c r="Q161" s="1556"/>
      <c r="R161" s="1556"/>
      <c r="S161" s="1556"/>
      <c r="T161" s="1556"/>
      <c r="U161" s="1556"/>
      <c r="V161" s="1556"/>
      <c r="W161" s="1556"/>
      <c r="X161" s="1556"/>
      <c r="Y161" s="1556"/>
      <c r="Z161" s="1556"/>
      <c r="AA161" s="1556"/>
      <c r="AB161" s="1556"/>
      <c r="AC161" s="1556"/>
      <c r="AD161" s="1556"/>
      <c r="AE161" s="1556"/>
      <c r="AF161" s="1556"/>
      <c r="AG161" s="1556"/>
      <c r="AH161" s="1556"/>
      <c r="BJ161" t="s">
        <v>678</v>
      </c>
      <c r="BN161" s="23" t="s">
        <v>670</v>
      </c>
      <c r="BT161" t="s">
        <v>489</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3" customHeight="1">
      <c r="C163" s="27" t="s">
        <v>82</v>
      </c>
      <c r="D163" s="3" t="s">
        <v>2416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3" customHeight="1">
      <c r="C164" s="27"/>
      <c r="D164" s="1572" t="s">
        <v>2627</v>
      </c>
      <c r="E164" s="1572"/>
      <c r="F164" s="1572"/>
      <c r="G164" s="1572"/>
      <c r="H164" s="1572"/>
      <c r="I164" s="1572"/>
      <c r="J164" s="1572"/>
      <c r="K164" s="1572"/>
      <c r="L164" s="1572"/>
      <c r="M164" s="1572"/>
      <c r="N164" s="1572"/>
      <c r="O164" s="1572"/>
      <c r="P164" s="1572"/>
      <c r="Q164" s="1572"/>
      <c r="R164" s="1572"/>
      <c r="S164" s="1572"/>
      <c r="T164" s="1572"/>
      <c r="U164" s="1572"/>
      <c r="V164" s="1572"/>
      <c r="W164" s="1572"/>
      <c r="X164" s="1572"/>
      <c r="Y164" s="1572"/>
      <c r="Z164" s="1572"/>
      <c r="AA164" s="1572"/>
      <c r="AB164" s="1572"/>
      <c r="AC164" s="1572"/>
      <c r="AD164" s="1572"/>
      <c r="AE164" s="1572"/>
      <c r="AF164" s="1572"/>
      <c r="AG164" s="1572"/>
      <c r="AH164" s="1572"/>
      <c r="BN164" s="23" t="s">
        <v>673</v>
      </c>
      <c r="BT164" t="s">
        <v>492</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3" customHeight="1">
      <c r="A169" s="1668" t="s">
        <v>548</v>
      </c>
      <c r="B169" s="1668"/>
      <c r="C169" s="1668"/>
      <c r="D169" s="1668"/>
      <c r="E169" s="1668"/>
      <c r="F169" s="1668"/>
      <c r="G169" s="1668"/>
      <c r="H169" s="1668"/>
      <c r="I169" s="1668"/>
      <c r="J169" s="1668"/>
      <c r="K169" s="1668"/>
      <c r="L169" s="1668"/>
      <c r="M169" s="1668"/>
      <c r="N169" s="1668"/>
      <c r="O169" s="1668"/>
      <c r="P169" s="1668"/>
      <c r="Q169" s="1668"/>
      <c r="R169" s="1668"/>
      <c r="S169" s="1668"/>
      <c r="T169" s="1668"/>
      <c r="U169" s="1668"/>
      <c r="V169" s="1668"/>
      <c r="W169" s="1668"/>
      <c r="X169" s="1668"/>
      <c r="Y169" s="1668"/>
      <c r="Z169" s="1668"/>
      <c r="AA169" s="1668"/>
      <c r="AB169" s="1668"/>
      <c r="AC169" s="1668"/>
      <c r="AD169" s="1668"/>
      <c r="AE169" s="1668"/>
      <c r="AF169" s="1668"/>
      <c r="AG169" s="1668"/>
      <c r="AH169" s="1668"/>
      <c r="AI169" s="1668"/>
      <c r="AJ169" s="1668"/>
      <c r="AK169" s="1668"/>
      <c r="AL169" s="1668"/>
      <c r="AM169" s="1668"/>
      <c r="AN169" s="1668"/>
      <c r="AO169" s="1668"/>
      <c r="AP169" s="1668"/>
      <c r="AQ169" s="1668"/>
      <c r="AR169" s="1668"/>
      <c r="AS169" s="1668"/>
      <c r="AT169" s="1668"/>
      <c r="AU169" s="95"/>
      <c r="AV169" s="95"/>
      <c r="AW169" s="95"/>
      <c r="AX169" s="95"/>
      <c r="AY169" s="95"/>
      <c r="BN169" s="23" t="s">
        <v>682</v>
      </c>
      <c r="BT169" t="s">
        <v>497</v>
      </c>
    </row>
    <row r="170" spans="1:72" ht="13" customHeight="1">
      <c r="A170" s="1668"/>
      <c r="B170" s="1668"/>
      <c r="C170" s="1668"/>
      <c r="D170" s="1668"/>
      <c r="E170" s="1668"/>
      <c r="F170" s="1668"/>
      <c r="G170" s="1668"/>
      <c r="H170" s="1668"/>
      <c r="I170" s="1668"/>
      <c r="J170" s="1668"/>
      <c r="K170" s="1668"/>
      <c r="L170" s="1668"/>
      <c r="M170" s="1668"/>
      <c r="N170" s="1668"/>
      <c r="O170" s="1668"/>
      <c r="P170" s="1668"/>
      <c r="Q170" s="1668"/>
      <c r="R170" s="1668"/>
      <c r="S170" s="1668"/>
      <c r="T170" s="1668"/>
      <c r="U170" s="1668"/>
      <c r="V170" s="1668"/>
      <c r="W170" s="1668"/>
      <c r="X170" s="1668"/>
      <c r="Y170" s="1668"/>
      <c r="Z170" s="1668"/>
      <c r="AA170" s="1668"/>
      <c r="AB170" s="1668"/>
      <c r="AC170" s="1668"/>
      <c r="AD170" s="1668"/>
      <c r="AE170" s="1668"/>
      <c r="AF170" s="1668"/>
      <c r="AG170" s="1668"/>
      <c r="AH170" s="1668"/>
      <c r="AI170" s="1668"/>
      <c r="AJ170" s="1668"/>
      <c r="AK170" s="1668"/>
      <c r="AL170" s="1668"/>
      <c r="AM170" s="1668"/>
      <c r="AN170" s="1668"/>
      <c r="AO170" s="1668"/>
      <c r="AP170" s="1668"/>
      <c r="AQ170" s="1668"/>
      <c r="AR170" s="1668"/>
      <c r="AS170" s="1668"/>
      <c r="AT170" s="1668"/>
      <c r="AU170" s="95"/>
      <c r="AV170" s="95"/>
      <c r="AW170" s="95"/>
      <c r="AX170" s="95"/>
      <c r="AY170" s="95"/>
      <c r="BN170" s="23" t="s">
        <v>683</v>
      </c>
      <c r="BT170" t="s">
        <v>498</v>
      </c>
    </row>
    <row r="171" spans="1:72" ht="13" customHeight="1">
      <c r="BN171" s="23" t="s">
        <v>212</v>
      </c>
      <c r="BT171" t="s">
        <v>499</v>
      </c>
    </row>
    <row r="172" spans="1:72" ht="13" customHeight="1">
      <c r="A172" s="2" t="s">
        <v>320</v>
      </c>
      <c r="C172" s="2" t="s">
        <v>321</v>
      </c>
      <c r="BN172" s="23" t="s">
        <v>214</v>
      </c>
      <c r="BT172" t="s">
        <v>500</v>
      </c>
    </row>
    <row r="173" spans="1:72" ht="13" customHeight="1">
      <c r="C173" s="24"/>
      <c r="D173" t="s">
        <v>322</v>
      </c>
      <c r="J173" s="1563" t="s">
        <v>372</v>
      </c>
      <c r="K173" s="1563"/>
      <c r="L173" s="1563"/>
      <c r="M173" s="1563"/>
      <c r="N173" s="1563"/>
      <c r="O173" s="1563"/>
      <c r="P173" s="1563"/>
      <c r="Q173" s="1563"/>
      <c r="R173" s="1563"/>
      <c r="S173" s="1563"/>
      <c r="U173" s="25"/>
      <c r="X173" s="25"/>
      <c r="BB173" s="3" t="s">
        <v>308</v>
      </c>
      <c r="BN173" s="23" t="s">
        <v>215</v>
      </c>
      <c r="BT173" t="s">
        <v>501</v>
      </c>
    </row>
    <row r="174" spans="1:72" ht="13" customHeight="1">
      <c r="C174" s="24"/>
      <c r="D174" s="3" t="s">
        <v>1309</v>
      </c>
      <c r="J174" s="1385" t="s">
        <v>2422</v>
      </c>
      <c r="K174" s="1385"/>
      <c r="L174" s="1385"/>
      <c r="M174" s="1385"/>
      <c r="N174" s="1385"/>
      <c r="O174" s="1385"/>
      <c r="P174" s="1385"/>
      <c r="Q174" s="1385"/>
      <c r="R174" s="1385"/>
      <c r="S174" s="1385"/>
      <c r="T174" s="1385"/>
      <c r="U174" s="1385"/>
      <c r="V174" s="1385"/>
      <c r="W174" s="1385"/>
      <c r="X174" s="1385"/>
      <c r="Y174" s="1385"/>
      <c r="Z174" s="1385"/>
      <c r="AA174" s="1385"/>
      <c r="AB174" s="1385"/>
      <c r="BB174" t="s">
        <v>2275</v>
      </c>
      <c r="BN174" s="23" t="s">
        <v>217</v>
      </c>
      <c r="BT174" t="s">
        <v>502</v>
      </c>
    </row>
    <row r="175" spans="1:72" ht="13" customHeight="1">
      <c r="C175" s="8"/>
      <c r="D175" s="3" t="s">
        <v>323</v>
      </c>
      <c r="O175" s="27"/>
      <c r="U175" s="1381" t="s">
        <v>678</v>
      </c>
      <c r="V175" s="1381"/>
      <c r="BB175" t="s">
        <v>2239</v>
      </c>
      <c r="BN175" s="23" t="s">
        <v>218</v>
      </c>
      <c r="BT175" t="s">
        <v>503</v>
      </c>
    </row>
    <row r="176" spans="1:72" ht="13" customHeight="1">
      <c r="C176" s="8"/>
      <c r="D176" s="26"/>
      <c r="E176" t="s">
        <v>305</v>
      </c>
      <c r="O176" s="27"/>
      <c r="P176" t="s">
        <v>2397</v>
      </c>
      <c r="T176" s="27" t="s">
        <v>306</v>
      </c>
      <c r="U176" s="1575"/>
      <c r="V176" s="1575"/>
      <c r="W176" s="1" t="s">
        <v>307</v>
      </c>
      <c r="X176" s="1566"/>
      <c r="Y176" s="1566"/>
      <c r="BB176" t="s">
        <v>2276</v>
      </c>
      <c r="BN176" s="23" t="s">
        <v>220</v>
      </c>
      <c r="BT176" t="s">
        <v>504</v>
      </c>
    </row>
    <row r="177" spans="1:72" ht="13" customHeight="1">
      <c r="C177" s="24"/>
      <c r="D177" t="s">
        <v>250</v>
      </c>
      <c r="R177" s="1381" t="s">
        <v>678</v>
      </c>
      <c r="S177" s="1381"/>
      <c r="BB177" t="s">
        <v>2581</v>
      </c>
      <c r="BN177" s="23" t="s">
        <v>221</v>
      </c>
      <c r="BT177" t="s">
        <v>505</v>
      </c>
    </row>
    <row r="178" spans="1:72" ht="13" customHeight="1">
      <c r="C178" s="24"/>
      <c r="D178" s="3" t="s">
        <v>1310</v>
      </c>
      <c r="AA178" t="s">
        <v>2397</v>
      </c>
      <c r="AE178" s="27" t="s">
        <v>306</v>
      </c>
      <c r="AF178" s="1570"/>
      <c r="AG178" s="1570"/>
      <c r="AH178" s="1" t="s">
        <v>307</v>
      </c>
      <c r="AI178" s="1505"/>
      <c r="AJ178" s="1505"/>
      <c r="AK178" s="1505"/>
      <c r="BB178" t="s">
        <v>2582</v>
      </c>
      <c r="BN178" s="23" t="s">
        <v>222</v>
      </c>
      <c r="BT178" t="s">
        <v>53</v>
      </c>
    </row>
    <row r="179" spans="1:72" ht="13" customHeight="1">
      <c r="C179" s="24"/>
      <c r="BN179" s="23" t="s">
        <v>223</v>
      </c>
      <c r="BT179" t="s">
        <v>54</v>
      </c>
    </row>
    <row r="180" spans="1:72" ht="13" customHeight="1">
      <c r="C180" s="24"/>
      <c r="D180" t="s">
        <v>2398</v>
      </c>
      <c r="X180" s="1381" t="s">
        <v>678</v>
      </c>
      <c r="Y180" s="1381"/>
      <c r="BN180" s="23" t="s">
        <v>225</v>
      </c>
      <c r="BT180" t="s">
        <v>55</v>
      </c>
    </row>
    <row r="181" spans="1:72" ht="13" customHeight="1">
      <c r="C181" s="8"/>
      <c r="E181" s="4" t="s">
        <v>996</v>
      </c>
      <c r="BN181" s="23" t="s">
        <v>226</v>
      </c>
      <c r="BT181" t="s">
        <v>56</v>
      </c>
    </row>
    <row r="182" spans="1:72" ht="13" customHeight="1">
      <c r="C182" s="564"/>
      <c r="BN182" s="23" t="s">
        <v>227</v>
      </c>
      <c r="BT182" t="s">
        <v>60</v>
      </c>
    </row>
    <row r="183" spans="1:72" ht="13" customHeight="1">
      <c r="A183" s="2" t="s">
        <v>585</v>
      </c>
      <c r="C183" s="2" t="s">
        <v>586</v>
      </c>
      <c r="BN183" s="23" t="s">
        <v>229</v>
      </c>
      <c r="BT183" t="s">
        <v>61</v>
      </c>
    </row>
    <row r="184" spans="1:72" ht="13" customHeight="1">
      <c r="C184" s="21"/>
      <c r="D184" t="s">
        <v>587</v>
      </c>
      <c r="I184" s="1393" t="str">
        <f>H18</f>
        <v>CSH Edes Housing</v>
      </c>
      <c r="J184" s="1393"/>
      <c r="K184" s="1393"/>
      <c r="L184" s="1393"/>
      <c r="M184" s="1393"/>
      <c r="N184" s="1393"/>
      <c r="O184" s="1393"/>
      <c r="P184" s="1393"/>
      <c r="Q184" s="1393"/>
      <c r="R184" s="1393"/>
      <c r="S184" s="1393"/>
      <c r="T184" s="1393"/>
      <c r="U184" s="1393"/>
      <c r="V184" s="1393"/>
      <c r="W184" s="1393"/>
      <c r="X184" s="1393"/>
      <c r="Y184" s="1393"/>
      <c r="Z184" s="1393"/>
      <c r="AA184" s="1393"/>
      <c r="AB184" s="1393"/>
      <c r="AC184" s="1393"/>
      <c r="AD184" s="1393"/>
      <c r="AE184" s="1393"/>
      <c r="BC184" t="s">
        <v>596</v>
      </c>
      <c r="BN184" s="23" t="s">
        <v>231</v>
      </c>
      <c r="BT184" t="s">
        <v>62</v>
      </c>
    </row>
    <row r="185" spans="1:72" ht="13" customHeight="1">
      <c r="C185" s="21"/>
      <c r="D185" t="s">
        <v>588</v>
      </c>
      <c r="I185" s="1395" t="s">
        <v>2755</v>
      </c>
      <c r="J185" s="1395"/>
      <c r="K185" s="1395"/>
      <c r="L185" s="1395"/>
      <c r="M185" s="1395"/>
      <c r="N185" s="1395"/>
      <c r="O185" s="1395"/>
      <c r="P185" s="1395"/>
      <c r="Q185" s="1395"/>
      <c r="R185" s="1395"/>
      <c r="S185" s="1395"/>
      <c r="T185" s="1395"/>
      <c r="U185" s="1395"/>
      <c r="V185" s="1395"/>
      <c r="W185" s="1395"/>
      <c r="X185" s="1395"/>
      <c r="Y185" s="1395"/>
      <c r="Z185" s="1395"/>
      <c r="AA185" s="1395"/>
      <c r="AB185" s="1395"/>
      <c r="AC185" s="1395"/>
      <c r="AD185" s="1395"/>
      <c r="AE185" s="1395"/>
      <c r="BC185" t="s">
        <v>597</v>
      </c>
      <c r="BN185" s="23" t="s">
        <v>232</v>
      </c>
      <c r="BT185" t="s">
        <v>63</v>
      </c>
    </row>
    <row r="186" spans="1:72" ht="13" customHeight="1">
      <c r="C186" s="21"/>
      <c r="E186" t="s">
        <v>168</v>
      </c>
      <c r="BN186" s="23" t="s">
        <v>233</v>
      </c>
      <c r="BT186" t="s">
        <v>64</v>
      </c>
    </row>
    <row r="187" spans="1:72" ht="13" customHeight="1">
      <c r="C187" s="21"/>
      <c r="E187" s="1499"/>
      <c r="F187" s="1499"/>
      <c r="G187" s="1499"/>
      <c r="H187" s="1499"/>
      <c r="I187" s="1499"/>
      <c r="J187" s="1499"/>
      <c r="K187" s="1499"/>
      <c r="L187" s="1499"/>
      <c r="M187" s="1499"/>
      <c r="N187" s="1499"/>
      <c r="O187" s="1499"/>
      <c r="P187" s="1499"/>
      <c r="Q187" s="1499"/>
      <c r="R187" s="1499"/>
      <c r="S187" s="1499"/>
      <c r="T187" s="1499"/>
      <c r="U187" s="1499"/>
      <c r="V187" s="1499"/>
      <c r="W187" s="1499"/>
      <c r="X187" s="1499"/>
      <c r="Y187" s="1499"/>
      <c r="Z187" s="1499"/>
      <c r="AA187" s="1499"/>
      <c r="AB187" s="1499"/>
      <c r="AC187" s="1499"/>
      <c r="AD187" s="1499"/>
      <c r="AE187" s="1499"/>
      <c r="BN187" s="23" t="s">
        <v>234</v>
      </c>
      <c r="BT187" t="s">
        <v>65</v>
      </c>
    </row>
    <row r="188" spans="1:72" ht="13" customHeight="1">
      <c r="C188" s="21"/>
      <c r="E188" s="1500"/>
      <c r="F188" s="1500"/>
      <c r="G188" s="1500"/>
      <c r="H188" s="1500"/>
      <c r="I188" s="1500"/>
      <c r="J188" s="1500"/>
      <c r="K188" s="1500"/>
      <c r="L188" s="1500"/>
      <c r="M188" s="1500"/>
      <c r="N188" s="1500"/>
      <c r="O188" s="1500"/>
      <c r="P188" s="1500"/>
      <c r="Q188" s="1500"/>
      <c r="R188" s="1500"/>
      <c r="S188" s="1500"/>
      <c r="T188" s="1500"/>
      <c r="U188" s="1500"/>
      <c r="V188" s="1500"/>
      <c r="W188" s="1500"/>
      <c r="X188" s="1500"/>
      <c r="Y188" s="1500"/>
      <c r="Z188" s="1500"/>
      <c r="AA188" s="1500"/>
      <c r="AB188" s="1500"/>
      <c r="AC188" s="1500"/>
      <c r="AD188" s="1500"/>
      <c r="AE188" s="1500"/>
      <c r="BN188" s="23" t="s">
        <v>236</v>
      </c>
      <c r="BT188" t="s">
        <v>66</v>
      </c>
    </row>
    <row r="189" spans="1:72" ht="13" customHeight="1">
      <c r="C189" s="21"/>
      <c r="D189" t="s">
        <v>589</v>
      </c>
      <c r="I189" s="1385" t="s">
        <v>2640</v>
      </c>
      <c r="J189" s="1385"/>
      <c r="K189" s="1385"/>
      <c r="L189" s="1385"/>
      <c r="M189" s="1385"/>
      <c r="N189" s="1385"/>
      <c r="O189" s="1385"/>
      <c r="P189" s="1385"/>
      <c r="Q189" t="s">
        <v>591</v>
      </c>
      <c r="T189" s="1385" t="s">
        <v>485</v>
      </c>
      <c r="U189" s="1385"/>
      <c r="V189" s="1385"/>
      <c r="W189" s="1385"/>
      <c r="X189" s="1385"/>
      <c r="Y189" s="1385"/>
      <c r="Z189" s="1385"/>
      <c r="AA189" s="1385"/>
      <c r="AB189" s="1385"/>
      <c r="AC189" s="1385"/>
      <c r="AD189" s="1385"/>
      <c r="AE189" s="1385"/>
      <c r="BC189" t="s">
        <v>308</v>
      </c>
      <c r="BH189" s="3" t="s">
        <v>600</v>
      </c>
      <c r="BN189" s="23" t="s">
        <v>237</v>
      </c>
      <c r="BT189" t="s">
        <v>67</v>
      </c>
    </row>
    <row r="190" spans="1:72" ht="13" customHeight="1">
      <c r="C190" s="21"/>
      <c r="D190" t="s">
        <v>592</v>
      </c>
      <c r="I190" s="1395">
        <v>94621</v>
      </c>
      <c r="J190" s="1395"/>
      <c r="K190" s="1395"/>
      <c r="L190" s="1395"/>
      <c r="M190" s="1395"/>
      <c r="N190" s="1395"/>
      <c r="O190" t="s">
        <v>594</v>
      </c>
      <c r="T190" s="1569">
        <v>6001409000</v>
      </c>
      <c r="U190" s="1569"/>
      <c r="V190" s="1569"/>
      <c r="W190" s="1569"/>
      <c r="X190" s="1569"/>
      <c r="Y190" s="1569"/>
      <c r="Z190" s="1569"/>
      <c r="AA190" s="1569"/>
      <c r="AB190" s="1569"/>
      <c r="AC190" s="1569"/>
      <c r="AD190" s="1569"/>
      <c r="AE190" s="1569"/>
      <c r="BC190" t="s">
        <v>1066</v>
      </c>
      <c r="BH190" t="s">
        <v>1066</v>
      </c>
      <c r="BN190" s="23" t="s">
        <v>644</v>
      </c>
      <c r="BT190" t="s">
        <v>68</v>
      </c>
    </row>
    <row r="191" spans="1:72" ht="13" customHeight="1">
      <c r="C191" s="21"/>
      <c r="D191" t="s">
        <v>471</v>
      </c>
      <c r="N191" s="1499" t="s">
        <v>2644</v>
      </c>
      <c r="O191" s="1499"/>
      <c r="P191" s="1499"/>
      <c r="Q191" s="1499"/>
      <c r="R191" s="1499"/>
      <c r="S191" s="1499"/>
      <c r="T191" s="1499"/>
      <c r="U191" s="1499"/>
      <c r="V191" s="1499"/>
      <c r="W191" s="1499"/>
      <c r="X191" s="1499"/>
      <c r="Y191" s="1499"/>
      <c r="Z191" s="1499"/>
      <c r="AA191" s="1499"/>
      <c r="AB191" s="1499"/>
      <c r="AC191" s="1499"/>
      <c r="AD191" s="1499"/>
      <c r="AE191" s="1499"/>
      <c r="BC191" t="s">
        <v>1065</v>
      </c>
      <c r="BH191" t="s">
        <v>1065</v>
      </c>
      <c r="BN191" s="23" t="s">
        <v>698</v>
      </c>
      <c r="BT191" t="s">
        <v>737</v>
      </c>
    </row>
    <row r="192" spans="1:72" ht="13" customHeight="1">
      <c r="C192" s="21"/>
      <c r="M192" s="40"/>
      <c r="N192" s="1500"/>
      <c r="O192" s="1500"/>
      <c r="P192" s="1500"/>
      <c r="Q192" s="1500"/>
      <c r="R192" s="1500"/>
      <c r="S192" s="1500"/>
      <c r="T192" s="1500"/>
      <c r="U192" s="1500"/>
      <c r="V192" s="1500"/>
      <c r="W192" s="1500"/>
      <c r="X192" s="1500"/>
      <c r="Y192" s="1500"/>
      <c r="Z192" s="1500"/>
      <c r="AA192" s="1500"/>
      <c r="AB192" s="1500"/>
      <c r="AC192" s="1500"/>
      <c r="AD192" s="1500"/>
      <c r="AE192" s="1500"/>
      <c r="BC192" t="s">
        <v>1068</v>
      </c>
      <c r="BH192" s="3" t="s">
        <v>1476</v>
      </c>
      <c r="BN192" s="23" t="s">
        <v>699</v>
      </c>
      <c r="BT192" t="s">
        <v>738</v>
      </c>
    </row>
    <row r="193" spans="1:74" ht="13" customHeight="1">
      <c r="C193" s="21"/>
      <c r="D193" t="s">
        <v>2399</v>
      </c>
      <c r="M193" s="40"/>
      <c r="N193" s="928"/>
      <c r="O193" s="928"/>
      <c r="P193" s="928"/>
      <c r="Q193" s="928"/>
      <c r="R193" s="928"/>
      <c r="S193" s="928"/>
      <c r="T193" s="1579" t="s">
        <v>2581</v>
      </c>
      <c r="U193" s="1579"/>
      <c r="V193" s="1579"/>
      <c r="W193" s="1579"/>
      <c r="X193" s="1579"/>
      <c r="Y193" s="1579"/>
      <c r="Z193" s="1579"/>
      <c r="AA193" s="1579"/>
      <c r="AB193" s="1579"/>
      <c r="AC193" s="1579"/>
      <c r="AD193" s="1579"/>
      <c r="AE193" s="1579"/>
      <c r="AF193" s="1579"/>
      <c r="AG193" s="1579"/>
      <c r="AH193" s="1579"/>
      <c r="AI193" s="1579"/>
      <c r="BC193" t="s">
        <v>1067</v>
      </c>
      <c r="BH193" s="3" t="s">
        <v>1743</v>
      </c>
      <c r="BN193" s="23" t="s">
        <v>700</v>
      </c>
      <c r="BT193" t="s">
        <v>739</v>
      </c>
    </row>
    <row r="194" spans="1:74" ht="13" customHeight="1">
      <c r="C194" s="21"/>
      <c r="D194" s="3" t="s">
        <v>2583</v>
      </c>
      <c r="M194" s="40"/>
      <c r="N194" s="928"/>
      <c r="O194" s="928"/>
      <c r="P194" s="928"/>
      <c r="Q194" s="928"/>
      <c r="R194" s="928"/>
      <c r="S194" s="928"/>
      <c r="AH194" s="1381" t="s">
        <v>678</v>
      </c>
      <c r="AI194" s="1381"/>
      <c r="BC194" t="s">
        <v>1476</v>
      </c>
      <c r="BN194" s="23" t="s">
        <v>701</v>
      </c>
      <c r="BT194" t="s">
        <v>740</v>
      </c>
    </row>
    <row r="195" spans="1:74" ht="13" customHeight="1">
      <c r="C195" s="21"/>
      <c r="D195" t="s">
        <v>332</v>
      </c>
      <c r="T195" s="1381" t="s">
        <v>678</v>
      </c>
      <c r="U195" s="1381"/>
      <c r="W195" t="s">
        <v>694</v>
      </c>
      <c r="AH195" s="1381">
        <v>13</v>
      </c>
      <c r="AI195" s="1381"/>
      <c r="BC195" t="s">
        <v>2049</v>
      </c>
      <c r="BN195" s="23" t="s">
        <v>243</v>
      </c>
      <c r="BT195" t="s">
        <v>741</v>
      </c>
    </row>
    <row r="196" spans="1:74" ht="13" customHeight="1">
      <c r="C196" s="21"/>
      <c r="D196" t="s">
        <v>387</v>
      </c>
      <c r="T196" s="1425" t="s">
        <v>554</v>
      </c>
      <c r="U196" s="1425"/>
      <c r="W196" t="s">
        <v>695</v>
      </c>
      <c r="AH196" s="1381">
        <v>18</v>
      </c>
      <c r="AI196" s="1381"/>
      <c r="BN196" s="23" t="s">
        <v>244</v>
      </c>
      <c r="BT196" t="s">
        <v>69</v>
      </c>
    </row>
    <row r="197" spans="1:74" ht="13" customHeight="1">
      <c r="C197" s="21"/>
      <c r="D197" s="3" t="s">
        <v>169</v>
      </c>
      <c r="T197" s="1425" t="s">
        <v>678</v>
      </c>
      <c r="U197" s="1425"/>
      <c r="W197" t="s">
        <v>696</v>
      </c>
      <c r="AH197" s="1381">
        <v>9</v>
      </c>
      <c r="AI197" s="1381"/>
      <c r="BC197" t="s">
        <v>308</v>
      </c>
      <c r="BN197" s="23" t="s">
        <v>245</v>
      </c>
      <c r="BT197" t="s">
        <v>70</v>
      </c>
    </row>
    <row r="198" spans="1:74" s="14" customFormat="1" ht="13" customHeight="1">
      <c r="A198"/>
      <c r="B198"/>
      <c r="C198" s="21"/>
      <c r="D198" s="3" t="s">
        <v>1766</v>
      </c>
      <c r="E198"/>
      <c r="F198"/>
      <c r="G198"/>
      <c r="H198"/>
      <c r="I198"/>
      <c r="J198"/>
      <c r="K198"/>
      <c r="L198"/>
      <c r="M198"/>
      <c r="N198"/>
      <c r="O198"/>
      <c r="P198"/>
      <c r="Q198"/>
      <c r="R198"/>
      <c r="S198"/>
      <c r="T198" s="1425">
        <v>0</v>
      </c>
      <c r="U198" s="1425"/>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3" customHeight="1">
      <c r="A199"/>
      <c r="B199"/>
      <c r="C199" s="21"/>
      <c r="D199" s="118" t="s">
        <v>2533</v>
      </c>
      <c r="E199"/>
      <c r="F199"/>
      <c r="G199"/>
      <c r="H199"/>
      <c r="I199"/>
      <c r="J199"/>
      <c r="K199"/>
      <c r="L199"/>
      <c r="M199"/>
      <c r="N199"/>
      <c r="O199"/>
      <c r="P199"/>
      <c r="Q199"/>
      <c r="R199"/>
      <c r="S199"/>
      <c r="T199"/>
      <c r="U199"/>
      <c r="V199"/>
      <c r="W199"/>
      <c r="Z199" s="1381" t="s">
        <v>678</v>
      </c>
      <c r="AA199" s="1381"/>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3"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3"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3" customHeight="1">
      <c r="C202" s="21"/>
      <c r="D202" s="546"/>
      <c r="BC202" t="s">
        <v>1092</v>
      </c>
      <c r="BD202" s="469"/>
      <c r="BN202" s="23" t="s">
        <v>711</v>
      </c>
      <c r="BO202" s="14"/>
      <c r="BP202" s="32"/>
      <c r="BQ202" s="32"/>
      <c r="BR202" s="32"/>
      <c r="BS202" s="32"/>
      <c r="BT202" s="32" t="s">
        <v>196</v>
      </c>
    </row>
    <row r="203" spans="1:74" ht="13" customHeight="1">
      <c r="A203" s="2" t="s">
        <v>595</v>
      </c>
      <c r="C203" s="2" t="s">
        <v>136</v>
      </c>
      <c r="BC203" t="s">
        <v>1093</v>
      </c>
      <c r="BN203" s="23" t="s">
        <v>712</v>
      </c>
      <c r="BO203" s="14"/>
      <c r="BP203" s="32"/>
      <c r="BQ203" s="32"/>
      <c r="BR203" s="32"/>
      <c r="BS203" s="32"/>
      <c r="BT203" s="32" t="s">
        <v>197</v>
      </c>
    </row>
    <row r="204" spans="1:74" ht="13" customHeight="1">
      <c r="D204" s="1393" t="s">
        <v>386</v>
      </c>
      <c r="E204" s="1393"/>
      <c r="F204" s="1393"/>
      <c r="G204" s="1393"/>
      <c r="H204" s="1393"/>
      <c r="I204" s="1393"/>
      <c r="J204" s="1393"/>
      <c r="K204" s="1393"/>
      <c r="L204" s="1393"/>
      <c r="M204" s="1393"/>
      <c r="P204" s="1573">
        <f>M26</f>
        <v>2625338</v>
      </c>
      <c r="Q204" s="1574"/>
      <c r="R204" s="1574"/>
      <c r="S204" s="1574"/>
      <c r="T204" s="1574"/>
      <c r="U204" s="1574"/>
      <c r="Z204" s="1586" t="s">
        <v>2631</v>
      </c>
      <c r="AA204" s="1586"/>
      <c r="AB204" s="1586"/>
      <c r="AC204" s="1586"/>
      <c r="AD204" s="1586"/>
      <c r="AE204" s="1586"/>
      <c r="AF204" s="1586"/>
      <c r="BC204" t="s">
        <v>619</v>
      </c>
      <c r="BN204" s="23" t="s">
        <v>713</v>
      </c>
      <c r="BT204" s="32" t="s">
        <v>198</v>
      </c>
      <c r="BU204" s="14"/>
    </row>
    <row r="205" spans="1:74" ht="13" customHeight="1">
      <c r="C205" s="21"/>
      <c r="D205" s="1585" t="s">
        <v>1356</v>
      </c>
      <c r="E205" s="1393"/>
      <c r="F205" s="1393"/>
      <c r="G205" s="1393"/>
      <c r="H205" s="1393"/>
      <c r="I205" s="1393"/>
      <c r="J205" s="1393"/>
      <c r="K205" s="1393"/>
      <c r="L205" s="1393"/>
      <c r="M205" s="1393"/>
      <c r="P205" s="1574">
        <f>M27</f>
        <v>9528968</v>
      </c>
      <c r="Q205" s="1574"/>
      <c r="R205" s="1574"/>
      <c r="S205" s="1574"/>
      <c r="T205" s="1574"/>
      <c r="U205" s="1574"/>
      <c r="V205" s="28"/>
      <c r="W205" s="3" t="s">
        <v>1911</v>
      </c>
      <c r="Z205" s="1586"/>
      <c r="AA205" s="1586"/>
      <c r="AB205" s="1586"/>
      <c r="AC205" s="1586"/>
      <c r="AD205" s="1586"/>
      <c r="AE205" s="1586"/>
      <c r="AF205" s="1586"/>
      <c r="AG205" t="s">
        <v>1357</v>
      </c>
      <c r="AP205" s="1381" t="s">
        <v>678</v>
      </c>
      <c r="AQ205" s="1381"/>
      <c r="BC205" t="s">
        <v>1051</v>
      </c>
      <c r="BN205" s="23" t="s">
        <v>109</v>
      </c>
      <c r="BT205" s="32" t="s">
        <v>174</v>
      </c>
      <c r="BU205" s="14"/>
    </row>
    <row r="206" spans="1:74" ht="13" customHeight="1">
      <c r="D206" s="29"/>
      <c r="E206" s="29"/>
      <c r="F206" s="29"/>
      <c r="G206" s="29"/>
      <c r="H206" s="29"/>
      <c r="I206" s="29"/>
      <c r="J206" s="29"/>
      <c r="K206" s="29"/>
      <c r="L206" s="29"/>
      <c r="M206" s="29"/>
      <c r="N206" s="29"/>
      <c r="O206" s="29"/>
      <c r="P206" s="29"/>
      <c r="Z206" s="1587"/>
      <c r="AA206" s="1587"/>
      <c r="AB206" s="1587"/>
      <c r="AC206" s="1587"/>
      <c r="AD206" s="1587"/>
      <c r="AE206" s="1587"/>
      <c r="AF206" s="1587"/>
      <c r="BC206" s="470" t="s">
        <v>1094</v>
      </c>
      <c r="BN206" s="23" t="s">
        <v>110</v>
      </c>
      <c r="BT206" s="32" t="s">
        <v>199</v>
      </c>
      <c r="BU206" s="14"/>
    </row>
    <row r="207" spans="1:74" ht="13" customHeight="1">
      <c r="A207" s="2" t="s">
        <v>598</v>
      </c>
      <c r="C207" s="2" t="s">
        <v>560</v>
      </c>
      <c r="BC207" s="3" t="s">
        <v>2573</v>
      </c>
      <c r="BN207" s="23" t="s">
        <v>45</v>
      </c>
      <c r="BT207" s="32" t="s">
        <v>200</v>
      </c>
    </row>
    <row r="208" spans="1:74" ht="13" customHeight="1">
      <c r="C208" s="21"/>
      <c r="D208" s="1512" t="s">
        <v>2645</v>
      </c>
      <c r="E208" s="1512"/>
      <c r="F208" s="1512"/>
      <c r="G208" s="1512"/>
      <c r="H208" s="1512"/>
      <c r="I208" s="1512"/>
      <c r="J208" s="1512"/>
      <c r="K208" s="1512"/>
      <c r="L208" s="1512"/>
      <c r="M208" s="1512"/>
      <c r="BC208" t="s">
        <v>1095</v>
      </c>
      <c r="BN208" s="23" t="s">
        <v>46</v>
      </c>
      <c r="BT208" s="32" t="s">
        <v>201</v>
      </c>
    </row>
    <row r="209" spans="1:72" ht="13" customHeight="1">
      <c r="BC209" t="s">
        <v>668</v>
      </c>
      <c r="BN209" s="23" t="s">
        <v>47</v>
      </c>
      <c r="BT209" s="32" t="s">
        <v>202</v>
      </c>
    </row>
    <row r="210" spans="1:72" ht="13" customHeight="1">
      <c r="A210" s="2" t="s">
        <v>599</v>
      </c>
      <c r="C210" s="2" t="s">
        <v>389</v>
      </c>
      <c r="BN210" s="23" t="s">
        <v>48</v>
      </c>
      <c r="BT210" s="32" t="s">
        <v>203</v>
      </c>
    </row>
    <row r="211" spans="1:72" ht="13" customHeight="1">
      <c r="C211" s="21"/>
      <c r="D211" s="1512" t="s">
        <v>1068</v>
      </c>
      <c r="E211" s="1512"/>
      <c r="F211" s="1512"/>
      <c r="G211" s="1512"/>
      <c r="H211" s="1512"/>
      <c r="I211" s="1512"/>
      <c r="J211" s="1512"/>
      <c r="K211" s="1512"/>
      <c r="L211" s="1512"/>
      <c r="M211" s="1512"/>
      <c r="BN211" s="23" t="s">
        <v>129</v>
      </c>
      <c r="BT211" s="32" t="s">
        <v>130</v>
      </c>
    </row>
    <row r="212" spans="1:72" ht="13" customHeight="1">
      <c r="C212" s="21"/>
      <c r="D212" t="s">
        <v>1353</v>
      </c>
      <c r="Y212" s="1493">
        <v>72</v>
      </c>
      <c r="Z212" s="1381"/>
      <c r="AB212" s="1577">
        <f>IFERROR(Y212/AG440,"")</f>
        <v>0.51428571428571423</v>
      </c>
      <c r="AC212" s="1578"/>
      <c r="BC212" t="s">
        <v>308</v>
      </c>
      <c r="BI212" t="s">
        <v>1291</v>
      </c>
      <c r="BN212" s="23" t="s">
        <v>49</v>
      </c>
      <c r="BT212" s="32" t="s">
        <v>204</v>
      </c>
    </row>
    <row r="213" spans="1:72" ht="13" customHeight="1">
      <c r="D213" s="1189" t="s">
        <v>1742</v>
      </c>
      <c r="BC213" t="s">
        <v>535</v>
      </c>
      <c r="BI213" t="s">
        <v>2631</v>
      </c>
      <c r="BN213" s="23" t="s">
        <v>50</v>
      </c>
      <c r="BT213" s="32" t="s">
        <v>205</v>
      </c>
    </row>
    <row r="214" spans="1:72" ht="13" customHeight="1">
      <c r="D214" s="1567" t="s">
        <v>1476</v>
      </c>
      <c r="E214" s="1567"/>
      <c r="F214" s="1567"/>
      <c r="G214" s="1567"/>
      <c r="H214" s="1567"/>
      <c r="I214" s="1567"/>
      <c r="J214" s="1567"/>
      <c r="K214" s="1567"/>
      <c r="L214" s="1567"/>
      <c r="M214" s="1567"/>
      <c r="N214" s="1567"/>
      <c r="O214" s="1567"/>
      <c r="P214" s="1567"/>
      <c r="Q214" s="1567"/>
      <c r="R214" s="1567"/>
      <c r="S214" s="1567"/>
      <c r="T214" s="1567"/>
      <c r="U214" s="1567"/>
      <c r="V214" s="1567"/>
      <c r="W214" s="1567"/>
      <c r="X214" s="1567"/>
      <c r="Y214" s="1567"/>
      <c r="Z214" s="1567"/>
      <c r="AU214" s="21"/>
      <c r="AV214" s="21"/>
      <c r="AW214" s="21"/>
      <c r="AX214" s="21"/>
      <c r="AY214" s="21"/>
      <c r="BC214" t="s">
        <v>539</v>
      </c>
      <c r="BI214" t="s">
        <v>2636</v>
      </c>
      <c r="BN214" s="23" t="s">
        <v>327</v>
      </c>
      <c r="BT214" s="32" t="s">
        <v>206</v>
      </c>
    </row>
    <row r="215" spans="1:72" ht="13" customHeight="1">
      <c r="D215" s="3" t="s">
        <v>1767</v>
      </c>
      <c r="Z215" s="40"/>
      <c r="AB215" s="1492"/>
      <c r="AC215" s="1492"/>
      <c r="AD215" s="1492"/>
      <c r="AE215" s="1492"/>
      <c r="AF215" s="1492"/>
      <c r="AG215" s="1492"/>
      <c r="AH215" s="1492"/>
      <c r="AI215" s="1492"/>
      <c r="AJ215" s="1492"/>
      <c r="AK215" s="1492"/>
      <c r="AL215" s="1492"/>
      <c r="AM215" s="21"/>
      <c r="AN215" s="21"/>
      <c r="AO215" s="21"/>
      <c r="AP215" s="21"/>
      <c r="AQ215" s="21"/>
      <c r="AR215" s="21"/>
      <c r="AS215" s="21"/>
      <c r="AT215" s="21"/>
      <c r="AU215" s="21"/>
      <c r="AV215" s="21"/>
      <c r="AW215" s="21"/>
      <c r="AX215" s="21"/>
      <c r="AY215" s="21"/>
      <c r="BC215" t="s">
        <v>536</v>
      </c>
      <c r="BI215" t="s">
        <v>2632</v>
      </c>
    </row>
    <row r="216" spans="1:72" ht="13" customHeight="1">
      <c r="D216" s="3" t="s">
        <v>1765</v>
      </c>
      <c r="Z216" s="40"/>
      <c r="AB216" s="1492"/>
      <c r="AC216" s="1492"/>
      <c r="AD216" s="1492"/>
      <c r="AE216" s="1492"/>
      <c r="AF216" s="1492"/>
      <c r="AG216" s="1492"/>
      <c r="AH216" s="1492"/>
      <c r="AI216" s="1492"/>
      <c r="AJ216" s="1492"/>
      <c r="AK216" s="1492"/>
      <c r="AL216" s="1492"/>
      <c r="AM216" s="21"/>
      <c r="AN216" s="21"/>
      <c r="AO216" s="21"/>
      <c r="AP216" s="21"/>
      <c r="AQ216" s="21"/>
      <c r="AR216" s="21"/>
      <c r="AS216" s="21"/>
      <c r="AT216" s="21"/>
      <c r="AU216" s="21"/>
      <c r="AV216" s="21"/>
      <c r="AW216" s="21"/>
      <c r="AX216" s="21"/>
      <c r="AY216" s="21"/>
      <c r="BC216" t="s">
        <v>575</v>
      </c>
      <c r="BI216" t="s">
        <v>2633</v>
      </c>
    </row>
    <row r="217" spans="1:72" ht="13"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3" customHeight="1">
      <c r="A218" s="2" t="s">
        <v>601</v>
      </c>
      <c r="C218" s="2" t="s">
        <v>1329</v>
      </c>
      <c r="D218" s="28"/>
      <c r="BC218" t="s">
        <v>538</v>
      </c>
    </row>
    <row r="219" spans="1:72" ht="13" customHeight="1">
      <c r="A219" s="2"/>
      <c r="C219" s="2"/>
      <c r="D219" s="4" t="s">
        <v>1009</v>
      </c>
      <c r="AZ219" s="3"/>
      <c r="BA219" s="3"/>
      <c r="BC219" t="s">
        <v>378</v>
      </c>
    </row>
    <row r="220" spans="1:72" ht="13" customHeight="1">
      <c r="A220" s="2"/>
      <c r="C220" s="2"/>
      <c r="D220" s="1512" t="s">
        <v>1093</v>
      </c>
      <c r="E220" s="1512"/>
      <c r="F220" s="1512"/>
      <c r="G220" s="1512"/>
      <c r="H220" s="1512"/>
      <c r="I220" s="1512"/>
      <c r="J220" s="1512"/>
      <c r="K220" s="1512"/>
      <c r="L220" s="1512"/>
      <c r="M220" s="1512"/>
      <c r="N220" s="1512"/>
      <c r="O220" s="1512"/>
      <c r="P220" s="1512"/>
      <c r="Q220" s="1512"/>
      <c r="R220" s="1512"/>
      <c r="S220" s="1512"/>
      <c r="T220" s="1512"/>
      <c r="U220" s="1512"/>
      <c r="V220" s="1512"/>
      <c r="W220" s="1512"/>
      <c r="X220" s="1512"/>
      <c r="Y220" s="1512"/>
      <c r="Z220" s="1512"/>
      <c r="BA220" s="3"/>
      <c r="BC220" t="s">
        <v>301</v>
      </c>
    </row>
    <row r="221" spans="1:72" ht="13" customHeight="1">
      <c r="A221" s="2"/>
      <c r="B221" s="14"/>
      <c r="C221" s="2"/>
      <c r="AU221" s="95"/>
      <c r="AV221" s="95"/>
      <c r="AW221" s="95"/>
      <c r="AX221" s="95"/>
      <c r="AY221" s="95"/>
      <c r="BA221" s="3"/>
    </row>
    <row r="222" spans="1:72" ht="13" customHeight="1">
      <c r="A222" s="1668" t="s">
        <v>549</v>
      </c>
      <c r="B222" s="1668"/>
      <c r="C222" s="1668"/>
      <c r="D222" s="1668"/>
      <c r="E222" s="1668"/>
      <c r="F222" s="1668"/>
      <c r="G222" s="1668"/>
      <c r="H222" s="1668"/>
      <c r="I222" s="1668"/>
      <c r="J222" s="1668"/>
      <c r="K222" s="1668"/>
      <c r="L222" s="1668"/>
      <c r="M222" s="1668"/>
      <c r="N222" s="1668"/>
      <c r="O222" s="1668"/>
      <c r="P222" s="1668"/>
      <c r="Q222" s="1668"/>
      <c r="R222" s="1668"/>
      <c r="S222" s="1668"/>
      <c r="T222" s="1668"/>
      <c r="U222" s="1668"/>
      <c r="V222" s="1668"/>
      <c r="W222" s="1668"/>
      <c r="X222" s="1668"/>
      <c r="Y222" s="1668"/>
      <c r="Z222" s="1668"/>
      <c r="AA222" s="1668"/>
      <c r="AB222" s="1668"/>
      <c r="AC222" s="1668"/>
      <c r="AD222" s="1668"/>
      <c r="AE222" s="1668"/>
      <c r="AF222" s="1668"/>
      <c r="AG222" s="1668"/>
      <c r="AH222" s="1668"/>
      <c r="AI222" s="1668"/>
      <c r="AJ222" s="1668"/>
      <c r="AK222" s="1668"/>
      <c r="AL222" s="1668"/>
      <c r="AM222" s="1668"/>
      <c r="AN222" s="1668"/>
      <c r="AO222" s="1668"/>
      <c r="AP222" s="1668"/>
      <c r="AQ222" s="1668"/>
      <c r="AR222" s="1668"/>
      <c r="AS222" s="1668"/>
      <c r="AT222" s="1668"/>
      <c r="AU222" s="95"/>
      <c r="AV222" s="95"/>
      <c r="AW222" s="95"/>
      <c r="AX222" s="95"/>
      <c r="AY222" s="95"/>
      <c r="AZ222" s="3"/>
      <c r="BA222" s="3"/>
      <c r="BP222" s="34"/>
    </row>
    <row r="223" spans="1:72" ht="13" customHeight="1">
      <c r="A223" s="1668"/>
      <c r="B223" s="1668"/>
      <c r="C223" s="1668"/>
      <c r="D223" s="1668"/>
      <c r="E223" s="1668"/>
      <c r="F223" s="1668"/>
      <c r="G223" s="1668"/>
      <c r="H223" s="1668"/>
      <c r="I223" s="1668"/>
      <c r="J223" s="1668"/>
      <c r="K223" s="1668"/>
      <c r="L223" s="1668"/>
      <c r="M223" s="1668"/>
      <c r="N223" s="1668"/>
      <c r="O223" s="1668"/>
      <c r="P223" s="1668"/>
      <c r="Q223" s="1668"/>
      <c r="R223" s="1668"/>
      <c r="S223" s="1668"/>
      <c r="T223" s="1668"/>
      <c r="U223" s="1668"/>
      <c r="V223" s="1668"/>
      <c r="W223" s="1668"/>
      <c r="X223" s="1668"/>
      <c r="Y223" s="1668"/>
      <c r="Z223" s="1668"/>
      <c r="AA223" s="1668"/>
      <c r="AB223" s="1668"/>
      <c r="AC223" s="1668"/>
      <c r="AD223" s="1668"/>
      <c r="AE223" s="1668"/>
      <c r="AF223" s="1668"/>
      <c r="AG223" s="1668"/>
      <c r="AH223" s="1668"/>
      <c r="AI223" s="1668"/>
      <c r="AJ223" s="1668"/>
      <c r="AK223" s="1668"/>
      <c r="AL223" s="1668"/>
      <c r="AM223" s="1668"/>
      <c r="AN223" s="1668"/>
      <c r="AO223" s="1668"/>
      <c r="AP223" s="1668"/>
      <c r="AQ223" s="1668"/>
      <c r="AR223" s="1668"/>
      <c r="AS223" s="1668"/>
      <c r="AT223" s="1668"/>
      <c r="BA223" s="3"/>
      <c r="BB223" s="3"/>
      <c r="BQ223" s="34"/>
    </row>
    <row r="224" spans="1:72" ht="13" customHeight="1">
      <c r="AZ224" s="4"/>
      <c r="BA224" s="3"/>
      <c r="BB224" s="3"/>
      <c r="BQ224" s="34"/>
    </row>
    <row r="225" spans="1:69" ht="13" customHeight="1">
      <c r="A225" s="2" t="s">
        <v>320</v>
      </c>
      <c r="B225" s="2"/>
      <c r="C225" s="2" t="s">
        <v>2400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1" t="s">
        <v>600</v>
      </c>
      <c r="AJ226" s="1381"/>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3"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1" t="s">
        <v>554</v>
      </c>
      <c r="AJ227" s="1381"/>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1" t="s">
        <v>554</v>
      </c>
      <c r="AJ228" s="1381"/>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3"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1" t="s">
        <v>600</v>
      </c>
      <c r="AJ229" s="1381"/>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3" customHeight="1">
      <c r="A231" s="2" t="s">
        <v>585</v>
      </c>
      <c r="B231" s="4"/>
      <c r="C231" s="2" t="s">
        <v>2401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 customHeight="1">
      <c r="D232" s="4" t="s">
        <v>479</v>
      </c>
      <c r="E232" s="4"/>
      <c r="F232" s="4"/>
      <c r="G232" s="4"/>
      <c r="H232" s="4"/>
      <c r="I232" s="4"/>
      <c r="J232" s="4"/>
      <c r="K232" s="4"/>
      <c r="M232" s="1588" t="str">
        <f>H16</f>
        <v>California Supportive Housing</v>
      </c>
      <c r="N232" s="1588"/>
      <c r="O232" s="1588"/>
      <c r="P232" s="1588"/>
      <c r="Q232" s="1588"/>
      <c r="R232" s="1588"/>
      <c r="S232" s="1588"/>
      <c r="T232" s="1588"/>
      <c r="U232" s="1588"/>
      <c r="V232" s="1588"/>
      <c r="W232" s="1588"/>
      <c r="X232" s="1588"/>
      <c r="Y232" s="1588"/>
      <c r="Z232" s="1588"/>
      <c r="AA232" s="1588"/>
      <c r="AB232" s="1588"/>
      <c r="AC232" s="1588"/>
      <c r="AD232" s="1588"/>
      <c r="AE232" s="1588"/>
      <c r="AF232" s="1588"/>
      <c r="AG232" s="1588"/>
      <c r="AH232" s="1588"/>
      <c r="AI232" s="1588"/>
      <c r="AJ232" s="1588"/>
      <c r="AK232" s="1588"/>
      <c r="AZ232" s="4"/>
      <c r="BA232" s="3"/>
      <c r="BB232" s="219" t="s">
        <v>547</v>
      </c>
      <c r="BG232" s="259">
        <f>IF(AND(AND($M$249="nonprofit",$M$257="nonprofit",$M$265="for profit")),2,0)</f>
        <v>0</v>
      </c>
      <c r="BQ232" s="34"/>
    </row>
    <row r="233" spans="1:69" ht="13" customHeight="1">
      <c r="D233" s="4" t="s">
        <v>85</v>
      </c>
      <c r="E233" s="4"/>
      <c r="F233" s="4"/>
      <c r="G233" s="4"/>
      <c r="H233" s="4"/>
      <c r="I233" s="4"/>
      <c r="J233" s="4"/>
      <c r="K233" s="4"/>
      <c r="M233" s="1396" t="s">
        <v>2703</v>
      </c>
      <c r="N233" s="1512"/>
      <c r="O233" s="1512"/>
      <c r="P233" s="1512"/>
      <c r="Q233" s="1512"/>
      <c r="R233" s="1512"/>
      <c r="S233" s="1512"/>
      <c r="T233" s="1512"/>
      <c r="U233" s="1512"/>
      <c r="V233" s="1512"/>
      <c r="W233" s="1512"/>
      <c r="X233" s="1512"/>
      <c r="Y233" s="1512"/>
      <c r="Z233" s="1512"/>
      <c r="AA233" s="1512"/>
      <c r="AB233" s="1512"/>
      <c r="AC233" s="1512"/>
      <c r="AD233" s="1512"/>
      <c r="AE233" s="1512"/>
      <c r="BB233" s="219" t="s">
        <v>547</v>
      </c>
      <c r="BG233" s="259">
        <f>IF(AND(AND($M$249="nonprofit",$M$257="for profit",$M$265="nonprofit")),2,0)</f>
        <v>0</v>
      </c>
    </row>
    <row r="234" spans="1:69" ht="13" customHeight="1">
      <c r="D234" s="4" t="s">
        <v>589</v>
      </c>
      <c r="E234" s="4"/>
      <c r="M234" s="1396" t="s">
        <v>2640</v>
      </c>
      <c r="N234" s="1512"/>
      <c r="O234" s="1512"/>
      <c r="P234" s="1512"/>
      <c r="Q234" s="1512"/>
      <c r="R234" s="1512"/>
      <c r="S234" s="1512"/>
      <c r="T234" s="1512"/>
      <c r="V234" s="33" t="s">
        <v>86</v>
      </c>
      <c r="W234" s="1386" t="s">
        <v>2646</v>
      </c>
      <c r="X234" s="1386"/>
      <c r="Y234" s="4" t="s">
        <v>592</v>
      </c>
      <c r="AC234" s="1512">
        <v>94621</v>
      </c>
      <c r="AD234" s="1512"/>
      <c r="AE234" s="1512"/>
      <c r="AU234" s="4"/>
      <c r="AV234" s="4"/>
      <c r="AW234" s="4"/>
      <c r="AX234" s="4"/>
      <c r="AY234" s="4"/>
      <c r="AZ234" s="4"/>
      <c r="BB234" s="219" t="s">
        <v>547</v>
      </c>
      <c r="BG234" s="258">
        <f>IF(AND(AND($M$249="for profit",$M$257="nonprofit",$M$265="nonprofit")),2,0)</f>
        <v>0</v>
      </c>
      <c r="BO234" s="34"/>
    </row>
    <row r="235" spans="1:69" ht="13" customHeight="1">
      <c r="D235" s="4" t="s">
        <v>87</v>
      </c>
      <c r="E235" s="4"/>
      <c r="F235" s="4"/>
      <c r="G235" s="4"/>
      <c r="H235" s="4"/>
      <c r="I235" s="4"/>
      <c r="J235" s="4"/>
      <c r="K235" s="19"/>
      <c r="M235" s="1396" t="s">
        <v>2641</v>
      </c>
      <c r="N235" s="1512"/>
      <c r="O235" s="1512"/>
      <c r="P235" s="1512"/>
      <c r="Q235" s="1512"/>
      <c r="R235" s="1512"/>
      <c r="S235" s="1512"/>
      <c r="T235" s="1512"/>
      <c r="U235" s="1512"/>
      <c r="V235" s="1512"/>
      <c r="W235" s="1512"/>
      <c r="X235" s="1512"/>
      <c r="Y235" s="1512"/>
      <c r="Z235" s="1512"/>
      <c r="AA235" s="1512"/>
      <c r="AB235" s="1512"/>
      <c r="AC235" s="1512"/>
      <c r="AD235" s="1512"/>
      <c r="AE235" s="1512"/>
      <c r="AI235" s="4"/>
      <c r="AJ235" s="4"/>
      <c r="AK235" s="4"/>
      <c r="AL235" s="4"/>
      <c r="AM235" s="4"/>
      <c r="AN235" s="4"/>
      <c r="AO235" s="4"/>
      <c r="AP235" s="4"/>
      <c r="AQ235" s="4"/>
      <c r="AR235" s="4"/>
      <c r="AS235" s="4"/>
      <c r="AT235" s="4"/>
      <c r="BB235" s="219"/>
      <c r="BG235" s="218"/>
    </row>
    <row r="236" spans="1:69" ht="13" customHeight="1">
      <c r="D236" s="4" t="s">
        <v>88</v>
      </c>
      <c r="E236" s="4"/>
      <c r="F236" s="4"/>
      <c r="M236" s="1394" t="s">
        <v>2648</v>
      </c>
      <c r="N236" s="1394"/>
      <c r="O236" s="1394"/>
      <c r="P236" s="1394"/>
      <c r="Q236" s="1394"/>
      <c r="R236" s="1394"/>
      <c r="S236" s="4" t="s">
        <v>207</v>
      </c>
      <c r="T236" s="4"/>
      <c r="U236" s="1386"/>
      <c r="V236" s="1386"/>
      <c r="W236" s="1386"/>
      <c r="X236" s="4" t="s">
        <v>89</v>
      </c>
      <c r="Z236" s="1394"/>
      <c r="AA236" s="1394"/>
      <c r="AB236" s="1394"/>
      <c r="AC236" s="1394"/>
      <c r="AD236" s="1394"/>
      <c r="AE236" s="1394"/>
      <c r="AU236" s="4"/>
      <c r="AV236" s="4"/>
      <c r="AW236" s="4"/>
      <c r="AX236" s="4"/>
      <c r="AY236" s="4"/>
      <c r="AZ236" s="4"/>
      <c r="BB236" s="218" t="s">
        <v>546</v>
      </c>
      <c r="BG236" s="259">
        <f>IF(AND(AND($M$249="nonprofit",$M$257="nonprofit",$M$265="(select one)")),1,0)</f>
        <v>0</v>
      </c>
    </row>
    <row r="237" spans="1:69" ht="13" customHeight="1">
      <c r="D237" s="4" t="s">
        <v>90</v>
      </c>
      <c r="E237" s="4"/>
      <c r="F237" s="4"/>
      <c r="M237" s="1556" t="s">
        <v>2708</v>
      </c>
      <c r="N237" s="1556"/>
      <c r="O237" s="1556"/>
      <c r="P237" s="1556"/>
      <c r="Q237" s="1556"/>
      <c r="R237" s="1556"/>
      <c r="S237" s="1556"/>
      <c r="T237" s="1556"/>
      <c r="U237" s="1556"/>
      <c r="V237" s="1556"/>
      <c r="W237" s="1556"/>
      <c r="X237" s="1556"/>
      <c r="Y237" s="1556"/>
      <c r="Z237" s="1556"/>
      <c r="AA237" s="1556"/>
      <c r="AB237" s="1556"/>
      <c r="AC237" s="1556"/>
      <c r="AD237" s="1556"/>
      <c r="AE237" s="1556"/>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3" customHeight="1">
      <c r="A238" s="2" t="s">
        <v>595</v>
      </c>
      <c r="C238" s="2" t="s">
        <v>534</v>
      </c>
      <c r="M238" s="1395" t="s">
        <v>378</v>
      </c>
      <c r="N238" s="1395"/>
      <c r="O238" s="1395"/>
      <c r="P238" s="1395"/>
      <c r="Q238" s="1395"/>
      <c r="R238" s="1395"/>
      <c r="S238" s="1395"/>
      <c r="T238" s="1395"/>
      <c r="U238" s="218" t="s">
        <v>922</v>
      </c>
      <c r="V238" s="218"/>
      <c r="W238" s="218"/>
      <c r="X238" s="218"/>
      <c r="Y238" s="218"/>
      <c r="Z238" s="218"/>
      <c r="AA238" s="1576"/>
      <c r="AB238" s="1561"/>
      <c r="AC238" s="1561"/>
      <c r="AD238" s="1561"/>
      <c r="AE238" s="1561"/>
      <c r="AF238" s="1561"/>
      <c r="AG238" s="1561"/>
      <c r="AH238" s="1561"/>
      <c r="AI238" s="1561"/>
      <c r="AJ238" s="1561"/>
      <c r="AK238" s="1561"/>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3" customHeight="1">
      <c r="D239" t="s">
        <v>540</v>
      </c>
      <c r="M239" s="1385"/>
      <c r="N239" s="1385"/>
      <c r="O239" s="1385"/>
      <c r="P239" s="1385"/>
      <c r="Q239" s="1385"/>
      <c r="R239" s="1385"/>
      <c r="S239" s="1385"/>
      <c r="T239" s="1385"/>
      <c r="U239" s="1385"/>
      <c r="V239" s="1385"/>
      <c r="W239" s="1385"/>
      <c r="X239" s="1385"/>
      <c r="Y239" s="1385"/>
      <c r="Z239" s="1385"/>
      <c r="AA239" s="1385"/>
      <c r="AB239" s="1385"/>
      <c r="AC239" s="1385"/>
      <c r="AD239" s="1385"/>
      <c r="AE239" s="1385"/>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3" customHeight="1">
      <c r="D240" s="4"/>
      <c r="BB240" s="218" t="s">
        <v>890</v>
      </c>
      <c r="BG240" s="259">
        <f>IF(AND(AND($M$249="for profit",$M$257="for profit",$M$265="for profit")),3,0)</f>
        <v>0</v>
      </c>
    </row>
    <row r="241" spans="1:71" ht="13"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 customHeight="1">
      <c r="A243" s="19"/>
      <c r="B243" s="4"/>
      <c r="C243" s="56" t="s">
        <v>482</v>
      </c>
      <c r="D243" s="4" t="s">
        <v>541</v>
      </c>
      <c r="E243" s="4"/>
      <c r="F243" s="4"/>
      <c r="G243" s="4"/>
      <c r="H243" s="4"/>
      <c r="I243" s="4"/>
      <c r="J243" s="4"/>
      <c r="K243" s="4"/>
      <c r="L243" s="4"/>
      <c r="M243" s="1554" t="s">
        <v>2704</v>
      </c>
      <c r="N243" s="1555"/>
      <c r="O243" s="1555"/>
      <c r="P243" s="1555"/>
      <c r="Q243" s="1555"/>
      <c r="R243" s="1555"/>
      <c r="S243" s="1555"/>
      <c r="T243" s="1555"/>
      <c r="U243" s="1555"/>
      <c r="V243" s="1555"/>
      <c r="W243" s="1555"/>
      <c r="X243" s="1555"/>
      <c r="Y243" s="1555"/>
      <c r="Z243" s="1555"/>
      <c r="AA243" s="1555"/>
      <c r="AB243" s="1555"/>
      <c r="AC243" s="1555"/>
      <c r="AD243" s="1555"/>
      <c r="AE243" s="1555"/>
      <c r="AF243" s="1555" t="s">
        <v>2652</v>
      </c>
      <c r="AG243" s="1555"/>
      <c r="AH243" s="1555"/>
      <c r="AI243" s="1555"/>
      <c r="AJ243" s="1555"/>
      <c r="AK243" s="1555"/>
      <c r="AU243" s="4"/>
      <c r="AV243" s="4"/>
      <c r="AW243" s="4"/>
      <c r="AX243" s="4"/>
      <c r="AY243" s="4"/>
      <c r="BG243">
        <f>SUM(BG226:BG241)</f>
        <v>0</v>
      </c>
    </row>
    <row r="244" spans="1:71" ht="13" customHeight="1">
      <c r="A244" s="19"/>
      <c r="B244" s="4"/>
      <c r="C244" s="4"/>
      <c r="D244" s="4" t="s">
        <v>85</v>
      </c>
      <c r="E244" s="4"/>
      <c r="F244" s="4"/>
      <c r="G244" s="4"/>
      <c r="H244" s="4"/>
      <c r="I244" s="4"/>
      <c r="J244" s="4"/>
      <c r="K244" s="4"/>
      <c r="L244" s="4"/>
      <c r="M244" s="1396" t="s">
        <v>2703</v>
      </c>
      <c r="N244" s="1512"/>
      <c r="O244" s="1512"/>
      <c r="P244" s="1512"/>
      <c r="Q244" s="1512"/>
      <c r="R244" s="1512"/>
      <c r="S244" s="1512"/>
      <c r="T244" s="1512"/>
      <c r="U244" s="1512"/>
      <c r="V244" s="1512"/>
      <c r="W244" s="1512"/>
      <c r="X244" s="1512"/>
      <c r="Y244" s="1512"/>
      <c r="Z244" s="1512"/>
      <c r="AA244" s="1512"/>
      <c r="AB244" s="1512"/>
      <c r="AC244" s="1512"/>
      <c r="AD244" s="1512"/>
      <c r="AE244" s="1512"/>
      <c r="AF244" s="3" t="s">
        <v>1286</v>
      </c>
      <c r="AL244" s="4"/>
      <c r="AM244" s="4"/>
      <c r="AN244" s="4"/>
      <c r="AO244" s="4"/>
      <c r="AP244" s="4"/>
      <c r="AQ244" s="4"/>
      <c r="AR244" s="4"/>
      <c r="AS244" s="4"/>
      <c r="AT244" s="4"/>
      <c r="BB244" t="s">
        <v>308</v>
      </c>
      <c r="BG244">
        <v>1</v>
      </c>
      <c r="BH244" t="s">
        <v>543</v>
      </c>
    </row>
    <row r="245" spans="1:71" ht="13" customHeight="1">
      <c r="A245" s="19"/>
      <c r="B245" s="4"/>
      <c r="C245" s="4"/>
      <c r="D245" s="4" t="s">
        <v>589</v>
      </c>
      <c r="E245" s="4"/>
      <c r="M245" s="1512" t="s">
        <v>2647</v>
      </c>
      <c r="N245" s="1512"/>
      <c r="O245" s="1512"/>
      <c r="P245" s="1512"/>
      <c r="Q245" s="1512"/>
      <c r="R245" s="1512"/>
      <c r="S245" s="1512"/>
      <c r="T245" s="1512"/>
      <c r="V245" s="33" t="s">
        <v>86</v>
      </c>
      <c r="W245" s="1518" t="s">
        <v>2646</v>
      </c>
      <c r="X245" s="1386"/>
      <c r="Y245" s="4" t="s">
        <v>592</v>
      </c>
      <c r="AC245" s="1512">
        <v>94024</v>
      </c>
      <c r="AD245" s="1512"/>
      <c r="AE245" s="1512"/>
      <c r="AF245" s="3" t="s">
        <v>1287</v>
      </c>
      <c r="AU245" s="4"/>
      <c r="AV245" s="4"/>
      <c r="AW245" s="4"/>
      <c r="AX245" s="4"/>
      <c r="AY245" s="4"/>
      <c r="BB245" s="4" t="s">
        <v>281</v>
      </c>
      <c r="BG245">
        <v>2</v>
      </c>
      <c r="BH245" t="s">
        <v>575</v>
      </c>
      <c r="BO245" s="257">
        <f>VLOOKUP(BG243,BG244:BH247,2,FALSE)</f>
        <v>0</v>
      </c>
    </row>
    <row r="246" spans="1:71" ht="13" customHeight="1">
      <c r="A246" s="19"/>
      <c r="B246" s="4"/>
      <c r="C246" s="4"/>
      <c r="D246" s="4" t="s">
        <v>87</v>
      </c>
      <c r="E246" s="4"/>
      <c r="F246" s="4"/>
      <c r="G246" s="4"/>
      <c r="H246" s="4"/>
      <c r="I246" s="4"/>
      <c r="J246" s="4"/>
      <c r="K246" s="4"/>
      <c r="L246" s="19"/>
      <c r="M246" s="1512" t="s">
        <v>2641</v>
      </c>
      <c r="N246" s="1512"/>
      <c r="O246" s="1512"/>
      <c r="P246" s="1512"/>
      <c r="Q246" s="1512"/>
      <c r="R246" s="1512"/>
      <c r="S246" s="1512"/>
      <c r="T246" s="1512"/>
      <c r="U246" s="1512"/>
      <c r="V246" s="1512"/>
      <c r="W246" s="1512"/>
      <c r="X246" s="1512"/>
      <c r="Y246" s="1512"/>
      <c r="Z246" s="1512"/>
      <c r="AA246" s="1512"/>
      <c r="AB246" s="1512"/>
      <c r="AC246" s="1512"/>
      <c r="AD246" s="1512"/>
      <c r="AE246" s="1512"/>
      <c r="AH246" s="1580">
        <v>5.0000000000000001E-3</v>
      </c>
      <c r="AI246" s="1580"/>
      <c r="AJ246" s="1580"/>
      <c r="AK246" s="1580"/>
      <c r="AL246" s="4"/>
      <c r="AM246" s="4"/>
      <c r="AN246" s="4"/>
      <c r="AO246" s="4"/>
      <c r="AP246" s="4"/>
      <c r="AQ246" s="4"/>
      <c r="AR246" s="4"/>
      <c r="AS246" s="4"/>
      <c r="AT246" s="4"/>
      <c r="BB246" s="4" t="s">
        <v>173</v>
      </c>
      <c r="BG246">
        <v>3</v>
      </c>
      <c r="BH246" t="s">
        <v>545</v>
      </c>
      <c r="BN246" s="34"/>
    </row>
    <row r="247" spans="1:71" ht="13" customHeight="1">
      <c r="A247" s="19"/>
      <c r="B247" s="4"/>
      <c r="C247" s="4"/>
      <c r="D247" s="4" t="s">
        <v>88</v>
      </c>
      <c r="E247" s="4"/>
      <c r="F247" s="4"/>
      <c r="M247" s="1394" t="str">
        <f>M236</f>
        <v>408-647-4720</v>
      </c>
      <c r="N247" s="1394"/>
      <c r="O247" s="1394"/>
      <c r="P247" s="1394"/>
      <c r="Q247" s="1394"/>
      <c r="R247" s="1394"/>
      <c r="S247" s="4" t="s">
        <v>207</v>
      </c>
      <c r="T247" s="4"/>
      <c r="U247" s="1386"/>
      <c r="V247" s="1386"/>
      <c r="W247" s="1386"/>
      <c r="X247" s="4" t="s">
        <v>89</v>
      </c>
      <c r="Z247" s="1394"/>
      <c r="AA247" s="1394"/>
      <c r="AB247" s="1394"/>
      <c r="AC247" s="1394"/>
      <c r="AD247" s="1394"/>
      <c r="AE247" s="1394"/>
      <c r="AU247" s="4"/>
      <c r="AV247" s="4"/>
      <c r="AW247" s="4"/>
      <c r="AX247" s="4"/>
      <c r="AY247" s="4"/>
      <c r="BG247">
        <v>0</v>
      </c>
      <c r="BH247" s="3"/>
      <c r="BN247" s="34"/>
    </row>
    <row r="248" spans="1:71" ht="13" customHeight="1">
      <c r="A248" s="19"/>
      <c r="B248" s="4"/>
      <c r="C248" s="4"/>
      <c r="D248" s="4" t="s">
        <v>90</v>
      </c>
      <c r="E248" s="4"/>
      <c r="F248" s="4"/>
      <c r="M248" s="1556" t="str">
        <f>M237</f>
        <v>csh.edeshousing@cshousing.org</v>
      </c>
      <c r="N248" s="1556"/>
      <c r="O248" s="1556"/>
      <c r="P248" s="1556"/>
      <c r="Q248" s="1556"/>
      <c r="R248" s="1556"/>
      <c r="S248" s="1556"/>
      <c r="T248" s="1556"/>
      <c r="U248" s="1556"/>
      <c r="V248" s="1556"/>
      <c r="W248" s="1556"/>
      <c r="X248" s="1556"/>
      <c r="Y248" s="1556"/>
      <c r="Z248" s="1556"/>
      <c r="AA248" s="1556"/>
      <c r="AB248" s="1556"/>
      <c r="AC248" s="1556"/>
      <c r="AD248" s="1556"/>
      <c r="AE248" s="1556"/>
      <c r="AG248" s="4"/>
      <c r="AH248" s="4"/>
      <c r="AI248" s="4"/>
      <c r="AJ248" s="4"/>
      <c r="AK248" s="4"/>
      <c r="AL248" s="4"/>
      <c r="AM248" s="4"/>
      <c r="AN248" s="4"/>
      <c r="AO248" s="4"/>
      <c r="AP248" s="4"/>
      <c r="AQ248" s="4"/>
      <c r="AR248" s="4"/>
      <c r="AS248" s="4"/>
      <c r="AT248" s="4"/>
      <c r="BN248" s="34"/>
    </row>
    <row r="249" spans="1:71" ht="13" customHeight="1">
      <c r="A249" s="13"/>
      <c r="B249" s="4"/>
      <c r="C249" s="56"/>
      <c r="D249" s="4" t="s">
        <v>544</v>
      </c>
      <c r="E249" s="4"/>
      <c r="F249" s="4"/>
      <c r="G249" s="4"/>
      <c r="H249" s="4"/>
      <c r="I249" s="4"/>
      <c r="J249" s="4"/>
      <c r="K249" s="4"/>
      <c r="L249" s="4"/>
      <c r="M249" s="1395" t="s">
        <v>545</v>
      </c>
      <c r="N249" s="1395"/>
      <c r="O249" s="1395"/>
      <c r="P249" s="1395"/>
      <c r="Q249" s="1395"/>
      <c r="R249" s="1395"/>
      <c r="S249" s="1395"/>
      <c r="T249" s="1395"/>
      <c r="U249" s="218" t="s">
        <v>922</v>
      </c>
      <c r="V249" s="218"/>
      <c r="W249" s="218"/>
      <c r="X249" s="218"/>
      <c r="Y249" s="218"/>
      <c r="Z249" s="218"/>
      <c r="AA249" s="1561"/>
      <c r="AB249" s="1561"/>
      <c r="AC249" s="1561"/>
      <c r="AD249" s="1561"/>
      <c r="AE249" s="1561"/>
      <c r="AF249" s="1561"/>
      <c r="AG249" s="1561"/>
      <c r="AH249" s="1561"/>
      <c r="AI249" s="1561"/>
      <c r="AJ249" s="1561"/>
      <c r="AK249" s="1561"/>
      <c r="BN249" s="34"/>
    </row>
    <row r="250" spans="1:71" ht="13" customHeight="1">
      <c r="A250" s="19"/>
      <c r="B250" s="4"/>
      <c r="C250" s="4"/>
      <c r="D250" s="4"/>
      <c r="E250" s="4"/>
      <c r="F250" s="4"/>
      <c r="G250" s="4"/>
      <c r="H250" s="4"/>
      <c r="I250" s="4"/>
      <c r="J250" s="4"/>
      <c r="K250" s="4"/>
      <c r="L250" s="4"/>
      <c r="AG250" s="4"/>
      <c r="AH250" s="4"/>
      <c r="AI250" s="4"/>
      <c r="AJ250" s="4"/>
      <c r="BN250" s="34"/>
    </row>
    <row r="251" spans="1:71" ht="13" customHeight="1">
      <c r="A251" s="2"/>
      <c r="B251" s="4"/>
      <c r="C251" s="56" t="s">
        <v>98</v>
      </c>
      <c r="D251" s="4" t="s">
        <v>975</v>
      </c>
      <c r="E251" s="4"/>
      <c r="F251" s="4"/>
      <c r="G251" s="4"/>
      <c r="H251" s="4"/>
      <c r="I251" s="4"/>
      <c r="J251" s="4"/>
      <c r="K251" s="4"/>
      <c r="L251" s="4"/>
      <c r="M251" s="1554" t="s">
        <v>2650</v>
      </c>
      <c r="N251" s="1555"/>
      <c r="O251" s="1555"/>
      <c r="P251" s="1555"/>
      <c r="Q251" s="1555"/>
      <c r="R251" s="1555"/>
      <c r="S251" s="1555"/>
      <c r="T251" s="1555"/>
      <c r="U251" s="1555"/>
      <c r="V251" s="1555"/>
      <c r="W251" s="1555"/>
      <c r="X251" s="1555"/>
      <c r="Y251" s="1555"/>
      <c r="Z251" s="1555"/>
      <c r="AA251" s="1555"/>
      <c r="AB251" s="1555"/>
      <c r="AC251" s="1555"/>
      <c r="AD251" s="1555"/>
      <c r="AE251" s="1555"/>
      <c r="AF251" s="1555" t="s">
        <v>2651</v>
      </c>
      <c r="AG251" s="1555"/>
      <c r="AH251" s="1555"/>
      <c r="AI251" s="1555"/>
      <c r="AJ251" s="1555"/>
      <c r="AK251" s="1555"/>
      <c r="AU251" s="4"/>
      <c r="AV251" s="4"/>
      <c r="AW251" s="4"/>
      <c r="AX251" s="4"/>
      <c r="AY251" s="4"/>
      <c r="BN251" s="34"/>
    </row>
    <row r="252" spans="1:71" ht="13" customHeight="1">
      <c r="A252" s="19"/>
      <c r="B252" s="4"/>
      <c r="C252" s="4"/>
      <c r="D252" s="4" t="s">
        <v>85</v>
      </c>
      <c r="E252" s="4"/>
      <c r="F252" s="4"/>
      <c r="G252" s="4"/>
      <c r="H252" s="4"/>
      <c r="I252" s="4"/>
      <c r="J252" s="4"/>
      <c r="K252" s="4"/>
      <c r="L252" s="4"/>
      <c r="M252" s="1512" t="s">
        <v>2703</v>
      </c>
      <c r="N252" s="1512"/>
      <c r="O252" s="1512"/>
      <c r="P252" s="1512"/>
      <c r="Q252" s="1512"/>
      <c r="R252" s="1512"/>
      <c r="S252" s="1512"/>
      <c r="T252" s="1512"/>
      <c r="U252" s="1512"/>
      <c r="V252" s="1512"/>
      <c r="W252" s="1512"/>
      <c r="X252" s="1512"/>
      <c r="Y252" s="1512"/>
      <c r="Z252" s="1512"/>
      <c r="AA252" s="1512"/>
      <c r="AB252" s="1512"/>
      <c r="AC252" s="1512"/>
      <c r="AD252" s="1512"/>
      <c r="AE252" s="1512"/>
      <c r="AF252" s="3" t="s">
        <v>1286</v>
      </c>
      <c r="AL252" s="4"/>
      <c r="AM252" s="4"/>
      <c r="AN252" s="4"/>
      <c r="AO252" s="4"/>
      <c r="AP252" s="4"/>
      <c r="AQ252" s="4"/>
      <c r="AR252" s="4"/>
      <c r="AS252" s="4"/>
      <c r="AT252" s="4"/>
      <c r="BN252" s="34"/>
    </row>
    <row r="253" spans="1:71" ht="13" customHeight="1">
      <c r="A253" s="19"/>
      <c r="B253" s="4"/>
      <c r="C253" s="4"/>
      <c r="D253" s="4" t="s">
        <v>589</v>
      </c>
      <c r="E253" s="4"/>
      <c r="M253" s="1512" t="s">
        <v>2647</v>
      </c>
      <c r="N253" s="1512"/>
      <c r="O253" s="1512"/>
      <c r="P253" s="1512"/>
      <c r="Q253" s="1512"/>
      <c r="R253" s="1512"/>
      <c r="S253" s="1512"/>
      <c r="T253" s="1512"/>
      <c r="V253" s="33" t="s">
        <v>86</v>
      </c>
      <c r="W253" s="1518" t="s">
        <v>2646</v>
      </c>
      <c r="X253" s="1386"/>
      <c r="Y253" s="4" t="s">
        <v>592</v>
      </c>
      <c r="AC253" s="1512">
        <v>94024</v>
      </c>
      <c r="AD253" s="1512"/>
      <c r="AE253" s="1512"/>
      <c r="AF253" s="3" t="s">
        <v>1287</v>
      </c>
      <c r="AU253" s="4"/>
      <c r="AV253" s="4"/>
      <c r="AW253" s="4"/>
      <c r="AX253" s="4"/>
      <c r="AY253" s="4"/>
      <c r="BN253" s="34"/>
    </row>
    <row r="254" spans="1:71" ht="13" customHeight="1">
      <c r="A254" s="19"/>
      <c r="B254" s="4"/>
      <c r="C254" s="4"/>
      <c r="D254" s="4" t="s">
        <v>87</v>
      </c>
      <c r="E254" s="4"/>
      <c r="F254" s="4"/>
      <c r="G254" s="4"/>
      <c r="H254" s="4"/>
      <c r="I254" s="4"/>
      <c r="J254" s="4"/>
      <c r="K254" s="4"/>
      <c r="L254" s="19"/>
      <c r="M254" s="1512" t="s">
        <v>2641</v>
      </c>
      <c r="N254" s="1512"/>
      <c r="O254" s="1512"/>
      <c r="P254" s="1512"/>
      <c r="Q254" s="1512"/>
      <c r="R254" s="1512"/>
      <c r="S254" s="1512"/>
      <c r="T254" s="1512"/>
      <c r="U254" s="1512"/>
      <c r="V254" s="1512"/>
      <c r="W254" s="1512"/>
      <c r="X254" s="1512"/>
      <c r="Y254" s="1512"/>
      <c r="Z254" s="1512"/>
      <c r="AA254" s="1512"/>
      <c r="AB254" s="1512"/>
      <c r="AC254" s="1512"/>
      <c r="AD254" s="1512"/>
      <c r="AE254" s="1512"/>
      <c r="AH254" s="1580">
        <v>5.0000000000000001E-3</v>
      </c>
      <c r="AI254" s="1580"/>
      <c r="AJ254" s="1580"/>
      <c r="AK254" s="1580"/>
      <c r="AL254" s="4"/>
      <c r="AM254" s="4"/>
      <c r="AN254" s="4"/>
      <c r="AO254" s="4"/>
      <c r="AP254" s="4"/>
      <c r="AQ254" s="4"/>
      <c r="AR254" s="4"/>
      <c r="AS254" s="4"/>
      <c r="AT254" s="4"/>
    </row>
    <row r="255" spans="1:71" ht="13" customHeight="1">
      <c r="A255" s="19"/>
      <c r="B255" s="4"/>
      <c r="C255" s="4"/>
      <c r="D255" s="4" t="s">
        <v>88</v>
      </c>
      <c r="E255" s="4"/>
      <c r="F255" s="4"/>
      <c r="M255" s="1394" t="str">
        <f>M236</f>
        <v>408-647-4720</v>
      </c>
      <c r="N255" s="1394"/>
      <c r="O255" s="1394"/>
      <c r="P255" s="1394"/>
      <c r="Q255" s="1394"/>
      <c r="R255" s="1394"/>
      <c r="S255" s="4" t="s">
        <v>207</v>
      </c>
      <c r="T255" s="4"/>
      <c r="U255" s="1386"/>
      <c r="V255" s="1386"/>
      <c r="W255" s="1386"/>
      <c r="X255" s="4" t="s">
        <v>89</v>
      </c>
      <c r="Z255" s="1394"/>
      <c r="AA255" s="1394"/>
      <c r="AB255" s="1394"/>
      <c r="AC255" s="1394"/>
      <c r="AD255" s="1394"/>
      <c r="AE255" s="1394"/>
      <c r="AU255" s="4"/>
      <c r="AV255" s="4"/>
      <c r="AW255" s="4"/>
      <c r="AX255" s="4"/>
      <c r="AY255" s="4"/>
      <c r="BN255" s="34"/>
    </row>
    <row r="256" spans="1:71" ht="13" customHeight="1">
      <c r="A256" s="19"/>
      <c r="B256" s="4"/>
      <c r="C256" s="4"/>
      <c r="D256" s="4" t="s">
        <v>90</v>
      </c>
      <c r="E256" s="4"/>
      <c r="F256" s="4"/>
      <c r="M256" s="1556" t="str">
        <f>M248</f>
        <v>csh.edeshousing@cshousing.org</v>
      </c>
      <c r="N256" s="1556"/>
      <c r="O256" s="1556"/>
      <c r="P256" s="1556"/>
      <c r="Q256" s="1556"/>
      <c r="R256" s="1556"/>
      <c r="S256" s="1556"/>
      <c r="T256" s="1556"/>
      <c r="U256" s="1556"/>
      <c r="V256" s="1556"/>
      <c r="W256" s="1556"/>
      <c r="X256" s="1556"/>
      <c r="Y256" s="1556"/>
      <c r="Z256" s="1556"/>
      <c r="AA256" s="1556"/>
      <c r="AB256" s="1556"/>
      <c r="AC256" s="1556"/>
      <c r="AD256" s="1556"/>
      <c r="AE256" s="1556"/>
      <c r="AG256" s="4"/>
      <c r="AH256" s="4"/>
      <c r="AI256" s="4"/>
      <c r="AJ256" s="4"/>
      <c r="AK256" s="4"/>
      <c r="AL256" s="4"/>
      <c r="AM256" s="4"/>
      <c r="AN256" s="4"/>
      <c r="AO256" s="4"/>
      <c r="AP256" s="4"/>
      <c r="AQ256" s="4"/>
      <c r="AR256" s="4"/>
      <c r="AS256" s="4"/>
      <c r="AT256" s="4"/>
      <c r="AU256" s="3"/>
      <c r="AV256" s="3"/>
      <c r="AW256" s="3"/>
      <c r="AX256" s="3"/>
      <c r="AY256" s="3"/>
      <c r="BN256" s="34"/>
    </row>
    <row r="257" spans="1:66" ht="13" customHeight="1">
      <c r="A257" s="13"/>
      <c r="B257" s="4"/>
      <c r="C257" s="56"/>
      <c r="D257" s="4" t="s">
        <v>544</v>
      </c>
      <c r="E257" s="4"/>
      <c r="F257" s="4"/>
      <c r="G257" s="4"/>
      <c r="H257" s="4"/>
      <c r="I257" s="4"/>
      <c r="J257" s="4"/>
      <c r="K257" s="4"/>
      <c r="L257" s="4"/>
      <c r="M257" s="1395" t="s">
        <v>543</v>
      </c>
      <c r="N257" s="1395"/>
      <c r="O257" s="1395"/>
      <c r="P257" s="1395"/>
      <c r="Q257" s="1395"/>
      <c r="R257" s="1395"/>
      <c r="S257" s="1395"/>
      <c r="T257" s="1395"/>
      <c r="U257" s="218" t="s">
        <v>922</v>
      </c>
      <c r="V257" s="218"/>
      <c r="W257" s="218"/>
      <c r="X257" s="218"/>
      <c r="Y257" s="218"/>
      <c r="Z257" s="218"/>
      <c r="AA257" s="1561"/>
      <c r="AB257" s="1561"/>
      <c r="AC257" s="1561"/>
      <c r="AD257" s="1561"/>
      <c r="AE257" s="1561"/>
      <c r="AF257" s="1561"/>
      <c r="AG257" s="1561"/>
      <c r="AH257" s="1561"/>
      <c r="AI257" s="1561"/>
      <c r="AJ257" s="1561"/>
      <c r="AK257" s="1561"/>
      <c r="AL257" s="3"/>
      <c r="AM257" s="3"/>
      <c r="AN257" s="3"/>
      <c r="AO257" s="3"/>
      <c r="AP257" s="3"/>
      <c r="AQ257" s="3"/>
      <c r="AR257" s="3"/>
      <c r="AS257" s="3"/>
      <c r="AT257" s="3"/>
      <c r="AU257" s="3"/>
      <c r="AV257" s="3"/>
      <c r="AW257" s="3"/>
      <c r="AX257" s="3"/>
      <c r="AY257" s="3"/>
      <c r="BN257" s="34"/>
    </row>
    <row r="258" spans="1:66"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 customHeight="1">
      <c r="A259" s="13"/>
      <c r="B259" s="4"/>
      <c r="C259" s="56" t="s">
        <v>889</v>
      </c>
      <c r="D259" s="4" t="s">
        <v>541</v>
      </c>
      <c r="E259" s="4"/>
      <c r="F259" s="4"/>
      <c r="G259" s="4"/>
      <c r="H259" s="4"/>
      <c r="I259" s="4"/>
      <c r="J259" s="4"/>
      <c r="K259" s="4"/>
      <c r="L259" s="4"/>
      <c r="M259" s="1554"/>
      <c r="N259" s="1555"/>
      <c r="O259" s="1555"/>
      <c r="P259" s="1555"/>
      <c r="Q259" s="1555"/>
      <c r="R259" s="1555"/>
      <c r="S259" s="1555"/>
      <c r="T259" s="1555"/>
      <c r="U259" s="1555"/>
      <c r="V259" s="1555"/>
      <c r="W259" s="1555"/>
      <c r="X259" s="1555"/>
      <c r="Y259" s="1555"/>
      <c r="Z259" s="1555"/>
      <c r="AA259" s="1555"/>
      <c r="AB259" s="1555"/>
      <c r="AC259" s="1555"/>
      <c r="AD259" s="1555"/>
      <c r="AE259" s="1555"/>
      <c r="AF259" s="1555" t="s">
        <v>308</v>
      </c>
      <c r="AG259" s="1555"/>
      <c r="AH259" s="1555"/>
      <c r="AI259" s="1555"/>
      <c r="AJ259" s="1555"/>
      <c r="AK259" s="1555"/>
      <c r="AL259" s="3"/>
      <c r="AM259" s="3"/>
      <c r="AN259" s="3"/>
      <c r="AO259" s="3"/>
      <c r="AP259" s="3"/>
      <c r="AQ259" s="3"/>
      <c r="AR259" s="3"/>
      <c r="AS259" s="3"/>
      <c r="AT259" s="3"/>
      <c r="AU259" s="3"/>
      <c r="AV259" s="3"/>
      <c r="AW259" s="3"/>
      <c r="AX259" s="3"/>
      <c r="AY259" s="3"/>
      <c r="BN259" s="34"/>
    </row>
    <row r="260" spans="1:66" ht="13" customHeight="1">
      <c r="A260" s="13"/>
      <c r="B260" s="4"/>
      <c r="C260" s="4"/>
      <c r="D260" s="4" t="s">
        <v>85</v>
      </c>
      <c r="E260" s="4"/>
      <c r="F260" s="4"/>
      <c r="G260" s="4"/>
      <c r="H260" s="4"/>
      <c r="I260" s="4"/>
      <c r="J260" s="4"/>
      <c r="K260" s="4"/>
      <c r="L260" s="4"/>
      <c r="M260" s="1512"/>
      <c r="N260" s="1512"/>
      <c r="O260" s="1512"/>
      <c r="P260" s="1512"/>
      <c r="Q260" s="1512"/>
      <c r="R260" s="1512"/>
      <c r="S260" s="1512"/>
      <c r="T260" s="1512"/>
      <c r="U260" s="1512"/>
      <c r="V260" s="1512"/>
      <c r="W260" s="1512"/>
      <c r="X260" s="1512"/>
      <c r="Y260" s="1512"/>
      <c r="Z260" s="1512"/>
      <c r="AA260" s="1512"/>
      <c r="AB260" s="1512"/>
      <c r="AC260" s="1512"/>
      <c r="AD260" s="1512"/>
      <c r="AE260" s="1512"/>
      <c r="AF260" s="3" t="s">
        <v>1286</v>
      </c>
      <c r="AL260" s="3"/>
      <c r="AM260" s="3"/>
      <c r="AN260" s="3"/>
      <c r="AO260" s="3"/>
      <c r="AP260" s="3"/>
      <c r="AQ260" s="3"/>
      <c r="AR260" s="3"/>
      <c r="AS260" s="3"/>
      <c r="AT260" s="3"/>
      <c r="AU260" s="3"/>
      <c r="AV260" s="3"/>
      <c r="AW260" s="3"/>
      <c r="AX260" s="3"/>
      <c r="AY260" s="3"/>
      <c r="BN260" s="34"/>
    </row>
    <row r="261" spans="1:66" ht="13" customHeight="1">
      <c r="A261" s="13"/>
      <c r="B261" s="4"/>
      <c r="C261" s="4"/>
      <c r="D261" s="4" t="s">
        <v>589</v>
      </c>
      <c r="E261" s="4"/>
      <c r="M261" s="1512"/>
      <c r="N261" s="1512"/>
      <c r="O261" s="1512"/>
      <c r="P261" s="1512"/>
      <c r="Q261" s="1512"/>
      <c r="R261" s="1512"/>
      <c r="S261" s="1512"/>
      <c r="T261" s="1512"/>
      <c r="V261" s="33" t="s">
        <v>86</v>
      </c>
      <c r="W261" s="1386"/>
      <c r="X261" s="1386"/>
      <c r="Y261" s="4" t="s">
        <v>592</v>
      </c>
      <c r="AC261" s="1512"/>
      <c r="AD261" s="1512"/>
      <c r="AE261" s="1512"/>
      <c r="AF261" s="3" t="s">
        <v>1287</v>
      </c>
      <c r="AL261" s="3"/>
      <c r="AM261" s="3"/>
      <c r="AN261" s="3"/>
      <c r="AO261" s="3"/>
      <c r="AP261" s="3"/>
      <c r="AQ261" s="3"/>
      <c r="AR261" s="3"/>
      <c r="AS261" s="3"/>
      <c r="AT261" s="3"/>
      <c r="AU261" s="3"/>
      <c r="AV261" s="3"/>
      <c r="AW261" s="3"/>
      <c r="AX261" s="3"/>
      <c r="AY261" s="3"/>
      <c r="BN261" s="34"/>
    </row>
    <row r="262" spans="1:66" ht="13" customHeight="1">
      <c r="A262" s="13"/>
      <c r="B262" s="4"/>
      <c r="C262" s="4"/>
      <c r="D262" s="4" t="s">
        <v>87</v>
      </c>
      <c r="E262" s="4"/>
      <c r="F262" s="4"/>
      <c r="G262" s="4"/>
      <c r="H262" s="4"/>
      <c r="I262" s="4"/>
      <c r="J262" s="4"/>
      <c r="K262" s="4"/>
      <c r="L262" s="19"/>
      <c r="M262" s="1512"/>
      <c r="N262" s="1512"/>
      <c r="O262" s="1512"/>
      <c r="P262" s="1512"/>
      <c r="Q262" s="1512"/>
      <c r="R262" s="1512"/>
      <c r="S262" s="1512"/>
      <c r="T262" s="1512"/>
      <c r="U262" s="1512"/>
      <c r="V262" s="1512"/>
      <c r="W262" s="1512"/>
      <c r="X262" s="1512"/>
      <c r="Y262" s="1512"/>
      <c r="Z262" s="1512"/>
      <c r="AA262" s="1512"/>
      <c r="AB262" s="1512"/>
      <c r="AC262" s="1512"/>
      <c r="AD262" s="1512"/>
      <c r="AE262" s="1512"/>
      <c r="AH262" s="1580"/>
      <c r="AI262" s="1580"/>
      <c r="AJ262" s="1580"/>
      <c r="AK262" s="1580"/>
      <c r="AL262" s="3"/>
      <c r="AM262" s="3"/>
      <c r="AN262" s="3"/>
      <c r="AO262" s="3"/>
      <c r="AP262" s="3"/>
      <c r="AQ262" s="3"/>
      <c r="AR262" s="3"/>
      <c r="AS262" s="3"/>
      <c r="AT262" s="3"/>
      <c r="AU262" s="3"/>
      <c r="AV262" s="3"/>
      <c r="AW262" s="3"/>
      <c r="AX262" s="3"/>
      <c r="AY262" s="3"/>
      <c r="BN262" s="34"/>
    </row>
    <row r="263" spans="1:66" ht="13" customHeight="1">
      <c r="A263" s="13"/>
      <c r="B263" s="4"/>
      <c r="C263" s="4"/>
      <c r="D263" s="4" t="s">
        <v>88</v>
      </c>
      <c r="E263" s="4"/>
      <c r="F263" s="4"/>
      <c r="M263" s="1394"/>
      <c r="N263" s="1394"/>
      <c r="O263" s="1394"/>
      <c r="P263" s="1394"/>
      <c r="Q263" s="1394"/>
      <c r="R263" s="1394"/>
      <c r="S263" s="4" t="s">
        <v>207</v>
      </c>
      <c r="T263" s="4"/>
      <c r="U263" s="1386"/>
      <c r="V263" s="1386"/>
      <c r="W263" s="1386"/>
      <c r="X263" s="4" t="s">
        <v>89</v>
      </c>
      <c r="Z263" s="1394"/>
      <c r="AA263" s="1394"/>
      <c r="AB263" s="1394"/>
      <c r="AC263" s="1394"/>
      <c r="AD263" s="1394"/>
      <c r="AE263" s="1394"/>
      <c r="AL263" s="3"/>
      <c r="AM263" s="3"/>
      <c r="AN263" s="3"/>
      <c r="AO263" s="3"/>
      <c r="AP263" s="3"/>
      <c r="AQ263" s="3"/>
      <c r="AR263" s="3"/>
      <c r="AS263" s="3"/>
      <c r="AT263" s="3"/>
      <c r="AU263" s="3"/>
      <c r="AV263" s="3"/>
      <c r="AW263" s="3"/>
      <c r="AX263" s="3"/>
      <c r="AY263" s="3"/>
      <c r="BN263" s="34"/>
    </row>
    <row r="264" spans="1:66" ht="13" customHeight="1">
      <c r="A264" s="13"/>
      <c r="B264" s="4"/>
      <c r="C264" s="4"/>
      <c r="D264" s="4" t="s">
        <v>90</v>
      </c>
      <c r="E264" s="4"/>
      <c r="F264" s="4"/>
      <c r="M264" s="1556"/>
      <c r="N264" s="1556"/>
      <c r="O264" s="1556"/>
      <c r="P264" s="1556"/>
      <c r="Q264" s="1556"/>
      <c r="R264" s="1556"/>
      <c r="S264" s="1556"/>
      <c r="T264" s="1556"/>
      <c r="U264" s="1556"/>
      <c r="V264" s="1556"/>
      <c r="W264" s="1556"/>
      <c r="X264" s="1556"/>
      <c r="Y264" s="1556"/>
      <c r="Z264" s="1556"/>
      <c r="AA264" s="1560"/>
      <c r="AB264" s="1560"/>
      <c r="AC264" s="1560"/>
      <c r="AD264" s="1560"/>
      <c r="AE264" s="1560"/>
      <c r="AG264" s="4"/>
      <c r="AH264" s="4"/>
      <c r="AI264" s="4"/>
      <c r="AJ264" s="4"/>
      <c r="AK264" s="4"/>
      <c r="AL264" s="3"/>
      <c r="AM264" s="3"/>
      <c r="AN264" s="3"/>
      <c r="AO264" s="3"/>
      <c r="AP264" s="3"/>
      <c r="AQ264" s="3"/>
      <c r="AR264" s="3"/>
      <c r="AS264" s="3"/>
      <c r="AT264" s="3"/>
      <c r="AU264" s="3"/>
      <c r="AV264" s="3"/>
      <c r="AW264" s="3"/>
      <c r="AX264" s="3"/>
      <c r="AY264" s="3"/>
      <c r="BN264" s="34"/>
    </row>
    <row r="265" spans="1:66" ht="13" customHeight="1">
      <c r="A265" s="13"/>
      <c r="B265" s="4"/>
      <c r="C265" s="56"/>
      <c r="D265" s="4" t="s">
        <v>544</v>
      </c>
      <c r="E265" s="4"/>
      <c r="F265" s="4"/>
      <c r="G265" s="4"/>
      <c r="H265" s="4"/>
      <c r="I265" s="4"/>
      <c r="J265" s="4"/>
      <c r="K265" s="4"/>
      <c r="L265" s="4"/>
      <c r="M265" s="1395"/>
      <c r="N265" s="1395"/>
      <c r="O265" s="1395"/>
      <c r="P265" s="1395"/>
      <c r="Q265" s="1395"/>
      <c r="R265" s="1395"/>
      <c r="S265" s="1395"/>
      <c r="T265" s="1395"/>
      <c r="U265" s="218" t="s">
        <v>922</v>
      </c>
      <c r="V265" s="218"/>
      <c r="W265" s="218"/>
      <c r="X265" s="218"/>
      <c r="Y265" s="218"/>
      <c r="Z265" s="218"/>
      <c r="AA265" s="1562"/>
      <c r="AB265" s="1562"/>
      <c r="AC265" s="1562"/>
      <c r="AD265" s="1562"/>
      <c r="AE265" s="1562"/>
      <c r="AF265" s="1562"/>
      <c r="AG265" s="1562"/>
      <c r="AH265" s="1562"/>
      <c r="AI265" s="1562"/>
      <c r="AJ265" s="1562"/>
      <c r="AK265" s="1562"/>
      <c r="AL265" s="3"/>
      <c r="AM265" s="3"/>
      <c r="AN265" s="3"/>
      <c r="AO265" s="3"/>
      <c r="AP265" s="3"/>
      <c r="AQ265" s="3"/>
      <c r="AR265" s="3"/>
      <c r="AS265" s="3"/>
      <c r="AT265" s="3"/>
      <c r="BN265" s="34"/>
    </row>
    <row r="266" spans="1:66"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 customHeight="1">
      <c r="A267" s="57" t="s">
        <v>599</v>
      </c>
      <c r="B267" s="4"/>
      <c r="C267" s="2" t="s">
        <v>296</v>
      </c>
      <c r="D267" s="4"/>
      <c r="E267" s="4"/>
      <c r="F267" s="4"/>
      <c r="G267" s="4"/>
      <c r="H267" s="4"/>
      <c r="I267" s="4"/>
      <c r="J267" s="4"/>
      <c r="K267" s="4"/>
      <c r="L267" s="4"/>
      <c r="M267" s="35"/>
      <c r="N267" s="35"/>
      <c r="O267" s="35"/>
      <c r="P267" s="35"/>
      <c r="Q267" s="35"/>
      <c r="T267" s="1558">
        <f>IFERROR(BO245,"")</f>
        <v>0</v>
      </c>
      <c r="U267" s="1558"/>
      <c r="V267" s="1558"/>
      <c r="W267" s="1558"/>
      <c r="X267" s="1558"/>
      <c r="Z267" s="331" t="s">
        <v>974</v>
      </c>
      <c r="AA267" s="332"/>
      <c r="AB267" s="332"/>
      <c r="AC267" s="332"/>
      <c r="AD267" s="105"/>
      <c r="AE267" s="105"/>
      <c r="AF267" s="105"/>
      <c r="AG267" s="105"/>
      <c r="AH267" s="105"/>
      <c r="AI267" s="105"/>
      <c r="AJ267" s="105"/>
      <c r="AK267" s="333"/>
      <c r="AL267" s="58"/>
      <c r="BN267" s="34"/>
    </row>
    <row r="268" spans="1:66" ht="13"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3"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3" customHeight="1">
      <c r="A270" s="4"/>
      <c r="B270" s="36">
        <v>0</v>
      </c>
      <c r="D270" s="1512" t="s">
        <v>173</v>
      </c>
      <c r="E270" s="1512"/>
      <c r="F270" s="1512"/>
      <c r="G270" s="1512"/>
      <c r="H270" s="1512"/>
      <c r="J270" t="s">
        <v>280</v>
      </c>
      <c r="X270" s="1557">
        <v>45519</v>
      </c>
      <c r="Y270" s="1557"/>
      <c r="Z270" s="1557"/>
      <c r="AA270" s="1557"/>
      <c r="AB270" s="1557"/>
      <c r="AC270" s="1557"/>
      <c r="AU270" s="3"/>
      <c r="AV270" s="3"/>
      <c r="AW270" s="3"/>
      <c r="AX270" s="3"/>
      <c r="AY270" s="3"/>
      <c r="BN270" s="34"/>
    </row>
    <row r="271" spans="1:66" ht="13"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 customHeight="1">
      <c r="D274" s="4" t="s">
        <v>297</v>
      </c>
      <c r="E274" s="4"/>
      <c r="F274" s="4"/>
      <c r="G274" s="4"/>
      <c r="H274" s="4"/>
      <c r="I274" s="4"/>
      <c r="J274" s="4"/>
      <c r="K274" s="4"/>
      <c r="L274" s="1554" t="s">
        <v>2650</v>
      </c>
      <c r="M274" s="1555"/>
      <c r="N274" s="1555"/>
      <c r="O274" s="1555"/>
      <c r="P274" s="1555"/>
      <c r="Q274" s="1555"/>
      <c r="R274" s="1555"/>
      <c r="S274" s="1555"/>
      <c r="T274" s="1555"/>
      <c r="U274" s="1555"/>
      <c r="V274" s="1555"/>
      <c r="W274" s="1555"/>
      <c r="X274" s="1555"/>
      <c r="Y274" s="1555"/>
      <c r="Z274" s="1555"/>
      <c r="AA274" s="1555"/>
      <c r="AB274" s="1555"/>
      <c r="AC274" s="1555"/>
      <c r="AD274" s="1555"/>
      <c r="AE274" s="1555"/>
      <c r="AF274" s="1555"/>
      <c r="AG274" s="1555"/>
      <c r="AH274" s="1555"/>
      <c r="AI274" s="1555"/>
      <c r="AJ274" s="1555"/>
      <c r="AK274" s="3"/>
      <c r="AL274" s="3"/>
      <c r="AM274" s="3"/>
      <c r="AN274" s="3"/>
      <c r="AO274" s="3"/>
      <c r="AP274" s="3"/>
      <c r="AQ274" s="3"/>
      <c r="AR274" s="3"/>
      <c r="AS274" s="3"/>
      <c r="AT274" s="3"/>
      <c r="AU274" s="3"/>
      <c r="AV274" s="3"/>
      <c r="AW274" s="3"/>
      <c r="AX274" s="3"/>
      <c r="AY274" s="3"/>
      <c r="BN274" s="34"/>
    </row>
    <row r="275" spans="1:66" ht="13" customHeight="1">
      <c r="D275" s="4" t="s">
        <v>85</v>
      </c>
      <c r="E275" s="4"/>
      <c r="F275" s="4"/>
      <c r="G275" s="4"/>
      <c r="H275" s="4"/>
      <c r="I275" s="4"/>
      <c r="J275" s="4"/>
      <c r="K275" s="4"/>
      <c r="L275" s="1512" t="s">
        <v>2703</v>
      </c>
      <c r="M275" s="1512"/>
      <c r="N275" s="1512"/>
      <c r="O275" s="1512"/>
      <c r="P275" s="1512"/>
      <c r="Q275" s="1512"/>
      <c r="R275" s="1512"/>
      <c r="S275" s="1512"/>
      <c r="T275" s="1512"/>
      <c r="U275" s="1512"/>
      <c r="V275" s="1512"/>
      <c r="W275" s="1512"/>
      <c r="X275" s="1512"/>
      <c r="Y275" s="1512"/>
      <c r="Z275" s="1512"/>
      <c r="AA275" s="1512"/>
      <c r="AB275" s="1512"/>
      <c r="AC275" s="1512"/>
      <c r="AD275" s="1512"/>
      <c r="AK275" s="3"/>
      <c r="AL275" s="3"/>
      <c r="AM275" s="3"/>
      <c r="AN275" s="3"/>
      <c r="AO275" s="3"/>
      <c r="AP275" s="3"/>
      <c r="AQ275" s="3"/>
      <c r="AR275" s="3"/>
      <c r="AS275" s="3"/>
      <c r="AT275" s="3"/>
      <c r="AU275" s="3"/>
      <c r="AV275" s="3"/>
      <c r="AW275" s="3"/>
      <c r="AX275" s="3"/>
      <c r="AY275" s="3"/>
      <c r="BN275" s="34"/>
    </row>
    <row r="276" spans="1:66" ht="13" customHeight="1">
      <c r="D276" s="4" t="s">
        <v>589</v>
      </c>
      <c r="E276" s="4"/>
      <c r="L276" s="1512" t="s">
        <v>2647</v>
      </c>
      <c r="M276" s="1512"/>
      <c r="N276" s="1512"/>
      <c r="O276" s="1512"/>
      <c r="P276" s="1512"/>
      <c r="Q276" s="1512"/>
      <c r="R276" s="1512"/>
      <c r="S276" s="1512"/>
      <c r="U276" s="33" t="s">
        <v>86</v>
      </c>
      <c r="V276" s="1518" t="s">
        <v>2646</v>
      </c>
      <c r="W276" s="1386"/>
      <c r="X276" s="4" t="s">
        <v>592</v>
      </c>
      <c r="AB276" s="1512">
        <v>94024</v>
      </c>
      <c r="AC276" s="1512"/>
      <c r="AD276" s="1512"/>
      <c r="AK276" s="3"/>
      <c r="AL276" s="3"/>
      <c r="AM276" s="3"/>
      <c r="AN276" s="3"/>
      <c r="AO276" s="3"/>
      <c r="AP276" s="3"/>
      <c r="AQ276" s="3"/>
      <c r="AR276" s="3"/>
      <c r="AS276" s="3"/>
      <c r="AT276" s="3"/>
      <c r="AU276" s="3"/>
      <c r="AV276" s="3"/>
      <c r="AW276" s="3"/>
      <c r="AX276" s="3"/>
      <c r="AY276" s="3"/>
      <c r="BN276" s="34"/>
    </row>
    <row r="277" spans="1:66" ht="13" customHeight="1">
      <c r="D277" s="4" t="s">
        <v>87</v>
      </c>
      <c r="E277" s="4"/>
      <c r="F277" s="4"/>
      <c r="G277" s="4"/>
      <c r="H277" s="4"/>
      <c r="I277" s="4"/>
      <c r="J277" s="4"/>
      <c r="K277" s="19"/>
      <c r="L277" s="1396" t="s">
        <v>2641</v>
      </c>
      <c r="M277" s="1512"/>
      <c r="N277" s="1512"/>
      <c r="O277" s="1512"/>
      <c r="P277" s="1512"/>
      <c r="Q277" s="1512"/>
      <c r="R277" s="1512"/>
      <c r="S277" s="1512"/>
      <c r="T277" s="1512"/>
      <c r="U277" s="1512"/>
      <c r="V277" s="1512"/>
      <c r="W277" s="1512"/>
      <c r="X277" s="1512"/>
      <c r="Y277" s="1512"/>
      <c r="Z277" s="1512"/>
      <c r="AA277" s="1512"/>
      <c r="AB277" s="1512"/>
      <c r="AC277" s="1512"/>
      <c r="AD277" s="1512"/>
      <c r="AI277" s="4"/>
      <c r="AJ277" s="4"/>
      <c r="AK277" s="3"/>
      <c r="AL277" s="3"/>
      <c r="AM277" s="3"/>
      <c r="AN277" s="3"/>
      <c r="AO277" s="3"/>
      <c r="AP277" s="3"/>
      <c r="AQ277" s="3"/>
      <c r="AR277" s="3"/>
      <c r="AS277" s="3"/>
      <c r="AT277" s="3"/>
      <c r="BN277" s="34"/>
    </row>
    <row r="278" spans="1:66" ht="13" customHeight="1">
      <c r="D278" s="4" t="s">
        <v>88</v>
      </c>
      <c r="E278" s="4"/>
      <c r="F278" s="4"/>
      <c r="L278" s="1559" t="str">
        <f>M236</f>
        <v>408-647-4720</v>
      </c>
      <c r="M278" s="1394"/>
      <c r="N278" s="1394"/>
      <c r="O278" s="1394"/>
      <c r="P278" s="1394"/>
      <c r="Q278" s="1394"/>
      <c r="R278" s="4" t="s">
        <v>207</v>
      </c>
      <c r="S278" s="4"/>
      <c r="T278" s="1386"/>
      <c r="U278" s="1386"/>
      <c r="V278" s="1386"/>
      <c r="W278" s="4" t="s">
        <v>89</v>
      </c>
      <c r="Y278" s="1394"/>
      <c r="Z278" s="1394"/>
      <c r="AA278" s="1394"/>
      <c r="AB278" s="1394"/>
      <c r="AC278" s="1394"/>
      <c r="AD278" s="1394"/>
      <c r="BN278" s="34"/>
    </row>
    <row r="279" spans="1:66" ht="13" customHeight="1">
      <c r="D279" s="4" t="s">
        <v>90</v>
      </c>
      <c r="E279" s="4"/>
      <c r="F279" s="4"/>
      <c r="L279" s="1556" t="str">
        <f>M256</f>
        <v>csh.edeshousing@cshousing.org</v>
      </c>
      <c r="M279" s="1556"/>
      <c r="N279" s="1556"/>
      <c r="O279" s="1556"/>
      <c r="P279" s="1556"/>
      <c r="Q279" s="1556"/>
      <c r="R279" s="1556"/>
      <c r="S279" s="1556"/>
      <c r="T279" s="1556"/>
      <c r="U279" s="1556"/>
      <c r="V279" s="1556"/>
      <c r="W279" s="1556"/>
      <c r="X279" s="1556"/>
      <c r="Y279" s="1556"/>
      <c r="Z279" s="1556"/>
      <c r="AA279" s="1556"/>
      <c r="AB279" s="1556"/>
      <c r="AC279" s="1556"/>
      <c r="AD279" s="1556"/>
      <c r="AF279" s="4"/>
      <c r="AG279" s="4"/>
      <c r="AH279" s="4"/>
      <c r="AI279" s="4"/>
      <c r="AJ279" s="4"/>
      <c r="AU279" s="3"/>
      <c r="AV279" s="3"/>
      <c r="AW279" s="3"/>
      <c r="AX279" s="3"/>
      <c r="AY279" s="3"/>
      <c r="BN279" s="34"/>
    </row>
    <row r="280" spans="1:66" ht="13" customHeight="1">
      <c r="D280" s="3" t="s">
        <v>632</v>
      </c>
      <c r="E280" s="3"/>
      <c r="F280" s="3"/>
      <c r="G280" s="3"/>
      <c r="H280" s="3"/>
      <c r="I280" s="3"/>
      <c r="L280" s="1518" t="s">
        <v>2710</v>
      </c>
      <c r="M280" s="1518"/>
      <c r="N280" s="1518"/>
      <c r="O280" s="1518"/>
      <c r="P280" s="1518"/>
      <c r="Q280" s="1518"/>
      <c r="R280" s="1518"/>
      <c r="S280" s="1518"/>
      <c r="T280" s="1518"/>
      <c r="U280" s="1518"/>
      <c r="V280" s="1518"/>
      <c r="W280" s="1518"/>
      <c r="X280" s="1518"/>
      <c r="Y280" s="1518"/>
      <c r="Z280" s="1518"/>
      <c r="AA280" s="1518"/>
      <c r="AB280" s="1518"/>
      <c r="AC280" s="1518"/>
      <c r="AD280" s="1518"/>
      <c r="AK280" s="3"/>
      <c r="AL280" s="3"/>
      <c r="AM280" s="3"/>
      <c r="AN280" s="3"/>
      <c r="AO280" s="3"/>
      <c r="AP280" s="3"/>
      <c r="AQ280" s="3"/>
      <c r="AR280" s="3"/>
      <c r="AS280" s="3"/>
      <c r="AT280" s="3"/>
      <c r="BN280" s="34"/>
    </row>
    <row r="281" spans="1:66" ht="13" customHeight="1">
      <c r="L281" s="22" t="s">
        <v>633</v>
      </c>
      <c r="AU281" s="95"/>
      <c r="AV281" s="95"/>
      <c r="AW281" s="95"/>
      <c r="AX281" s="95"/>
      <c r="AY281" s="95"/>
      <c r="BN281" s="34"/>
    </row>
    <row r="282" spans="1:66" ht="13" customHeight="1">
      <c r="A282" s="1668" t="s">
        <v>550</v>
      </c>
      <c r="B282" s="1668"/>
      <c r="C282" s="1668"/>
      <c r="D282" s="1668"/>
      <c r="E282" s="1668"/>
      <c r="F282" s="1668"/>
      <c r="G282" s="1668"/>
      <c r="H282" s="1668"/>
      <c r="I282" s="1668"/>
      <c r="J282" s="1668"/>
      <c r="K282" s="1668"/>
      <c r="L282" s="1668"/>
      <c r="M282" s="1668"/>
      <c r="N282" s="1668"/>
      <c r="O282" s="1668"/>
      <c r="P282" s="1668"/>
      <c r="Q282" s="1668"/>
      <c r="R282" s="1668"/>
      <c r="S282" s="1668"/>
      <c r="T282" s="1668"/>
      <c r="U282" s="1668"/>
      <c r="V282" s="1668"/>
      <c r="W282" s="1668"/>
      <c r="X282" s="1668"/>
      <c r="Y282" s="1668"/>
      <c r="Z282" s="1668"/>
      <c r="AA282" s="1668"/>
      <c r="AB282" s="1668"/>
      <c r="AC282" s="1668"/>
      <c r="AD282" s="1668"/>
      <c r="AE282" s="1668"/>
      <c r="AF282" s="1668"/>
      <c r="AG282" s="1668"/>
      <c r="AH282" s="1668"/>
      <c r="AI282" s="1668"/>
      <c r="AJ282" s="1668"/>
      <c r="AK282" s="1668"/>
      <c r="AL282" s="1668"/>
      <c r="AM282" s="1668"/>
      <c r="AN282" s="1668"/>
      <c r="AO282" s="1668"/>
      <c r="AP282" s="1668"/>
      <c r="AQ282" s="1668"/>
      <c r="AR282" s="1668"/>
      <c r="AS282" s="1668"/>
      <c r="AT282" s="1668"/>
      <c r="AU282" s="95"/>
      <c r="AV282" s="95"/>
      <c r="AW282" s="95"/>
      <c r="AX282" s="95"/>
      <c r="AY282" s="95"/>
      <c r="BN282" s="34"/>
    </row>
    <row r="283" spans="1:66" ht="13" customHeight="1">
      <c r="A283" s="1668"/>
      <c r="B283" s="1668"/>
      <c r="C283" s="1668"/>
      <c r="D283" s="1668"/>
      <c r="E283" s="1668"/>
      <c r="F283" s="1668"/>
      <c r="G283" s="1668"/>
      <c r="H283" s="1668"/>
      <c r="I283" s="1668"/>
      <c r="J283" s="1668"/>
      <c r="K283" s="1668"/>
      <c r="L283" s="1668"/>
      <c r="M283" s="1668"/>
      <c r="N283" s="1668"/>
      <c r="O283" s="1668"/>
      <c r="P283" s="1668"/>
      <c r="Q283" s="1668"/>
      <c r="R283" s="1668"/>
      <c r="S283" s="1668"/>
      <c r="T283" s="1668"/>
      <c r="U283" s="1668"/>
      <c r="V283" s="1668"/>
      <c r="W283" s="1668"/>
      <c r="X283" s="1668"/>
      <c r="Y283" s="1668"/>
      <c r="Z283" s="1668"/>
      <c r="AA283" s="1668"/>
      <c r="AB283" s="1668"/>
      <c r="AC283" s="1668"/>
      <c r="AD283" s="1668"/>
      <c r="AE283" s="1668"/>
      <c r="AF283" s="1668"/>
      <c r="AG283" s="1668"/>
      <c r="AH283" s="1668"/>
      <c r="AI283" s="1668"/>
      <c r="AJ283" s="1668"/>
      <c r="AK283" s="1668"/>
      <c r="AL283" s="1668"/>
      <c r="AM283" s="1668"/>
      <c r="AN283" s="1668"/>
      <c r="AO283" s="1668"/>
      <c r="AP283" s="1668"/>
      <c r="AQ283" s="1668"/>
      <c r="AR283" s="1668"/>
      <c r="AS283" s="1668"/>
      <c r="AT283" s="1668"/>
      <c r="AU283" s="25"/>
      <c r="AV283" s="25"/>
      <c r="AW283" s="25"/>
      <c r="AX283" s="25"/>
      <c r="AY283" s="25"/>
      <c r="BN283" s="34"/>
    </row>
    <row r="284" spans="1:66"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 customHeight="1">
      <c r="B287" s="3" t="s">
        <v>635</v>
      </c>
      <c r="C287" s="3"/>
      <c r="D287" s="3"/>
      <c r="E287" s="3"/>
      <c r="F287" s="3"/>
      <c r="H287" s="1385" t="s">
        <v>2650</v>
      </c>
      <c r="I287" s="1385"/>
      <c r="J287" s="1385"/>
      <c r="K287" s="1385"/>
      <c r="L287" s="1385"/>
      <c r="M287" s="1385"/>
      <c r="N287" s="1385"/>
      <c r="O287" s="1385"/>
      <c r="P287" s="1385"/>
      <c r="Q287" s="1385"/>
      <c r="R287" s="1385"/>
      <c r="T287" s="3" t="s">
        <v>576</v>
      </c>
      <c r="V287" s="3"/>
      <c r="W287" s="3"/>
      <c r="X287" s="3"/>
      <c r="Y287" s="3"/>
      <c r="AA287" s="1396" t="s">
        <v>2712</v>
      </c>
      <c r="AB287" s="1385"/>
      <c r="AC287" s="1385"/>
      <c r="AD287" s="1385"/>
      <c r="AE287" s="1385"/>
      <c r="AF287" s="1385"/>
      <c r="AG287" s="1385"/>
      <c r="AH287" s="1385"/>
      <c r="AI287" s="1385"/>
      <c r="AJ287" s="1385"/>
      <c r="AK287" s="1385"/>
      <c r="BN287" s="34"/>
    </row>
    <row r="288" spans="1:66" ht="13" customHeight="1">
      <c r="B288" s="3" t="s">
        <v>480</v>
      </c>
      <c r="C288" s="3"/>
      <c r="D288" s="3"/>
      <c r="E288" s="3"/>
      <c r="F288" s="3"/>
      <c r="H288" s="1395" t="str">
        <f>L275</f>
        <v>1015 Saint Joseph Ave</v>
      </c>
      <c r="I288" s="1395"/>
      <c r="J288" s="1395"/>
      <c r="K288" s="1395"/>
      <c r="L288" s="1395"/>
      <c r="M288" s="1395"/>
      <c r="N288" s="1395"/>
      <c r="O288" s="1395"/>
      <c r="P288" s="1395"/>
      <c r="Q288" s="1395"/>
      <c r="R288" s="1395"/>
      <c r="T288" s="3" t="s">
        <v>480</v>
      </c>
      <c r="V288" s="3"/>
      <c r="W288" s="3"/>
      <c r="X288" s="3"/>
      <c r="Y288" s="3"/>
      <c r="AA288" s="1395" t="s">
        <v>2722</v>
      </c>
      <c r="AB288" s="1395"/>
      <c r="AC288" s="1395"/>
      <c r="AD288" s="1395"/>
      <c r="AE288" s="1395"/>
      <c r="AF288" s="1395"/>
      <c r="AG288" s="1395"/>
      <c r="AH288" s="1395"/>
      <c r="AI288" s="1395"/>
      <c r="AJ288" s="1395"/>
      <c r="AK288" s="1395"/>
      <c r="BN288" s="34"/>
    </row>
    <row r="289" spans="2:66" ht="13" customHeight="1">
      <c r="B289" s="3" t="s">
        <v>481</v>
      </c>
      <c r="C289" s="3"/>
      <c r="D289" s="3"/>
      <c r="E289" s="3"/>
      <c r="F289" s="3"/>
      <c r="H289" s="1395" t="s">
        <v>2653</v>
      </c>
      <c r="I289" s="1395"/>
      <c r="J289" s="1395"/>
      <c r="K289" s="1395"/>
      <c r="L289" s="1395"/>
      <c r="M289" s="1395"/>
      <c r="N289" s="1395"/>
      <c r="O289" s="1395"/>
      <c r="P289" s="1395"/>
      <c r="Q289" s="1395"/>
      <c r="R289" s="1395"/>
      <c r="T289" s="3" t="s">
        <v>75</v>
      </c>
      <c r="V289" s="3"/>
      <c r="W289" s="3"/>
      <c r="X289" s="3"/>
      <c r="Y289" s="3"/>
      <c r="AA289" s="1395" t="s">
        <v>2723</v>
      </c>
      <c r="AB289" s="1395"/>
      <c r="AC289" s="1395"/>
      <c r="AD289" s="1395"/>
      <c r="AE289" s="1395"/>
      <c r="AF289" s="1395"/>
      <c r="AG289" s="1395"/>
      <c r="AH289" s="1395"/>
      <c r="AI289" s="1395"/>
      <c r="AJ289" s="1395"/>
      <c r="AK289" s="1395"/>
      <c r="BN289" s="34"/>
    </row>
    <row r="290" spans="2:66" ht="13" customHeight="1">
      <c r="B290" s="3" t="s">
        <v>87</v>
      </c>
      <c r="C290" s="3"/>
      <c r="D290" s="3"/>
      <c r="E290" s="3"/>
      <c r="F290" s="3"/>
      <c r="H290" s="1395" t="str">
        <f>L277</f>
        <v>Punit Bhargava</v>
      </c>
      <c r="I290" s="1395"/>
      <c r="J290" s="1395"/>
      <c r="K290" s="1395"/>
      <c r="L290" s="1395"/>
      <c r="M290" s="1395"/>
      <c r="N290" s="1395"/>
      <c r="O290" s="1395"/>
      <c r="P290" s="1395"/>
      <c r="Q290" s="1395"/>
      <c r="R290" s="1395"/>
      <c r="T290" s="3" t="s">
        <v>87</v>
      </c>
      <c r="V290" s="3"/>
      <c r="W290" s="3"/>
      <c r="X290" s="3"/>
      <c r="Y290" s="3"/>
      <c r="AA290" s="1395" t="s">
        <v>2711</v>
      </c>
      <c r="AB290" s="1395"/>
      <c r="AC290" s="1395"/>
      <c r="AD290" s="1395"/>
      <c r="AE290" s="1395"/>
      <c r="AF290" s="1395"/>
      <c r="AG290" s="1395"/>
      <c r="AH290" s="1395"/>
      <c r="AI290" s="1395"/>
      <c r="AJ290" s="1395"/>
      <c r="AK290" s="1395"/>
      <c r="BN290" s="34"/>
    </row>
    <row r="291" spans="2:66" ht="13" customHeight="1">
      <c r="B291" s="3" t="s">
        <v>88</v>
      </c>
      <c r="C291" s="3"/>
      <c r="D291" s="3"/>
      <c r="E291" s="3"/>
      <c r="F291" s="3"/>
      <c r="G291" s="3"/>
      <c r="H291" s="1506" t="str">
        <f>M236</f>
        <v>408-647-4720</v>
      </c>
      <c r="I291" s="1506"/>
      <c r="J291" s="1506"/>
      <c r="K291" s="1506"/>
      <c r="L291" s="1506"/>
      <c r="M291" s="1506"/>
      <c r="N291" s="4" t="s">
        <v>207</v>
      </c>
      <c r="O291" s="4"/>
      <c r="P291" s="1512"/>
      <c r="Q291" s="1512"/>
      <c r="R291" s="1512"/>
      <c r="S291" s="3"/>
      <c r="T291" s="3" t="s">
        <v>88</v>
      </c>
      <c r="V291" s="3"/>
      <c r="W291" s="3"/>
      <c r="X291" s="3"/>
      <c r="Y291" s="3"/>
      <c r="AA291" s="1553" t="s">
        <v>2724</v>
      </c>
      <c r="AB291" s="1506"/>
      <c r="AC291" s="1506"/>
      <c r="AD291" s="1506"/>
      <c r="AE291" s="1506"/>
      <c r="AF291" s="1506"/>
      <c r="AG291" s="4" t="s">
        <v>207</v>
      </c>
      <c r="AH291" s="4"/>
      <c r="AI291" s="1512"/>
      <c r="AJ291" s="1512"/>
      <c r="AK291" s="1512"/>
      <c r="BN291" s="34"/>
    </row>
    <row r="292" spans="2:66" ht="13" customHeight="1">
      <c r="B292" s="3" t="s">
        <v>89</v>
      </c>
      <c r="C292" s="3"/>
      <c r="D292" s="3"/>
      <c r="E292" s="3"/>
      <c r="F292" s="3"/>
      <c r="G292" s="3"/>
      <c r="H292" s="1394"/>
      <c r="I292" s="1394"/>
      <c r="J292" s="1394"/>
      <c r="K292" s="1394"/>
      <c r="L292" s="1394"/>
      <c r="M292" s="1394"/>
      <c r="N292" s="4"/>
      <c r="O292" s="4"/>
      <c r="P292" s="35"/>
      <c r="Q292" s="35"/>
      <c r="R292" s="35"/>
      <c r="S292" s="3"/>
      <c r="T292" s="3" t="s">
        <v>89</v>
      </c>
      <c r="V292" s="3"/>
      <c r="W292" s="3"/>
      <c r="X292" s="3"/>
      <c r="Y292" s="3"/>
      <c r="AA292" s="1394"/>
      <c r="AB292" s="1394"/>
      <c r="AC292" s="1394"/>
      <c r="AD292" s="1394"/>
      <c r="AE292" s="1394"/>
      <c r="AF292" s="1394"/>
      <c r="AG292" s="4"/>
      <c r="AH292" s="4"/>
      <c r="AI292" s="35"/>
      <c r="AJ292" s="35"/>
      <c r="AK292" s="35"/>
      <c r="BN292" s="34"/>
    </row>
    <row r="293" spans="2:66" ht="13" customHeight="1">
      <c r="B293" s="3" t="s">
        <v>76</v>
      </c>
      <c r="C293" s="3"/>
      <c r="D293" s="3"/>
      <c r="E293" s="3"/>
      <c r="F293" s="3"/>
      <c r="G293" s="3"/>
      <c r="H293" s="1395" t="s">
        <v>2649</v>
      </c>
      <c r="I293" s="1395"/>
      <c r="J293" s="1395"/>
      <c r="K293" s="1395"/>
      <c r="L293" s="1395"/>
      <c r="M293" s="1395"/>
      <c r="N293" s="1385"/>
      <c r="O293" s="1385"/>
      <c r="P293" s="1385"/>
      <c r="Q293" s="1385"/>
      <c r="R293" s="1385"/>
      <c r="S293" s="3"/>
      <c r="T293" s="3" t="s">
        <v>76</v>
      </c>
      <c r="V293" s="3"/>
      <c r="W293" s="3"/>
      <c r="X293" s="3"/>
      <c r="Y293" s="3"/>
      <c r="AA293" s="1395" t="s">
        <v>2726</v>
      </c>
      <c r="AB293" s="1395"/>
      <c r="AC293" s="1395"/>
      <c r="AD293" s="1395"/>
      <c r="AE293" s="1395"/>
      <c r="AF293" s="1395"/>
      <c r="AG293" s="1385"/>
      <c r="AH293" s="1385"/>
      <c r="AI293" s="1385"/>
      <c r="AJ293" s="1385"/>
      <c r="AK293" s="1385"/>
      <c r="BN293" s="34"/>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 customHeight="1">
      <c r="B295" s="3" t="s">
        <v>324</v>
      </c>
      <c r="C295" s="3"/>
      <c r="D295" s="3"/>
      <c r="E295" s="3"/>
      <c r="F295" s="3"/>
      <c r="H295" s="1385" t="s">
        <v>2654</v>
      </c>
      <c r="I295" s="1385"/>
      <c r="J295" s="1385"/>
      <c r="K295" s="1385"/>
      <c r="L295" s="1385"/>
      <c r="M295" s="1385"/>
      <c r="N295" s="1385"/>
      <c r="O295" s="1385"/>
      <c r="P295" s="1385"/>
      <c r="Q295" s="1385"/>
      <c r="R295" s="1385"/>
      <c r="T295" s="3" t="s">
        <v>365</v>
      </c>
      <c r="V295" s="3"/>
      <c r="W295" s="3"/>
      <c r="X295" s="3"/>
      <c r="Y295" s="3"/>
      <c r="AA295" s="1396" t="s">
        <v>2713</v>
      </c>
      <c r="AB295" s="1385"/>
      <c r="AC295" s="1385"/>
      <c r="AD295" s="1385"/>
      <c r="AE295" s="1385"/>
      <c r="AF295" s="1385"/>
      <c r="AG295" s="1385"/>
      <c r="AH295" s="1385"/>
      <c r="AI295" s="1385"/>
      <c r="AJ295" s="1385"/>
      <c r="AK295" s="1385"/>
      <c r="BN295" s="34"/>
    </row>
    <row r="296" spans="2:66" ht="13" customHeight="1">
      <c r="B296" s="3" t="s">
        <v>480</v>
      </c>
      <c r="C296" s="3"/>
      <c r="D296" s="3"/>
      <c r="E296" s="3"/>
      <c r="F296" s="3"/>
      <c r="H296" s="1395" t="s">
        <v>2655</v>
      </c>
      <c r="I296" s="1395"/>
      <c r="J296" s="1395"/>
      <c r="K296" s="1395"/>
      <c r="L296" s="1395"/>
      <c r="M296" s="1395"/>
      <c r="N296" s="1395"/>
      <c r="O296" s="1395"/>
      <c r="P296" s="1395"/>
      <c r="Q296" s="1395"/>
      <c r="R296" s="1395"/>
      <c r="T296" s="3" t="s">
        <v>480</v>
      </c>
      <c r="V296" s="3"/>
      <c r="W296" s="3"/>
      <c r="X296" s="3"/>
      <c r="Y296" s="3"/>
      <c r="AA296" s="1395" t="str">
        <f>H288</f>
        <v>1015 Saint Joseph Ave</v>
      </c>
      <c r="AB296" s="1395"/>
      <c r="AC296" s="1395"/>
      <c r="AD296" s="1395"/>
      <c r="AE296" s="1395"/>
      <c r="AF296" s="1395"/>
      <c r="AG296" s="1395"/>
      <c r="AH296" s="1395"/>
      <c r="AI296" s="1395"/>
      <c r="AJ296" s="1395"/>
      <c r="AK296" s="1395"/>
      <c r="BN296" s="34"/>
    </row>
    <row r="297" spans="2:66" ht="13" customHeight="1">
      <c r="B297" s="3" t="s">
        <v>481</v>
      </c>
      <c r="C297" s="3"/>
      <c r="D297" s="3"/>
      <c r="E297" s="3"/>
      <c r="F297" s="3"/>
      <c r="H297" s="1395" t="s">
        <v>2656</v>
      </c>
      <c r="I297" s="1395"/>
      <c r="J297" s="1395"/>
      <c r="K297" s="1395"/>
      <c r="L297" s="1395"/>
      <c r="M297" s="1395"/>
      <c r="N297" s="1395"/>
      <c r="O297" s="1395"/>
      <c r="P297" s="1395"/>
      <c r="Q297" s="1395"/>
      <c r="R297" s="1395"/>
      <c r="T297" s="3" t="s">
        <v>75</v>
      </c>
      <c r="V297" s="3"/>
      <c r="W297" s="3"/>
      <c r="X297" s="3"/>
      <c r="Y297" s="3"/>
      <c r="AA297" s="1395" t="str">
        <f>H289</f>
        <v>Los Altos, CA, 94024</v>
      </c>
      <c r="AB297" s="1395"/>
      <c r="AC297" s="1395"/>
      <c r="AD297" s="1395"/>
      <c r="AE297" s="1395"/>
      <c r="AF297" s="1395"/>
      <c r="AG297" s="1395"/>
      <c r="AH297" s="1395"/>
      <c r="AI297" s="1395"/>
      <c r="AJ297" s="1395"/>
      <c r="AK297" s="1395"/>
      <c r="BN297" s="34"/>
    </row>
    <row r="298" spans="2:66" ht="13" customHeight="1">
      <c r="B298" s="3" t="s">
        <v>87</v>
      </c>
      <c r="C298" s="3"/>
      <c r="D298" s="3"/>
      <c r="E298" s="3"/>
      <c r="F298" s="3"/>
      <c r="H298" s="1395" t="s">
        <v>2657</v>
      </c>
      <c r="I298" s="1395"/>
      <c r="J298" s="1395"/>
      <c r="K298" s="1395"/>
      <c r="L298" s="1395"/>
      <c r="M298" s="1395"/>
      <c r="N298" s="1395"/>
      <c r="O298" s="1395"/>
      <c r="P298" s="1395"/>
      <c r="Q298" s="1395"/>
      <c r="R298" s="1395"/>
      <c r="T298" s="3" t="s">
        <v>87</v>
      </c>
      <c r="V298" s="3"/>
      <c r="W298" s="3"/>
      <c r="X298" s="3"/>
      <c r="Y298" s="3"/>
      <c r="AA298" s="1395" t="s">
        <v>2725</v>
      </c>
      <c r="AB298" s="1395"/>
      <c r="AC298" s="1395"/>
      <c r="AD298" s="1395"/>
      <c r="AE298" s="1395"/>
      <c r="AF298" s="1395"/>
      <c r="AG298" s="1395"/>
      <c r="AH298" s="1395"/>
      <c r="AI298" s="1395"/>
      <c r="AJ298" s="1395"/>
      <c r="AK298" s="1395"/>
      <c r="BN298" s="34"/>
    </row>
    <row r="299" spans="2:66" ht="13" customHeight="1">
      <c r="B299" s="3" t="s">
        <v>88</v>
      </c>
      <c r="C299" s="3"/>
      <c r="D299" s="3"/>
      <c r="E299" s="3"/>
      <c r="F299" s="3"/>
      <c r="G299" s="3"/>
      <c r="H299" s="1506" t="s">
        <v>2658</v>
      </c>
      <c r="I299" s="1506"/>
      <c r="J299" s="1506"/>
      <c r="K299" s="1506"/>
      <c r="L299" s="1506"/>
      <c r="M299" s="1506"/>
      <c r="N299" s="4" t="s">
        <v>207</v>
      </c>
      <c r="O299" s="4"/>
      <c r="P299" s="1512"/>
      <c r="Q299" s="1512"/>
      <c r="R299" s="1512"/>
      <c r="S299" s="3"/>
      <c r="T299" s="3" t="s">
        <v>88</v>
      </c>
      <c r="V299" s="3"/>
      <c r="W299" s="3"/>
      <c r="X299" s="3"/>
      <c r="Y299" s="3"/>
      <c r="AA299" s="1506"/>
      <c r="AB299" s="1506"/>
      <c r="AC299" s="1506"/>
      <c r="AD299" s="1506"/>
      <c r="AE299" s="1506"/>
      <c r="AF299" s="1506"/>
      <c r="AG299" s="4" t="s">
        <v>207</v>
      </c>
      <c r="AH299" s="4"/>
      <c r="AI299" s="1512"/>
      <c r="AJ299" s="1512"/>
      <c r="AK299" s="1512"/>
      <c r="BN299" s="34"/>
    </row>
    <row r="300" spans="2:66" ht="13" customHeight="1">
      <c r="B300" s="3" t="s">
        <v>89</v>
      </c>
      <c r="C300" s="3"/>
      <c r="D300" s="3"/>
      <c r="E300" s="3"/>
      <c r="F300" s="3"/>
      <c r="G300" s="3"/>
      <c r="H300" s="1394"/>
      <c r="I300" s="1394"/>
      <c r="J300" s="1394"/>
      <c r="K300" s="1394"/>
      <c r="L300" s="1394"/>
      <c r="M300" s="1394"/>
      <c r="N300" s="4"/>
      <c r="O300" s="4"/>
      <c r="P300" s="35"/>
      <c r="Q300" s="35"/>
      <c r="R300" s="35"/>
      <c r="S300" s="3"/>
      <c r="T300" s="3" t="s">
        <v>89</v>
      </c>
      <c r="V300" s="3"/>
      <c r="W300" s="3"/>
      <c r="X300" s="3"/>
      <c r="Y300" s="3"/>
      <c r="AA300" s="1394"/>
      <c r="AB300" s="1394"/>
      <c r="AC300" s="1394"/>
      <c r="AD300" s="1394"/>
      <c r="AE300" s="1394"/>
      <c r="AF300" s="1394"/>
      <c r="AG300" s="4"/>
      <c r="AH300" s="4"/>
      <c r="AI300" s="35"/>
      <c r="AJ300" s="35"/>
      <c r="AK300" s="35"/>
      <c r="BN300" s="34"/>
    </row>
    <row r="301" spans="2:66" ht="13" customHeight="1">
      <c r="B301" s="3" t="s">
        <v>76</v>
      </c>
      <c r="C301" s="3"/>
      <c r="D301" s="3"/>
      <c r="E301" s="3"/>
      <c r="F301" s="3"/>
      <c r="G301" s="3"/>
      <c r="H301" s="1395" t="s">
        <v>2659</v>
      </c>
      <c r="I301" s="1395"/>
      <c r="J301" s="1395"/>
      <c r="K301" s="1395"/>
      <c r="L301" s="1395"/>
      <c r="M301" s="1395"/>
      <c r="N301" s="1385"/>
      <c r="O301" s="1385"/>
      <c r="P301" s="1385"/>
      <c r="Q301" s="1385"/>
      <c r="R301" s="1385"/>
      <c r="S301" s="3"/>
      <c r="T301" s="3" t="s">
        <v>76</v>
      </c>
      <c r="V301" s="3"/>
      <c r="W301" s="3"/>
      <c r="X301" s="3"/>
      <c r="Y301" s="3"/>
      <c r="AA301" s="1395"/>
      <c r="AB301" s="1395"/>
      <c r="AC301" s="1395"/>
      <c r="AD301" s="1395"/>
      <c r="AE301" s="1395"/>
      <c r="AF301" s="1395"/>
      <c r="AG301" s="1385"/>
      <c r="AH301" s="1385"/>
      <c r="AI301" s="1385"/>
      <c r="AJ301" s="1385"/>
      <c r="AK301" s="1385"/>
      <c r="BN301" s="34"/>
    </row>
    <row r="302" spans="2:66" ht="13" customHeight="1">
      <c r="BN302" s="34"/>
    </row>
    <row r="303" spans="2:66" ht="13" customHeight="1">
      <c r="B303" s="3" t="s">
        <v>77</v>
      </c>
      <c r="C303" s="3"/>
      <c r="D303" s="3"/>
      <c r="E303" s="3"/>
      <c r="F303" s="3"/>
      <c r="H303" s="1385" t="s">
        <v>2727</v>
      </c>
      <c r="I303" s="1385"/>
      <c r="J303" s="1385"/>
      <c r="K303" s="1385"/>
      <c r="L303" s="1385"/>
      <c r="M303" s="1385"/>
      <c r="N303" s="1385"/>
      <c r="O303" s="1385"/>
      <c r="P303" s="1385"/>
      <c r="Q303" s="1385"/>
      <c r="R303" s="1385"/>
      <c r="T303" s="4" t="s">
        <v>891</v>
      </c>
      <c r="V303" s="3"/>
      <c r="W303" s="3"/>
      <c r="X303" s="3"/>
      <c r="Y303" s="3"/>
      <c r="AA303" s="1385" t="s">
        <v>2660</v>
      </c>
      <c r="AB303" s="1385"/>
      <c r="AC303" s="1385"/>
      <c r="AD303" s="1385"/>
      <c r="AE303" s="1385"/>
      <c r="AF303" s="1385"/>
      <c r="AG303" s="1385"/>
      <c r="AH303" s="1385"/>
      <c r="AI303" s="1385"/>
      <c r="AJ303" s="1385"/>
      <c r="AK303" s="1385"/>
      <c r="BN303" s="34"/>
    </row>
    <row r="304" spans="2:66" ht="13" customHeight="1">
      <c r="B304" s="3" t="s">
        <v>480</v>
      </c>
      <c r="C304" s="3"/>
      <c r="D304" s="3"/>
      <c r="E304" s="3"/>
      <c r="F304" s="3"/>
      <c r="H304" s="1395" t="s">
        <v>2728</v>
      </c>
      <c r="I304" s="1395"/>
      <c r="J304" s="1395"/>
      <c r="K304" s="1395"/>
      <c r="L304" s="1395"/>
      <c r="M304" s="1395"/>
      <c r="N304" s="1395"/>
      <c r="O304" s="1395"/>
      <c r="P304" s="1395"/>
      <c r="Q304" s="1395"/>
      <c r="R304" s="1395"/>
      <c r="T304" s="3" t="s">
        <v>480</v>
      </c>
      <c r="V304" s="3"/>
      <c r="W304" s="3"/>
      <c r="X304" s="3"/>
      <c r="Y304" s="3"/>
      <c r="AA304" s="1395" t="s">
        <v>2661</v>
      </c>
      <c r="AB304" s="1395"/>
      <c r="AC304" s="1395"/>
      <c r="AD304" s="1395"/>
      <c r="AE304" s="1395"/>
      <c r="AF304" s="1395"/>
      <c r="AG304" s="1395"/>
      <c r="AH304" s="1395"/>
      <c r="AI304" s="1395"/>
      <c r="AJ304" s="1395"/>
      <c r="AK304" s="1395"/>
      <c r="BN304" s="34"/>
    </row>
    <row r="305" spans="2:66" ht="13" customHeight="1">
      <c r="B305" s="3" t="s">
        <v>481</v>
      </c>
      <c r="C305" s="3"/>
      <c r="D305" s="3"/>
      <c r="E305" s="3"/>
      <c r="F305" s="3"/>
      <c r="H305" s="1395" t="s">
        <v>2730</v>
      </c>
      <c r="I305" s="1395"/>
      <c r="J305" s="1395"/>
      <c r="K305" s="1395"/>
      <c r="L305" s="1395"/>
      <c r="M305" s="1395"/>
      <c r="N305" s="1395"/>
      <c r="O305" s="1395"/>
      <c r="P305" s="1395"/>
      <c r="Q305" s="1395"/>
      <c r="R305" s="1395"/>
      <c r="T305" s="3" t="s">
        <v>75</v>
      </c>
      <c r="V305" s="3"/>
      <c r="W305" s="3"/>
      <c r="X305" s="3"/>
      <c r="Y305" s="3"/>
      <c r="AA305" s="1395" t="s">
        <v>2662</v>
      </c>
      <c r="AB305" s="1395"/>
      <c r="AC305" s="1395"/>
      <c r="AD305" s="1395"/>
      <c r="AE305" s="1395"/>
      <c r="AF305" s="1395"/>
      <c r="AG305" s="1395"/>
      <c r="AH305" s="1395"/>
      <c r="AI305" s="1395"/>
      <c r="AJ305" s="1395"/>
      <c r="AK305" s="1395"/>
      <c r="BN305" s="34"/>
    </row>
    <row r="306" spans="2:66" ht="13" customHeight="1">
      <c r="B306" s="3" t="s">
        <v>87</v>
      </c>
      <c r="C306" s="3"/>
      <c r="D306" s="3"/>
      <c r="E306" s="3"/>
      <c r="F306" s="3"/>
      <c r="H306" s="1518" t="s">
        <v>2731</v>
      </c>
      <c r="I306" s="1395"/>
      <c r="J306" s="1395"/>
      <c r="K306" s="1395"/>
      <c r="L306" s="1395"/>
      <c r="M306" s="1395"/>
      <c r="N306" s="1395"/>
      <c r="O306" s="1395"/>
      <c r="P306" s="1395"/>
      <c r="Q306" s="1395"/>
      <c r="R306" s="1395"/>
      <c r="T306" s="3" t="s">
        <v>87</v>
      </c>
      <c r="V306" s="3"/>
      <c r="W306" s="3"/>
      <c r="X306" s="3"/>
      <c r="Y306" s="3"/>
      <c r="AA306" s="1395" t="s">
        <v>2663</v>
      </c>
      <c r="AB306" s="1395"/>
      <c r="AC306" s="1395"/>
      <c r="AD306" s="1395"/>
      <c r="AE306" s="1395"/>
      <c r="AF306" s="1395"/>
      <c r="AG306" s="1395"/>
      <c r="AH306" s="1395"/>
      <c r="AI306" s="1395"/>
      <c r="AJ306" s="1395"/>
      <c r="AK306" s="1395"/>
      <c r="BN306" s="34"/>
    </row>
    <row r="307" spans="2:66" ht="13" customHeight="1">
      <c r="B307" s="3" t="s">
        <v>88</v>
      </c>
      <c r="C307" s="3"/>
      <c r="D307" s="3"/>
      <c r="E307" s="3"/>
      <c r="F307" s="3"/>
      <c r="G307" s="3"/>
      <c r="H307" s="1553" t="s">
        <v>2729</v>
      </c>
      <c r="I307" s="1506"/>
      <c r="J307" s="1506"/>
      <c r="K307" s="1506"/>
      <c r="L307" s="1506"/>
      <c r="M307" s="1506"/>
      <c r="N307" s="4" t="s">
        <v>207</v>
      </c>
      <c r="O307" s="4"/>
      <c r="P307" s="1512"/>
      <c r="Q307" s="1512"/>
      <c r="R307" s="1512"/>
      <c r="S307" s="3"/>
      <c r="T307" s="3" t="s">
        <v>88</v>
      </c>
      <c r="V307" s="3"/>
      <c r="W307" s="3"/>
      <c r="X307" s="3"/>
      <c r="Y307" s="3"/>
      <c r="AA307" s="1506" t="s">
        <v>2664</v>
      </c>
      <c r="AB307" s="1506"/>
      <c r="AC307" s="1506"/>
      <c r="AD307" s="1506"/>
      <c r="AE307" s="1506"/>
      <c r="AF307" s="1506"/>
      <c r="AG307" s="4" t="s">
        <v>207</v>
      </c>
      <c r="AH307" s="4"/>
      <c r="AI307" s="1512"/>
      <c r="AJ307" s="1512"/>
      <c r="AK307" s="1512"/>
      <c r="BN307" s="34"/>
    </row>
    <row r="308" spans="2:66" ht="13" customHeight="1">
      <c r="B308" s="3" t="s">
        <v>89</v>
      </c>
      <c r="C308" s="3"/>
      <c r="D308" s="3"/>
      <c r="E308" s="3"/>
      <c r="F308" s="3"/>
      <c r="G308" s="3"/>
      <c r="H308" s="1394"/>
      <c r="I308" s="1394"/>
      <c r="J308" s="1394"/>
      <c r="K308" s="1394"/>
      <c r="L308" s="1394"/>
      <c r="M308" s="1394"/>
      <c r="N308" s="4"/>
      <c r="O308" s="4"/>
      <c r="P308" s="35"/>
      <c r="Q308" s="35"/>
      <c r="R308" s="35"/>
      <c r="S308" s="3"/>
      <c r="T308" s="3" t="s">
        <v>89</v>
      </c>
      <c r="V308" s="3"/>
      <c r="W308" s="3"/>
      <c r="X308" s="3"/>
      <c r="Y308" s="3"/>
      <c r="AA308" s="1394" t="s">
        <v>2665</v>
      </c>
      <c r="AB308" s="1394"/>
      <c r="AC308" s="1394"/>
      <c r="AD308" s="1394"/>
      <c r="AE308" s="1394"/>
      <c r="AF308" s="1394"/>
      <c r="AG308" s="4"/>
      <c r="AH308" s="4"/>
      <c r="AI308" s="35"/>
      <c r="AJ308" s="35"/>
      <c r="AK308" s="35"/>
      <c r="BN308" s="34"/>
    </row>
    <row r="309" spans="2:66" ht="13" customHeight="1">
      <c r="B309" s="3" t="s">
        <v>76</v>
      </c>
      <c r="C309" s="3"/>
      <c r="D309" s="3"/>
      <c r="E309" s="3"/>
      <c r="F309" s="3"/>
      <c r="G309" s="3"/>
      <c r="H309" s="1518" t="s">
        <v>2732</v>
      </c>
      <c r="I309" s="1395"/>
      <c r="J309" s="1395"/>
      <c r="K309" s="1395"/>
      <c r="L309" s="1395"/>
      <c r="M309" s="1395"/>
      <c r="N309" s="1385"/>
      <c r="O309" s="1385"/>
      <c r="P309" s="1385"/>
      <c r="Q309" s="1385"/>
      <c r="R309" s="1385"/>
      <c r="S309" s="3"/>
      <c r="T309" s="3" t="s">
        <v>76</v>
      </c>
      <c r="V309" s="3"/>
      <c r="W309" s="3"/>
      <c r="X309" s="3"/>
      <c r="Y309" s="3"/>
      <c r="AA309" s="1395" t="s">
        <v>2666</v>
      </c>
      <c r="AB309" s="1395"/>
      <c r="AC309" s="1395"/>
      <c r="AD309" s="1395"/>
      <c r="AE309" s="1395"/>
      <c r="AF309" s="1395"/>
      <c r="AG309" s="1385"/>
      <c r="AH309" s="1385"/>
      <c r="AI309" s="1385"/>
      <c r="AJ309" s="1385"/>
      <c r="AK309" s="1385"/>
      <c r="BN309" s="34"/>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 customHeight="1">
      <c r="B311" s="4" t="s">
        <v>923</v>
      </c>
      <c r="C311" s="3"/>
      <c r="D311" s="3"/>
      <c r="E311" s="3"/>
      <c r="F311" s="3"/>
      <c r="H311" s="1385" t="s">
        <v>2727</v>
      </c>
      <c r="I311" s="1385"/>
      <c r="J311" s="1385"/>
      <c r="K311" s="1385"/>
      <c r="L311" s="1385"/>
      <c r="M311" s="1385"/>
      <c r="N311" s="1385"/>
      <c r="O311" s="1385"/>
      <c r="P311" s="1385"/>
      <c r="Q311" s="1385"/>
      <c r="R311" s="1385"/>
      <c r="S311" s="3"/>
      <c r="T311" s="3" t="s">
        <v>366</v>
      </c>
      <c r="V311" s="3"/>
      <c r="W311" s="3"/>
      <c r="X311" s="3"/>
      <c r="Y311" s="3"/>
      <c r="AA311" s="1385" t="s">
        <v>2760</v>
      </c>
      <c r="AB311" s="1385"/>
      <c r="AC311" s="1385"/>
      <c r="AD311" s="1385"/>
      <c r="AE311" s="1385"/>
      <c r="AF311" s="1385"/>
      <c r="AG311" s="1385"/>
      <c r="AH311" s="1385"/>
      <c r="AI311" s="1385"/>
      <c r="AJ311" s="1385"/>
      <c r="AK311" s="1385"/>
      <c r="BN311" s="34"/>
    </row>
    <row r="312" spans="2:66" ht="13" customHeight="1">
      <c r="B312" s="3" t="s">
        <v>480</v>
      </c>
      <c r="C312" s="3"/>
      <c r="D312" s="3"/>
      <c r="E312" s="3"/>
      <c r="F312" s="3"/>
      <c r="H312" s="1395" t="s">
        <v>2728</v>
      </c>
      <c r="I312" s="1395"/>
      <c r="J312" s="1395"/>
      <c r="K312" s="1395"/>
      <c r="L312" s="1395"/>
      <c r="M312" s="1395"/>
      <c r="N312" s="1395"/>
      <c r="O312" s="1395"/>
      <c r="P312" s="1395"/>
      <c r="Q312" s="1395"/>
      <c r="R312" s="1395"/>
      <c r="S312" s="3"/>
      <c r="T312" s="3" t="s">
        <v>480</v>
      </c>
      <c r="V312" s="3"/>
      <c r="W312" s="3"/>
      <c r="X312" s="3"/>
      <c r="Y312" s="3"/>
      <c r="AA312" s="1395"/>
      <c r="AB312" s="1395"/>
      <c r="AC312" s="1395"/>
      <c r="AD312" s="1395"/>
      <c r="AE312" s="1395"/>
      <c r="AF312" s="1395"/>
      <c r="AG312" s="1395"/>
      <c r="AH312" s="1395"/>
      <c r="AI312" s="1395"/>
      <c r="AJ312" s="1395"/>
      <c r="AK312" s="1395"/>
      <c r="BN312" s="34"/>
    </row>
    <row r="313" spans="2:66" ht="13" customHeight="1">
      <c r="B313" s="3" t="s">
        <v>481</v>
      </c>
      <c r="C313" s="3"/>
      <c r="D313" s="3"/>
      <c r="E313" s="3"/>
      <c r="F313" s="3"/>
      <c r="H313" s="1395" t="s">
        <v>2730</v>
      </c>
      <c r="I313" s="1395"/>
      <c r="J313" s="1395"/>
      <c r="K313" s="1395"/>
      <c r="L313" s="1395"/>
      <c r="M313" s="1395"/>
      <c r="N313" s="1395"/>
      <c r="O313" s="1395"/>
      <c r="P313" s="1395"/>
      <c r="Q313" s="1395"/>
      <c r="R313" s="1395"/>
      <c r="S313" s="3"/>
      <c r="T313" s="3" t="s">
        <v>75</v>
      </c>
      <c r="V313" s="3"/>
      <c r="W313" s="3"/>
      <c r="X313" s="3"/>
      <c r="Y313" s="3"/>
      <c r="AA313" s="1395"/>
      <c r="AB313" s="1395"/>
      <c r="AC313" s="1395"/>
      <c r="AD313" s="1395"/>
      <c r="AE313" s="1395"/>
      <c r="AF313" s="1395"/>
      <c r="AG313" s="1395"/>
      <c r="AH313" s="1395"/>
      <c r="AI313" s="1395"/>
      <c r="AJ313" s="1395"/>
      <c r="AK313" s="1395"/>
      <c r="BN313" s="34"/>
    </row>
    <row r="314" spans="2:66" ht="13" customHeight="1">
      <c r="B314" s="3" t="s">
        <v>87</v>
      </c>
      <c r="C314" s="3"/>
      <c r="D314" s="3"/>
      <c r="E314" s="3"/>
      <c r="F314" s="3"/>
      <c r="H314" s="1395" t="s">
        <v>2731</v>
      </c>
      <c r="I314" s="1395"/>
      <c r="J314" s="1395"/>
      <c r="K314" s="1395"/>
      <c r="L314" s="1395"/>
      <c r="M314" s="1395"/>
      <c r="N314" s="1395"/>
      <c r="O314" s="1395"/>
      <c r="P314" s="1395"/>
      <c r="Q314" s="1395"/>
      <c r="R314" s="1395"/>
      <c r="S314" s="3"/>
      <c r="T314" s="3" t="s">
        <v>87</v>
      </c>
      <c r="V314" s="3"/>
      <c r="W314" s="3"/>
      <c r="X314" s="3"/>
      <c r="Y314" s="3"/>
      <c r="AA314" s="1395"/>
      <c r="AB314" s="1395"/>
      <c r="AC314" s="1395"/>
      <c r="AD314" s="1395"/>
      <c r="AE314" s="1395"/>
      <c r="AF314" s="1395"/>
      <c r="AG314" s="1395"/>
      <c r="AH314" s="1395"/>
      <c r="AI314" s="1395"/>
      <c r="AJ314" s="1395"/>
      <c r="AK314" s="1395"/>
      <c r="BN314" s="34"/>
    </row>
    <row r="315" spans="2:66" ht="13" customHeight="1">
      <c r="B315" s="3" t="s">
        <v>88</v>
      </c>
      <c r="C315" s="3"/>
      <c r="D315" s="3"/>
      <c r="E315" s="3"/>
      <c r="F315" s="3"/>
      <c r="G315" s="3"/>
      <c r="H315" s="1506" t="s">
        <v>2729</v>
      </c>
      <c r="I315" s="1506"/>
      <c r="J315" s="1506"/>
      <c r="K315" s="1506"/>
      <c r="L315" s="1506"/>
      <c r="M315" s="1506"/>
      <c r="N315" s="4" t="s">
        <v>207</v>
      </c>
      <c r="O315" s="4"/>
      <c r="P315" s="1512"/>
      <c r="Q315" s="1512"/>
      <c r="R315" s="1512"/>
      <c r="S315" s="3"/>
      <c r="T315" s="3" t="s">
        <v>88</v>
      </c>
      <c r="V315" s="3"/>
      <c r="W315" s="3"/>
      <c r="X315" s="3"/>
      <c r="Y315" s="3"/>
      <c r="AA315" s="1506"/>
      <c r="AB315" s="1506"/>
      <c r="AC315" s="1506"/>
      <c r="AD315" s="1506"/>
      <c r="AE315" s="1506"/>
      <c r="AF315" s="1506"/>
      <c r="AG315" s="4" t="s">
        <v>207</v>
      </c>
      <c r="AH315" s="4"/>
      <c r="AI315" s="1512"/>
      <c r="AJ315" s="1512"/>
      <c r="AK315" s="1512"/>
      <c r="BN315" s="34"/>
    </row>
    <row r="316" spans="2:66" ht="13" customHeight="1">
      <c r="B316" s="3" t="s">
        <v>89</v>
      </c>
      <c r="C316" s="3"/>
      <c r="D316" s="3"/>
      <c r="E316" s="3"/>
      <c r="F316" s="3"/>
      <c r="G316" s="3"/>
      <c r="H316" s="1394"/>
      <c r="I316" s="1394"/>
      <c r="J316" s="1394"/>
      <c r="K316" s="1394"/>
      <c r="L316" s="1394"/>
      <c r="M316" s="1394"/>
      <c r="N316" s="4"/>
      <c r="O316" s="4"/>
      <c r="P316" s="35"/>
      <c r="Q316" s="35"/>
      <c r="R316" s="35"/>
      <c r="S316" s="3"/>
      <c r="T316" s="3" t="s">
        <v>89</v>
      </c>
      <c r="V316" s="3"/>
      <c r="W316" s="3"/>
      <c r="X316" s="3"/>
      <c r="Y316" s="3"/>
      <c r="AA316" s="1394"/>
      <c r="AB316" s="1394"/>
      <c r="AC316" s="1394"/>
      <c r="AD316" s="1394"/>
      <c r="AE316" s="1394"/>
      <c r="AF316" s="1394"/>
      <c r="AG316" s="4"/>
      <c r="AH316" s="4"/>
      <c r="AI316" s="35"/>
      <c r="AJ316" s="35"/>
      <c r="AK316" s="35"/>
      <c r="BN316" s="34"/>
    </row>
    <row r="317" spans="2:66" ht="13" customHeight="1">
      <c r="B317" s="3" t="s">
        <v>76</v>
      </c>
      <c r="C317" s="3"/>
      <c r="D317" s="3"/>
      <c r="E317" s="3"/>
      <c r="F317" s="3"/>
      <c r="G317" s="3"/>
      <c r="H317" s="1395" t="s">
        <v>2732</v>
      </c>
      <c r="I317" s="1395"/>
      <c r="J317" s="1395"/>
      <c r="K317" s="1395"/>
      <c r="L317" s="1395"/>
      <c r="M317" s="1395"/>
      <c r="N317" s="1385"/>
      <c r="O317" s="1385"/>
      <c r="P317" s="1385"/>
      <c r="Q317" s="1385"/>
      <c r="R317" s="1385"/>
      <c r="S317" s="3"/>
      <c r="T317" s="3" t="s">
        <v>76</v>
      </c>
      <c r="V317" s="3"/>
      <c r="W317" s="3"/>
      <c r="X317" s="3"/>
      <c r="Y317" s="3"/>
      <c r="AA317" s="1395"/>
      <c r="AB317" s="1395"/>
      <c r="AC317" s="1395"/>
      <c r="AD317" s="1395"/>
      <c r="AE317" s="1395"/>
      <c r="AF317" s="1395"/>
      <c r="AG317" s="1385"/>
      <c r="AH317" s="1385"/>
      <c r="AI317" s="1385"/>
      <c r="AJ317" s="1385"/>
      <c r="AK317" s="1385"/>
      <c r="BN317" s="34"/>
    </row>
    <row r="318" spans="2:66" ht="13" customHeight="1">
      <c r="BN318" s="34"/>
    </row>
    <row r="319" spans="2:66" ht="13" customHeight="1">
      <c r="B319" s="4" t="s">
        <v>924</v>
      </c>
      <c r="C319" s="3"/>
      <c r="D319" s="3"/>
      <c r="E319" s="3"/>
      <c r="F319" s="3"/>
      <c r="H319" s="1396" t="s">
        <v>2756</v>
      </c>
      <c r="I319" s="1385"/>
      <c r="J319" s="1385"/>
      <c r="K319" s="1385"/>
      <c r="L319" s="1385"/>
      <c r="M319" s="1385"/>
      <c r="N319" s="1385"/>
      <c r="O319" s="1385"/>
      <c r="P319" s="1385"/>
      <c r="Q319" s="1385"/>
      <c r="R319" s="1385"/>
      <c r="T319" s="3" t="s">
        <v>367</v>
      </c>
      <c r="V319" s="3"/>
      <c r="W319" s="3"/>
      <c r="X319" s="3"/>
      <c r="Y319" s="3"/>
      <c r="AA319" s="1385" t="s">
        <v>2733</v>
      </c>
      <c r="AB319" s="1385"/>
      <c r="AC319" s="1385"/>
      <c r="AD319" s="1385"/>
      <c r="AE319" s="1385"/>
      <c r="AF319" s="1385"/>
      <c r="AG319" s="1385"/>
      <c r="AH319" s="1385"/>
      <c r="AI319" s="1385"/>
      <c r="AJ319" s="1385"/>
      <c r="AK319" s="1385"/>
      <c r="BN319" s="34"/>
    </row>
    <row r="320" spans="2:66" ht="13" customHeight="1">
      <c r="B320" s="3" t="s">
        <v>480</v>
      </c>
      <c r="C320" s="3"/>
      <c r="D320" s="3"/>
      <c r="E320" s="3"/>
      <c r="F320" s="3"/>
      <c r="H320" s="1518" t="s">
        <v>2758</v>
      </c>
      <c r="I320" s="1395"/>
      <c r="J320" s="1395"/>
      <c r="K320" s="1395"/>
      <c r="L320" s="1395"/>
      <c r="M320" s="1395"/>
      <c r="N320" s="1395"/>
      <c r="O320" s="1395"/>
      <c r="P320" s="1395"/>
      <c r="Q320" s="1395"/>
      <c r="R320" s="1395"/>
      <c r="T320" s="3" t="s">
        <v>480</v>
      </c>
      <c r="V320" s="3"/>
      <c r="W320" s="3"/>
      <c r="X320" s="3"/>
      <c r="Y320" s="3"/>
      <c r="AA320" s="1395" t="s">
        <v>2734</v>
      </c>
      <c r="AB320" s="1395"/>
      <c r="AC320" s="1395"/>
      <c r="AD320" s="1395"/>
      <c r="AE320" s="1395"/>
      <c r="AF320" s="1395"/>
      <c r="AG320" s="1395"/>
      <c r="AH320" s="1395"/>
      <c r="AI320" s="1395"/>
      <c r="AJ320" s="1395"/>
      <c r="AK320" s="1395"/>
      <c r="BN320" s="34"/>
    </row>
    <row r="321" spans="2:66" ht="13" customHeight="1">
      <c r="B321" s="3" t="s">
        <v>481</v>
      </c>
      <c r="C321" s="3"/>
      <c r="D321" s="3"/>
      <c r="E321" s="3"/>
      <c r="F321" s="3"/>
      <c r="H321" s="1518" t="s">
        <v>2759</v>
      </c>
      <c r="I321" s="1395"/>
      <c r="J321" s="1395"/>
      <c r="K321" s="1395"/>
      <c r="L321" s="1395"/>
      <c r="M321" s="1395"/>
      <c r="N321" s="1395"/>
      <c r="O321" s="1395"/>
      <c r="P321" s="1395"/>
      <c r="Q321" s="1395"/>
      <c r="R321" s="1395"/>
      <c r="T321" s="3" t="s">
        <v>75</v>
      </c>
      <c r="V321" s="3"/>
      <c r="W321" s="3"/>
      <c r="X321" s="3"/>
      <c r="Y321" s="3"/>
      <c r="AA321" s="1395" t="s">
        <v>2735</v>
      </c>
      <c r="AB321" s="1395"/>
      <c r="AC321" s="1395"/>
      <c r="AD321" s="1395"/>
      <c r="AE321" s="1395"/>
      <c r="AF321" s="1395"/>
      <c r="AG321" s="1395"/>
      <c r="AH321" s="1395"/>
      <c r="AI321" s="1395"/>
      <c r="AJ321" s="1395"/>
      <c r="AK321" s="1395"/>
      <c r="BN321" s="34"/>
    </row>
    <row r="322" spans="2:66" ht="13" customHeight="1">
      <c r="B322" s="3" t="s">
        <v>87</v>
      </c>
      <c r="C322" s="3"/>
      <c r="D322" s="3"/>
      <c r="E322" s="3"/>
      <c r="F322" s="3"/>
      <c r="H322" s="1518" t="s">
        <v>2757</v>
      </c>
      <c r="I322" s="1395"/>
      <c r="J322" s="1395"/>
      <c r="K322" s="1395"/>
      <c r="L322" s="1395"/>
      <c r="M322" s="1395"/>
      <c r="N322" s="1395"/>
      <c r="O322" s="1395"/>
      <c r="P322" s="1395"/>
      <c r="Q322" s="1395"/>
      <c r="R322" s="1395"/>
      <c r="T322" s="3" t="s">
        <v>87</v>
      </c>
      <c r="V322" s="3"/>
      <c r="W322" s="3"/>
      <c r="X322" s="3"/>
      <c r="Y322" s="3"/>
      <c r="AA322" s="1395" t="s">
        <v>2736</v>
      </c>
      <c r="AB322" s="1395"/>
      <c r="AC322" s="1395"/>
      <c r="AD322" s="1395"/>
      <c r="AE322" s="1395"/>
      <c r="AF322" s="1395"/>
      <c r="AG322" s="1395"/>
      <c r="AH322" s="1395"/>
      <c r="AI322" s="1395"/>
      <c r="AJ322" s="1395"/>
      <c r="AK322" s="1395"/>
      <c r="BN322" s="34"/>
    </row>
    <row r="323" spans="2:66" ht="13" customHeight="1">
      <c r="B323" s="3" t="s">
        <v>88</v>
      </c>
      <c r="C323" s="3"/>
      <c r="D323" s="3"/>
      <c r="E323" s="3"/>
      <c r="F323" s="3"/>
      <c r="G323" s="3"/>
      <c r="H323" s="1553" t="s">
        <v>2762</v>
      </c>
      <c r="I323" s="1506"/>
      <c r="J323" s="1506"/>
      <c r="K323" s="1506"/>
      <c r="L323" s="1506"/>
      <c r="M323" s="1506"/>
      <c r="N323" s="4" t="s">
        <v>207</v>
      </c>
      <c r="O323" s="4"/>
      <c r="P323" s="1512"/>
      <c r="Q323" s="1512"/>
      <c r="R323" s="1512"/>
      <c r="S323" s="3"/>
      <c r="T323" s="3" t="s">
        <v>88</v>
      </c>
      <c r="V323" s="3"/>
      <c r="W323" s="3"/>
      <c r="X323" s="3"/>
      <c r="Y323" s="3"/>
      <c r="AA323" s="1506" t="s">
        <v>2737</v>
      </c>
      <c r="AB323" s="1506"/>
      <c r="AC323" s="1506"/>
      <c r="AD323" s="1506"/>
      <c r="AE323" s="1506"/>
      <c r="AF323" s="1506"/>
      <c r="AG323" s="4" t="s">
        <v>207</v>
      </c>
      <c r="AH323" s="4"/>
      <c r="AI323" s="1512"/>
      <c r="AJ323" s="1512"/>
      <c r="AK323" s="1512"/>
    </row>
    <row r="324" spans="2:66" ht="13" customHeight="1">
      <c r="B324" s="3" t="s">
        <v>89</v>
      </c>
      <c r="C324" s="3"/>
      <c r="D324" s="3"/>
      <c r="E324" s="3"/>
      <c r="F324" s="3"/>
      <c r="G324" s="3"/>
      <c r="H324" s="1394"/>
      <c r="I324" s="1394"/>
      <c r="J324" s="1394"/>
      <c r="K324" s="1394"/>
      <c r="L324" s="1394"/>
      <c r="M324" s="1394"/>
      <c r="N324" s="4"/>
      <c r="O324" s="4"/>
      <c r="P324" s="35"/>
      <c r="Q324" s="35"/>
      <c r="R324" s="35"/>
      <c r="S324" s="3"/>
      <c r="T324" s="3" t="s">
        <v>89</v>
      </c>
      <c r="V324" s="3"/>
      <c r="W324" s="3"/>
      <c r="X324" s="3"/>
      <c r="Y324" s="3"/>
      <c r="AA324" s="1394"/>
      <c r="AB324" s="1394"/>
      <c r="AC324" s="1394"/>
      <c r="AD324" s="1394"/>
      <c r="AE324" s="1394"/>
      <c r="AF324" s="1394"/>
      <c r="AG324" s="4"/>
      <c r="AH324" s="4"/>
      <c r="AI324" s="35"/>
      <c r="AJ324" s="35"/>
      <c r="AK324" s="35"/>
    </row>
    <row r="325" spans="2:66" ht="13" customHeight="1">
      <c r="B325" s="3" t="s">
        <v>76</v>
      </c>
      <c r="C325" s="3"/>
      <c r="D325" s="3"/>
      <c r="E325" s="3"/>
      <c r="F325" s="3"/>
      <c r="G325" s="3"/>
      <c r="H325" s="1518" t="s">
        <v>2761</v>
      </c>
      <c r="I325" s="1395"/>
      <c r="J325" s="1395"/>
      <c r="K325" s="1395"/>
      <c r="L325" s="1395"/>
      <c r="M325" s="1395"/>
      <c r="N325" s="1385"/>
      <c r="O325" s="1385"/>
      <c r="P325" s="1385"/>
      <c r="Q325" s="1385"/>
      <c r="R325" s="1385"/>
      <c r="S325" s="3"/>
      <c r="T325" s="3" t="s">
        <v>76</v>
      </c>
      <c r="V325" s="3"/>
      <c r="W325" s="3"/>
      <c r="X325" s="3"/>
      <c r="Y325" s="3"/>
      <c r="AA325" s="1395" t="s">
        <v>2738</v>
      </c>
      <c r="AB325" s="1395"/>
      <c r="AC325" s="1395"/>
      <c r="AD325" s="1395"/>
      <c r="AE325" s="1395"/>
      <c r="AF325" s="1395"/>
      <c r="AG325" s="1385"/>
      <c r="AH325" s="1385"/>
      <c r="AI325" s="1385"/>
      <c r="AJ325" s="1385"/>
      <c r="AK325" s="1385"/>
    </row>
    <row r="326" spans="2:66" ht="13" customHeight="1">
      <c r="B326" s="3"/>
      <c r="C326" s="3"/>
      <c r="D326" s="3"/>
      <c r="E326" s="3"/>
      <c r="F326" s="3"/>
      <c r="G326" s="3"/>
      <c r="P326" s="163"/>
      <c r="Q326" s="163"/>
      <c r="R326" s="163"/>
      <c r="S326" s="163"/>
      <c r="T326" s="163"/>
      <c r="U326" s="163"/>
      <c r="V326" s="4"/>
      <c r="W326" s="4"/>
      <c r="X326" s="35"/>
      <c r="Y326" s="35"/>
      <c r="Z326" s="35"/>
    </row>
    <row r="327" spans="2:66" ht="13" customHeight="1">
      <c r="B327" s="3" t="s">
        <v>368</v>
      </c>
      <c r="C327" s="3"/>
      <c r="D327" s="3"/>
      <c r="E327" s="3"/>
      <c r="F327" s="3"/>
      <c r="H327" s="1396" t="s">
        <v>2733</v>
      </c>
      <c r="I327" s="1385"/>
      <c r="J327" s="1385"/>
      <c r="K327" s="1385"/>
      <c r="L327" s="1385"/>
      <c r="M327" s="1385"/>
      <c r="N327" s="1385"/>
      <c r="O327" s="1385"/>
      <c r="P327" s="1385"/>
      <c r="Q327" s="1385"/>
      <c r="R327" s="1385"/>
      <c r="T327" s="3" t="s">
        <v>369</v>
      </c>
      <c r="V327" s="3"/>
      <c r="W327" s="3"/>
      <c r="X327" s="3"/>
      <c r="Y327" s="3"/>
      <c r="AA327" s="1396" t="s">
        <v>2638</v>
      </c>
      <c r="AB327" s="1385"/>
      <c r="AC327" s="1385"/>
      <c r="AD327" s="1385"/>
      <c r="AE327" s="1385"/>
      <c r="AF327" s="1385"/>
      <c r="AG327" s="1385"/>
      <c r="AH327" s="1385"/>
      <c r="AI327" s="1385"/>
      <c r="AJ327" s="1385"/>
      <c r="AK327" s="1385"/>
    </row>
    <row r="328" spans="2:66" ht="13" customHeight="1">
      <c r="B328" s="3" t="s">
        <v>480</v>
      </c>
      <c r="C328" s="3"/>
      <c r="D328" s="3"/>
      <c r="E328" s="3"/>
      <c r="F328" s="3"/>
      <c r="H328" s="1518" t="s">
        <v>2734</v>
      </c>
      <c r="I328" s="1395"/>
      <c r="J328" s="1395"/>
      <c r="K328" s="1395"/>
      <c r="L328" s="1395"/>
      <c r="M328" s="1395"/>
      <c r="N328" s="1395"/>
      <c r="O328" s="1395"/>
      <c r="P328" s="1395"/>
      <c r="Q328" s="1395"/>
      <c r="R328" s="1395"/>
      <c r="T328" s="3" t="s">
        <v>480</v>
      </c>
      <c r="V328" s="3"/>
      <c r="W328" s="3"/>
      <c r="X328" s="3"/>
      <c r="Y328" s="3"/>
      <c r="AA328" s="1395"/>
      <c r="AB328" s="1395"/>
      <c r="AC328" s="1395"/>
      <c r="AD328" s="1395"/>
      <c r="AE328" s="1395"/>
      <c r="AF328" s="1395"/>
      <c r="AG328" s="1395"/>
      <c r="AH328" s="1395"/>
      <c r="AI328" s="1395"/>
      <c r="AJ328" s="1395"/>
      <c r="AK328" s="1395"/>
    </row>
    <row r="329" spans="2:66" ht="13" customHeight="1">
      <c r="B329" s="3" t="s">
        <v>481</v>
      </c>
      <c r="C329" s="3"/>
      <c r="D329" s="3"/>
      <c r="E329" s="3"/>
      <c r="F329" s="3"/>
      <c r="H329" s="1518" t="s">
        <v>2735</v>
      </c>
      <c r="I329" s="1395"/>
      <c r="J329" s="1395"/>
      <c r="K329" s="1395"/>
      <c r="L329" s="1395"/>
      <c r="M329" s="1395"/>
      <c r="N329" s="1395"/>
      <c r="O329" s="1395"/>
      <c r="P329" s="1395"/>
      <c r="Q329" s="1395"/>
      <c r="R329" s="1395"/>
      <c r="T329" s="3" t="s">
        <v>75</v>
      </c>
      <c r="V329" s="3"/>
      <c r="W329" s="3"/>
      <c r="X329" s="3"/>
      <c r="Y329" s="3"/>
      <c r="AA329" s="1395"/>
      <c r="AB329" s="1395"/>
      <c r="AC329" s="1395"/>
      <c r="AD329" s="1395"/>
      <c r="AE329" s="1395"/>
      <c r="AF329" s="1395"/>
      <c r="AG329" s="1395"/>
      <c r="AH329" s="1395"/>
      <c r="AI329" s="1395"/>
      <c r="AJ329" s="1395"/>
      <c r="AK329" s="1395"/>
    </row>
    <row r="330" spans="2:66" ht="13" customHeight="1">
      <c r="B330" s="3" t="s">
        <v>87</v>
      </c>
      <c r="C330" s="3"/>
      <c r="D330" s="3"/>
      <c r="E330" s="3"/>
      <c r="F330" s="3"/>
      <c r="H330" s="1518" t="s">
        <v>2736</v>
      </c>
      <c r="I330" s="1395"/>
      <c r="J330" s="1395"/>
      <c r="K330" s="1395"/>
      <c r="L330" s="1395"/>
      <c r="M330" s="1395"/>
      <c r="N330" s="1395"/>
      <c r="O330" s="1395"/>
      <c r="P330" s="1395"/>
      <c r="Q330" s="1395"/>
      <c r="R330" s="1395"/>
      <c r="T330" s="3" t="s">
        <v>87</v>
      </c>
      <c r="V330" s="3"/>
      <c r="W330" s="3"/>
      <c r="X330" s="3"/>
      <c r="Y330" s="3"/>
      <c r="AA330" s="1395"/>
      <c r="AB330" s="1395"/>
      <c r="AC330" s="1395"/>
      <c r="AD330" s="1395"/>
      <c r="AE330" s="1395"/>
      <c r="AF330" s="1395"/>
      <c r="AG330" s="1395"/>
      <c r="AH330" s="1395"/>
      <c r="AI330" s="1395"/>
      <c r="AJ330" s="1395"/>
      <c r="AK330" s="1395"/>
    </row>
    <row r="331" spans="2:66" ht="13" customHeight="1">
      <c r="B331" s="3" t="s">
        <v>88</v>
      </c>
      <c r="C331" s="3"/>
      <c r="D331" s="3"/>
      <c r="E331" s="3"/>
      <c r="F331" s="3"/>
      <c r="G331" s="3"/>
      <c r="H331" s="1553" t="s">
        <v>2737</v>
      </c>
      <c r="I331" s="1506"/>
      <c r="J331" s="1506"/>
      <c r="K331" s="1506"/>
      <c r="L331" s="1506"/>
      <c r="M331" s="1506"/>
      <c r="N331" s="4" t="s">
        <v>207</v>
      </c>
      <c r="O331" s="4"/>
      <c r="P331" s="1512"/>
      <c r="Q331" s="1512"/>
      <c r="R331" s="1512"/>
      <c r="S331" s="3"/>
      <c r="T331" s="3" t="s">
        <v>88</v>
      </c>
      <c r="V331" s="3"/>
      <c r="W331" s="3"/>
      <c r="X331" s="3"/>
      <c r="Y331" s="3"/>
      <c r="AA331" s="1506"/>
      <c r="AB331" s="1506"/>
      <c r="AC331" s="1506"/>
      <c r="AD331" s="1506"/>
      <c r="AE331" s="1506"/>
      <c r="AF331" s="1506"/>
      <c r="AG331" s="4" t="s">
        <v>207</v>
      </c>
      <c r="AH331" s="4"/>
      <c r="AI331" s="1512"/>
      <c r="AJ331" s="1512"/>
      <c r="AK331" s="1512"/>
    </row>
    <row r="332" spans="2:66" ht="13" customHeight="1">
      <c r="B332" s="3" t="s">
        <v>89</v>
      </c>
      <c r="C332" s="3"/>
      <c r="D332" s="3"/>
      <c r="E332" s="3"/>
      <c r="F332" s="3"/>
      <c r="G332" s="3"/>
      <c r="H332" s="1394"/>
      <c r="I332" s="1394"/>
      <c r="J332" s="1394"/>
      <c r="K332" s="1394"/>
      <c r="L332" s="1394"/>
      <c r="M332" s="1394"/>
      <c r="N332" s="4"/>
      <c r="O332" s="4"/>
      <c r="P332" s="35"/>
      <c r="Q332" s="35"/>
      <c r="R332" s="35"/>
      <c r="S332" s="3"/>
      <c r="T332" s="3" t="s">
        <v>89</v>
      </c>
      <c r="V332" s="3"/>
      <c r="W332" s="3"/>
      <c r="X332" s="3"/>
      <c r="Y332" s="3"/>
      <c r="AA332" s="1394"/>
      <c r="AB332" s="1394"/>
      <c r="AC332" s="1394"/>
      <c r="AD332" s="1394"/>
      <c r="AE332" s="1394"/>
      <c r="AF332" s="1394"/>
      <c r="AG332" s="4"/>
      <c r="AH332" s="4"/>
      <c r="AI332" s="35"/>
      <c r="AJ332" s="35"/>
      <c r="AK332" s="35"/>
    </row>
    <row r="333" spans="2:66" ht="13" customHeight="1">
      <c r="B333" s="3" t="s">
        <v>76</v>
      </c>
      <c r="C333" s="3"/>
      <c r="D333" s="3"/>
      <c r="E333" s="3"/>
      <c r="F333" s="3"/>
      <c r="G333" s="3"/>
      <c r="H333" s="1518" t="s">
        <v>2738</v>
      </c>
      <c r="I333" s="1395"/>
      <c r="J333" s="1395"/>
      <c r="K333" s="1395"/>
      <c r="L333" s="1395"/>
      <c r="M333" s="1395"/>
      <c r="N333" s="1385"/>
      <c r="O333" s="1385"/>
      <c r="P333" s="1385"/>
      <c r="Q333" s="1385"/>
      <c r="R333" s="1385"/>
      <c r="S333" s="3"/>
      <c r="T333" s="3" t="s">
        <v>76</v>
      </c>
      <c r="V333" s="3"/>
      <c r="W333" s="3"/>
      <c r="X333" s="3"/>
      <c r="Y333" s="3"/>
      <c r="AA333" s="1395"/>
      <c r="AB333" s="1395"/>
      <c r="AC333" s="1395"/>
      <c r="AD333" s="1395"/>
      <c r="AE333" s="1395"/>
      <c r="AF333" s="1395"/>
      <c r="AG333" s="1385"/>
      <c r="AH333" s="1385"/>
      <c r="AI333" s="1385"/>
      <c r="AJ333" s="1385"/>
      <c r="AK333" s="1385"/>
    </row>
    <row r="334" spans="2:66" ht="13" customHeight="1">
      <c r="B334" s="3"/>
      <c r="C334" s="3"/>
      <c r="D334" s="3"/>
      <c r="E334" s="3"/>
      <c r="F334" s="3"/>
      <c r="G334" s="3"/>
      <c r="P334" s="163"/>
      <c r="Q334" s="163"/>
      <c r="R334" s="163"/>
      <c r="S334" s="163"/>
      <c r="T334" s="163"/>
      <c r="U334" s="163"/>
      <c r="V334" s="4"/>
      <c r="W334" s="4"/>
      <c r="X334" s="35"/>
      <c r="Y334" s="35"/>
      <c r="Z334" s="35"/>
    </row>
    <row r="335" spans="2:66" ht="13" customHeight="1">
      <c r="B335" s="3" t="s">
        <v>330</v>
      </c>
      <c r="C335" s="3"/>
      <c r="D335" s="3"/>
      <c r="E335" s="3"/>
      <c r="F335" s="3"/>
      <c r="H335" s="1385" t="s">
        <v>2667</v>
      </c>
      <c r="I335" s="1385"/>
      <c r="J335" s="1385"/>
      <c r="K335" s="1385"/>
      <c r="L335" s="1385"/>
      <c r="M335" s="1385"/>
      <c r="N335" s="1385"/>
      <c r="O335" s="1385"/>
      <c r="P335" s="1385"/>
      <c r="Q335" s="1385"/>
      <c r="R335" s="1385"/>
      <c r="T335" s="218" t="s">
        <v>900</v>
      </c>
      <c r="V335" s="3"/>
      <c r="W335" s="3"/>
      <c r="X335" s="3"/>
      <c r="Y335" s="3"/>
      <c r="AA335" s="1396" t="s">
        <v>2714</v>
      </c>
      <c r="AB335" s="1385"/>
      <c r="AC335" s="1385"/>
      <c r="AD335" s="1385"/>
      <c r="AE335" s="1385"/>
      <c r="AF335" s="1385"/>
      <c r="AG335" s="1385"/>
      <c r="AH335" s="1385"/>
      <c r="AI335" s="1385"/>
      <c r="AJ335" s="1385"/>
      <c r="AK335" s="1385"/>
    </row>
    <row r="336" spans="2:66" ht="13" customHeight="1">
      <c r="B336" s="3" t="s">
        <v>480</v>
      </c>
      <c r="C336" s="3"/>
      <c r="D336" s="3"/>
      <c r="E336" s="3"/>
      <c r="F336" s="3"/>
      <c r="H336" s="1395" t="s">
        <v>2668</v>
      </c>
      <c r="I336" s="1395"/>
      <c r="J336" s="1395"/>
      <c r="K336" s="1395"/>
      <c r="L336" s="1395"/>
      <c r="M336" s="1395"/>
      <c r="N336" s="1395"/>
      <c r="O336" s="1395"/>
      <c r="P336" s="1395"/>
      <c r="Q336" s="1395"/>
      <c r="R336" s="1395"/>
      <c r="T336" s="3" t="s">
        <v>480</v>
      </c>
      <c r="V336" s="3"/>
      <c r="W336" s="3"/>
      <c r="X336" s="3"/>
      <c r="Y336" s="3"/>
      <c r="AA336" s="1518" t="s">
        <v>2739</v>
      </c>
      <c r="AB336" s="1395"/>
      <c r="AC336" s="1395"/>
      <c r="AD336" s="1395"/>
      <c r="AE336" s="1395"/>
      <c r="AF336" s="1395"/>
      <c r="AG336" s="1395"/>
      <c r="AH336" s="1395"/>
      <c r="AI336" s="1395"/>
      <c r="AJ336" s="1395"/>
      <c r="AK336" s="1395"/>
    </row>
    <row r="337" spans="1:66" ht="13" customHeight="1">
      <c r="B337" s="3" t="s">
        <v>75</v>
      </c>
      <c r="C337" s="3"/>
      <c r="D337" s="3"/>
      <c r="E337" s="3"/>
      <c r="F337" s="3"/>
      <c r="H337" s="1395" t="s">
        <v>2669</v>
      </c>
      <c r="I337" s="1395"/>
      <c r="J337" s="1395"/>
      <c r="K337" s="1395"/>
      <c r="L337" s="1395"/>
      <c r="M337" s="1395"/>
      <c r="N337" s="1395"/>
      <c r="O337" s="1395"/>
      <c r="P337" s="1395"/>
      <c r="Q337" s="1395"/>
      <c r="R337" s="1395"/>
      <c r="T337" s="3" t="s">
        <v>75</v>
      </c>
      <c r="V337" s="3"/>
      <c r="W337" s="3"/>
      <c r="X337" s="3"/>
      <c r="Y337" s="3"/>
      <c r="AA337" s="1518" t="s">
        <v>2740</v>
      </c>
      <c r="AB337" s="1395"/>
      <c r="AC337" s="1395"/>
      <c r="AD337" s="1395"/>
      <c r="AE337" s="1395"/>
      <c r="AF337" s="1395"/>
      <c r="AG337" s="1395"/>
      <c r="AH337" s="1395"/>
      <c r="AI337" s="1395"/>
      <c r="AJ337" s="1395"/>
      <c r="AK337" s="1395"/>
    </row>
    <row r="338" spans="1:66" ht="13" customHeight="1">
      <c r="B338" s="3" t="s">
        <v>87</v>
      </c>
      <c r="C338" s="3"/>
      <c r="D338" s="3"/>
      <c r="E338" s="3"/>
      <c r="F338" s="3"/>
      <c r="G338" s="3"/>
      <c r="H338" s="1395" t="s">
        <v>2670</v>
      </c>
      <c r="I338" s="1395"/>
      <c r="J338" s="1395"/>
      <c r="K338" s="1395"/>
      <c r="L338" s="1395"/>
      <c r="M338" s="1395"/>
      <c r="N338" s="1395"/>
      <c r="O338" s="1395"/>
      <c r="P338" s="1395"/>
      <c r="Q338" s="1395"/>
      <c r="R338" s="1395"/>
      <c r="T338" s="3" t="s">
        <v>87</v>
      </c>
      <c r="V338" s="3"/>
      <c r="W338" s="3"/>
      <c r="X338" s="3"/>
      <c r="Y338" s="3"/>
      <c r="AA338" s="1518" t="s">
        <v>2741</v>
      </c>
      <c r="AB338" s="1395"/>
      <c r="AC338" s="1395"/>
      <c r="AD338" s="1395"/>
      <c r="AE338" s="1395"/>
      <c r="AF338" s="1395"/>
      <c r="AG338" s="1395"/>
      <c r="AH338" s="1395"/>
      <c r="AI338" s="1395"/>
      <c r="AJ338" s="1395"/>
      <c r="AK338" s="1395"/>
    </row>
    <row r="339" spans="1:66" ht="13" customHeight="1">
      <c r="B339" s="3" t="s">
        <v>88</v>
      </c>
      <c r="C339" s="3"/>
      <c r="D339" s="3"/>
      <c r="E339" s="3"/>
      <c r="F339" s="3"/>
      <c r="G339" s="3"/>
      <c r="H339" s="1506" t="s">
        <v>2671</v>
      </c>
      <c r="I339" s="1506"/>
      <c r="J339" s="1506"/>
      <c r="K339" s="1506"/>
      <c r="L339" s="1506"/>
      <c r="M339" s="1506"/>
      <c r="N339" s="4" t="s">
        <v>207</v>
      </c>
      <c r="O339" s="4"/>
      <c r="P339" s="1512"/>
      <c r="Q339" s="1512"/>
      <c r="R339" s="1512"/>
      <c r="S339" s="3"/>
      <c r="T339" s="3" t="s">
        <v>88</v>
      </c>
      <c r="V339" s="3"/>
      <c r="W339" s="3"/>
      <c r="X339" s="3"/>
      <c r="Y339" s="3"/>
      <c r="AA339" s="1553" t="s">
        <v>2742</v>
      </c>
      <c r="AB339" s="1506"/>
      <c r="AC339" s="1506"/>
      <c r="AD339" s="1506"/>
      <c r="AE339" s="1506"/>
      <c r="AF339" s="1506"/>
      <c r="AG339" s="4" t="s">
        <v>207</v>
      </c>
      <c r="AH339" s="4"/>
      <c r="AI339" s="1512"/>
      <c r="AJ339" s="1512"/>
      <c r="AK339" s="1512"/>
    </row>
    <row r="340" spans="1:66" ht="13" customHeight="1">
      <c r="B340" s="3" t="s">
        <v>89</v>
      </c>
      <c r="C340" s="3"/>
      <c r="D340" s="3"/>
      <c r="E340" s="3"/>
      <c r="F340" s="3"/>
      <c r="G340" s="3"/>
      <c r="H340" s="1394" t="s">
        <v>2672</v>
      </c>
      <c r="I340" s="1394"/>
      <c r="J340" s="1394"/>
      <c r="K340" s="1394"/>
      <c r="L340" s="1394"/>
      <c r="M340" s="1394"/>
      <c r="N340" s="4"/>
      <c r="O340" s="4"/>
      <c r="P340" s="35"/>
      <c r="Q340" s="35"/>
      <c r="R340" s="35"/>
      <c r="S340" s="3"/>
      <c r="T340" s="3" t="s">
        <v>89</v>
      </c>
      <c r="V340" s="3"/>
      <c r="W340" s="3"/>
      <c r="X340" s="3"/>
      <c r="Y340" s="3"/>
      <c r="AA340" s="1394"/>
      <c r="AB340" s="1394"/>
      <c r="AC340" s="1394"/>
      <c r="AD340" s="1394"/>
      <c r="AE340" s="1394"/>
      <c r="AF340" s="1394"/>
      <c r="AG340" s="4"/>
      <c r="AH340" s="4"/>
      <c r="AI340" s="35"/>
      <c r="AJ340" s="35"/>
      <c r="AK340" s="35"/>
    </row>
    <row r="341" spans="1:66" ht="13" customHeight="1">
      <c r="B341" s="3" t="s">
        <v>76</v>
      </c>
      <c r="C341" s="3"/>
      <c r="D341" s="3"/>
      <c r="E341" s="3"/>
      <c r="F341" s="3"/>
      <c r="G341" s="3"/>
      <c r="H341" s="1395" t="s">
        <v>2673</v>
      </c>
      <c r="I341" s="1395"/>
      <c r="J341" s="1395"/>
      <c r="K341" s="1395"/>
      <c r="L341" s="1395"/>
      <c r="M341" s="1395"/>
      <c r="N341" s="1385"/>
      <c r="O341" s="1385"/>
      <c r="P341" s="1385"/>
      <c r="Q341" s="1385"/>
      <c r="R341" s="1385"/>
      <c r="S341" s="3"/>
      <c r="T341" s="3" t="s">
        <v>76</v>
      </c>
      <c r="V341" s="3"/>
      <c r="W341" s="3"/>
      <c r="X341" s="3"/>
      <c r="Y341" s="3"/>
      <c r="AA341" s="1518" t="s">
        <v>2743</v>
      </c>
      <c r="AB341" s="1395"/>
      <c r="AC341" s="1395"/>
      <c r="AD341" s="1395"/>
      <c r="AE341" s="1395"/>
      <c r="AF341" s="1395"/>
      <c r="AG341" s="1385"/>
      <c r="AH341" s="1385"/>
      <c r="AI341" s="1385"/>
      <c r="AJ341" s="1385"/>
      <c r="AK341" s="1385"/>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3" customHeight="1">
      <c r="B343" s="3"/>
      <c r="C343" s="4"/>
      <c r="D343" s="4"/>
      <c r="E343" s="4"/>
      <c r="F343" s="4"/>
      <c r="I343" s="218" t="s">
        <v>901</v>
      </c>
      <c r="P343" s="1385"/>
      <c r="Q343" s="1385"/>
      <c r="R343" s="1385"/>
      <c r="S343" s="1385"/>
      <c r="T343" s="1385"/>
      <c r="U343" s="1385"/>
      <c r="V343" s="1385"/>
      <c r="W343" s="1385"/>
      <c r="X343" s="1385"/>
      <c r="Y343" s="1385"/>
      <c r="Z343" s="1385"/>
      <c r="AA343" s="1385"/>
      <c r="AB343" s="1385"/>
      <c r="AC343" s="1385"/>
      <c r="AD343" s="1385"/>
      <c r="AE343" s="1385"/>
      <c r="BN343" t="s">
        <v>678</v>
      </c>
    </row>
    <row r="344" spans="1:66" ht="13" customHeight="1">
      <c r="B344" s="4"/>
      <c r="C344" s="4"/>
      <c r="D344" s="4"/>
      <c r="E344" s="4"/>
      <c r="F344" s="4"/>
      <c r="I344" s="4" t="s">
        <v>480</v>
      </c>
      <c r="P344" s="1395"/>
      <c r="Q344" s="1395"/>
      <c r="R344" s="1395"/>
      <c r="S344" s="1395"/>
      <c r="T344" s="1395"/>
      <c r="U344" s="1395"/>
      <c r="V344" s="1395"/>
      <c r="W344" s="1395"/>
      <c r="X344" s="1395"/>
      <c r="Y344" s="1395"/>
      <c r="Z344" s="1395"/>
      <c r="AA344" s="1395"/>
      <c r="AB344" s="1395"/>
      <c r="AC344" s="1395"/>
      <c r="AD344" s="1395"/>
      <c r="AE344" s="1395"/>
      <c r="BN344" t="s">
        <v>554</v>
      </c>
    </row>
    <row r="345" spans="1:66" ht="13" customHeight="1">
      <c r="B345" s="4"/>
      <c r="C345" s="4"/>
      <c r="D345" s="4"/>
      <c r="E345" s="4"/>
      <c r="F345" s="4"/>
      <c r="I345" s="4" t="s">
        <v>75</v>
      </c>
      <c r="P345" s="1395"/>
      <c r="Q345" s="1395"/>
      <c r="R345" s="1395"/>
      <c r="S345" s="1395"/>
      <c r="T345" s="1395"/>
      <c r="U345" s="1395"/>
      <c r="V345" s="1395"/>
      <c r="W345" s="1395"/>
      <c r="X345" s="1395"/>
      <c r="Y345" s="1395"/>
      <c r="Z345" s="1395"/>
      <c r="AA345" s="1395"/>
      <c r="AB345" s="1395"/>
      <c r="AC345" s="1395"/>
      <c r="AD345" s="1395"/>
      <c r="AE345" s="1395"/>
    </row>
    <row r="346" spans="1:66" ht="13" customHeight="1">
      <c r="B346" s="4"/>
      <c r="C346" s="4"/>
      <c r="D346" s="4"/>
      <c r="E346" s="4"/>
      <c r="F346" s="4"/>
      <c r="G346" s="4"/>
      <c r="I346" s="4" t="s">
        <v>87</v>
      </c>
      <c r="P346" s="1395"/>
      <c r="Q346" s="1395"/>
      <c r="R346" s="1395"/>
      <c r="S346" s="1395"/>
      <c r="T346" s="1395"/>
      <c r="U346" s="1395"/>
      <c r="V346" s="1395"/>
      <c r="W346" s="1395"/>
      <c r="X346" s="1395"/>
      <c r="Y346" s="1395"/>
      <c r="Z346" s="1395"/>
      <c r="AA346" s="1395"/>
      <c r="AB346" s="1395"/>
      <c r="AC346" s="1395"/>
      <c r="AD346" s="1395"/>
      <c r="AE346" s="1395"/>
    </row>
    <row r="347" spans="1:66" ht="13" customHeight="1">
      <c r="B347" s="4"/>
      <c r="C347" s="4"/>
      <c r="D347" s="4"/>
      <c r="E347" s="4"/>
      <c r="F347" s="4"/>
      <c r="G347" s="4"/>
      <c r="H347" s="324"/>
      <c r="I347" s="4" t="s">
        <v>88</v>
      </c>
      <c r="P347" s="1394"/>
      <c r="Q347" s="1394"/>
      <c r="R347" s="1394"/>
      <c r="S347" s="1394"/>
      <c r="T347" s="1394"/>
      <c r="U347" s="1394"/>
      <c r="V347" s="1394"/>
      <c r="W347" s="1394"/>
      <c r="X347" s="1394"/>
      <c r="Y347" s="1394"/>
      <c r="Z347" s="1394"/>
      <c r="AA347" s="4" t="s">
        <v>207</v>
      </c>
      <c r="AB347" s="4"/>
      <c r="AC347" s="1386"/>
      <c r="AD347" s="1386"/>
      <c r="AE347" s="1386"/>
      <c r="AF347" s="324"/>
      <c r="AG347" s="4"/>
      <c r="AH347" s="4"/>
      <c r="AI347" s="4"/>
      <c r="AJ347" s="4"/>
      <c r="AK347" s="4"/>
    </row>
    <row r="348" spans="1:66" ht="13" customHeight="1">
      <c r="B348" s="4"/>
      <c r="C348" s="4"/>
      <c r="D348" s="4"/>
      <c r="E348" s="4"/>
      <c r="F348" s="4"/>
      <c r="G348" s="4"/>
      <c r="H348" s="324"/>
      <c r="I348" s="4" t="s">
        <v>89</v>
      </c>
      <c r="P348" s="1394"/>
      <c r="Q348" s="1394"/>
      <c r="R348" s="1394"/>
      <c r="S348" s="1394"/>
      <c r="T348" s="1394"/>
      <c r="U348" s="1394"/>
      <c r="V348" s="1394"/>
      <c r="W348" s="1394"/>
      <c r="X348" s="1394"/>
      <c r="Y348" s="1394"/>
      <c r="Z348" s="1394"/>
      <c r="AF348" s="324"/>
      <c r="AG348" s="4"/>
      <c r="AH348" s="4"/>
      <c r="AI348" s="35"/>
      <c r="AJ348" s="35"/>
      <c r="AK348" s="35"/>
    </row>
    <row r="349" spans="1:66" ht="13" customHeight="1">
      <c r="B349" s="4"/>
      <c r="C349" s="4"/>
      <c r="D349" s="4"/>
      <c r="E349" s="4"/>
      <c r="F349" s="4"/>
      <c r="G349" s="4"/>
      <c r="I349" s="4" t="s">
        <v>76</v>
      </c>
      <c r="P349" s="1385"/>
      <c r="Q349" s="1385"/>
      <c r="R349" s="1385"/>
      <c r="S349" s="1385"/>
      <c r="T349" s="1385"/>
      <c r="U349" s="1385"/>
      <c r="V349" s="1385"/>
      <c r="W349" s="1385"/>
      <c r="X349" s="1385"/>
      <c r="Y349" s="1385"/>
      <c r="Z349" s="1385"/>
      <c r="AA349" s="1385"/>
      <c r="AB349" s="1385"/>
      <c r="AC349" s="1385"/>
      <c r="AD349" s="1385"/>
      <c r="AE349" s="1385"/>
    </row>
    <row r="350" spans="1:66" ht="13" customHeight="1">
      <c r="T350" s="8"/>
      <c r="U350" s="8"/>
      <c r="V350" s="8"/>
      <c r="W350" s="8"/>
      <c r="X350" s="8"/>
      <c r="Y350" s="8"/>
      <c r="Z350" s="8"/>
      <c r="AU350" s="95"/>
      <c r="AV350" s="95"/>
      <c r="AW350" s="95"/>
      <c r="AX350" s="95"/>
      <c r="AY350" s="95"/>
    </row>
    <row r="351" spans="1:66" ht="13" customHeight="1">
      <c r="A351" s="1668" t="s">
        <v>551</v>
      </c>
      <c r="B351" s="1668"/>
      <c r="C351" s="1668"/>
      <c r="D351" s="1668"/>
      <c r="E351" s="1668"/>
      <c r="F351" s="1668"/>
      <c r="G351" s="1668"/>
      <c r="H351" s="1668"/>
      <c r="I351" s="1668"/>
      <c r="J351" s="1668"/>
      <c r="K351" s="1668"/>
      <c r="L351" s="1668"/>
      <c r="M351" s="1668"/>
      <c r="N351" s="1668"/>
      <c r="O351" s="1668"/>
      <c r="P351" s="1668"/>
      <c r="Q351" s="1668"/>
      <c r="R351" s="1668"/>
      <c r="S351" s="1668"/>
      <c r="T351" s="1668"/>
      <c r="U351" s="1668"/>
      <c r="V351" s="1668"/>
      <c r="W351" s="1668"/>
      <c r="X351" s="1668"/>
      <c r="Y351" s="1668"/>
      <c r="Z351" s="1668"/>
      <c r="AA351" s="1668"/>
      <c r="AB351" s="1668"/>
      <c r="AC351" s="1668"/>
      <c r="AD351" s="1668"/>
      <c r="AE351" s="1668"/>
      <c r="AF351" s="1668"/>
      <c r="AG351" s="1668"/>
      <c r="AH351" s="1668"/>
      <c r="AI351" s="1668"/>
      <c r="AJ351" s="1668"/>
      <c r="AK351" s="1668"/>
      <c r="AL351" s="1668"/>
      <c r="AM351" s="1668"/>
      <c r="AN351" s="1668"/>
      <c r="AO351" s="1668"/>
      <c r="AP351" s="1668"/>
      <c r="AQ351" s="1668"/>
      <c r="AR351" s="1668"/>
      <c r="AS351" s="1668"/>
      <c r="AT351" s="1668"/>
      <c r="AU351" s="95"/>
      <c r="AV351" s="95"/>
      <c r="AW351" s="95"/>
      <c r="AX351" s="95"/>
      <c r="AY351" s="95"/>
    </row>
    <row r="352" spans="1:66" ht="13" customHeight="1">
      <c r="A352" s="1668"/>
      <c r="B352" s="1668"/>
      <c r="C352" s="1668"/>
      <c r="D352" s="1668"/>
      <c r="E352" s="1668"/>
      <c r="F352" s="1668"/>
      <c r="G352" s="1668"/>
      <c r="H352" s="1668"/>
      <c r="I352" s="1668"/>
      <c r="J352" s="1668"/>
      <c r="K352" s="1668"/>
      <c r="L352" s="1668"/>
      <c r="M352" s="1668"/>
      <c r="N352" s="1668"/>
      <c r="O352" s="1668"/>
      <c r="P352" s="1668"/>
      <c r="Q352" s="1668"/>
      <c r="R352" s="1668"/>
      <c r="S352" s="1668"/>
      <c r="T352" s="1668"/>
      <c r="U352" s="1668"/>
      <c r="V352" s="1668"/>
      <c r="W352" s="1668"/>
      <c r="X352" s="1668"/>
      <c r="Y352" s="1668"/>
      <c r="Z352" s="1668"/>
      <c r="AA352" s="1668"/>
      <c r="AB352" s="1668"/>
      <c r="AC352" s="1668"/>
      <c r="AD352" s="1668"/>
      <c r="AE352" s="1668"/>
      <c r="AF352" s="1668"/>
      <c r="AG352" s="1668"/>
      <c r="AH352" s="1668"/>
      <c r="AI352" s="1668"/>
      <c r="AJ352" s="1668"/>
      <c r="AK352" s="1668"/>
      <c r="AL352" s="1668"/>
      <c r="AM352" s="1668"/>
      <c r="AN352" s="1668"/>
      <c r="AO352" s="1668"/>
      <c r="AP352" s="1668"/>
      <c r="AQ352" s="1668"/>
      <c r="AR352" s="1668"/>
      <c r="AS352" s="1668"/>
      <c r="AT352" s="1668"/>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320</v>
      </c>
      <c r="B354" s="2"/>
      <c r="C354" s="2" t="s">
        <v>792</v>
      </c>
    </row>
    <row r="355" spans="1:46" ht="13" customHeight="1">
      <c r="D355" s="3" t="s">
        <v>2418</v>
      </c>
      <c r="M355" s="1381" t="s">
        <v>600</v>
      </c>
      <c r="N355" s="1381"/>
      <c r="P355" t="s">
        <v>1764</v>
      </c>
      <c r="AJ355" s="1381" t="s">
        <v>678</v>
      </c>
      <c r="AK355" s="1381"/>
    </row>
    <row r="356" spans="1:46" ht="13" customHeight="1">
      <c r="D356" s="3" t="s">
        <v>1753</v>
      </c>
      <c r="M356" s="1381" t="s">
        <v>554</v>
      </c>
      <c r="N356" s="1381"/>
      <c r="P356" s="3" t="s">
        <v>1910</v>
      </c>
      <c r="AJ356" s="1473">
        <v>0</v>
      </c>
      <c r="AK356" s="1473"/>
    </row>
    <row r="357" spans="1:46" ht="13" customHeight="1">
      <c r="D357" s="3" t="s">
        <v>714</v>
      </c>
      <c r="M357" s="1381" t="s">
        <v>600</v>
      </c>
      <c r="N357" s="1381"/>
      <c r="P357" t="s">
        <v>1763</v>
      </c>
      <c r="AJ357" s="1381" t="s">
        <v>600</v>
      </c>
      <c r="AK357" s="1381"/>
    </row>
    <row r="358" spans="1:46" ht="13" customHeight="1">
      <c r="D358" s="3" t="s">
        <v>715</v>
      </c>
      <c r="M358" s="1381" t="s">
        <v>600</v>
      </c>
      <c r="N358" s="1381"/>
      <c r="Q358" s="4"/>
    </row>
    <row r="359" spans="1:46" ht="13" customHeight="1">
      <c r="Q359" s="4"/>
    </row>
    <row r="360" spans="1:46" ht="13" customHeight="1">
      <c r="Q360" s="4"/>
    </row>
    <row r="361" spans="1:46" ht="13" customHeight="1">
      <c r="A361" s="2" t="s">
        <v>585</v>
      </c>
      <c r="B361" s="2"/>
      <c r="C361" s="2" t="s">
        <v>561</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381" t="s">
        <v>600</v>
      </c>
      <c r="O363" s="1381"/>
      <c r="P363" s="40"/>
      <c r="Q363" s="40"/>
      <c r="R363" s="40"/>
      <c r="S363" s="40"/>
      <c r="T363" s="40"/>
      <c r="U363" s="40"/>
      <c r="V363" s="40"/>
      <c r="W363" s="40"/>
      <c r="X363" s="40"/>
      <c r="Y363" s="40"/>
      <c r="Z363" s="40"/>
      <c r="AC363" s="40"/>
      <c r="AD363" s="40"/>
      <c r="AE363" s="40"/>
    </row>
    <row r="364" spans="1:46" ht="13" customHeight="1">
      <c r="E364" t="s">
        <v>371</v>
      </c>
      <c r="Y364" s="1381" t="s">
        <v>600</v>
      </c>
      <c r="Z364" s="1381"/>
    </row>
    <row r="365" spans="1:46" ht="13" customHeight="1">
      <c r="D365" s="4" t="s">
        <v>998</v>
      </c>
      <c r="Q365" s="1385" t="s">
        <v>600</v>
      </c>
      <c r="R365" s="1385"/>
      <c r="S365" s="1385"/>
      <c r="T365" s="1385"/>
      <c r="U365" s="1385"/>
      <c r="V365" s="1385"/>
      <c r="W365" s="1385"/>
      <c r="X365" s="1385"/>
      <c r="Y365" s="1385"/>
      <c r="Z365" s="1385"/>
      <c r="AA365" s="1385"/>
      <c r="AB365" s="1385"/>
      <c r="AC365" s="1385"/>
      <c r="AD365" s="1385"/>
      <c r="AE365" s="1385"/>
      <c r="AF365" s="1385"/>
      <c r="AG365" s="1385"/>
    </row>
    <row r="366" spans="1:46" ht="13"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189</v>
      </c>
      <c r="E367" s="40"/>
      <c r="F367" s="40"/>
      <c r="G367" s="40"/>
      <c r="H367" s="40"/>
      <c r="I367" s="40"/>
      <c r="J367" s="1381" t="s">
        <v>600</v>
      </c>
      <c r="K367" s="1381"/>
      <c r="L367" s="40"/>
      <c r="M367" s="40"/>
      <c r="N367" s="40"/>
      <c r="O367" s="40"/>
      <c r="P367" s="40"/>
      <c r="Q367" s="40"/>
      <c r="R367" s="40"/>
      <c r="S367" s="40"/>
      <c r="T367" s="40"/>
      <c r="U367" s="40"/>
      <c r="V367" s="40"/>
      <c r="W367" s="40"/>
      <c r="X367" s="40"/>
      <c r="Y367" s="40"/>
      <c r="Z367" s="40"/>
      <c r="AC367" s="40"/>
      <c r="AD367" s="40"/>
      <c r="AE367" s="40"/>
    </row>
    <row r="368" spans="1:46" ht="13" customHeight="1">
      <c r="E368" s="1511" t="s">
        <v>716</v>
      </c>
      <c r="F368" s="1511"/>
      <c r="G368" s="1511"/>
      <c r="H368" s="1511"/>
      <c r="I368" s="1511"/>
      <c r="J368" s="1511"/>
      <c r="K368" s="1511"/>
      <c r="L368" s="1511"/>
      <c r="M368" s="1511"/>
      <c r="N368" s="1511"/>
      <c r="O368" s="1511"/>
      <c r="P368" s="1511"/>
      <c r="Q368" s="1511"/>
      <c r="R368" s="1511"/>
      <c r="S368" s="1511"/>
      <c r="T368" s="1511"/>
      <c r="U368" s="1511"/>
      <c r="V368" s="1511"/>
      <c r="W368" s="1511"/>
      <c r="X368" s="1511"/>
      <c r="Y368" s="1511"/>
      <c r="Z368" s="1511"/>
      <c r="AA368" s="1511"/>
      <c r="AB368" s="1511"/>
      <c r="AC368" s="1511"/>
      <c r="AD368" s="1511"/>
      <c r="AE368" s="1511"/>
      <c r="AF368" s="1511"/>
      <c r="AG368" s="1511"/>
      <c r="AH368" s="1511"/>
    </row>
    <row r="369" spans="1:34" ht="13" customHeight="1">
      <c r="E369" s="1511"/>
      <c r="F369" s="1511"/>
      <c r="G369" s="1511"/>
      <c r="H369" s="1511"/>
      <c r="I369" s="1511"/>
      <c r="J369" s="1511"/>
      <c r="K369" s="1511"/>
      <c r="L369" s="1511"/>
      <c r="M369" s="1511"/>
      <c r="N369" s="1511"/>
      <c r="O369" s="1511"/>
      <c r="P369" s="1511"/>
      <c r="Q369" s="1511"/>
      <c r="R369" s="1511"/>
      <c r="S369" s="1511"/>
      <c r="T369" s="1511"/>
      <c r="U369" s="1511"/>
      <c r="V369" s="1511"/>
      <c r="W369" s="1511"/>
      <c r="X369" s="1511"/>
      <c r="Y369" s="1511"/>
      <c r="Z369" s="1511"/>
      <c r="AA369" s="1511"/>
      <c r="AB369" s="1511"/>
      <c r="AC369" s="1511"/>
      <c r="AD369" s="1511"/>
      <c r="AE369" s="1511"/>
      <c r="AF369" s="1511"/>
      <c r="AG369" s="1511"/>
      <c r="AH369" s="1511"/>
    </row>
    <row r="370" spans="1:34" ht="13" customHeight="1">
      <c r="E370" s="4" t="s">
        <v>457</v>
      </c>
      <c r="F370" s="4"/>
      <c r="G370" s="4"/>
      <c r="H370" s="4"/>
      <c r="I370" s="4"/>
      <c r="J370" s="4"/>
      <c r="K370" s="4"/>
      <c r="L370" s="4"/>
      <c r="N370" s="1428"/>
      <c r="O370" s="1428"/>
      <c r="P370" s="1428"/>
      <c r="Q370" s="1428"/>
      <c r="R370" s="4"/>
      <c r="U370" s="4" t="s">
        <v>458</v>
      </c>
      <c r="V370" s="4"/>
      <c r="W370" s="4"/>
      <c r="X370" s="4"/>
      <c r="Y370" s="4"/>
      <c r="Z370" s="4"/>
      <c r="AA370" s="4"/>
      <c r="AB370" s="4"/>
      <c r="AC370" s="1428"/>
      <c r="AD370" s="1428"/>
      <c r="AE370" s="1428"/>
      <c r="AF370" s="1428"/>
    </row>
    <row r="371" spans="1:34" ht="13" customHeight="1">
      <c r="E371" s="4" t="s">
        <v>459</v>
      </c>
      <c r="F371" s="4"/>
      <c r="G371" s="4"/>
      <c r="H371" s="4"/>
      <c r="I371" s="4"/>
      <c r="J371" s="4"/>
      <c r="K371" s="4"/>
      <c r="L371" s="4"/>
      <c r="N371" s="1428"/>
      <c r="O371" s="1428"/>
      <c r="P371" s="1428"/>
      <c r="Q371" s="1428"/>
      <c r="R371" s="4"/>
      <c r="U371" s="4" t="s">
        <v>0</v>
      </c>
      <c r="V371" s="4"/>
      <c r="W371" s="4"/>
      <c r="X371" s="4"/>
      <c r="Y371" s="4"/>
      <c r="Z371" s="4"/>
      <c r="AA371" s="4"/>
      <c r="AB371" s="4"/>
      <c r="AC371" s="1428"/>
      <c r="AD371" s="1428"/>
      <c r="AE371" s="1428"/>
      <c r="AF371" s="1428"/>
    </row>
    <row r="372" spans="1:34" ht="13" customHeight="1">
      <c r="E372" s="4" t="s">
        <v>1</v>
      </c>
      <c r="F372" s="4"/>
      <c r="G372" s="4"/>
      <c r="H372" s="4"/>
      <c r="I372" s="4"/>
      <c r="J372" s="4"/>
      <c r="K372" s="4"/>
      <c r="L372" s="4"/>
      <c r="N372" s="1428"/>
      <c r="O372" s="1428"/>
      <c r="P372" s="1428"/>
      <c r="Q372" s="1428"/>
      <c r="R372" s="4"/>
      <c r="V372" s="4"/>
      <c r="W372" s="4"/>
      <c r="X372" s="4"/>
      <c r="Y372" s="4"/>
      <c r="Z372" s="4"/>
      <c r="AA372" s="4"/>
      <c r="AB372" s="4"/>
    </row>
    <row r="373" spans="1:34" ht="13" customHeight="1">
      <c r="E373" s="4" t="s">
        <v>2</v>
      </c>
      <c r="F373" s="4"/>
      <c r="G373" s="4"/>
      <c r="H373" s="4"/>
      <c r="I373" s="4"/>
      <c r="J373" s="4"/>
      <c r="K373" s="4"/>
      <c r="L373" s="4"/>
      <c r="N373" s="1509"/>
      <c r="O373" s="1509"/>
      <c r="P373" s="1509"/>
      <c r="Q373" s="1509"/>
      <c r="R373" s="1509"/>
      <c r="S373" s="1509"/>
      <c r="T373" s="1509"/>
      <c r="U373" s="1509"/>
      <c r="V373" s="1509"/>
      <c r="W373" s="1509"/>
      <c r="X373" s="1509"/>
      <c r="Y373" s="1509"/>
      <c r="Z373" s="1509"/>
      <c r="AA373" s="1509"/>
      <c r="AB373" s="1509"/>
      <c r="AC373" s="1509"/>
      <c r="AD373" s="1509"/>
      <c r="AE373" s="1509"/>
      <c r="AF373" s="1509"/>
    </row>
    <row r="374" spans="1:34" ht="13" customHeight="1">
      <c r="E374" s="4"/>
      <c r="F374" s="4"/>
      <c r="G374" s="4"/>
      <c r="H374" s="4"/>
      <c r="I374" s="4"/>
      <c r="J374" s="4"/>
      <c r="K374" s="4"/>
      <c r="L374" s="4"/>
      <c r="N374" s="1510"/>
      <c r="O374" s="1510"/>
      <c r="P374" s="1510"/>
      <c r="Q374" s="1510"/>
      <c r="R374" s="1510"/>
      <c r="S374" s="1510"/>
      <c r="T374" s="1510"/>
      <c r="U374" s="1510"/>
      <c r="V374" s="1510"/>
      <c r="W374" s="1510"/>
      <c r="X374" s="1510"/>
      <c r="Y374" s="1510"/>
      <c r="Z374" s="1510"/>
      <c r="AA374" s="1510"/>
      <c r="AB374" s="1510"/>
      <c r="AC374" s="1510"/>
      <c r="AD374" s="1510"/>
      <c r="AE374" s="1510"/>
      <c r="AF374" s="1510"/>
    </row>
    <row r="375" spans="1:34" ht="13" customHeight="1">
      <c r="C375" s="546"/>
      <c r="E375" s="4"/>
      <c r="F375" s="4"/>
      <c r="G375" s="4"/>
      <c r="H375" s="4"/>
      <c r="I375" s="4"/>
      <c r="J375" s="4"/>
      <c r="K375" s="4"/>
      <c r="L375" s="4"/>
    </row>
    <row r="376" spans="1:34" ht="13" customHeight="1">
      <c r="D376" s="2" t="s">
        <v>995</v>
      </c>
      <c r="E376" s="2"/>
      <c r="F376" s="4"/>
      <c r="G376" s="4"/>
      <c r="H376" s="4"/>
      <c r="I376" s="4"/>
      <c r="J376" s="4"/>
      <c r="K376" s="4"/>
      <c r="L376" s="4"/>
    </row>
    <row r="377" spans="1:34" ht="13" customHeight="1">
      <c r="E377" s="4" t="s">
        <v>2402</v>
      </c>
      <c r="F377" s="4"/>
      <c r="G377" s="4"/>
      <c r="H377" s="4"/>
      <c r="I377" s="4"/>
      <c r="J377" s="4"/>
      <c r="K377" s="4"/>
      <c r="L377" s="4"/>
      <c r="N377" t="s">
        <v>2397</v>
      </c>
      <c r="R377" s="27" t="s">
        <v>306</v>
      </c>
      <c r="S377" s="1493"/>
      <c r="T377" s="1493"/>
      <c r="U377" s="1" t="s">
        <v>307</v>
      </c>
      <c r="V377" s="1493"/>
      <c r="W377" s="1493"/>
      <c r="Y377" t="s">
        <v>2397</v>
      </c>
      <c r="AC377" s="27" t="s">
        <v>306</v>
      </c>
      <c r="AD377" s="1493"/>
      <c r="AE377" s="1493"/>
      <c r="AF377" s="1" t="s">
        <v>307</v>
      </c>
      <c r="AG377" s="1493"/>
      <c r="AH377" s="1493"/>
    </row>
    <row r="378" spans="1:34" ht="13" customHeight="1">
      <c r="E378" s="4" t="s">
        <v>1012</v>
      </c>
      <c r="F378" s="4"/>
      <c r="G378" s="4"/>
      <c r="H378" s="4"/>
      <c r="I378" s="4"/>
      <c r="J378" s="4"/>
      <c r="K378" s="4"/>
      <c r="L378" s="4"/>
      <c r="N378" s="1493"/>
      <c r="O378" s="1493"/>
      <c r="P378" s="1493"/>
    </row>
    <row r="379" spans="1:34" ht="13" customHeight="1">
      <c r="E379" s="218" t="s">
        <v>2403</v>
      </c>
      <c r="F379" s="4"/>
      <c r="G379" s="4"/>
      <c r="H379" s="4"/>
      <c r="I379" s="4"/>
      <c r="J379" s="4"/>
      <c r="K379" s="4"/>
      <c r="L379" s="4"/>
      <c r="AG379" s="1505" t="s">
        <v>600</v>
      </c>
      <c r="AH379" s="1505"/>
    </row>
    <row r="380" spans="1:34" ht="13" customHeight="1">
      <c r="E380" s="4"/>
      <c r="F380" s="4"/>
      <c r="G380" s="4" t="s">
        <v>2404</v>
      </c>
      <c r="H380" s="4"/>
      <c r="I380" s="4"/>
      <c r="J380" s="4"/>
      <c r="K380" s="4"/>
      <c r="L380" s="4"/>
      <c r="AG380" s="1505" t="s">
        <v>600</v>
      </c>
      <c r="AH380" s="1505"/>
    </row>
    <row r="381" spans="1:34" ht="13" customHeight="1">
      <c r="E381" s="4"/>
      <c r="F381" s="4"/>
      <c r="G381" s="348" t="s">
        <v>1013</v>
      </c>
      <c r="H381" s="4"/>
      <c r="I381" s="4"/>
      <c r="J381" s="4"/>
      <c r="K381" s="4"/>
      <c r="L381" s="4"/>
      <c r="V381" s="1381" t="s">
        <v>600</v>
      </c>
      <c r="W381" s="1381"/>
      <c r="Y381" s="22" t="s">
        <v>1000</v>
      </c>
    </row>
    <row r="382" spans="1:34" ht="13" customHeight="1">
      <c r="E382" s="4" t="s">
        <v>1001</v>
      </c>
      <c r="F382" s="4"/>
      <c r="G382" s="4"/>
      <c r="H382" s="4"/>
      <c r="I382" s="4"/>
      <c r="J382" s="4"/>
      <c r="K382" s="4"/>
      <c r="L382" s="4"/>
      <c r="V382" s="1381" t="s">
        <v>600</v>
      </c>
      <c r="W382" s="1381"/>
      <c r="Y382" s="4" t="s">
        <v>1002</v>
      </c>
    </row>
    <row r="383" spans="1:34" ht="13" customHeight="1"/>
    <row r="384" spans="1:34" ht="13" customHeight="1">
      <c r="A384" s="2" t="s">
        <v>78</v>
      </c>
      <c r="B384" s="2"/>
    </row>
    <row r="385" spans="4:36" ht="13" customHeight="1">
      <c r="D385" t="s">
        <v>429</v>
      </c>
      <c r="J385" s="1385" t="s">
        <v>2674</v>
      </c>
      <c r="K385" s="1385"/>
      <c r="L385" s="1385"/>
      <c r="M385" s="1385"/>
      <c r="N385" s="1385"/>
      <c r="O385" s="1385"/>
      <c r="P385" s="1385"/>
      <c r="Q385" s="1385"/>
      <c r="R385" s="1385"/>
      <c r="S385" s="1385"/>
      <c r="T385" s="1385"/>
      <c r="U385" s="1385"/>
      <c r="V385" s="8" t="s">
        <v>83</v>
      </c>
      <c r="W385" s="8"/>
      <c r="X385" s="8"/>
      <c r="Y385" s="8"/>
      <c r="Z385" s="8"/>
      <c r="AA385" s="8"/>
      <c r="AB385" s="8"/>
      <c r="AC385" s="1385" t="s">
        <v>2675</v>
      </c>
      <c r="AD385" s="1385"/>
      <c r="AE385" s="1385"/>
      <c r="AF385" s="1385"/>
      <c r="AG385" s="1385"/>
      <c r="AH385" s="1385"/>
      <c r="AI385" s="1385"/>
      <c r="AJ385" s="1385"/>
    </row>
    <row r="386" spans="4:36" ht="13" customHeight="1">
      <c r="D386" s="3" t="s">
        <v>1289</v>
      </c>
      <c r="J386" s="1395" t="s">
        <v>2675</v>
      </c>
      <c r="K386" s="1395"/>
      <c r="L386" s="1395"/>
      <c r="M386" s="1395"/>
      <c r="N386" s="1395"/>
      <c r="O386" s="1395"/>
      <c r="P386" s="1395"/>
      <c r="Q386" s="1395"/>
      <c r="R386" s="1395"/>
      <c r="S386" s="1395"/>
      <c r="T386" s="1395"/>
      <c r="U386" s="1395"/>
      <c r="V386" s="3" t="s">
        <v>1289</v>
      </c>
      <c r="W386" s="8"/>
      <c r="X386" s="8"/>
      <c r="Y386" s="8"/>
      <c r="Z386" s="8"/>
      <c r="AA386" s="8"/>
      <c r="AB386" s="8"/>
      <c r="AC386" s="1385" t="s">
        <v>2675</v>
      </c>
      <c r="AD386" s="1385"/>
      <c r="AE386" s="1385"/>
      <c r="AF386" s="1385"/>
      <c r="AG386" s="1385"/>
      <c r="AH386" s="1385"/>
      <c r="AI386" s="1385"/>
      <c r="AJ386" s="1385"/>
    </row>
    <row r="387" spans="4:36" ht="13" customHeight="1">
      <c r="D387" s="3" t="s">
        <v>444</v>
      </c>
      <c r="J387" s="1395" t="s">
        <v>2744</v>
      </c>
      <c r="K387" s="1395"/>
      <c r="L387" s="1395"/>
      <c r="M387" s="1395"/>
      <c r="N387" s="1395"/>
      <c r="O387" s="1395"/>
      <c r="P387" s="1395"/>
      <c r="Q387" s="1395"/>
      <c r="R387" s="1395"/>
      <c r="S387" s="1395"/>
      <c r="T387" s="1395"/>
      <c r="U387" s="1395"/>
      <c r="V387" s="3" t="s">
        <v>444</v>
      </c>
      <c r="W387" s="8"/>
      <c r="X387" s="8"/>
      <c r="Y387" s="8"/>
      <c r="Z387" s="8"/>
      <c r="AA387" s="8"/>
      <c r="AB387" s="8"/>
      <c r="AC387" s="1396" t="s">
        <v>2744</v>
      </c>
      <c r="AD387" s="1385"/>
      <c r="AE387" s="1385"/>
      <c r="AF387" s="1385"/>
      <c r="AG387" s="1385"/>
      <c r="AH387" s="1385"/>
      <c r="AI387" s="1385"/>
      <c r="AJ387" s="1385"/>
    </row>
    <row r="388" spans="4:36" ht="13" customHeight="1">
      <c r="D388" t="s">
        <v>1285</v>
      </c>
      <c r="J388" s="1552" t="s">
        <v>2676</v>
      </c>
      <c r="K388" s="1425"/>
      <c r="L388" s="1425"/>
      <c r="M388" s="1425"/>
      <c r="N388" s="1425"/>
      <c r="O388" s="1425"/>
      <c r="P388" s="1425"/>
      <c r="Q388" s="1425"/>
      <c r="R388" s="1425"/>
      <c r="S388" s="1425"/>
      <c r="T388" s="1425"/>
      <c r="U388" s="1425"/>
      <c r="V388" s="1385" t="s">
        <v>2754</v>
      </c>
      <c r="W388" s="1385"/>
      <c r="X388" s="1385"/>
      <c r="Y388" s="1385"/>
      <c r="Z388" s="1385"/>
      <c r="AA388" s="1385"/>
      <c r="AB388" s="1385"/>
      <c r="AC388" s="1385"/>
      <c r="AD388" s="1385"/>
      <c r="AE388" s="1385"/>
      <c r="AF388" s="1385"/>
      <c r="AG388" s="1385"/>
      <c r="AH388" s="1385"/>
      <c r="AI388" s="1385"/>
      <c r="AJ388" s="1385"/>
    </row>
    <row r="389" spans="4:36" ht="13" customHeight="1">
      <c r="D389" t="s">
        <v>4</v>
      </c>
      <c r="Q389" s="1837">
        <v>45400</v>
      </c>
      <c r="R389" s="1837"/>
      <c r="S389" s="1837"/>
      <c r="T389" s="1837"/>
      <c r="U389" s="1837"/>
      <c r="V389" t="s">
        <v>310</v>
      </c>
      <c r="AI389" s="1381" t="s">
        <v>678</v>
      </c>
      <c r="AJ389" s="1381"/>
    </row>
    <row r="390" spans="4:36" ht="13" customHeight="1">
      <c r="D390" t="s">
        <v>5</v>
      </c>
      <c r="Q390" s="1687">
        <v>45322</v>
      </c>
      <c r="R390" s="1835"/>
      <c r="S390" s="1835"/>
      <c r="T390" s="1835"/>
      <c r="U390" s="1835"/>
      <c r="W390" s="21" t="s">
        <v>74</v>
      </c>
      <c r="AG390" s="1489"/>
      <c r="AH390" s="1489"/>
      <c r="AI390" s="1489"/>
      <c r="AJ390" s="1489"/>
    </row>
    <row r="391" spans="4:36" ht="13" customHeight="1">
      <c r="D391" t="s">
        <v>428</v>
      </c>
      <c r="Q391" s="1521">
        <f>'Sources and Uses Budget'!C12</f>
        <v>23318155</v>
      </c>
      <c r="R391" s="1521"/>
      <c r="S391" s="1521"/>
      <c r="T391" s="1521"/>
      <c r="U391" s="1521"/>
      <c r="V391" s="3" t="s">
        <v>1288</v>
      </c>
      <c r="AG391" s="1507">
        <v>45694</v>
      </c>
      <c r="AH391" s="1507"/>
      <c r="AI391" s="1507"/>
      <c r="AJ391" s="1507"/>
    </row>
    <row r="392" spans="4:36" ht="13" customHeight="1">
      <c r="D392" t="s">
        <v>88</v>
      </c>
      <c r="I392" s="1553" t="s">
        <v>2692</v>
      </c>
      <c r="J392" s="1506"/>
      <c r="K392" s="1506"/>
      <c r="L392" s="1506"/>
      <c r="M392" s="1506"/>
      <c r="N392" s="1506"/>
      <c r="Q392" s="4" t="s">
        <v>207</v>
      </c>
      <c r="S392" s="1836"/>
      <c r="T392" s="1836"/>
      <c r="U392" s="1836"/>
      <c r="V392" t="s">
        <v>73</v>
      </c>
      <c r="AI392" s="1381" t="s">
        <v>678</v>
      </c>
      <c r="AJ392" s="1381"/>
    </row>
    <row r="393" spans="4:36" ht="13" customHeight="1">
      <c r="D393" t="s">
        <v>311</v>
      </c>
      <c r="Q393" s="1504"/>
      <c r="R393" s="1504"/>
      <c r="S393" s="1504"/>
      <c r="T393" s="1504"/>
      <c r="U393" s="1504"/>
      <c r="V393" t="s">
        <v>312</v>
      </c>
      <c r="AG393" s="1489"/>
      <c r="AH393" s="1489"/>
      <c r="AI393" s="1489"/>
      <c r="AJ393" s="1489"/>
    </row>
    <row r="394" spans="4:36" ht="13" customHeight="1">
      <c r="D394" t="s">
        <v>313</v>
      </c>
      <c r="Q394" s="1508"/>
      <c r="R394" s="1508"/>
      <c r="S394" s="1508"/>
      <c r="T394" s="1508"/>
      <c r="U394" s="1508"/>
      <c r="V394" t="s">
        <v>1269</v>
      </c>
      <c r="AG394" s="1489"/>
      <c r="AH394" s="1489"/>
      <c r="AI394" s="1489"/>
      <c r="AJ394" s="1489"/>
    </row>
    <row r="395" spans="4:36" ht="13" customHeight="1">
      <c r="D395" t="s">
        <v>1268</v>
      </c>
      <c r="AG395" s="1489"/>
      <c r="AH395" s="1489"/>
      <c r="AI395" s="1489"/>
      <c r="AJ395" s="1489"/>
    </row>
    <row r="396" spans="4:36" ht="13" customHeight="1">
      <c r="AG396" s="490"/>
      <c r="AH396" s="490"/>
      <c r="AI396" s="490"/>
      <c r="AJ396" s="490"/>
    </row>
    <row r="397" spans="4:36" ht="13" customHeight="1">
      <c r="D397" s="3" t="s">
        <v>2503</v>
      </c>
      <c r="AG397" s="490"/>
      <c r="AH397" s="490"/>
      <c r="AI397" s="1381" t="s">
        <v>554</v>
      </c>
      <c r="AJ397" s="1381"/>
    </row>
    <row r="398" spans="4:36" ht="13" customHeight="1">
      <c r="D398" s="3" t="s">
        <v>1782</v>
      </c>
      <c r="T398" s="1456" t="s">
        <v>2650</v>
      </c>
      <c r="U398" s="1457"/>
      <c r="V398" s="1457"/>
      <c r="W398" s="1457"/>
      <c r="X398" s="1457"/>
      <c r="Y398" s="1457"/>
      <c r="Z398" s="1457"/>
      <c r="AA398" s="1457"/>
      <c r="AB398" s="1457"/>
      <c r="AC398" s="1457"/>
      <c r="AD398" s="1457"/>
      <c r="AE398" s="1457"/>
      <c r="AF398" s="1457"/>
      <c r="AG398" s="1457"/>
      <c r="AH398" s="1457"/>
      <c r="AI398" s="1457"/>
      <c r="AJ398" s="1457"/>
    </row>
    <row r="399" spans="4:36" ht="13" customHeight="1">
      <c r="D399" s="3" t="s">
        <v>1781</v>
      </c>
      <c r="T399" s="1457" t="s">
        <v>2650</v>
      </c>
      <c r="U399" s="1457"/>
      <c r="V399" s="1457"/>
      <c r="W399" s="1457"/>
      <c r="X399" s="1457"/>
      <c r="Y399" s="1457"/>
      <c r="Z399" s="1457"/>
      <c r="AA399" s="1457"/>
      <c r="AB399" s="1457"/>
      <c r="AC399" s="1457"/>
      <c r="AD399" s="1457"/>
      <c r="AE399" s="1457"/>
      <c r="AF399" s="1457"/>
      <c r="AG399" s="1457"/>
      <c r="AH399" s="1457"/>
      <c r="AI399" s="1457"/>
      <c r="AJ399" s="1457"/>
    </row>
    <row r="400" spans="4:36" ht="13" customHeight="1">
      <c r="AG400" s="490"/>
      <c r="AH400" s="490"/>
      <c r="AI400" s="490"/>
      <c r="AJ400" s="490"/>
    </row>
    <row r="401" spans="1:36" ht="13" customHeight="1">
      <c r="D401" s="3" t="s">
        <v>1775</v>
      </c>
      <c r="S401" s="1457" t="s">
        <v>678</v>
      </c>
      <c r="T401" s="1457"/>
      <c r="U401" s="1457"/>
      <c r="V401" t="s">
        <v>1776</v>
      </c>
      <c r="AG401" s="1551"/>
      <c r="AH401" s="1551"/>
      <c r="AI401" s="1551"/>
      <c r="AJ401" s="1551"/>
    </row>
    <row r="402" spans="1:36" ht="13" customHeight="1">
      <c r="D402" s="3" t="s">
        <v>1773</v>
      </c>
      <c r="S402" s="1457" t="s">
        <v>600</v>
      </c>
      <c r="T402" s="1457"/>
      <c r="U402" s="1457"/>
      <c r="V402" t="s">
        <v>1778</v>
      </c>
      <c r="AE402" s="1491"/>
      <c r="AF402" s="1491"/>
      <c r="AG402" s="1491"/>
      <c r="AH402" s="1491"/>
      <c r="AI402" s="1491"/>
      <c r="AJ402" s="1491"/>
    </row>
    <row r="403" spans="1:36" ht="13" customHeight="1">
      <c r="D403" s="3" t="s">
        <v>1774</v>
      </c>
      <c r="K403" s="325"/>
      <c r="L403" s="325"/>
      <c r="M403" s="325"/>
      <c r="N403" s="325"/>
      <c r="O403" s="325"/>
      <c r="P403" s="325"/>
      <c r="Q403" s="325"/>
      <c r="R403" s="325"/>
      <c r="S403" s="325"/>
      <c r="T403" s="325"/>
      <c r="U403" s="325"/>
      <c r="V403" s="325"/>
      <c r="W403" s="325"/>
      <c r="X403" s="325"/>
      <c r="Y403" s="325"/>
      <c r="Z403" s="325"/>
      <c r="AA403" s="325"/>
      <c r="AB403" s="325"/>
      <c r="AC403" s="325"/>
      <c r="AD403" s="325"/>
      <c r="AE403" s="325"/>
      <c r="AF403" s="325"/>
      <c r="AG403" s="325"/>
      <c r="AH403" s="325"/>
      <c r="AI403" s="325"/>
      <c r="AJ403" s="325"/>
    </row>
    <row r="404" spans="1:36" ht="13" customHeight="1">
      <c r="D404" s="3" t="s">
        <v>1777</v>
      </c>
      <c r="K404" s="1492"/>
      <c r="L404" s="1492"/>
      <c r="M404" s="1492"/>
      <c r="N404" s="1492"/>
      <c r="O404" s="1492"/>
      <c r="P404" s="1492"/>
      <c r="Q404" s="1492"/>
      <c r="R404" s="1492"/>
      <c r="S404" s="1492"/>
      <c r="T404" s="1492"/>
      <c r="U404" s="1492"/>
      <c r="V404" s="1492"/>
      <c r="W404" s="1492"/>
      <c r="X404" s="1492"/>
      <c r="Y404" s="1492"/>
      <c r="Z404" s="1492"/>
      <c r="AA404" s="1492"/>
      <c r="AB404" s="1492"/>
      <c r="AC404" s="1492"/>
      <c r="AD404" s="1492"/>
      <c r="AE404" s="1492"/>
      <c r="AF404" s="1492"/>
      <c r="AG404" s="1492"/>
      <c r="AH404" s="1492"/>
      <c r="AI404" s="1492"/>
      <c r="AJ404" s="1492"/>
    </row>
    <row r="405" spans="1:36" ht="13" customHeight="1">
      <c r="D405" s="3" t="s">
        <v>1780</v>
      </c>
      <c r="E405" s="511"/>
      <c r="F405" s="511"/>
      <c r="G405" s="511"/>
      <c r="H405" s="511"/>
      <c r="I405" s="511"/>
      <c r="J405" s="511"/>
      <c r="K405" s="511"/>
      <c r="L405" s="511"/>
      <c r="M405" s="511"/>
      <c r="N405" s="511"/>
      <c r="O405" s="511"/>
      <c r="P405" s="511"/>
      <c r="Q405" s="511"/>
      <c r="R405" s="511"/>
      <c r="S405" s="1495" t="s">
        <v>1291</v>
      </c>
      <c r="T405" s="1495"/>
      <c r="U405" s="1495"/>
      <c r="V405" s="1495"/>
      <c r="W405" s="1495"/>
      <c r="X405" s="1495"/>
      <c r="Y405" s="1495"/>
      <c r="Z405" s="1495"/>
      <c r="AA405" s="1495"/>
      <c r="AB405" s="1495"/>
      <c r="AC405" s="1495"/>
      <c r="AD405" s="1495"/>
      <c r="AE405" s="1495"/>
      <c r="AF405" s="1495"/>
      <c r="AG405" s="1495"/>
      <c r="AH405" s="1495"/>
      <c r="AI405" s="1495"/>
      <c r="AJ405" s="1495"/>
    </row>
    <row r="406" spans="1:36" ht="13" customHeight="1">
      <c r="D406" s="1273" t="s">
        <v>1779</v>
      </c>
      <c r="E406" s="1273"/>
      <c r="F406" s="1273"/>
      <c r="G406" s="1273"/>
      <c r="H406" s="1273"/>
      <c r="I406" s="1273"/>
      <c r="J406" s="1273"/>
      <c r="K406" s="1273"/>
      <c r="L406" s="1273"/>
      <c r="M406" s="1273"/>
      <c r="N406" s="1273"/>
      <c r="O406" s="1273"/>
      <c r="P406" s="1273"/>
      <c r="Q406" s="1273"/>
      <c r="R406" s="1273"/>
      <c r="S406" s="1273"/>
      <c r="T406" s="1273"/>
      <c r="U406" s="1273"/>
      <c r="V406" s="1273"/>
      <c r="W406" s="1273"/>
      <c r="X406" s="1273"/>
      <c r="Y406" s="1273"/>
      <c r="Z406" s="1273"/>
      <c r="AA406" s="1273"/>
      <c r="AB406" s="1273"/>
      <c r="AC406" s="1273"/>
      <c r="AD406" s="1273"/>
      <c r="AE406" s="1273"/>
      <c r="AF406" s="1273"/>
      <c r="AG406" s="1273"/>
      <c r="AH406" s="1273"/>
      <c r="AI406" s="1273"/>
      <c r="AJ406" s="1273"/>
    </row>
    <row r="407" spans="1:36" ht="13" customHeight="1">
      <c r="D407" s="1273"/>
      <c r="E407" s="1273"/>
      <c r="F407" s="1273"/>
      <c r="G407" s="1273"/>
      <c r="H407" s="1273"/>
      <c r="I407" s="1273"/>
      <c r="J407" s="1273"/>
      <c r="K407" s="1273"/>
      <c r="L407" s="1273"/>
      <c r="M407" s="1273"/>
      <c r="N407" s="1273"/>
      <c r="O407" s="1273"/>
      <c r="P407" s="1273"/>
      <c r="Q407" s="1273"/>
      <c r="R407" s="1273"/>
      <c r="S407" s="1273"/>
      <c r="T407" s="1273"/>
      <c r="U407" s="1273"/>
      <c r="V407" s="1273"/>
      <c r="W407" s="1273"/>
      <c r="X407" s="1273"/>
      <c r="Y407" s="1273"/>
      <c r="Z407" s="1273"/>
      <c r="AA407" s="1273"/>
      <c r="AB407" s="1273"/>
      <c r="AC407" s="1273"/>
      <c r="AD407" s="1273"/>
      <c r="AE407" s="1273"/>
      <c r="AF407" s="1273"/>
      <c r="AG407" s="1273"/>
      <c r="AH407" s="1273"/>
      <c r="AI407" s="1273"/>
      <c r="AJ407" s="1273"/>
    </row>
    <row r="408" spans="1:36" ht="13" customHeight="1">
      <c r="AG408" s="490"/>
      <c r="AH408" s="490"/>
      <c r="AI408" s="490"/>
      <c r="AJ408" s="490"/>
    </row>
    <row r="409" spans="1:36" ht="13" customHeight="1">
      <c r="A409" s="2" t="s">
        <v>598</v>
      </c>
      <c r="B409" s="2"/>
      <c r="C409" s="2" t="s">
        <v>111</v>
      </c>
    </row>
    <row r="410" spans="1:36" ht="13" customHeight="1">
      <c r="B410" s="2"/>
      <c r="C410" s="2"/>
      <c r="D410" s="2" t="s">
        <v>1311</v>
      </c>
      <c r="I410" s="1396" t="s">
        <v>2677</v>
      </c>
      <c r="J410" s="1396"/>
      <c r="K410" s="1396"/>
      <c r="L410" s="1396"/>
      <c r="M410" s="1396"/>
      <c r="N410" s="1396"/>
      <c r="O410" s="1396"/>
      <c r="P410" s="1396"/>
      <c r="Q410" s="1396"/>
      <c r="R410" s="1396"/>
      <c r="S410" s="1396"/>
      <c r="T410" s="1396"/>
      <c r="U410" s="1396"/>
      <c r="V410" s="1396"/>
      <c r="W410" s="1396"/>
      <c r="X410" s="1396"/>
      <c r="Y410" s="1396"/>
      <c r="Z410" s="1396"/>
      <c r="AA410" s="1396"/>
      <c r="AB410" s="1396"/>
      <c r="AC410" s="1396"/>
      <c r="AD410" s="1396"/>
      <c r="AE410" s="1396"/>
    </row>
    <row r="411" spans="1:36" ht="13" customHeight="1">
      <c r="E411" t="s">
        <v>106</v>
      </c>
      <c r="R411" s="1381" t="s">
        <v>554</v>
      </c>
      <c r="S411" s="1381"/>
      <c r="AC411" s="27" t="s">
        <v>579</v>
      </c>
      <c r="AD411" s="1498">
        <v>6</v>
      </c>
      <c r="AE411" s="1428"/>
    </row>
    <row r="412" spans="1:36" ht="13" customHeight="1">
      <c r="E412" t="s">
        <v>107</v>
      </c>
      <c r="R412" s="1381" t="s">
        <v>554</v>
      </c>
      <c r="S412" s="1381"/>
      <c r="AC412" s="27" t="s">
        <v>579</v>
      </c>
      <c r="AD412" s="1428">
        <v>2</v>
      </c>
      <c r="AE412" s="1428"/>
    </row>
    <row r="413" spans="1:36" ht="13" customHeight="1">
      <c r="E413" t="s">
        <v>108</v>
      </c>
      <c r="S413" s="1381" t="s">
        <v>600</v>
      </c>
      <c r="T413" s="1381"/>
    </row>
    <row r="414" spans="1:36" ht="13" customHeight="1">
      <c r="E414" t="s">
        <v>170</v>
      </c>
      <c r="H414" s="1800" t="s">
        <v>2763</v>
      </c>
      <c r="I414" s="1800"/>
      <c r="J414" s="1800"/>
      <c r="K414" s="1800"/>
      <c r="L414" s="1800"/>
      <c r="M414" s="1800"/>
      <c r="N414" s="1800"/>
      <c r="O414" s="1800"/>
      <c r="P414" s="1800"/>
      <c r="Q414" s="1800"/>
      <c r="R414" s="1800"/>
      <c r="S414" s="1800"/>
      <c r="T414" s="1800"/>
      <c r="U414" s="1800"/>
      <c r="V414" s="1800"/>
      <c r="W414" s="1800"/>
      <c r="X414" s="1800"/>
      <c r="Y414" s="1800"/>
      <c r="Z414" s="1800"/>
      <c r="AA414" s="1800"/>
      <c r="AB414" s="1800"/>
      <c r="AC414" s="1800"/>
      <c r="AD414" s="1800"/>
      <c r="AE414" s="1800"/>
    </row>
    <row r="415" spans="1:36" ht="13" customHeight="1">
      <c r="H415" s="1801"/>
      <c r="I415" s="1801"/>
      <c r="J415" s="1801"/>
      <c r="K415" s="1801"/>
      <c r="L415" s="1801"/>
      <c r="M415" s="1801"/>
      <c r="N415" s="1801"/>
      <c r="O415" s="1801"/>
      <c r="P415" s="1801"/>
      <c r="Q415" s="1801"/>
      <c r="R415" s="1801"/>
      <c r="S415" s="1801"/>
      <c r="T415" s="1801"/>
      <c r="U415" s="1801"/>
      <c r="V415" s="1801"/>
      <c r="W415" s="1801"/>
      <c r="X415" s="1801"/>
      <c r="Y415" s="1801"/>
      <c r="Z415" s="1801"/>
      <c r="AA415" s="1801"/>
      <c r="AB415" s="1801"/>
      <c r="AC415" s="1801"/>
      <c r="AD415" s="1801"/>
      <c r="AE415" s="1801"/>
    </row>
    <row r="416" spans="1:36" ht="13" customHeight="1"/>
    <row r="417" spans="1:39" ht="13" customHeight="1">
      <c r="A417" s="2" t="s">
        <v>599</v>
      </c>
      <c r="B417" s="2"/>
      <c r="C417" s="2"/>
      <c r="D417" s="2" t="s">
        <v>114</v>
      </c>
      <c r="AF417" s="2" t="s">
        <v>977</v>
      </c>
    </row>
    <row r="418" spans="1:39" ht="13" customHeight="1">
      <c r="E418" s="1493"/>
      <c r="F418" s="1493"/>
      <c r="G418" s="1493"/>
      <c r="H418" s="13" t="s">
        <v>115</v>
      </c>
      <c r="I418" s="1493"/>
      <c r="J418" s="1493"/>
      <c r="K418" s="1493"/>
      <c r="L418" t="s">
        <v>116</v>
      </c>
      <c r="N418" s="27" t="s">
        <v>584</v>
      </c>
      <c r="P418" s="1802">
        <v>1.42</v>
      </c>
      <c r="Q418" s="1802"/>
      <c r="R418" s="1802"/>
      <c r="S418" t="s">
        <v>117</v>
      </c>
      <c r="W418" s="1408">
        <f>IF(E418&gt;0,(E418*I418),(P418*43560))</f>
        <v>61855.199999999997</v>
      </c>
      <c r="X418" s="1408"/>
      <c r="Y418" s="1408"/>
      <c r="Z418" t="s">
        <v>118</v>
      </c>
      <c r="AF418" s="1872">
        <f>IFERROR(IF(P418&gt;0,(AG437/P418),(AG437/(W418/43560))),0)</f>
        <v>99.295774647887328</v>
      </c>
      <c r="AG418" s="1872"/>
      <c r="AH418" s="1872"/>
      <c r="AM418" s="3"/>
    </row>
    <row r="419" spans="1:39" ht="13" customHeight="1">
      <c r="E419" t="s">
        <v>51</v>
      </c>
    </row>
    <row r="420" spans="1:39" ht="13" customHeight="1">
      <c r="E420" s="1490"/>
      <c r="F420" s="1490"/>
      <c r="G420" s="1490"/>
      <c r="H420" s="1490"/>
      <c r="I420" s="1490"/>
      <c r="J420" s="1490"/>
      <c r="K420" s="1490"/>
      <c r="L420" s="1490"/>
      <c r="M420" s="1490"/>
      <c r="N420" s="1490"/>
      <c r="O420" s="1490"/>
      <c r="P420" s="1490"/>
      <c r="Q420" s="1490"/>
      <c r="R420" s="1490"/>
      <c r="S420" s="1490"/>
      <c r="T420" s="1490"/>
      <c r="U420" s="1490"/>
      <c r="V420" s="1490"/>
      <c r="W420" s="1490"/>
      <c r="X420" s="1490"/>
      <c r="Y420" s="1490"/>
      <c r="Z420" s="1490"/>
      <c r="AA420" s="1490"/>
      <c r="AB420" s="1490"/>
      <c r="AC420" s="1490"/>
      <c r="AD420" s="1490"/>
      <c r="AE420" s="1490"/>
      <c r="AF420" s="1490"/>
      <c r="AG420" s="1490"/>
      <c r="AH420" s="1490"/>
      <c r="AI420" s="1490"/>
      <c r="AJ420" s="1490"/>
    </row>
    <row r="421" spans="1:39" ht="13" customHeight="1">
      <c r="E421" s="118" t="s">
        <v>1927</v>
      </c>
      <c r="F421" s="1048"/>
      <c r="G421" s="1048"/>
      <c r="H421" s="1048"/>
      <c r="I421" s="1607">
        <f>P418-0.3</f>
        <v>1.1199999999999999</v>
      </c>
      <c r="J421" s="1607"/>
      <c r="K421" s="1607"/>
      <c r="L421" s="1048"/>
      <c r="M421" s="118"/>
      <c r="N421" s="1048"/>
      <c r="O421" s="1048"/>
      <c r="P421" s="1873">
        <f>(CS634+CS642+CS658)/I421</f>
        <v>125.89285714285715</v>
      </c>
      <c r="Q421" s="1873"/>
      <c r="R421" s="1873"/>
      <c r="S421" s="118" t="s">
        <v>1928</v>
      </c>
      <c r="T421" s="1048"/>
      <c r="U421" s="1048"/>
      <c r="V421" s="1048"/>
      <c r="W421" s="1048"/>
      <c r="X421" s="1048"/>
      <c r="Y421" s="1048"/>
      <c r="Z421" s="1048"/>
      <c r="AA421" s="1048"/>
      <c r="AB421" s="1048"/>
      <c r="AC421" s="1048"/>
      <c r="AD421" s="1048"/>
      <c r="AE421" s="1048"/>
      <c r="AF421" s="1048"/>
      <c r="AG421" s="1048"/>
      <c r="AH421" s="1048"/>
      <c r="AI421" s="1048"/>
      <c r="AJ421" s="1048"/>
    </row>
    <row r="422" spans="1:39" ht="13" customHeight="1"/>
    <row r="423" spans="1:39" ht="13" customHeight="1">
      <c r="A423" s="2" t="s">
        <v>601</v>
      </c>
      <c r="B423" s="2"/>
      <c r="C423" s="2"/>
      <c r="D423" s="2" t="s">
        <v>120</v>
      </c>
    </row>
    <row r="424" spans="1:39" ht="13" customHeight="1">
      <c r="E424" t="s">
        <v>121</v>
      </c>
      <c r="P424" s="1381">
        <v>2</v>
      </c>
      <c r="Q424" s="1381"/>
      <c r="S424" t="s">
        <v>190</v>
      </c>
      <c r="AE424" s="1381">
        <v>2</v>
      </c>
      <c r="AF424" s="1381"/>
    </row>
    <row r="425" spans="1:39" ht="13" customHeight="1">
      <c r="E425" t="s">
        <v>191</v>
      </c>
      <c r="P425" s="1381">
        <v>0</v>
      </c>
      <c r="Q425" s="1381"/>
      <c r="S425" t="s">
        <v>131</v>
      </c>
      <c r="AE425" s="1381" t="s">
        <v>600</v>
      </c>
      <c r="AF425" s="1381"/>
    </row>
    <row r="426" spans="1:39" ht="13" customHeight="1">
      <c r="F426" s="28" t="s">
        <v>132</v>
      </c>
    </row>
    <row r="427" spans="1:39" ht="13" customHeight="1">
      <c r="F427" s="1499"/>
      <c r="G427" s="1499"/>
      <c r="H427" s="1499"/>
      <c r="I427" s="1499"/>
      <c r="J427" s="1499"/>
      <c r="K427" s="1499"/>
      <c r="L427" s="1499"/>
      <c r="M427" s="1499"/>
      <c r="N427" s="1499"/>
      <c r="O427" s="1499"/>
      <c r="P427" s="1499"/>
      <c r="Q427" s="1499"/>
      <c r="R427" s="1499"/>
      <c r="S427" s="1499"/>
      <c r="T427" s="1499"/>
      <c r="U427" s="1499"/>
      <c r="V427" s="1499"/>
      <c r="W427" s="1499"/>
      <c r="X427" s="1499"/>
      <c r="Y427" s="1499"/>
      <c r="Z427" s="1499"/>
      <c r="AA427" s="1499"/>
      <c r="AB427" s="1499"/>
      <c r="AC427" s="1499"/>
      <c r="AD427" s="1499"/>
      <c r="AE427" s="1499"/>
      <c r="AF427" s="1499"/>
      <c r="AG427" s="1499"/>
      <c r="AH427" s="1499"/>
    </row>
    <row r="428" spans="1:39" ht="13" customHeight="1">
      <c r="F428" s="1500"/>
      <c r="G428" s="1500"/>
      <c r="H428" s="1500"/>
      <c r="I428" s="1500"/>
      <c r="J428" s="1500"/>
      <c r="K428" s="1500"/>
      <c r="L428" s="1500"/>
      <c r="M428" s="1500"/>
      <c r="N428" s="1500"/>
      <c r="O428" s="1500"/>
      <c r="P428" s="1500"/>
      <c r="Q428" s="1500"/>
      <c r="R428" s="1500"/>
      <c r="S428" s="1500"/>
      <c r="T428" s="1500"/>
      <c r="U428" s="1500"/>
      <c r="V428" s="1500"/>
      <c r="W428" s="1500"/>
      <c r="X428" s="1500"/>
      <c r="Y428" s="1500"/>
      <c r="Z428" s="1500"/>
      <c r="AA428" s="1500"/>
      <c r="AB428" s="1500"/>
      <c r="AC428" s="1500"/>
      <c r="AD428" s="1500"/>
      <c r="AE428" s="1500"/>
      <c r="AF428" s="1500"/>
      <c r="AG428" s="1500"/>
      <c r="AH428" s="1500"/>
    </row>
    <row r="429" spans="1:39" ht="13" customHeight="1">
      <c r="E429" t="s">
        <v>617</v>
      </c>
      <c r="P429" s="1"/>
      <c r="Q429" s="1381" t="s">
        <v>554</v>
      </c>
      <c r="R429" s="1381"/>
    </row>
    <row r="430" spans="1:39" ht="13" customHeight="1">
      <c r="F430" t="s">
        <v>618</v>
      </c>
      <c r="P430" s="1"/>
      <c r="Q430" s="1"/>
      <c r="AF430" s="1381" t="s">
        <v>600</v>
      </c>
      <c r="AG430" s="1494"/>
    </row>
    <row r="431" spans="1:39" ht="13" customHeight="1"/>
    <row r="432" spans="1:39" ht="13" customHeight="1">
      <c r="A432" s="2"/>
      <c r="B432" s="2"/>
      <c r="C432" s="2"/>
      <c r="E432" s="4" t="s">
        <v>309</v>
      </c>
      <c r="Z432" s="1381" t="s">
        <v>678</v>
      </c>
      <c r="AA432" s="1381"/>
    </row>
    <row r="433" spans="1:110" ht="13"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 customHeight="1">
      <c r="F434" t="s">
        <v>717</v>
      </c>
      <c r="G434" s="40"/>
      <c r="I434" s="40"/>
      <c r="J434" s="40"/>
      <c r="K434" s="40"/>
      <c r="L434" s="40"/>
      <c r="M434" s="40"/>
      <c r="N434" s="40"/>
      <c r="O434" s="28"/>
      <c r="P434" s="40"/>
      <c r="Q434" s="40"/>
      <c r="R434" s="40"/>
      <c r="S434" s="40"/>
      <c r="T434" s="40"/>
      <c r="U434" s="40"/>
      <c r="V434" s="40"/>
      <c r="W434" s="40"/>
      <c r="Z434" s="1381" t="s">
        <v>600</v>
      </c>
      <c r="AA434" s="1381"/>
    </row>
    <row r="435" spans="1:110" ht="13" customHeight="1"/>
    <row r="436" spans="1:110" ht="13" customHeight="1">
      <c r="A436" s="2" t="s">
        <v>476</v>
      </c>
      <c r="B436" s="2"/>
      <c r="C436" s="2"/>
      <c r="D436" s="2" t="s">
        <v>774</v>
      </c>
      <c r="AF436" s="48"/>
    </row>
    <row r="437" spans="1:110" ht="13" customHeight="1">
      <c r="D437" s="1501" t="s">
        <v>43</v>
      </c>
      <c r="E437" s="1416"/>
      <c r="F437" s="1416"/>
      <c r="G437" s="1416"/>
      <c r="H437" s="1416"/>
      <c r="I437" s="1416"/>
      <c r="J437" s="1416"/>
      <c r="K437" s="1416"/>
      <c r="L437" s="1416"/>
      <c r="M437" s="1416"/>
      <c r="N437" s="1416"/>
      <c r="O437" s="1416"/>
      <c r="P437" s="1416"/>
      <c r="Q437" s="1416"/>
      <c r="R437" s="1416"/>
      <c r="S437" s="1416"/>
      <c r="T437" s="1416"/>
      <c r="U437" s="1416"/>
      <c r="V437" s="1416"/>
      <c r="W437" s="1416"/>
      <c r="X437" s="1416"/>
      <c r="Y437" s="1416"/>
      <c r="Z437" s="1416"/>
      <c r="AA437" s="1416"/>
      <c r="AB437" s="1416"/>
      <c r="AC437" s="1416"/>
      <c r="AD437" s="1416"/>
      <c r="AE437" s="1416"/>
      <c r="AF437" s="1417"/>
      <c r="AG437" s="1468">
        <f>O756+1</f>
        <v>141</v>
      </c>
      <c r="AH437" s="1468"/>
      <c r="AI437" s="1468"/>
      <c r="AJ437" s="1468"/>
    </row>
    <row r="438" spans="1:110" ht="13" customHeight="1">
      <c r="D438" s="1413" t="s">
        <v>1330</v>
      </c>
      <c r="E438" s="1414"/>
      <c r="F438" s="1414"/>
      <c r="G438" s="1414"/>
      <c r="H438" s="1414"/>
      <c r="I438" s="1414"/>
      <c r="J438" s="1414"/>
      <c r="K438" s="1414"/>
      <c r="L438" s="1414"/>
      <c r="M438" s="1414"/>
      <c r="N438" s="1414"/>
      <c r="O438" s="1414"/>
      <c r="P438" s="1414"/>
      <c r="Q438" s="1414"/>
      <c r="R438" s="1414"/>
      <c r="S438" s="1414"/>
      <c r="T438" s="1414"/>
      <c r="U438" s="1414"/>
      <c r="V438" s="1414"/>
      <c r="W438" s="1414"/>
      <c r="X438" s="1414"/>
      <c r="Y438" s="1414"/>
      <c r="Z438" s="1414"/>
      <c r="AA438" s="1414"/>
      <c r="AB438" s="1414"/>
      <c r="AC438" s="1414"/>
      <c r="AD438" s="1414"/>
      <c r="AE438" s="1414"/>
      <c r="AF438" s="1415"/>
      <c r="AG438" s="1519"/>
      <c r="AH438" s="1520"/>
      <c r="AI438" s="1520"/>
      <c r="AJ438" s="1520"/>
    </row>
    <row r="439" spans="1:110" ht="13" customHeight="1">
      <c r="D439" s="1413" t="s">
        <v>1056</v>
      </c>
      <c r="E439" s="1414"/>
      <c r="F439" s="1414"/>
      <c r="G439" s="1414"/>
      <c r="H439" s="1414"/>
      <c r="I439" s="1414"/>
      <c r="J439" s="1414"/>
      <c r="K439" s="1414"/>
      <c r="L439" s="1414"/>
      <c r="M439" s="1414"/>
      <c r="N439" s="1414"/>
      <c r="O439" s="1414"/>
      <c r="P439" s="1414"/>
      <c r="Q439" s="1414"/>
      <c r="R439" s="1414"/>
      <c r="S439" s="1414"/>
      <c r="T439" s="1414"/>
      <c r="U439" s="1414"/>
      <c r="V439" s="1414"/>
      <c r="W439" s="1414"/>
      <c r="X439" s="1414"/>
      <c r="Y439" s="1414"/>
      <c r="Z439" s="1414"/>
      <c r="AA439" s="1414"/>
      <c r="AB439" s="1414"/>
      <c r="AC439" s="1414"/>
      <c r="AD439" s="1414"/>
      <c r="AE439" s="1414"/>
      <c r="AF439" s="1415"/>
      <c r="AG439" s="1468">
        <f>AG437-1</f>
        <v>140</v>
      </c>
      <c r="AH439" s="1468"/>
      <c r="AI439" s="1468"/>
      <c r="AJ439" s="1468"/>
    </row>
    <row r="440" spans="1:110" ht="13" customHeight="1">
      <c r="D440" s="1413" t="s">
        <v>1057</v>
      </c>
      <c r="E440" s="1414"/>
      <c r="F440" s="1414"/>
      <c r="G440" s="1414"/>
      <c r="H440" s="1414"/>
      <c r="I440" s="1414"/>
      <c r="J440" s="1414"/>
      <c r="K440" s="1414"/>
      <c r="L440" s="1414"/>
      <c r="M440" s="1414"/>
      <c r="N440" s="1414"/>
      <c r="O440" s="1414"/>
      <c r="P440" s="1414"/>
      <c r="Q440" s="1414"/>
      <c r="R440" s="1414"/>
      <c r="S440" s="1414"/>
      <c r="T440" s="1414"/>
      <c r="U440" s="1414"/>
      <c r="V440" s="1414"/>
      <c r="W440" s="1414"/>
      <c r="X440" s="1414"/>
      <c r="Y440" s="1414"/>
      <c r="Z440" s="1414"/>
      <c r="AA440" s="1414"/>
      <c r="AB440" s="1414"/>
      <c r="AC440" s="1414"/>
      <c r="AD440" s="1414"/>
      <c r="AE440" s="1414"/>
      <c r="AF440" s="1415"/>
      <c r="AG440" s="1468">
        <f>AG439</f>
        <v>140</v>
      </c>
      <c r="AH440" s="1468"/>
      <c r="AI440" s="1468"/>
      <c r="AJ440" s="1468"/>
    </row>
    <row r="441" spans="1:110" ht="13" customHeight="1">
      <c r="D441" s="1413" t="s">
        <v>1059</v>
      </c>
      <c r="E441" s="1414"/>
      <c r="F441" s="1414"/>
      <c r="G441" s="1414"/>
      <c r="H441" s="1414"/>
      <c r="I441" s="1414"/>
      <c r="J441" s="1414"/>
      <c r="K441" s="1414"/>
      <c r="L441" s="1414"/>
      <c r="M441" s="1414"/>
      <c r="N441" s="1414"/>
      <c r="O441" s="1414"/>
      <c r="P441" s="1414"/>
      <c r="Q441" s="1414"/>
      <c r="R441" s="1414"/>
      <c r="S441" s="1414"/>
      <c r="T441" s="1414"/>
      <c r="U441" s="1414"/>
      <c r="V441" s="1414"/>
      <c r="W441" s="1414"/>
      <c r="X441" s="1414"/>
      <c r="Y441" s="1414"/>
      <c r="Z441" s="1414"/>
      <c r="AA441" s="1414"/>
      <c r="AB441" s="1414"/>
      <c r="AC441" s="1414"/>
      <c r="AD441" s="1414"/>
      <c r="AE441" s="1414"/>
      <c r="AF441" s="1415"/>
      <c r="AG441" s="1497">
        <f>IF(ISERROR(AG440/AG439),"",AG440/AG439)</f>
        <v>1</v>
      </c>
      <c r="AH441" s="1497"/>
      <c r="AI441" s="1497"/>
      <c r="AJ441" s="1497"/>
    </row>
    <row r="442" spans="1:110" ht="13" customHeight="1">
      <c r="D442" s="1413" t="s">
        <v>1058</v>
      </c>
      <c r="E442" s="1414"/>
      <c r="F442" s="1414"/>
      <c r="G442" s="1414"/>
      <c r="H442" s="1414"/>
      <c r="I442" s="1414"/>
      <c r="J442" s="1414"/>
      <c r="K442" s="1414"/>
      <c r="L442" s="1414"/>
      <c r="M442" s="1414"/>
      <c r="N442" s="1414"/>
      <c r="O442" s="1414"/>
      <c r="P442" s="1414"/>
      <c r="Q442" s="1414"/>
      <c r="R442" s="1414"/>
      <c r="S442" s="1414"/>
      <c r="T442" s="1414"/>
      <c r="U442" s="1414"/>
      <c r="V442" s="1414"/>
      <c r="W442" s="1414"/>
      <c r="X442" s="1414"/>
      <c r="Y442" s="1414"/>
      <c r="Z442" s="1414"/>
      <c r="AA442" s="1414"/>
      <c r="AB442" s="1414"/>
      <c r="AC442" s="1414"/>
      <c r="AD442" s="1414"/>
      <c r="AE442" s="1414"/>
      <c r="AF442" s="1415"/>
      <c r="AG442" s="1412">
        <f>278*AG437</f>
        <v>39198</v>
      </c>
      <c r="AH442" s="1412"/>
      <c r="AI442" s="1412"/>
      <c r="AJ442" s="1412"/>
    </row>
    <row r="443" spans="1:110" ht="13" customHeight="1">
      <c r="D443" s="1413" t="s">
        <v>1060</v>
      </c>
      <c r="E443" s="1414"/>
      <c r="F443" s="1414"/>
      <c r="G443" s="1414"/>
      <c r="H443" s="1414"/>
      <c r="I443" s="1414"/>
      <c r="J443" s="1414"/>
      <c r="K443" s="1414"/>
      <c r="L443" s="1414"/>
      <c r="M443" s="1414"/>
      <c r="N443" s="1414"/>
      <c r="O443" s="1414"/>
      <c r="P443" s="1414"/>
      <c r="Q443" s="1414"/>
      <c r="R443" s="1414"/>
      <c r="S443" s="1414"/>
      <c r="T443" s="1414"/>
      <c r="U443" s="1414"/>
      <c r="V443" s="1414"/>
      <c r="W443" s="1414"/>
      <c r="X443" s="1414"/>
      <c r="Y443" s="1414"/>
      <c r="Z443" s="1414"/>
      <c r="AA443" s="1414"/>
      <c r="AB443" s="1414"/>
      <c r="AC443" s="1414"/>
      <c r="AD443" s="1414"/>
      <c r="AE443" s="1414"/>
      <c r="AF443" s="1415"/>
      <c r="AG443" s="1412">
        <f>AG442</f>
        <v>39198</v>
      </c>
      <c r="AH443" s="1412"/>
      <c r="AI443" s="1412"/>
      <c r="AJ443" s="1412"/>
    </row>
    <row r="444" spans="1:110" ht="13" customHeight="1">
      <c r="D444" s="1413" t="s">
        <v>1061</v>
      </c>
      <c r="E444" s="1414"/>
      <c r="F444" s="1414"/>
      <c r="G444" s="1414"/>
      <c r="H444" s="1414"/>
      <c r="I444" s="1414"/>
      <c r="J444" s="1414"/>
      <c r="K444" s="1414"/>
      <c r="L444" s="1414"/>
      <c r="M444" s="1414"/>
      <c r="N444" s="1414"/>
      <c r="O444" s="1414"/>
      <c r="P444" s="1414"/>
      <c r="Q444" s="1414"/>
      <c r="R444" s="1414"/>
      <c r="S444" s="1414"/>
      <c r="T444" s="1414"/>
      <c r="U444" s="1414"/>
      <c r="V444" s="1414"/>
      <c r="W444" s="1414"/>
      <c r="X444" s="1414"/>
      <c r="Y444" s="1414"/>
      <c r="Z444" s="1414"/>
      <c r="AA444" s="1414"/>
      <c r="AB444" s="1414"/>
      <c r="AC444" s="1414"/>
      <c r="AD444" s="1414"/>
      <c r="AE444" s="1414"/>
      <c r="AF444" s="1415"/>
      <c r="AG444" s="1497">
        <f>IF(ISERROR(AG443/AG442),"",AG443/AG442)</f>
        <v>1</v>
      </c>
      <c r="AH444" s="1497"/>
      <c r="AI444" s="1497"/>
      <c r="AJ444" s="1497"/>
    </row>
    <row r="445" spans="1:110" ht="13" customHeight="1">
      <c r="D445" s="1413" t="s">
        <v>1062</v>
      </c>
      <c r="E445" s="1414"/>
      <c r="F445" s="1414"/>
      <c r="G445" s="1414"/>
      <c r="H445" s="1414"/>
      <c r="I445" s="1414"/>
      <c r="J445" s="1414"/>
      <c r="K445" s="1414"/>
      <c r="L445" s="1414"/>
      <c r="M445" s="1414"/>
      <c r="N445" s="1414"/>
      <c r="O445" s="1414"/>
      <c r="P445" s="1414"/>
      <c r="Q445" s="1414"/>
      <c r="R445" s="1414"/>
      <c r="S445" s="1414"/>
      <c r="T445" s="1414"/>
      <c r="U445" s="1414"/>
      <c r="V445" s="1414"/>
      <c r="W445" s="1414"/>
      <c r="X445" s="1414"/>
      <c r="Y445" s="1414"/>
      <c r="Z445" s="1414"/>
      <c r="AA445" s="1414"/>
      <c r="AB445" s="1414"/>
      <c r="AC445" s="1414"/>
      <c r="AD445" s="1414"/>
      <c r="AE445" s="1414"/>
      <c r="AF445" s="1415"/>
      <c r="AG445" s="1497">
        <f>MIN(IF(AG441&gt;AG444,AG444,AG441),1)</f>
        <v>1</v>
      </c>
      <c r="AH445" s="1497"/>
      <c r="AI445" s="1497"/>
      <c r="AJ445" s="1497"/>
    </row>
    <row r="446" spans="1:110" ht="13" customHeight="1">
      <c r="D446" s="1413" t="s">
        <v>2405</v>
      </c>
      <c r="E446" s="1416"/>
      <c r="F446" s="1416"/>
      <c r="G446" s="1416"/>
      <c r="H446" s="1416"/>
      <c r="I446" s="1416"/>
      <c r="J446" s="1416"/>
      <c r="K446" s="1416"/>
      <c r="L446" s="1416"/>
      <c r="M446" s="1416"/>
      <c r="N446" s="1416"/>
      <c r="O446" s="1416"/>
      <c r="P446" s="1416"/>
      <c r="Q446" s="1416"/>
      <c r="R446" s="1416"/>
      <c r="S446" s="1416"/>
      <c r="T446" s="1416"/>
      <c r="U446" s="1416"/>
      <c r="V446" s="1416"/>
      <c r="W446" s="1416"/>
      <c r="X446" s="1416"/>
      <c r="Y446" s="1416"/>
      <c r="Z446" s="1416"/>
      <c r="AA446" s="1416"/>
      <c r="AB446" s="1416"/>
      <c r="AC446" s="1416"/>
      <c r="AD446" s="1416"/>
      <c r="AE446" s="1416"/>
      <c r="AF446" s="1417"/>
      <c r="AG446" s="1412">
        <v>0</v>
      </c>
      <c r="AH446" s="1412"/>
      <c r="AI446" s="1412"/>
      <c r="AJ446" s="141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501" t="s">
        <v>578</v>
      </c>
      <c r="E447" s="1416"/>
      <c r="F447" s="1416"/>
      <c r="G447" s="1416"/>
      <c r="H447" s="1416"/>
      <c r="I447" s="1416"/>
      <c r="J447" s="1416"/>
      <c r="K447" s="1416"/>
      <c r="L447" s="1416"/>
      <c r="M447" s="1416"/>
      <c r="N447" s="1416"/>
      <c r="O447" s="1416"/>
      <c r="P447" s="1416"/>
      <c r="Q447" s="1416"/>
      <c r="R447" s="1416"/>
      <c r="S447" s="1416"/>
      <c r="T447" s="1416"/>
      <c r="U447" s="1416"/>
      <c r="V447" s="1416"/>
      <c r="W447" s="1416"/>
      <c r="X447" s="1416"/>
      <c r="Y447" s="1416"/>
      <c r="Z447" s="1416"/>
      <c r="AA447" s="1416"/>
      <c r="AB447" s="1416"/>
      <c r="AC447" s="1416"/>
      <c r="AD447" s="1416"/>
      <c r="AE447" s="1416"/>
      <c r="AF447" s="1417"/>
      <c r="AG447" s="1412">
        <v>0</v>
      </c>
      <c r="AH447" s="1412"/>
      <c r="AI447" s="1412"/>
      <c r="AJ447" s="141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413" t="s">
        <v>1312</v>
      </c>
      <c r="E448" s="1416"/>
      <c r="F448" s="1416"/>
      <c r="G448" s="1416"/>
      <c r="H448" s="1416"/>
      <c r="I448" s="1416"/>
      <c r="J448" s="1416"/>
      <c r="K448" s="1416"/>
      <c r="L448" s="1416"/>
      <c r="M448" s="1416"/>
      <c r="N448" s="1416"/>
      <c r="O448" s="1416"/>
      <c r="P448" s="1416"/>
      <c r="Q448" s="1416"/>
      <c r="R448" s="1416"/>
      <c r="S448" s="1416"/>
      <c r="T448" s="1416"/>
      <c r="U448" s="1416"/>
      <c r="V448" s="1416"/>
      <c r="W448" s="1416"/>
      <c r="X448" s="1416"/>
      <c r="Y448" s="1416"/>
      <c r="Z448" s="1416"/>
      <c r="AA448" s="1416"/>
      <c r="AB448" s="1416"/>
      <c r="AC448" s="1416"/>
      <c r="AD448" s="1416"/>
      <c r="AE448" s="1416"/>
      <c r="AF448" s="1417"/>
      <c r="AG448" s="1412">
        <v>2200</v>
      </c>
      <c r="AH448" s="1412"/>
      <c r="AI448" s="1412"/>
      <c r="AJ448" s="141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413" t="s">
        <v>1063</v>
      </c>
      <c r="E449" s="1416"/>
      <c r="F449" s="1416"/>
      <c r="G449" s="1416"/>
      <c r="H449" s="1416"/>
      <c r="I449" s="1416"/>
      <c r="J449" s="1416"/>
      <c r="K449" s="1416"/>
      <c r="L449" s="1416"/>
      <c r="M449" s="1416"/>
      <c r="N449" s="1416"/>
      <c r="O449" s="1416"/>
      <c r="P449" s="1416"/>
      <c r="Q449" s="1416"/>
      <c r="R449" s="1416"/>
      <c r="S449" s="1416"/>
      <c r="T449" s="1416"/>
      <c r="U449" s="1416"/>
      <c r="V449" s="1416"/>
      <c r="W449" s="1416"/>
      <c r="X449" s="1416"/>
      <c r="Y449" s="1416"/>
      <c r="Z449" s="1416"/>
      <c r="AA449" s="1416"/>
      <c r="AB449" s="1416"/>
      <c r="AC449" s="1416"/>
      <c r="AD449" s="1416"/>
      <c r="AE449" s="1416"/>
      <c r="AF449" s="1417"/>
      <c r="AG449" s="1412">
        <v>0</v>
      </c>
      <c r="AH449" s="1412"/>
      <c r="AI449" s="1412"/>
      <c r="AJ449" s="141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477" t="s">
        <v>1064</v>
      </c>
      <c r="E450" s="1478"/>
      <c r="F450" s="1478"/>
      <c r="G450" s="1478"/>
      <c r="H450" s="1478"/>
      <c r="I450" s="1478"/>
      <c r="J450" s="1478"/>
      <c r="K450" s="1478"/>
      <c r="L450" s="1478"/>
      <c r="M450" s="1478"/>
      <c r="N450" s="1478"/>
      <c r="O450" s="1478"/>
      <c r="P450" s="1478"/>
      <c r="Q450" s="1478"/>
      <c r="R450" s="1478"/>
      <c r="S450" s="1478"/>
      <c r="T450" s="1478"/>
      <c r="U450" s="1478"/>
      <c r="V450" s="1478"/>
      <c r="W450" s="1478"/>
      <c r="X450" s="1478"/>
      <c r="Y450" s="1478"/>
      <c r="Z450" s="1478"/>
      <c r="AA450" s="1478"/>
      <c r="AB450" s="1478"/>
      <c r="AC450" s="1478"/>
      <c r="AD450" s="1478"/>
      <c r="AE450" s="1478"/>
      <c r="AF450" s="1479"/>
      <c r="AG450" s="1770">
        <f>AG442+AG446+AG448+AG449</f>
        <v>41398</v>
      </c>
      <c r="AH450" s="1770"/>
      <c r="AI450" s="1770"/>
      <c r="AJ450" s="177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475" t="s">
        <v>1313</v>
      </c>
      <c r="E451" s="1475"/>
      <c r="F451" s="1475"/>
      <c r="G451" s="1475"/>
      <c r="H451" s="1475"/>
      <c r="I451" s="1475"/>
      <c r="J451" s="1475"/>
      <c r="K451" s="1475"/>
      <c r="L451" s="1475"/>
      <c r="M451" s="1475"/>
      <c r="N451" s="1475"/>
      <c r="O451" s="1475"/>
      <c r="P451" s="1475"/>
      <c r="Q451" s="1475"/>
      <c r="R451" s="1475"/>
      <c r="S451" s="1475"/>
      <c r="T451" s="1475"/>
      <c r="U451" s="1475"/>
      <c r="V451" s="1475"/>
      <c r="W451" s="1475"/>
      <c r="X451" s="1475"/>
      <c r="Y451" s="1475"/>
      <c r="Z451" s="1475"/>
      <c r="AA451" s="1475"/>
      <c r="AB451" s="1475"/>
      <c r="AC451" s="1475"/>
      <c r="AD451" s="1475"/>
      <c r="AE451" s="1475"/>
      <c r="AF451" s="1475"/>
      <c r="AG451" s="1475"/>
      <c r="AH451" s="1475"/>
      <c r="AI451" s="1475"/>
      <c r="AJ451" s="147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476"/>
      <c r="E452" s="1476"/>
      <c r="F452" s="1476"/>
      <c r="G452" s="1476"/>
      <c r="H452" s="1476"/>
      <c r="I452" s="1476"/>
      <c r="J452" s="1476"/>
      <c r="K452" s="1476"/>
      <c r="L452" s="1476"/>
      <c r="M452" s="1476"/>
      <c r="N452" s="1476"/>
      <c r="O452" s="1476"/>
      <c r="P452" s="1476"/>
      <c r="Q452" s="1476"/>
      <c r="R452" s="1476"/>
      <c r="S452" s="1476"/>
      <c r="T452" s="1476"/>
      <c r="U452" s="1476"/>
      <c r="V452" s="1476"/>
      <c r="W452" s="1476"/>
      <c r="X452" s="1476"/>
      <c r="Y452" s="1476"/>
      <c r="Z452" s="1476"/>
      <c r="AA452" s="1476"/>
      <c r="AB452" s="1476"/>
      <c r="AC452" s="1476"/>
      <c r="AD452" s="1476"/>
      <c r="AE452" s="1476"/>
      <c r="AF452" s="1476"/>
      <c r="AG452" s="1476"/>
      <c r="AH452" s="1476"/>
      <c r="AI452" s="1476"/>
      <c r="AJ452" s="1476"/>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24">
        <f>IF(AG437=0,"",'Sources and Uses Budget'!B105/Application!AG437)</f>
        <v>439024.10638297873</v>
      </c>
      <c r="AD454" s="1424"/>
      <c r="AE454" s="1424"/>
      <c r="AF454" s="1424"/>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24">
        <f>IF(AG437=0,"",'Sources and Uses Budget'!C105/Application!AG437)</f>
        <v>439024.10638297873</v>
      </c>
      <c r="AD455" s="1424"/>
      <c r="AE455" s="1424"/>
      <c r="AF455" s="1424"/>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24">
        <f>IF(AG437=0,"",('Sources and Uses Budget'!$S$107+'Sources and Uses Budget'!$T$107)/Application!AG437)</f>
        <v>392554.87234042556</v>
      </c>
      <c r="AD456" s="1424"/>
      <c r="AE456" s="1424"/>
      <c r="AF456" s="1424"/>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186"/>
      <c r="E457" s="186"/>
      <c r="F457" s="1496" t="str">
        <f>IFERROR(IF(AC454&gt;650000,"Please provide a justification of cost per unit in Tab 12 for all projects with per unit costs of greater than $650,000.",""),"")</f>
        <v/>
      </c>
      <c r="G457" s="1496"/>
      <c r="H457" s="1496"/>
      <c r="I457" s="1496"/>
      <c r="J457" s="1496"/>
      <c r="K457" s="1496"/>
      <c r="L457" s="1496"/>
      <c r="M457" s="1496"/>
      <c r="N457" s="1496"/>
      <c r="O457" s="1496"/>
      <c r="P457" s="1496"/>
      <c r="Q457" s="1496"/>
      <c r="R457" s="1496"/>
      <c r="S457" s="1496"/>
      <c r="T457" s="1496"/>
      <c r="U457" s="1496"/>
      <c r="V457" s="1496"/>
      <c r="W457" s="1496"/>
      <c r="X457" s="1496"/>
      <c r="Y457" s="1496"/>
      <c r="Z457" s="1496"/>
      <c r="AA457" s="1496"/>
      <c r="AB457" s="1496"/>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186"/>
      <c r="F458" s="1496"/>
      <c r="G458" s="1496"/>
      <c r="H458" s="1496"/>
      <c r="I458" s="1496"/>
      <c r="J458" s="1496"/>
      <c r="K458" s="1496"/>
      <c r="L458" s="1496"/>
      <c r="M458" s="1496"/>
      <c r="N458" s="1496"/>
      <c r="O458" s="1496"/>
      <c r="P458" s="1496"/>
      <c r="Q458" s="1496"/>
      <c r="R458" s="1496"/>
      <c r="S458" s="1496"/>
      <c r="T458" s="1496"/>
      <c r="U458" s="1496"/>
      <c r="V458" s="1496"/>
      <c r="W458" s="1496"/>
      <c r="X458" s="1496"/>
      <c r="Y458" s="1496"/>
      <c r="Z458" s="1496"/>
      <c r="AA458" s="1496"/>
      <c r="AB458" s="149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2068</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2069</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93" t="s">
        <v>2070</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453" t="s">
        <v>2419</v>
      </c>
      <c r="E465" s="1439"/>
      <c r="F465" s="1439"/>
      <c r="G465" s="1439"/>
      <c r="H465" s="1439"/>
      <c r="I465" s="1439"/>
      <c r="J465" s="1439"/>
      <c r="K465" s="1439"/>
      <c r="L465" s="1439"/>
      <c r="M465" s="1439"/>
      <c r="N465" s="1439"/>
      <c r="O465" s="1439"/>
      <c r="P465" s="1439"/>
      <c r="Q465" s="1439"/>
      <c r="R465" s="1439"/>
      <c r="S465" s="1439"/>
      <c r="T465" s="1439"/>
      <c r="U465" s="1439"/>
      <c r="V465" s="1440"/>
      <c r="W465" s="1435">
        <v>0</v>
      </c>
      <c r="X465" s="1436"/>
      <c r="Y465" s="1437"/>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438" t="s">
        <v>703</v>
      </c>
      <c r="E466" s="1439"/>
      <c r="F466" s="1439"/>
      <c r="G466" s="1439"/>
      <c r="H466" s="1439"/>
      <c r="I466" s="1439"/>
      <c r="J466" s="1439"/>
      <c r="K466" s="1439"/>
      <c r="L466" s="1439"/>
      <c r="M466" s="1439"/>
      <c r="N466" s="1439"/>
      <c r="O466" s="1439"/>
      <c r="P466" s="1439"/>
      <c r="Q466" s="1439"/>
      <c r="R466" s="1439"/>
      <c r="S466" s="1439"/>
      <c r="T466" s="1439"/>
      <c r="U466" s="1439"/>
      <c r="V466" s="1440"/>
      <c r="W466" s="1435">
        <v>0</v>
      </c>
      <c r="X466" s="1436"/>
      <c r="Y466" s="1437"/>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438" t="s">
        <v>704</v>
      </c>
      <c r="E467" s="1439"/>
      <c r="F467" s="1439"/>
      <c r="G467" s="1439"/>
      <c r="H467" s="1439"/>
      <c r="I467" s="1439"/>
      <c r="J467" s="1439"/>
      <c r="K467" s="1439"/>
      <c r="L467" s="1439"/>
      <c r="M467" s="1439"/>
      <c r="N467" s="1439"/>
      <c r="O467" s="1439"/>
      <c r="P467" s="1439"/>
      <c r="Q467" s="1439"/>
      <c r="R467" s="1439"/>
      <c r="S467" s="1439"/>
      <c r="T467" s="1439"/>
      <c r="U467" s="1439"/>
      <c r="V467" s="1440"/>
      <c r="W467" s="1435">
        <v>0</v>
      </c>
      <c r="X467" s="1436"/>
      <c r="Y467" s="1437"/>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438" t="s">
        <v>705</v>
      </c>
      <c r="E468" s="1439"/>
      <c r="F468" s="1439"/>
      <c r="G468" s="1439"/>
      <c r="H468" s="1439"/>
      <c r="I468" s="1439"/>
      <c r="J468" s="1439"/>
      <c r="K468" s="1439"/>
      <c r="L468" s="1439"/>
      <c r="M468" s="1439"/>
      <c r="N468" s="1439"/>
      <c r="O468" s="1439"/>
      <c r="P468" s="1439"/>
      <c r="Q468" s="1439"/>
      <c r="R468" s="1439"/>
      <c r="S468" s="1439"/>
      <c r="T468" s="1439"/>
      <c r="U468" s="1439"/>
      <c r="V468" s="1440"/>
      <c r="W468" s="1435">
        <v>0</v>
      </c>
      <c r="X468" s="1436"/>
      <c r="Y468" s="1437"/>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438" t="s">
        <v>894</v>
      </c>
      <c r="E469" s="1439"/>
      <c r="F469" s="1439"/>
      <c r="G469" s="1439"/>
      <c r="H469" s="1439"/>
      <c r="I469" s="1439"/>
      <c r="J469" s="1439"/>
      <c r="K469" s="1439"/>
      <c r="L469" s="1439"/>
      <c r="M469" s="1439"/>
      <c r="N469" s="1439"/>
      <c r="O469" s="1439"/>
      <c r="P469" s="1439"/>
      <c r="Q469" s="1439"/>
      <c r="R469" s="1439"/>
      <c r="S469" s="1439"/>
      <c r="T469" s="1439"/>
      <c r="U469" s="1439"/>
      <c r="V469" s="1440"/>
      <c r="W469" s="1435">
        <v>72</v>
      </c>
      <c r="X469" s="1436"/>
      <c r="Y469" s="1437"/>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438" t="s">
        <v>706</v>
      </c>
      <c r="E470" s="1439"/>
      <c r="F470" s="1439"/>
      <c r="G470" s="1439"/>
      <c r="H470" s="1439"/>
      <c r="I470" s="1439"/>
      <c r="J470" s="1439"/>
      <c r="K470" s="1439"/>
      <c r="L470" s="1439"/>
      <c r="M470" s="1439"/>
      <c r="N470" s="1439"/>
      <c r="O470" s="1439"/>
      <c r="P470" s="1439"/>
      <c r="Q470" s="1439"/>
      <c r="R470" s="1439"/>
      <c r="S470" s="1439"/>
      <c r="T470" s="1439"/>
      <c r="U470" s="1439"/>
      <c r="V470" s="1440"/>
      <c r="W470" s="1435">
        <v>0</v>
      </c>
      <c r="X470" s="1436"/>
      <c r="Y470" s="1437"/>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438" t="s">
        <v>1037</v>
      </c>
      <c r="E471" s="1439"/>
      <c r="F471" s="1439"/>
      <c r="G471" s="1439"/>
      <c r="H471" s="1439"/>
      <c r="I471" s="1439"/>
      <c r="J471" s="1439"/>
      <c r="K471" s="1439"/>
      <c r="L471" s="1439"/>
      <c r="M471" s="1439"/>
      <c r="N471" s="1439"/>
      <c r="O471" s="1439"/>
      <c r="P471" s="1439"/>
      <c r="Q471" s="1439"/>
      <c r="R471" s="1439"/>
      <c r="S471" s="1439"/>
      <c r="T471" s="1439"/>
      <c r="U471" s="1439"/>
      <c r="V471" s="1440"/>
      <c r="W471" s="1435">
        <v>0</v>
      </c>
      <c r="X471" s="1436"/>
      <c r="Y471" s="1437"/>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453" t="s">
        <v>2556</v>
      </c>
      <c r="E472" s="1454"/>
      <c r="F472" s="1454"/>
      <c r="G472" s="1454"/>
      <c r="H472" s="1454"/>
      <c r="I472" s="1454"/>
      <c r="J472" s="1454"/>
      <c r="K472" s="1454"/>
      <c r="L472" s="1454"/>
      <c r="M472" s="1454"/>
      <c r="N472" s="1454"/>
      <c r="O472" s="1454"/>
      <c r="P472" s="1454"/>
      <c r="Q472" s="1454"/>
      <c r="R472" s="1454"/>
      <c r="S472" s="1454"/>
      <c r="T472" s="1454"/>
      <c r="U472" s="1454"/>
      <c r="V472" s="1455"/>
      <c r="W472" s="1435">
        <v>0</v>
      </c>
      <c r="X472" s="1436"/>
      <c r="Y472" s="1437"/>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453" t="s">
        <v>1768</v>
      </c>
      <c r="E473" s="1439"/>
      <c r="F473" s="1439"/>
      <c r="G473" s="1439"/>
      <c r="H473" s="1439"/>
      <c r="I473" s="1439"/>
      <c r="J473" s="1439"/>
      <c r="K473" s="1439"/>
      <c r="L473" s="1439"/>
      <c r="M473" s="1439"/>
      <c r="N473" s="1439"/>
      <c r="O473" s="1439"/>
      <c r="P473" s="1439"/>
      <c r="Q473" s="1439"/>
      <c r="R473" s="1439"/>
      <c r="S473" s="1439"/>
      <c r="T473" s="1439"/>
      <c r="U473" s="1439"/>
      <c r="V473" s="1440"/>
      <c r="W473" s="1435">
        <v>21</v>
      </c>
      <c r="X473" s="1436"/>
      <c r="Y473" s="143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1" t="s">
        <v>170</v>
      </c>
      <c r="E474" s="262"/>
      <c r="F474" s="263"/>
      <c r="G474" s="1469"/>
      <c r="H474" s="1470"/>
      <c r="I474" s="1470"/>
      <c r="J474" s="1470"/>
      <c r="K474" s="1470"/>
      <c r="L474" s="1470"/>
      <c r="M474" s="1470"/>
      <c r="N474" s="1470"/>
      <c r="O474" s="1470"/>
      <c r="P474" s="1470"/>
      <c r="Q474" s="1470"/>
      <c r="R474" s="1470"/>
      <c r="S474" s="1470"/>
      <c r="T474" s="1470"/>
      <c r="U474" s="1470"/>
      <c r="V474" s="1471"/>
      <c r="W474" s="1435">
        <v>0</v>
      </c>
      <c r="X474" s="1436"/>
      <c r="Y474" s="1437"/>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1266" t="s">
        <v>2764</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1266" t="s">
        <v>2765</v>
      </c>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668" t="s">
        <v>820</v>
      </c>
      <c r="B480" s="1668"/>
      <c r="C480" s="1668"/>
      <c r="D480" s="1668"/>
      <c r="E480" s="1668"/>
      <c r="F480" s="1668"/>
      <c r="G480" s="1668"/>
      <c r="H480" s="1668"/>
      <c r="I480" s="1668"/>
      <c r="J480" s="1668"/>
      <c r="K480" s="1668"/>
      <c r="L480" s="1668"/>
      <c r="M480" s="1668"/>
      <c r="N480" s="1668"/>
      <c r="O480" s="1668"/>
      <c r="P480" s="1668"/>
      <c r="Q480" s="1668"/>
      <c r="R480" s="1668"/>
      <c r="S480" s="1668"/>
      <c r="T480" s="1668"/>
      <c r="U480" s="1668"/>
      <c r="V480" s="1668"/>
      <c r="W480" s="1668"/>
      <c r="X480" s="1668"/>
      <c r="Y480" s="1668"/>
      <c r="Z480" s="1668"/>
      <c r="AA480" s="1668"/>
      <c r="AB480" s="1668"/>
      <c r="AC480" s="1668"/>
      <c r="AD480" s="1668"/>
      <c r="AE480" s="1668"/>
      <c r="AF480" s="1668"/>
      <c r="AG480" s="1668"/>
      <c r="AH480" s="1668"/>
      <c r="AI480" s="1668"/>
      <c r="AJ480" s="1668"/>
      <c r="AK480" s="1668"/>
      <c r="AL480" s="1668"/>
      <c r="AM480" s="1668"/>
      <c r="AN480" s="1668"/>
      <c r="AO480" s="1668"/>
      <c r="AP480" s="1668"/>
      <c r="AQ480" s="1668"/>
      <c r="AR480" s="1668"/>
      <c r="AS480" s="1668"/>
      <c r="AT480" s="1668"/>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668"/>
      <c r="B481" s="1668"/>
      <c r="C481" s="1668"/>
      <c r="D481" s="1668"/>
      <c r="E481" s="1668"/>
      <c r="F481" s="1668"/>
      <c r="G481" s="1668"/>
      <c r="H481" s="1668"/>
      <c r="I481" s="1668"/>
      <c r="J481" s="1668"/>
      <c r="K481" s="1668"/>
      <c r="L481" s="1668"/>
      <c r="M481" s="1668"/>
      <c r="N481" s="1668"/>
      <c r="O481" s="1668"/>
      <c r="P481" s="1668"/>
      <c r="Q481" s="1668"/>
      <c r="R481" s="1668"/>
      <c r="S481" s="1668"/>
      <c r="T481" s="1668"/>
      <c r="U481" s="1668"/>
      <c r="V481" s="1668"/>
      <c r="W481" s="1668"/>
      <c r="X481" s="1668"/>
      <c r="Y481" s="1668"/>
      <c r="Z481" s="1668"/>
      <c r="AA481" s="1668"/>
      <c r="AB481" s="1668"/>
      <c r="AC481" s="1668"/>
      <c r="AD481" s="1668"/>
      <c r="AE481" s="1668"/>
      <c r="AF481" s="1668"/>
      <c r="AG481" s="1668"/>
      <c r="AH481" s="1668"/>
      <c r="AI481" s="1668"/>
      <c r="AJ481" s="1668"/>
      <c r="AK481" s="1668"/>
      <c r="AL481" s="1668"/>
      <c r="AM481" s="1668"/>
      <c r="AN481" s="1668"/>
      <c r="AO481" s="1668"/>
      <c r="AP481" s="1668"/>
      <c r="AQ481" s="1668"/>
      <c r="AR481" s="1668"/>
      <c r="AS481" s="1668"/>
      <c r="AT481" s="1668"/>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c r="C485" s="5"/>
      <c r="D485" s="5"/>
      <c r="E485" s="5"/>
      <c r="F485" s="5"/>
      <c r="G485" s="5"/>
      <c r="H485" s="5"/>
      <c r="I485" s="5"/>
      <c r="J485" s="5"/>
      <c r="K485" s="5"/>
      <c r="L485" s="5"/>
      <c r="M485" s="5"/>
      <c r="N485" s="5"/>
      <c r="O485" s="5"/>
      <c r="P485" s="46"/>
      <c r="Q485" s="1465" t="s">
        <v>394</v>
      </c>
      <c r="R485" s="1466"/>
      <c r="S485" s="1466"/>
      <c r="T485" s="1466"/>
      <c r="U485" s="1466"/>
      <c r="V485" s="1466"/>
      <c r="W485" s="1466"/>
      <c r="X485" s="1466"/>
      <c r="Y485" s="1466"/>
      <c r="Z485" s="1466"/>
      <c r="AA485" s="1466"/>
      <c r="AB485" s="1466"/>
      <c r="AC485" s="1466"/>
      <c r="AD485" s="1466"/>
      <c r="AE485" s="1466"/>
      <c r="AF485" s="1466"/>
      <c r="AG485" s="1466"/>
      <c r="AH485" s="1466"/>
      <c r="AI485" s="1466"/>
      <c r="AJ485" s="1466"/>
      <c r="AK485" s="146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395</v>
      </c>
      <c r="C486" s="5"/>
      <c r="D486" s="5"/>
      <c r="E486" s="5"/>
      <c r="F486" s="5"/>
      <c r="G486" s="5"/>
      <c r="H486" s="5"/>
      <c r="I486" s="5"/>
      <c r="J486" s="5"/>
      <c r="K486" s="5"/>
      <c r="L486" s="5"/>
      <c r="M486" s="5"/>
      <c r="N486" s="5"/>
      <c r="O486" s="5"/>
      <c r="P486" s="5"/>
      <c r="Q486" s="1451" t="s">
        <v>2678</v>
      </c>
      <c r="R486" s="1395"/>
      <c r="S486" s="1395"/>
      <c r="T486" s="1395"/>
      <c r="U486" s="1395"/>
      <c r="V486" s="1395"/>
      <c r="W486" s="1395"/>
      <c r="X486" s="1395"/>
      <c r="Y486" s="1395"/>
      <c r="Z486" s="1395"/>
      <c r="AA486" s="1395"/>
      <c r="AB486" s="1395"/>
      <c r="AC486" s="1395"/>
      <c r="AD486" s="1395"/>
      <c r="AE486" s="1395"/>
      <c r="AF486" s="1395"/>
      <c r="AG486" s="1395"/>
      <c r="AH486" s="1395"/>
      <c r="AI486" s="1395"/>
      <c r="AJ486" s="1395"/>
      <c r="AK486" s="1452"/>
      <c r="AZ486" s="3"/>
      <c r="BB486" s="3"/>
      <c r="BC486" s="3"/>
      <c r="BD486" s="3"/>
      <c r="BE486" s="3"/>
      <c r="BF486" s="3"/>
      <c r="BG486" s="3"/>
      <c r="BH486" s="3"/>
      <c r="BI486" s="3"/>
      <c r="BJ486" s="3"/>
      <c r="BK486" s="3"/>
      <c r="BL486" s="3"/>
      <c r="BM486" s="3"/>
      <c r="BN486" s="3"/>
      <c r="BO486" s="3"/>
      <c r="BP486" s="3"/>
      <c r="BQ486" s="3"/>
      <c r="BR486" s="3"/>
      <c r="BS486" s="3"/>
      <c r="BT486" s="3"/>
      <c r="BU486" s="3"/>
      <c r="BV486" s="207" t="s">
        <v>2509</v>
      </c>
      <c r="BW486" s="208"/>
      <c r="BX486" s="208"/>
      <c r="BY486" s="208"/>
      <c r="BZ486" s="208"/>
      <c r="CA486" s="208"/>
      <c r="CB486" s="208"/>
      <c r="CC486" s="3"/>
      <c r="CD486" s="207" t="s">
        <v>2508</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45" t="s">
        <v>396</v>
      </c>
      <c r="C487" s="5"/>
      <c r="D487" s="5"/>
      <c r="E487" s="5"/>
      <c r="F487" s="5"/>
      <c r="G487" s="5"/>
      <c r="H487" s="5"/>
      <c r="I487" s="5"/>
      <c r="J487" s="5"/>
      <c r="K487" s="5"/>
      <c r="L487" s="5"/>
      <c r="M487" s="5"/>
      <c r="N487" s="5"/>
      <c r="O487" s="5"/>
      <c r="P487" s="5"/>
      <c r="Q487" s="1451" t="s">
        <v>2747</v>
      </c>
      <c r="R487" s="1395"/>
      <c r="S487" s="1395"/>
      <c r="T487" s="1395"/>
      <c r="U487" s="1395"/>
      <c r="V487" s="1395"/>
      <c r="W487" s="1395"/>
      <c r="X487" s="1395"/>
      <c r="Y487" s="1395"/>
      <c r="Z487" s="1395"/>
      <c r="AA487" s="1395"/>
      <c r="AB487" s="1395"/>
      <c r="AC487" s="1395"/>
      <c r="AD487" s="1395"/>
      <c r="AE487" s="1395"/>
      <c r="AF487" s="1395"/>
      <c r="AG487" s="1395"/>
      <c r="AH487" s="1395"/>
      <c r="AI487" s="1395"/>
      <c r="AJ487" s="1395"/>
      <c r="AK487" s="1452"/>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2234</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45" t="s">
        <v>397</v>
      </c>
      <c r="C488" s="5"/>
      <c r="D488" s="5"/>
      <c r="E488" s="5"/>
      <c r="F488" s="5"/>
      <c r="G488" s="5"/>
      <c r="H488" s="5"/>
      <c r="I488" s="5"/>
      <c r="J488" s="5"/>
      <c r="K488" s="5"/>
      <c r="L488" s="5"/>
      <c r="M488" s="5"/>
      <c r="N488" s="5"/>
      <c r="O488" s="5"/>
      <c r="P488" s="5"/>
      <c r="Q488" s="1451" t="s">
        <v>2748</v>
      </c>
      <c r="R488" s="1395"/>
      <c r="S488" s="1395"/>
      <c r="T488" s="1395"/>
      <c r="U488" s="1395"/>
      <c r="V488" s="1395"/>
      <c r="W488" s="1395"/>
      <c r="X488" s="1395"/>
      <c r="Y488" s="1395"/>
      <c r="Z488" s="1395"/>
      <c r="AA488" s="1395"/>
      <c r="AB488" s="1395"/>
      <c r="AC488" s="1395"/>
      <c r="AD488" s="1395"/>
      <c r="AE488" s="1395"/>
      <c r="AF488" s="1395"/>
      <c r="AG488" s="1395"/>
      <c r="AH488" s="1395"/>
      <c r="AI488" s="1395"/>
      <c r="AJ488" s="1395"/>
      <c r="AK488" s="1452"/>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441" t="s">
        <v>398</v>
      </c>
      <c r="C489" s="1442"/>
      <c r="D489" s="1442"/>
      <c r="E489" s="1442"/>
      <c r="F489" s="1442"/>
      <c r="G489" s="1442"/>
      <c r="H489" s="1442"/>
      <c r="I489" s="1442"/>
      <c r="J489" s="1442"/>
      <c r="K489" s="1442"/>
      <c r="L489" s="1442"/>
      <c r="M489" s="1442"/>
      <c r="N489" s="1442"/>
      <c r="O489" s="1442"/>
      <c r="P489" s="1443"/>
      <c r="Q489" s="1447" t="s">
        <v>678</v>
      </c>
      <c r="R489" s="1448"/>
      <c r="S489" s="1513" t="s">
        <v>166</v>
      </c>
      <c r="T489" s="1514"/>
      <c r="U489" s="1514"/>
      <c r="V489" s="1514"/>
      <c r="W489" s="1514"/>
      <c r="X489" s="1514"/>
      <c r="Y489" s="1514"/>
      <c r="Z489" s="1514"/>
      <c r="AA489" s="1514"/>
      <c r="AB489" s="1514"/>
      <c r="AC489" s="1514"/>
      <c r="AD489" s="1514"/>
      <c r="AE489" s="1514"/>
      <c r="AF489" s="1514"/>
      <c r="AG489" s="1514"/>
      <c r="AH489" s="1514"/>
      <c r="AI489" s="1514"/>
      <c r="AJ489" s="1514"/>
      <c r="AK489" s="1515"/>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444"/>
      <c r="C490" s="1445"/>
      <c r="D490" s="1445"/>
      <c r="E490" s="1445"/>
      <c r="F490" s="1445"/>
      <c r="G490" s="1445"/>
      <c r="H490" s="1445"/>
      <c r="I490" s="1445"/>
      <c r="J490" s="1445"/>
      <c r="K490" s="1445"/>
      <c r="L490" s="1445"/>
      <c r="M490" s="1445"/>
      <c r="N490" s="1445"/>
      <c r="O490" s="1445"/>
      <c r="P490" s="1446"/>
      <c r="Q490" s="1449"/>
      <c r="R490" s="1450"/>
      <c r="S490" s="1516"/>
      <c r="T490" s="1500"/>
      <c r="U490" s="1500"/>
      <c r="V490" s="1500"/>
      <c r="W490" s="1500"/>
      <c r="X490" s="1500"/>
      <c r="Y490" s="1500"/>
      <c r="Z490" s="1500"/>
      <c r="AA490" s="1500"/>
      <c r="AB490" s="1500"/>
      <c r="AC490" s="1500"/>
      <c r="AD490" s="1500"/>
      <c r="AE490" s="1500"/>
      <c r="AF490" s="1500"/>
      <c r="AG490" s="1500"/>
      <c r="AH490" s="1500"/>
      <c r="AI490" s="1500"/>
      <c r="AJ490" s="1500"/>
      <c r="AK490" s="1517"/>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930" t="s">
        <v>1786</v>
      </c>
      <c r="C491" s="907"/>
      <c r="D491" s="907"/>
      <c r="E491" s="907"/>
      <c r="F491" s="907"/>
      <c r="G491" s="907"/>
      <c r="H491" s="907"/>
      <c r="I491" s="907"/>
      <c r="J491" s="907"/>
      <c r="K491" s="907"/>
      <c r="L491" s="907"/>
      <c r="M491" s="907"/>
      <c r="N491" s="907"/>
      <c r="O491" s="907"/>
      <c r="P491" s="907"/>
      <c r="Q491" s="1432" t="s">
        <v>554</v>
      </c>
      <c r="R491" s="1433"/>
      <c r="S491" s="1433"/>
      <c r="T491" s="1433"/>
      <c r="U491" s="1433"/>
      <c r="V491" s="1433"/>
      <c r="W491" s="1433"/>
      <c r="X491" s="1433"/>
      <c r="Y491" s="1433"/>
      <c r="Z491" s="1433"/>
      <c r="AA491" s="1433"/>
      <c r="AB491" s="1433"/>
      <c r="AC491" s="1433"/>
      <c r="AD491" s="1433"/>
      <c r="AE491" s="1433"/>
      <c r="AF491" s="1433"/>
      <c r="AG491" s="1433"/>
      <c r="AH491" s="1433"/>
      <c r="AI491" s="1433"/>
      <c r="AJ491" s="1433"/>
      <c r="AK491" s="1434"/>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45" t="s">
        <v>399</v>
      </c>
      <c r="C492" s="5"/>
      <c r="D492" s="5"/>
      <c r="E492" s="5"/>
      <c r="F492" s="5"/>
      <c r="G492" s="5"/>
      <c r="H492" s="5"/>
      <c r="I492" s="5"/>
      <c r="J492" s="5"/>
      <c r="K492" s="5"/>
      <c r="L492" s="5"/>
      <c r="M492" s="5"/>
      <c r="N492" s="5"/>
      <c r="O492" s="5"/>
      <c r="P492" s="5"/>
      <c r="Q492" s="1451" t="s">
        <v>2745</v>
      </c>
      <c r="R492" s="1395"/>
      <c r="S492" s="1395"/>
      <c r="T492" s="1395"/>
      <c r="U492" s="1395"/>
      <c r="V492" s="1395"/>
      <c r="W492" s="1395"/>
      <c r="X492" s="1395"/>
      <c r="Y492" s="1395"/>
      <c r="Z492" s="1395"/>
      <c r="AA492" s="1395"/>
      <c r="AB492" s="1395"/>
      <c r="AC492" s="1395"/>
      <c r="AD492" s="1395"/>
      <c r="AE492" s="1395"/>
      <c r="AF492" s="1395"/>
      <c r="AG492" s="1395"/>
      <c r="AH492" s="1395"/>
      <c r="AI492" s="1395"/>
      <c r="AJ492" s="1395"/>
      <c r="AK492" s="1452"/>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45" t="s">
        <v>400</v>
      </c>
      <c r="C493" s="5"/>
      <c r="D493" s="5"/>
      <c r="E493" s="5"/>
      <c r="F493" s="5"/>
      <c r="G493" s="5"/>
      <c r="H493" s="5"/>
      <c r="I493" s="5"/>
      <c r="J493" s="5"/>
      <c r="K493" s="5"/>
      <c r="L493" s="5"/>
      <c r="M493" s="5"/>
      <c r="N493" s="5"/>
      <c r="O493" s="5"/>
      <c r="P493" s="5"/>
      <c r="Q493" s="1451" t="s">
        <v>2746</v>
      </c>
      <c r="R493" s="1395"/>
      <c r="S493" s="1395"/>
      <c r="T493" s="1395"/>
      <c r="U493" s="1395"/>
      <c r="V493" s="1395"/>
      <c r="W493" s="1395"/>
      <c r="X493" s="1395"/>
      <c r="Y493" s="1395"/>
      <c r="Z493" s="1395"/>
      <c r="AA493" s="1395"/>
      <c r="AB493" s="1395"/>
      <c r="AC493" s="1395"/>
      <c r="AD493" s="1395"/>
      <c r="AE493" s="1395"/>
      <c r="AF493" s="1395"/>
      <c r="AG493" s="1395"/>
      <c r="AH493" s="1395"/>
      <c r="AI493" s="1395"/>
      <c r="AJ493" s="1395"/>
      <c r="AK493" s="1452"/>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121" t="s">
        <v>1783</v>
      </c>
      <c r="C494" s="5"/>
      <c r="D494" s="5"/>
      <c r="E494" s="5"/>
      <c r="F494" s="5"/>
      <c r="G494" s="5"/>
      <c r="H494" s="5"/>
      <c r="I494" s="5"/>
      <c r="J494" s="5"/>
      <c r="K494" s="5"/>
      <c r="L494" s="5"/>
      <c r="M494" s="5"/>
      <c r="N494" s="5"/>
      <c r="O494" s="5"/>
      <c r="P494" s="5"/>
      <c r="Q494" s="1604">
        <v>104</v>
      </c>
      <c r="R494" s="1395"/>
      <c r="S494" s="1395"/>
      <c r="T494" s="1395"/>
      <c r="U494" s="1395"/>
      <c r="V494" s="1395"/>
      <c r="W494" s="1395"/>
      <c r="X494" s="1395"/>
      <c r="Y494" s="1395"/>
      <c r="Z494" s="1395"/>
      <c r="AA494" s="1395"/>
      <c r="AB494" s="1395"/>
      <c r="AC494" s="1395"/>
      <c r="AD494" s="1395"/>
      <c r="AE494" s="1395"/>
      <c r="AF494" s="1395"/>
      <c r="AG494" s="1395"/>
      <c r="AH494" s="1395"/>
      <c r="AI494" s="1395"/>
      <c r="AJ494" s="1395"/>
      <c r="AK494" s="1452"/>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121" t="s">
        <v>1784</v>
      </c>
      <c r="C495" s="5"/>
      <c r="D495" s="5"/>
      <c r="E495" s="5"/>
      <c r="F495" s="5"/>
      <c r="G495" s="5"/>
      <c r="H495" s="5"/>
      <c r="I495" s="5"/>
      <c r="J495" s="5"/>
      <c r="K495" s="5"/>
      <c r="L495" s="5"/>
      <c r="M495" s="1472">
        <v>0</v>
      </c>
      <c r="N495" s="1473"/>
      <c r="O495" s="1473"/>
      <c r="P495" s="1474"/>
      <c r="Q495" s="121" t="s">
        <v>1785</v>
      </c>
      <c r="R495" s="5"/>
      <c r="S495" s="5"/>
      <c r="T495" s="5"/>
      <c r="U495" s="5"/>
      <c r="V495" s="5"/>
      <c r="W495" s="5"/>
      <c r="X495" s="5"/>
      <c r="Y495" s="5"/>
      <c r="Z495" s="5"/>
      <c r="AA495" s="5"/>
      <c r="AB495" s="5"/>
      <c r="AC495" s="5"/>
      <c r="AD495" s="5"/>
      <c r="AE495" s="5"/>
      <c r="AF495" s="5"/>
      <c r="AG495" s="5"/>
      <c r="AH495" s="1472">
        <f>Q494</f>
        <v>104</v>
      </c>
      <c r="AI495" s="1473"/>
      <c r="AJ495" s="1473"/>
      <c r="AK495" s="1474"/>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65" t="s">
        <v>402</v>
      </c>
      <c r="AD499" s="1466"/>
      <c r="AE499" s="1466"/>
      <c r="AF499" s="1466"/>
      <c r="AG499" s="1466"/>
      <c r="AH499" s="1466"/>
      <c r="AI499" s="1466"/>
      <c r="AJ499" s="1466"/>
      <c r="AK499" s="1467"/>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65" t="s">
        <v>403</v>
      </c>
      <c r="AD500" s="1466"/>
      <c r="AE500" s="1466"/>
      <c r="AF500" s="1466"/>
      <c r="AG500" s="50" t="s">
        <v>404</v>
      </c>
      <c r="AH500" s="1466" t="s">
        <v>405</v>
      </c>
      <c r="AI500" s="1466"/>
      <c r="AJ500" s="1466"/>
      <c r="AK500" s="1467"/>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418" t="s">
        <v>406</v>
      </c>
      <c r="C501" s="1419"/>
      <c r="D501" s="1419"/>
      <c r="E501" s="1419"/>
      <c r="F501" s="1419"/>
      <c r="G501" s="1419"/>
      <c r="H501" s="1420"/>
      <c r="I501" s="42" t="s">
        <v>407</v>
      </c>
      <c r="J501" s="42"/>
      <c r="K501" s="42"/>
      <c r="L501" s="42"/>
      <c r="M501" s="42"/>
      <c r="N501" s="42"/>
      <c r="O501" s="42"/>
      <c r="P501" s="42"/>
      <c r="Q501" s="42"/>
      <c r="R501" s="42"/>
      <c r="S501" s="42"/>
      <c r="T501" s="42"/>
      <c r="U501" s="42"/>
      <c r="V501" s="42"/>
      <c r="W501" s="42"/>
      <c r="AC501" s="1427" t="s">
        <v>600</v>
      </c>
      <c r="AD501" s="1428"/>
      <c r="AE501" s="1428"/>
      <c r="AF501" s="1428"/>
      <c r="AG501" s="13" t="s">
        <v>404</v>
      </c>
      <c r="AH501" s="1425" t="s">
        <v>600</v>
      </c>
      <c r="AI501" s="1425"/>
      <c r="AJ501" s="1425"/>
      <c r="AK501" s="1426"/>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421"/>
      <c r="C502" s="1422"/>
      <c r="D502" s="1422"/>
      <c r="E502" s="1422"/>
      <c r="F502" s="1422"/>
      <c r="G502" s="1422"/>
      <c r="H502" s="1423"/>
      <c r="I502" s="48" t="s">
        <v>408</v>
      </c>
      <c r="J502" s="48"/>
      <c r="K502" s="48"/>
      <c r="L502" s="48"/>
      <c r="M502" s="48"/>
      <c r="N502" s="48"/>
      <c r="O502" s="48"/>
      <c r="P502" s="48"/>
      <c r="Q502" s="48"/>
      <c r="R502" s="48"/>
      <c r="S502" s="48"/>
      <c r="T502" s="48"/>
      <c r="U502" s="48"/>
      <c r="V502" s="48"/>
      <c r="W502" s="48"/>
      <c r="X502" s="48"/>
      <c r="Y502" s="48"/>
      <c r="Z502" s="48"/>
      <c r="AA502" s="48"/>
      <c r="AB502" s="48"/>
      <c r="AC502" s="1427">
        <v>2</v>
      </c>
      <c r="AD502" s="1428"/>
      <c r="AE502" s="1428"/>
      <c r="AF502" s="1428"/>
      <c r="AG502" s="38" t="s">
        <v>404</v>
      </c>
      <c r="AH502" s="1425">
        <v>2025</v>
      </c>
      <c r="AI502" s="1425"/>
      <c r="AJ502" s="1425"/>
      <c r="AK502" s="1426"/>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418" t="s">
        <v>409</v>
      </c>
      <c r="C503" s="1419"/>
      <c r="D503" s="1419"/>
      <c r="E503" s="1419"/>
      <c r="F503" s="1419"/>
      <c r="G503" s="1419"/>
      <c r="H503" s="1420"/>
      <c r="I503" s="42" t="s">
        <v>410</v>
      </c>
      <c r="J503" s="42"/>
      <c r="K503" s="42"/>
      <c r="L503" s="42"/>
      <c r="M503" s="42"/>
      <c r="N503" s="42"/>
      <c r="O503" s="42"/>
      <c r="P503" s="42"/>
      <c r="Q503" s="42"/>
      <c r="R503" s="42"/>
      <c r="S503" s="42"/>
      <c r="T503" s="42"/>
      <c r="U503" s="42"/>
      <c r="V503" s="42"/>
      <c r="W503" s="42"/>
      <c r="AC503" s="1427" t="s">
        <v>600</v>
      </c>
      <c r="AD503" s="1428"/>
      <c r="AE503" s="1428"/>
      <c r="AF503" s="1428"/>
      <c r="AG503" s="13" t="s">
        <v>404</v>
      </c>
      <c r="AH503" s="1425" t="s">
        <v>600</v>
      </c>
      <c r="AI503" s="1425"/>
      <c r="AJ503" s="1425"/>
      <c r="AK503" s="1426"/>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421"/>
      <c r="C504" s="1422"/>
      <c r="D504" s="1422"/>
      <c r="E504" s="1422"/>
      <c r="F504" s="1422"/>
      <c r="G504" s="1422"/>
      <c r="H504" s="1423"/>
      <c r="I504" t="s">
        <v>411</v>
      </c>
      <c r="AC504" s="1427" t="s">
        <v>600</v>
      </c>
      <c r="AD504" s="1428"/>
      <c r="AE504" s="1428"/>
      <c r="AF504" s="1428"/>
      <c r="AG504" s="13" t="s">
        <v>404</v>
      </c>
      <c r="AH504" s="1425" t="s">
        <v>600</v>
      </c>
      <c r="AI504" s="1425"/>
      <c r="AJ504" s="1425"/>
      <c r="AK504" s="1426"/>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421"/>
      <c r="C505" s="1422"/>
      <c r="D505" s="1422"/>
      <c r="E505" s="1422"/>
      <c r="F505" s="1422"/>
      <c r="G505" s="1422"/>
      <c r="H505" s="1423"/>
      <c r="I505" t="s">
        <v>412</v>
      </c>
      <c r="AC505" s="1427">
        <v>9</v>
      </c>
      <c r="AD505" s="1428"/>
      <c r="AE505" s="1428"/>
      <c r="AF505" s="1428"/>
      <c r="AG505" s="13" t="s">
        <v>404</v>
      </c>
      <c r="AH505" s="1425">
        <v>2024</v>
      </c>
      <c r="AI505" s="1425"/>
      <c r="AJ505" s="1425"/>
      <c r="AK505" s="1426"/>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421"/>
      <c r="C506" s="1422"/>
      <c r="D506" s="1422"/>
      <c r="E506" s="1422"/>
      <c r="F506" s="1422"/>
      <c r="G506" s="1422"/>
      <c r="H506" s="1423"/>
      <c r="I506" t="s">
        <v>413</v>
      </c>
      <c r="AC506" s="1427" t="s">
        <v>600</v>
      </c>
      <c r="AD506" s="1428"/>
      <c r="AE506" s="1428"/>
      <c r="AF506" s="1428"/>
      <c r="AG506" s="13" t="s">
        <v>404</v>
      </c>
      <c r="AH506" s="1425" t="s">
        <v>600</v>
      </c>
      <c r="AI506" s="1425"/>
      <c r="AJ506" s="1425"/>
      <c r="AK506" s="1426"/>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421"/>
      <c r="C507" s="1422"/>
      <c r="D507" s="1422"/>
      <c r="E507" s="1422"/>
      <c r="F507" s="1422"/>
      <c r="G507" s="1422"/>
      <c r="H507" s="1423"/>
      <c r="I507" s="3" t="s">
        <v>414</v>
      </c>
      <c r="AC507" s="1359">
        <v>12</v>
      </c>
      <c r="AD507" s="1360"/>
      <c r="AE507" s="1360"/>
      <c r="AF507" s="1360"/>
      <c r="AG507" s="13" t="s">
        <v>404</v>
      </c>
      <c r="AH507" s="1425">
        <v>2024</v>
      </c>
      <c r="AI507" s="1425"/>
      <c r="AJ507" s="1425"/>
      <c r="AK507" s="1426"/>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3" customHeight="1">
      <c r="B508" s="1421"/>
      <c r="C508" s="1422"/>
      <c r="D508" s="1422"/>
      <c r="E508" s="1422"/>
      <c r="F508" s="1422"/>
      <c r="G508" s="1422"/>
      <c r="H508" s="1423"/>
      <c r="I508" s="931" t="s">
        <v>170</v>
      </c>
      <c r="J508" s="48"/>
      <c r="K508" s="48"/>
      <c r="L508" s="1456" t="s">
        <v>335</v>
      </c>
      <c r="M508" s="1457"/>
      <c r="N508" s="1457"/>
      <c r="O508" s="1457"/>
      <c r="P508" s="1457"/>
      <c r="Q508" s="1457"/>
      <c r="R508" s="1457"/>
      <c r="S508" s="1457"/>
      <c r="T508" s="1457"/>
      <c r="U508" s="1457"/>
      <c r="V508" s="1457"/>
      <c r="W508" s="1457"/>
      <c r="X508" s="1457"/>
      <c r="Y508" s="1457"/>
      <c r="Z508" s="1457"/>
      <c r="AA508" s="1457"/>
      <c r="AB508" s="1482"/>
      <c r="AC508" s="1427" t="s">
        <v>600</v>
      </c>
      <c r="AD508" s="1428"/>
      <c r="AE508" s="1428"/>
      <c r="AF508" s="1428"/>
      <c r="AG508" s="38" t="s">
        <v>404</v>
      </c>
      <c r="AH508" s="1425"/>
      <c r="AI508" s="1425"/>
      <c r="AJ508" s="1425"/>
      <c r="AK508" s="1426"/>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3" customHeight="1">
      <c r="B509" s="905"/>
      <c r="C509" s="130"/>
      <c r="D509" s="130"/>
      <c r="E509" s="130"/>
      <c r="F509" s="130"/>
      <c r="G509" s="130"/>
      <c r="H509" s="906"/>
      <c r="I509" s="3" t="s">
        <v>1790</v>
      </c>
      <c r="AC509" s="1468" t="s">
        <v>678</v>
      </c>
      <c r="AD509" s="1468"/>
      <c r="AE509" s="1468"/>
      <c r="AF509" s="1468"/>
      <c r="AG509" s="13"/>
      <c r="AH509" s="1306"/>
      <c r="AI509" s="1306"/>
      <c r="AJ509" s="1306"/>
      <c r="AK509" s="1503"/>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3" customHeight="1">
      <c r="B510" s="905"/>
      <c r="C510" s="130"/>
      <c r="D510" s="130"/>
      <c r="E510" s="130"/>
      <c r="F510" s="130"/>
      <c r="G510" s="130"/>
      <c r="H510" s="906"/>
      <c r="I510" t="s">
        <v>1787</v>
      </c>
      <c r="AC510" s="1359"/>
      <c r="AD510" s="1360"/>
      <c r="AE510" s="1360"/>
      <c r="AF510" s="1361"/>
      <c r="AG510" s="13"/>
      <c r="AH510" s="1306"/>
      <c r="AI510" s="1306"/>
      <c r="AJ510" s="1306"/>
      <c r="AK510" s="1503"/>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3" customHeight="1">
      <c r="B511" s="905"/>
      <c r="C511" s="130"/>
      <c r="D511" s="130"/>
      <c r="E511" s="130"/>
      <c r="F511" s="130"/>
      <c r="G511" s="130"/>
      <c r="H511" s="906"/>
      <c r="I511" t="s">
        <v>1788</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3" customHeight="1">
      <c r="B512" s="905"/>
      <c r="C512" s="130"/>
      <c r="D512" s="130"/>
      <c r="E512" s="130"/>
      <c r="F512" s="130"/>
      <c r="G512" s="130"/>
      <c r="H512" s="906"/>
      <c r="I512" s="932" t="s">
        <v>1789</v>
      </c>
      <c r="J512" s="48"/>
      <c r="K512" s="48"/>
      <c r="L512" s="48"/>
      <c r="M512" s="48"/>
      <c r="N512" s="48"/>
      <c r="O512" s="48"/>
      <c r="P512" s="48"/>
      <c r="Q512" s="48"/>
      <c r="R512" s="48"/>
      <c r="S512" s="48"/>
      <c r="T512" s="48"/>
      <c r="U512" s="48"/>
      <c r="V512" s="48"/>
      <c r="W512" s="48"/>
      <c r="X512" s="48"/>
      <c r="Y512" s="48"/>
      <c r="Z512" s="48"/>
      <c r="AA512" s="48"/>
      <c r="AB512" s="48"/>
      <c r="AC512" s="1484">
        <v>0.4</v>
      </c>
      <c r="AD512" s="1485"/>
      <c r="AE512" s="1485"/>
      <c r="AF512" s="1486"/>
      <c r="AG512" s="38"/>
      <c r="AH512" s="1487"/>
      <c r="AI512" s="1487"/>
      <c r="AJ512" s="1487"/>
      <c r="AK512" s="1488"/>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3"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480" t="s">
        <v>403</v>
      </c>
      <c r="AD513" s="1481"/>
      <c r="AE513" s="1481"/>
      <c r="AF513" s="1481"/>
      <c r="AG513" s="38" t="s">
        <v>404</v>
      </c>
      <c r="AH513" s="1481" t="s">
        <v>405</v>
      </c>
      <c r="AI513" s="1481"/>
      <c r="AJ513" s="1481"/>
      <c r="AK513" s="1483"/>
      <c r="AZ513" s="3"/>
      <c r="BA513" s="3"/>
      <c r="BB513" s="3"/>
      <c r="BC513" s="3"/>
      <c r="BD513" s="3"/>
      <c r="BE513" s="3"/>
      <c r="BF513" s="3"/>
      <c r="BG513" s="3"/>
      <c r="BH513" s="3"/>
      <c r="BI513" s="3"/>
      <c r="BJ513" s="3"/>
      <c r="BK513" s="3"/>
      <c r="BL513" s="3"/>
      <c r="BM513" s="3"/>
      <c r="BN513" s="3" t="s">
        <v>2425</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3" customHeight="1">
      <c r="B514" s="1418" t="s">
        <v>415</v>
      </c>
      <c r="C514" s="1419"/>
      <c r="D514" s="1419"/>
      <c r="E514" s="1419"/>
      <c r="F514" s="1419"/>
      <c r="G514" s="1419"/>
      <c r="H514" s="1420"/>
      <c r="I514" s="42" t="s">
        <v>416</v>
      </c>
      <c r="J514" s="42"/>
      <c r="K514" s="42"/>
      <c r="L514" s="42"/>
      <c r="M514" s="42"/>
      <c r="N514" s="42"/>
      <c r="O514" s="42"/>
      <c r="P514" s="42"/>
      <c r="Q514" s="42"/>
      <c r="R514" s="42"/>
      <c r="S514" s="42"/>
      <c r="T514" s="42"/>
      <c r="U514" s="42"/>
      <c r="V514" s="42"/>
      <c r="W514" s="42"/>
      <c r="AC514" s="1427">
        <v>8</v>
      </c>
      <c r="AD514" s="1428"/>
      <c r="AE514" s="1428"/>
      <c r="AF514" s="1428"/>
      <c r="AG514" s="13" t="s">
        <v>404</v>
      </c>
      <c r="AH514" s="1425">
        <v>2023</v>
      </c>
      <c r="AI514" s="1425"/>
      <c r="AJ514" s="1425"/>
      <c r="AK514" s="1426"/>
      <c r="AZ514" s="3"/>
      <c r="BA514" s="3"/>
      <c r="BB514" s="3"/>
      <c r="BC514" s="3"/>
      <c r="BD514" s="3"/>
      <c r="BE514" s="3"/>
      <c r="BF514" s="3"/>
      <c r="BG514" s="3"/>
      <c r="BH514" s="3"/>
      <c r="BI514" s="3"/>
      <c r="BJ514" s="3"/>
      <c r="BK514" s="3"/>
      <c r="BL514" s="3"/>
      <c r="BM514" s="3"/>
      <c r="BN514" s="3" t="s">
        <v>2426</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3" customHeight="1">
      <c r="B515" s="1421"/>
      <c r="C515" s="1422"/>
      <c r="D515" s="1422"/>
      <c r="E515" s="1422"/>
      <c r="F515" s="1422"/>
      <c r="G515" s="1422"/>
      <c r="H515" s="1423"/>
      <c r="I515" t="s">
        <v>417</v>
      </c>
      <c r="AC515" s="1427">
        <v>4</v>
      </c>
      <c r="AD515" s="1428"/>
      <c r="AE515" s="1428"/>
      <c r="AF515" s="1428"/>
      <c r="AG515" s="13" t="s">
        <v>404</v>
      </c>
      <c r="AH515" s="1425">
        <v>2024</v>
      </c>
      <c r="AI515" s="1425"/>
      <c r="AJ515" s="1425"/>
      <c r="AK515" s="1426"/>
      <c r="AZ515" s="3"/>
      <c r="BA515" s="3"/>
      <c r="BB515" s="3"/>
      <c r="BC515" s="3"/>
      <c r="BD515" s="3"/>
      <c r="BE515" s="3"/>
      <c r="BF515" s="3"/>
      <c r="BG515" s="3"/>
      <c r="BH515" s="3"/>
      <c r="BI515" s="3"/>
      <c r="BJ515" s="3"/>
      <c r="BK515" s="3"/>
      <c r="BL515" s="3"/>
      <c r="BM515" s="3"/>
      <c r="BN515" s="3" t="s">
        <v>2427</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3" customHeight="1">
      <c r="B516" s="1421"/>
      <c r="C516" s="1422"/>
      <c r="D516" s="1422"/>
      <c r="E516" s="1422"/>
      <c r="F516" s="1422"/>
      <c r="G516" s="1422"/>
      <c r="H516" s="1423"/>
      <c r="I516" s="48" t="s">
        <v>418</v>
      </c>
      <c r="J516" s="48"/>
      <c r="K516" s="48"/>
      <c r="L516" s="48"/>
      <c r="M516" s="48"/>
      <c r="N516" s="48"/>
      <c r="O516" s="48"/>
      <c r="P516" s="48"/>
      <c r="Q516" s="48"/>
      <c r="R516" s="48"/>
      <c r="S516" s="48"/>
      <c r="T516" s="48"/>
      <c r="U516" s="48"/>
      <c r="V516" s="48"/>
      <c r="W516" s="48"/>
      <c r="X516" s="48"/>
      <c r="Y516" s="48"/>
      <c r="Z516" s="48"/>
      <c r="AA516" s="48"/>
      <c r="AB516" s="48"/>
      <c r="AC516" s="1427">
        <v>2</v>
      </c>
      <c r="AD516" s="1428"/>
      <c r="AE516" s="1428"/>
      <c r="AF516" s="1428"/>
      <c r="AG516" s="38" t="s">
        <v>404</v>
      </c>
      <c r="AH516" s="1425">
        <v>2025</v>
      </c>
      <c r="AI516" s="1425"/>
      <c r="AJ516" s="1425"/>
      <c r="AK516" s="1426"/>
      <c r="AZ516" s="3"/>
      <c r="BA516" s="3"/>
      <c r="BB516" s="3"/>
      <c r="BC516" s="3"/>
      <c r="BD516" s="3"/>
      <c r="BE516" s="3"/>
      <c r="BF516" s="3"/>
      <c r="BG516" s="3"/>
      <c r="BH516" s="3"/>
      <c r="BI516" s="3"/>
      <c r="BJ516" s="3"/>
      <c r="BK516" s="3"/>
      <c r="BL516" s="3"/>
      <c r="BM516" s="3"/>
      <c r="BN516" s="3" t="s">
        <v>2428</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3" customHeight="1">
      <c r="B517" s="1418" t="s">
        <v>419</v>
      </c>
      <c r="C517" s="1419"/>
      <c r="D517" s="1419"/>
      <c r="E517" s="1419"/>
      <c r="F517" s="1419"/>
      <c r="G517" s="1419"/>
      <c r="H517" s="1420"/>
      <c r="I517" s="42" t="s">
        <v>416</v>
      </c>
      <c r="J517" s="42"/>
      <c r="K517" s="42"/>
      <c r="L517" s="42"/>
      <c r="M517" s="42"/>
      <c r="N517" s="42"/>
      <c r="O517" s="42"/>
      <c r="P517" s="42"/>
      <c r="Q517" s="42"/>
      <c r="R517" s="42"/>
      <c r="S517" s="42"/>
      <c r="T517" s="42"/>
      <c r="U517" s="42"/>
      <c r="V517" s="42"/>
      <c r="W517" s="42"/>
      <c r="X517" s="42"/>
      <c r="Y517" s="42"/>
      <c r="Z517" s="42"/>
      <c r="AA517" s="42"/>
      <c r="AB517" s="42"/>
      <c r="AC517" s="1359">
        <v>8</v>
      </c>
      <c r="AD517" s="1360"/>
      <c r="AE517" s="1360"/>
      <c r="AF517" s="1360"/>
      <c r="AG517" s="129" t="s">
        <v>404</v>
      </c>
      <c r="AH517" s="1425">
        <v>2023</v>
      </c>
      <c r="AI517" s="1425"/>
      <c r="AJ517" s="1425"/>
      <c r="AK517" s="1426"/>
      <c r="AZ517" s="3"/>
      <c r="BB517" s="3"/>
      <c r="BC517" s="3"/>
      <c r="BD517" s="3"/>
      <c r="BE517" s="3"/>
      <c r="BF517" s="3"/>
      <c r="BG517" s="3"/>
      <c r="BH517" s="3"/>
      <c r="BI517" s="3"/>
      <c r="BJ517" s="3"/>
      <c r="BK517" s="3"/>
      <c r="BL517" s="3"/>
      <c r="BM517" s="3"/>
      <c r="BN517" s="3" t="s">
        <v>2429</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3" customHeight="1">
      <c r="B518" s="1421"/>
      <c r="C518" s="1422"/>
      <c r="D518" s="1422"/>
      <c r="E518" s="1422"/>
      <c r="F518" s="1422"/>
      <c r="G518" s="1422"/>
      <c r="H518" s="1423"/>
      <c r="I518" t="s">
        <v>417</v>
      </c>
      <c r="AC518" s="1427">
        <v>4</v>
      </c>
      <c r="AD518" s="1428"/>
      <c r="AE518" s="1428"/>
      <c r="AF518" s="1428"/>
      <c r="AG518" s="13" t="s">
        <v>404</v>
      </c>
      <c r="AH518" s="1425">
        <v>2024</v>
      </c>
      <c r="AI518" s="1425"/>
      <c r="AJ518" s="1425"/>
      <c r="AK518" s="1426"/>
      <c r="BB518" s="3"/>
      <c r="BC518" s="3"/>
      <c r="BD518" s="3"/>
      <c r="BE518" s="3"/>
      <c r="BF518" s="3"/>
      <c r="BG518" s="3"/>
      <c r="BH518" s="3"/>
      <c r="BI518" s="3"/>
      <c r="BJ518" s="3"/>
      <c r="BK518" s="3"/>
      <c r="BL518" s="3"/>
      <c r="BM518" s="3"/>
      <c r="BN518" s="3" t="s">
        <v>2430</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3" customHeight="1">
      <c r="B519" s="1429"/>
      <c r="C519" s="1430"/>
      <c r="D519" s="1430"/>
      <c r="E519" s="1430"/>
      <c r="F519" s="1430"/>
      <c r="G519" s="1430"/>
      <c r="H519" s="1431"/>
      <c r="I519" s="48" t="s">
        <v>418</v>
      </c>
      <c r="J519" s="48"/>
      <c r="K519" s="48"/>
      <c r="L519" s="48"/>
      <c r="M519" s="48"/>
      <c r="N519" s="48"/>
      <c r="O519" s="48"/>
      <c r="P519" s="48"/>
      <c r="Q519" s="48"/>
      <c r="R519" s="48"/>
      <c r="S519" s="48"/>
      <c r="T519" s="48"/>
      <c r="U519" s="48"/>
      <c r="V519" s="48"/>
      <c r="W519" s="48"/>
      <c r="X519" s="48"/>
      <c r="Y519" s="48"/>
      <c r="Z519" s="48"/>
      <c r="AA519" s="48"/>
      <c r="AB519" s="48"/>
      <c r="AC519" s="1427">
        <v>3</v>
      </c>
      <c r="AD519" s="1428"/>
      <c r="AE519" s="1428"/>
      <c r="AF519" s="1428"/>
      <c r="AG519" s="38" t="s">
        <v>404</v>
      </c>
      <c r="AH519" s="1425">
        <v>2027</v>
      </c>
      <c r="AI519" s="1425"/>
      <c r="AJ519" s="1425"/>
      <c r="AK519" s="1426"/>
      <c r="BB519" s="3"/>
      <c r="BC519" s="3"/>
      <c r="BD519" s="3"/>
      <c r="BE519" s="3"/>
      <c r="BF519" s="3"/>
      <c r="BG519" s="3"/>
      <c r="BH519" s="3"/>
      <c r="BI519" s="3"/>
      <c r="BJ519" s="3"/>
      <c r="BK519" s="3"/>
      <c r="BL519" s="3"/>
      <c r="BM519" s="3"/>
      <c r="BN519" s="3" t="s">
        <v>2431</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3" customHeight="1">
      <c r="B520" s="1418" t="s">
        <v>420</v>
      </c>
      <c r="C520" s="1419"/>
      <c r="D520" s="1419"/>
      <c r="E520" s="1419"/>
      <c r="F520" s="1419"/>
      <c r="G520" s="1419"/>
      <c r="H520" s="1420"/>
      <c r="I520" s="41" t="s">
        <v>421</v>
      </c>
      <c r="J520" s="42"/>
      <c r="K520" s="42"/>
      <c r="L520" s="42"/>
      <c r="M520" s="42"/>
      <c r="N520" s="42"/>
      <c r="O520" s="1456" t="s">
        <v>1852</v>
      </c>
      <c r="P520" s="1457"/>
      <c r="Q520" s="1457"/>
      <c r="R520" s="1457"/>
      <c r="S520" s="1457"/>
      <c r="T520" s="1457"/>
      <c r="U520" s="1457"/>
      <c r="V520" s="1457"/>
      <c r="W520" s="1457"/>
      <c r="X520" s="1457"/>
      <c r="Y520" s="1457"/>
      <c r="Z520" s="1457"/>
      <c r="AA520" s="1457"/>
      <c r="AB520" s="58"/>
      <c r="AC520" s="1359">
        <v>8</v>
      </c>
      <c r="AD520" s="1360"/>
      <c r="AE520" s="1360"/>
      <c r="AF520" s="1360"/>
      <c r="AG520" s="129" t="s">
        <v>404</v>
      </c>
      <c r="AH520" s="1425">
        <v>2023</v>
      </c>
      <c r="AI520" s="1425"/>
      <c r="AJ520" s="1425"/>
      <c r="AK520" s="1426"/>
      <c r="AZ520" s="3"/>
      <c r="BB520" s="3"/>
      <c r="BC520" s="3"/>
      <c r="BD520" s="3"/>
      <c r="BE520" s="3"/>
      <c r="BF520" s="3"/>
      <c r="BG520" s="3"/>
      <c r="BH520" s="3"/>
      <c r="BI520" s="3"/>
      <c r="BJ520" s="3"/>
      <c r="BK520" s="3"/>
      <c r="BL520" s="3"/>
      <c r="BM520" s="3"/>
      <c r="BN520" s="3" t="s">
        <v>2432</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3" customHeight="1">
      <c r="B521" s="1421"/>
      <c r="C521" s="1422"/>
      <c r="D521" s="1422"/>
      <c r="E521" s="1422"/>
      <c r="F521" s="1422"/>
      <c r="G521" s="1422"/>
      <c r="H521" s="1423"/>
      <c r="I521" s="114" t="s">
        <v>422</v>
      </c>
      <c r="AB521" s="65"/>
      <c r="AC521" s="1427">
        <v>8</v>
      </c>
      <c r="AD521" s="1428"/>
      <c r="AE521" s="1428"/>
      <c r="AF521" s="1428"/>
      <c r="AG521" s="13" t="s">
        <v>404</v>
      </c>
      <c r="AH521" s="1425">
        <v>2023</v>
      </c>
      <c r="AI521" s="1425"/>
      <c r="AJ521" s="1425"/>
      <c r="AK521" s="1426"/>
      <c r="AZ521" s="3"/>
      <c r="BB521" s="3"/>
      <c r="BC521" s="3"/>
      <c r="BD521" s="3"/>
      <c r="BE521" s="3"/>
      <c r="BF521" s="3"/>
      <c r="BG521" s="3"/>
      <c r="BH521" s="3"/>
      <c r="BI521" s="3"/>
      <c r="BJ521" s="3"/>
      <c r="BK521" s="3"/>
      <c r="BL521" s="3"/>
      <c r="BM521" s="3"/>
      <c r="BN521" s="3" t="s">
        <v>2433</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3" customHeight="1">
      <c r="B522" s="1421"/>
      <c r="C522" s="1422"/>
      <c r="D522" s="1422"/>
      <c r="E522" s="1422"/>
      <c r="F522" s="1422"/>
      <c r="G522" s="1422"/>
      <c r="H522" s="1423"/>
      <c r="I522" s="47" t="s">
        <v>423</v>
      </c>
      <c r="J522" s="48"/>
      <c r="K522" s="48"/>
      <c r="L522" s="48"/>
      <c r="M522" s="48"/>
      <c r="N522" s="48"/>
      <c r="O522" s="48"/>
      <c r="P522" s="48"/>
      <c r="Q522" s="48"/>
      <c r="R522" s="48"/>
      <c r="S522" s="48"/>
      <c r="T522" s="48"/>
      <c r="U522" s="48"/>
      <c r="V522" s="48"/>
      <c r="W522" s="48"/>
      <c r="X522" s="48"/>
      <c r="Y522" s="48"/>
      <c r="Z522" s="48"/>
      <c r="AA522" s="48"/>
      <c r="AB522" s="49"/>
      <c r="AC522" s="1427">
        <v>2</v>
      </c>
      <c r="AD522" s="1428"/>
      <c r="AE522" s="1428"/>
      <c r="AF522" s="1428"/>
      <c r="AG522" s="38" t="s">
        <v>404</v>
      </c>
      <c r="AH522" s="1425">
        <v>2025</v>
      </c>
      <c r="AI522" s="1425"/>
      <c r="AJ522" s="1425"/>
      <c r="AK522" s="1426"/>
      <c r="AZ522" s="3"/>
      <c r="BA522" s="3"/>
      <c r="BB522" s="3"/>
      <c r="BC522" s="3"/>
      <c r="BD522" s="3"/>
      <c r="BE522" s="3"/>
      <c r="BF522" s="3"/>
      <c r="BG522" s="3"/>
      <c r="BH522" s="3"/>
      <c r="BI522" s="3"/>
      <c r="BJ522" s="3"/>
      <c r="BK522" s="3"/>
      <c r="BL522" s="3"/>
      <c r="BM522" s="3"/>
      <c r="BN522" s="3" t="s">
        <v>2434</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3" customHeight="1">
      <c r="B523" s="1421"/>
      <c r="C523" s="1422"/>
      <c r="D523" s="1422"/>
      <c r="E523" s="1422"/>
      <c r="F523" s="1422"/>
      <c r="G523" s="1422"/>
      <c r="H523" s="1423"/>
      <c r="I523" s="42" t="s">
        <v>424</v>
      </c>
      <c r="J523" s="42"/>
      <c r="K523" s="42"/>
      <c r="L523" s="42"/>
      <c r="M523" s="42"/>
      <c r="N523" s="42"/>
      <c r="O523" s="1456" t="s">
        <v>2679</v>
      </c>
      <c r="P523" s="1457"/>
      <c r="Q523" s="1457"/>
      <c r="R523" s="1457"/>
      <c r="S523" s="1457"/>
      <c r="T523" s="1457"/>
      <c r="U523" s="1457"/>
      <c r="V523" s="1457"/>
      <c r="W523" s="1457"/>
      <c r="X523" s="1457"/>
      <c r="Y523" s="1457"/>
      <c r="Z523" s="1457"/>
      <c r="AA523" s="1457"/>
      <c r="AC523" s="1427">
        <v>4</v>
      </c>
      <c r="AD523" s="1428"/>
      <c r="AE523" s="1428"/>
      <c r="AF523" s="1428"/>
      <c r="AG523" s="13" t="s">
        <v>404</v>
      </c>
      <c r="AH523" s="1425">
        <v>2024</v>
      </c>
      <c r="AI523" s="1425"/>
      <c r="AJ523" s="1425"/>
      <c r="AK523" s="1426"/>
      <c r="AZ523" s="3"/>
      <c r="BA523" s="3"/>
      <c r="BB523" s="3"/>
      <c r="BC523" s="3"/>
      <c r="BD523" s="3"/>
      <c r="BE523" s="3"/>
      <c r="BF523" s="3"/>
      <c r="BG523" s="3"/>
      <c r="BH523" s="3"/>
      <c r="BI523" s="3"/>
      <c r="BJ523" s="3"/>
      <c r="BK523" s="3"/>
      <c r="BL523" s="3"/>
      <c r="BM523" s="3"/>
      <c r="BN523" s="3" t="s">
        <v>2435</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3" customHeight="1">
      <c r="B524" s="1421"/>
      <c r="C524" s="1422"/>
      <c r="D524" s="1422"/>
      <c r="E524" s="1422"/>
      <c r="F524" s="1422"/>
      <c r="G524" s="1422"/>
      <c r="H524" s="1423"/>
      <c r="I524" t="s">
        <v>422</v>
      </c>
      <c r="AC524" s="1427">
        <v>4</v>
      </c>
      <c r="AD524" s="1428"/>
      <c r="AE524" s="1428"/>
      <c r="AF524" s="1428"/>
      <c r="AG524" s="13" t="s">
        <v>404</v>
      </c>
      <c r="AH524" s="1425">
        <v>2024</v>
      </c>
      <c r="AI524" s="1425"/>
      <c r="AJ524" s="1425"/>
      <c r="AK524" s="1426"/>
      <c r="AZ524" s="3"/>
      <c r="BA524" s="3"/>
      <c r="BB524" s="3"/>
      <c r="BC524" s="3"/>
      <c r="BD524" s="3"/>
      <c r="BE524" s="3"/>
      <c r="BF524" s="3"/>
      <c r="BG524" s="3"/>
      <c r="BH524" s="3"/>
      <c r="BI524" s="3"/>
      <c r="BJ524" s="3"/>
      <c r="BK524" s="3"/>
      <c r="BL524" s="3"/>
      <c r="BM524" s="3"/>
      <c r="BN524" s="3" t="s">
        <v>2436</v>
      </c>
      <c r="BO524" s="3"/>
      <c r="BP524" s="3"/>
      <c r="BQ524" s="3"/>
      <c r="BR524" s="3"/>
      <c r="BS524" s="3"/>
      <c r="BT524" s="3"/>
      <c r="BU524" s="3"/>
      <c r="BV524" s="378" t="s">
        <v>737</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3" customHeight="1">
      <c r="B525" s="1421"/>
      <c r="C525" s="1422"/>
      <c r="D525" s="1422"/>
      <c r="E525" s="1422"/>
      <c r="F525" s="1422"/>
      <c r="G525" s="1422"/>
      <c r="H525" s="1423"/>
      <c r="I525" s="48" t="s">
        <v>423</v>
      </c>
      <c r="J525" s="48"/>
      <c r="K525" s="48"/>
      <c r="L525" s="48"/>
      <c r="M525" s="48"/>
      <c r="N525" s="48"/>
      <c r="O525" s="48"/>
      <c r="P525" s="48"/>
      <c r="Q525" s="48"/>
      <c r="R525" s="48"/>
      <c r="S525" s="48"/>
      <c r="T525" s="48"/>
      <c r="U525" s="48"/>
      <c r="V525" s="48"/>
      <c r="W525" s="48"/>
      <c r="X525" s="48"/>
      <c r="Y525" s="48"/>
      <c r="Z525" s="48"/>
      <c r="AA525" s="48"/>
      <c r="AB525" s="48"/>
      <c r="AC525" s="1427">
        <v>3</v>
      </c>
      <c r="AD525" s="1428"/>
      <c r="AE525" s="1428"/>
      <c r="AF525" s="1428"/>
      <c r="AG525" s="38" t="s">
        <v>404</v>
      </c>
      <c r="AH525" s="1425">
        <v>2027</v>
      </c>
      <c r="AI525" s="1425"/>
      <c r="AJ525" s="1425"/>
      <c r="AK525" s="1426"/>
      <c r="AZ525" s="3"/>
      <c r="BA525" s="3"/>
      <c r="BB525" s="3"/>
      <c r="BC525" s="3"/>
      <c r="BD525" s="3"/>
      <c r="BE525" s="3"/>
      <c r="BF525" s="3"/>
      <c r="BG525" s="3"/>
      <c r="BH525" s="3"/>
      <c r="BI525" s="3"/>
      <c r="BJ525" s="3"/>
      <c r="BK525" s="3"/>
      <c r="BL525" s="3"/>
      <c r="BM525" s="3"/>
      <c r="BN525" s="3" t="s">
        <v>2437</v>
      </c>
      <c r="BO525" s="3"/>
      <c r="BP525" s="3"/>
      <c r="BQ525" s="3"/>
      <c r="BR525" s="3"/>
      <c r="BS525" s="3"/>
      <c r="BT525" s="3"/>
      <c r="BU525" s="3"/>
      <c r="BV525" s="378" t="s">
        <v>738</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421"/>
      <c r="C526" s="1422"/>
      <c r="D526" s="1422"/>
      <c r="E526" s="1422"/>
      <c r="F526" s="1422"/>
      <c r="G526" s="1422"/>
      <c r="H526" s="1423"/>
      <c r="I526" s="42" t="s">
        <v>424</v>
      </c>
      <c r="J526" s="42"/>
      <c r="K526" s="42"/>
      <c r="L526" s="42"/>
      <c r="M526" s="42"/>
      <c r="N526" s="42"/>
      <c r="O526" s="1456" t="s">
        <v>335</v>
      </c>
      <c r="P526" s="1457"/>
      <c r="Q526" s="1457"/>
      <c r="R526" s="1457"/>
      <c r="S526" s="1457"/>
      <c r="T526" s="1457"/>
      <c r="U526" s="1457"/>
      <c r="V526" s="1457"/>
      <c r="W526" s="1457"/>
      <c r="X526" s="1457"/>
      <c r="Y526" s="1457"/>
      <c r="Z526" s="1457"/>
      <c r="AA526" s="1457"/>
      <c r="AC526" s="1427" t="s">
        <v>600</v>
      </c>
      <c r="AD526" s="1428"/>
      <c r="AE526" s="1428"/>
      <c r="AF526" s="1428"/>
      <c r="AG526" s="13" t="s">
        <v>404</v>
      </c>
      <c r="AH526" s="1425"/>
      <c r="AI526" s="1425"/>
      <c r="AJ526" s="1425"/>
      <c r="AK526" s="1426"/>
      <c r="AZ526" s="3"/>
      <c r="BA526" s="3"/>
      <c r="BB526" s="3"/>
      <c r="BC526" s="3"/>
      <c r="BD526" s="3"/>
      <c r="BE526" s="3"/>
      <c r="BF526" s="3"/>
      <c r="BG526" s="3"/>
      <c r="BH526" s="3"/>
      <c r="BI526" s="3"/>
      <c r="BJ526" s="3"/>
      <c r="BK526" s="3"/>
      <c r="BL526" s="3"/>
      <c r="BM526" s="3"/>
      <c r="BN526" s="3" t="s">
        <v>2438</v>
      </c>
      <c r="BO526" s="3"/>
      <c r="BP526" s="3"/>
      <c r="BQ526" s="3"/>
      <c r="BR526" s="3"/>
      <c r="BS526" s="3"/>
      <c r="BT526" s="3"/>
      <c r="BU526" s="3"/>
      <c r="BV526" s="378" t="s">
        <v>739</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421"/>
      <c r="C527" s="1422"/>
      <c r="D527" s="1422"/>
      <c r="E527" s="1422"/>
      <c r="F527" s="1422"/>
      <c r="G527" s="1422"/>
      <c r="H527" s="1423"/>
      <c r="I527" t="s">
        <v>422</v>
      </c>
      <c r="AC527" s="1427" t="s">
        <v>600</v>
      </c>
      <c r="AD527" s="1428"/>
      <c r="AE527" s="1428"/>
      <c r="AF527" s="1428"/>
      <c r="AG527" s="13" t="s">
        <v>404</v>
      </c>
      <c r="AH527" s="1425"/>
      <c r="AI527" s="1425"/>
      <c r="AJ527" s="1425"/>
      <c r="AK527" s="1426"/>
      <c r="AZ527" s="3"/>
      <c r="BA527" s="3"/>
      <c r="BB527" s="3"/>
      <c r="BC527" s="3"/>
      <c r="BD527" s="3"/>
      <c r="BE527" s="3"/>
      <c r="BF527" s="3"/>
      <c r="BG527" s="3"/>
      <c r="BH527" s="3"/>
      <c r="BI527" s="3"/>
      <c r="BJ527" s="3"/>
      <c r="BK527" s="3"/>
      <c r="BL527" s="3"/>
      <c r="BM527" s="3"/>
      <c r="BN527" s="3" t="s">
        <v>2439</v>
      </c>
      <c r="BO527" s="3"/>
      <c r="BP527" s="3"/>
      <c r="BQ527" s="3"/>
      <c r="BR527" s="3"/>
      <c r="BS527" s="3"/>
      <c r="BT527" s="3"/>
      <c r="BU527" s="3"/>
      <c r="BV527" s="378" t="s">
        <v>740</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421"/>
      <c r="C528" s="1422"/>
      <c r="D528" s="1422"/>
      <c r="E528" s="1422"/>
      <c r="F528" s="1422"/>
      <c r="G528" s="1422"/>
      <c r="H528" s="1423"/>
      <c r="I528" s="48" t="s">
        <v>423</v>
      </c>
      <c r="J528" s="48"/>
      <c r="K528" s="48"/>
      <c r="L528" s="48"/>
      <c r="M528" s="48"/>
      <c r="N528" s="48"/>
      <c r="O528" s="48"/>
      <c r="P528" s="48"/>
      <c r="Q528" s="48"/>
      <c r="R528" s="48"/>
      <c r="S528" s="48"/>
      <c r="T528" s="48"/>
      <c r="U528" s="48"/>
      <c r="V528" s="48"/>
      <c r="W528" s="48"/>
      <c r="X528" s="48"/>
      <c r="Y528" s="48"/>
      <c r="Z528" s="48"/>
      <c r="AA528" s="48"/>
      <c r="AB528" s="48"/>
      <c r="AC528" s="1427" t="s">
        <v>600</v>
      </c>
      <c r="AD528" s="1428"/>
      <c r="AE528" s="1428"/>
      <c r="AF528" s="1428"/>
      <c r="AG528" s="38" t="s">
        <v>404</v>
      </c>
      <c r="AH528" s="1425"/>
      <c r="AI528" s="1425"/>
      <c r="AJ528" s="1425"/>
      <c r="AK528" s="1426"/>
      <c r="AZ528" s="3"/>
      <c r="BA528" s="3"/>
      <c r="BB528" s="3"/>
      <c r="BC528" s="3"/>
      <c r="BD528" s="3"/>
      <c r="BE528" s="3"/>
      <c r="BF528" s="3"/>
      <c r="BG528" s="3"/>
      <c r="BH528" s="3"/>
      <c r="BI528" s="3"/>
      <c r="BJ528" s="3"/>
      <c r="BK528" s="3"/>
      <c r="BL528" s="3"/>
      <c r="BM528" s="3"/>
      <c r="BN528" s="3" t="s">
        <v>2440</v>
      </c>
      <c r="BO528" s="3"/>
      <c r="BP528" s="3"/>
      <c r="BQ528" s="3"/>
      <c r="BR528" s="3"/>
      <c r="BS528" s="3"/>
      <c r="BT528" s="3"/>
      <c r="BU528" s="3"/>
      <c r="BV528" s="378" t="s">
        <v>741</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421"/>
      <c r="C529" s="1422"/>
      <c r="D529" s="1422"/>
      <c r="E529" s="1422"/>
      <c r="F529" s="1422"/>
      <c r="G529" s="1422"/>
      <c r="H529" s="1423"/>
      <c r="I529" s="42" t="s">
        <v>424</v>
      </c>
      <c r="J529" s="42"/>
      <c r="K529" s="42"/>
      <c r="L529" s="42"/>
      <c r="M529" s="42"/>
      <c r="N529" s="42"/>
      <c r="O529" s="1456" t="s">
        <v>335</v>
      </c>
      <c r="P529" s="1457"/>
      <c r="Q529" s="1457"/>
      <c r="R529" s="1457"/>
      <c r="S529" s="1457"/>
      <c r="T529" s="1457"/>
      <c r="U529" s="1457"/>
      <c r="V529" s="1457"/>
      <c r="W529" s="1457"/>
      <c r="X529" s="1457"/>
      <c r="Y529" s="1457"/>
      <c r="Z529" s="1457"/>
      <c r="AA529" s="1457"/>
      <c r="AC529" s="1427" t="s">
        <v>600</v>
      </c>
      <c r="AD529" s="1428"/>
      <c r="AE529" s="1428"/>
      <c r="AF529" s="1428"/>
      <c r="AG529" s="13" t="s">
        <v>404</v>
      </c>
      <c r="AH529" s="1425"/>
      <c r="AI529" s="1425"/>
      <c r="AJ529" s="1425"/>
      <c r="AK529" s="1426"/>
      <c r="AZ529" s="3"/>
      <c r="BA529" s="3"/>
      <c r="BB529" s="3"/>
      <c r="BC529" s="3"/>
      <c r="BD529" s="3"/>
      <c r="BE529" s="3"/>
      <c r="BF529" s="3"/>
      <c r="BG529" s="3"/>
      <c r="BH529" s="3"/>
      <c r="BI529" s="3"/>
      <c r="BJ529" s="3"/>
      <c r="BK529" s="3"/>
      <c r="BL529" s="3"/>
      <c r="BM529" s="3"/>
      <c r="BN529" s="3" t="s">
        <v>2441</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421"/>
      <c r="C530" s="1422"/>
      <c r="D530" s="1422"/>
      <c r="E530" s="1422"/>
      <c r="F530" s="1422"/>
      <c r="G530" s="1422"/>
      <c r="H530" s="1423"/>
      <c r="I530" t="s">
        <v>422</v>
      </c>
      <c r="AC530" s="1427" t="s">
        <v>600</v>
      </c>
      <c r="AD530" s="1428"/>
      <c r="AE530" s="1428"/>
      <c r="AF530" s="1428"/>
      <c r="AG530" s="13" t="s">
        <v>404</v>
      </c>
      <c r="AH530" s="1425"/>
      <c r="AI530" s="1425"/>
      <c r="AJ530" s="1425"/>
      <c r="AK530" s="1426"/>
      <c r="AZ530" s="3"/>
      <c r="BA530" s="3"/>
      <c r="BB530" s="3"/>
      <c r="BC530" s="3"/>
      <c r="BD530" s="3"/>
      <c r="BE530" s="3"/>
      <c r="BF530" s="3"/>
      <c r="BG530" s="3"/>
      <c r="BH530" s="3"/>
      <c r="BI530" s="3"/>
      <c r="BJ530" s="3"/>
      <c r="BK530" s="3"/>
      <c r="BL530" s="3"/>
      <c r="BM530" s="3"/>
      <c r="BN530" s="3" t="s">
        <v>2442</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421"/>
      <c r="C531" s="1422"/>
      <c r="D531" s="1422"/>
      <c r="E531" s="1422"/>
      <c r="F531" s="1422"/>
      <c r="G531" s="1422"/>
      <c r="H531" s="1423"/>
      <c r="I531" s="48" t="s">
        <v>423</v>
      </c>
      <c r="J531" s="48"/>
      <c r="K531" s="48"/>
      <c r="L531" s="48"/>
      <c r="M531" s="48"/>
      <c r="N531" s="48"/>
      <c r="O531" s="48"/>
      <c r="P531" s="48"/>
      <c r="Q531" s="48"/>
      <c r="R531" s="48"/>
      <c r="S531" s="48"/>
      <c r="T531" s="48"/>
      <c r="U531" s="48"/>
      <c r="V531" s="48"/>
      <c r="W531" s="48"/>
      <c r="X531" s="48"/>
      <c r="Y531" s="48"/>
      <c r="Z531" s="48"/>
      <c r="AA531" s="48"/>
      <c r="AB531" s="48"/>
      <c r="AC531" s="1427" t="s">
        <v>600</v>
      </c>
      <c r="AD531" s="1428"/>
      <c r="AE531" s="1428"/>
      <c r="AF531" s="1428"/>
      <c r="AG531" s="38" t="s">
        <v>404</v>
      </c>
      <c r="AH531" s="1425"/>
      <c r="AI531" s="1425"/>
      <c r="AJ531" s="1425"/>
      <c r="AK531" s="1426"/>
      <c r="AZ531" s="3"/>
      <c r="BA531" s="3"/>
      <c r="BB531" s="3"/>
      <c r="BC531" s="3"/>
      <c r="BD531" s="3"/>
      <c r="BE531" s="3"/>
      <c r="BF531" s="3"/>
      <c r="BG531" s="3"/>
      <c r="BH531" s="3"/>
      <c r="BI531" s="3"/>
      <c r="BJ531" s="3"/>
      <c r="BK531" s="3"/>
      <c r="BL531" s="3"/>
      <c r="BM531" s="3"/>
      <c r="BN531" s="3" t="s">
        <v>2443</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421"/>
      <c r="C532" s="1422"/>
      <c r="D532" s="1422"/>
      <c r="E532" s="1422"/>
      <c r="F532" s="1422"/>
      <c r="G532" s="1422"/>
      <c r="H532" s="1423"/>
      <c r="I532" s="42" t="s">
        <v>424</v>
      </c>
      <c r="J532" s="42"/>
      <c r="K532" s="42"/>
      <c r="L532" s="42"/>
      <c r="M532" s="42"/>
      <c r="N532" s="42"/>
      <c r="O532" s="1456" t="s">
        <v>335</v>
      </c>
      <c r="P532" s="1457"/>
      <c r="Q532" s="1457"/>
      <c r="R532" s="1457"/>
      <c r="S532" s="1457"/>
      <c r="T532" s="1457"/>
      <c r="U532" s="1457"/>
      <c r="V532" s="1457"/>
      <c r="W532" s="1457"/>
      <c r="X532" s="1457"/>
      <c r="Y532" s="1457"/>
      <c r="Z532" s="1457"/>
      <c r="AA532" s="1457"/>
      <c r="AC532" s="1427" t="s">
        <v>600</v>
      </c>
      <c r="AD532" s="1428"/>
      <c r="AE532" s="1428"/>
      <c r="AF532" s="1428"/>
      <c r="AG532" s="13" t="s">
        <v>404</v>
      </c>
      <c r="AH532" s="1425"/>
      <c r="AI532" s="1425"/>
      <c r="AJ532" s="1425"/>
      <c r="AK532" s="1426"/>
      <c r="AZ532" s="3"/>
      <c r="BA532" s="3"/>
      <c r="BB532" s="3"/>
      <c r="BC532" s="3"/>
      <c r="BD532" s="3"/>
      <c r="BE532" s="3"/>
      <c r="BF532" s="3"/>
      <c r="BG532" s="3"/>
      <c r="BH532" s="3"/>
      <c r="BI532" s="3"/>
      <c r="BJ532" s="3"/>
      <c r="BK532" s="3"/>
      <c r="BL532" s="3"/>
      <c r="BM532" s="3"/>
      <c r="BN532" s="3" t="s">
        <v>2444</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421"/>
      <c r="C533" s="1422"/>
      <c r="D533" s="1422"/>
      <c r="E533" s="1422"/>
      <c r="F533" s="1422"/>
      <c r="G533" s="1422"/>
      <c r="H533" s="1423"/>
      <c r="I533" t="s">
        <v>422</v>
      </c>
      <c r="AC533" s="1427" t="s">
        <v>600</v>
      </c>
      <c r="AD533" s="1428"/>
      <c r="AE533" s="1428"/>
      <c r="AF533" s="1428"/>
      <c r="AG533" s="38" t="s">
        <v>404</v>
      </c>
      <c r="AH533" s="1425"/>
      <c r="AI533" s="1425"/>
      <c r="AJ533" s="1425"/>
      <c r="AK533" s="1426"/>
      <c r="AZ533" s="3"/>
      <c r="BA533" s="3"/>
      <c r="BB533" s="3"/>
      <c r="BC533" s="3"/>
      <c r="BD533" s="3"/>
      <c r="BE533" s="3"/>
      <c r="BF533" s="3"/>
      <c r="BG533" s="3"/>
      <c r="BH533" s="3"/>
      <c r="BI533" s="3"/>
      <c r="BJ533" s="3"/>
      <c r="BK533" s="3"/>
      <c r="BL533" s="3"/>
      <c r="BM533" s="3"/>
      <c r="BN533" s="3" t="s">
        <v>2445</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421"/>
      <c r="C534" s="1422"/>
      <c r="D534" s="1422"/>
      <c r="E534" s="1422"/>
      <c r="F534" s="1422"/>
      <c r="G534" s="1422"/>
      <c r="H534" s="1423"/>
      <c r="I534" s="48" t="s">
        <v>423</v>
      </c>
      <c r="J534" s="48"/>
      <c r="K534" s="48"/>
      <c r="L534" s="48"/>
      <c r="M534" s="48"/>
      <c r="N534" s="48"/>
      <c r="O534" s="48"/>
      <c r="P534" s="48"/>
      <c r="Q534" s="48"/>
      <c r="R534" s="48"/>
      <c r="S534" s="48"/>
      <c r="T534" s="48"/>
      <c r="U534" s="48"/>
      <c r="V534" s="48"/>
      <c r="W534" s="48"/>
      <c r="X534" s="48"/>
      <c r="Y534" s="48"/>
      <c r="Z534" s="48"/>
      <c r="AA534" s="48"/>
      <c r="AB534" s="48"/>
      <c r="AC534" s="1427" t="s">
        <v>600</v>
      </c>
      <c r="AD534" s="1428"/>
      <c r="AE534" s="1428"/>
      <c r="AF534" s="1428"/>
      <c r="AG534" s="13" t="s">
        <v>404</v>
      </c>
      <c r="AH534" s="1425"/>
      <c r="AI534" s="1425"/>
      <c r="AJ534" s="1425"/>
      <c r="AK534" s="1426"/>
      <c r="AZ534" s="3"/>
      <c r="BA534" s="3"/>
      <c r="BB534" s="3"/>
      <c r="BC534" s="3"/>
      <c r="BD534" s="3"/>
      <c r="BE534" s="3"/>
      <c r="BF534" s="3"/>
      <c r="BG534" s="3"/>
      <c r="BH534" s="3"/>
      <c r="BI534" s="3"/>
      <c r="BJ534" s="3"/>
      <c r="BK534" s="3"/>
      <c r="BL534" s="3"/>
      <c r="BM534" s="3"/>
      <c r="BN534" s="3" t="s">
        <v>2446</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421"/>
      <c r="C535" s="1422"/>
      <c r="D535" s="1422"/>
      <c r="E535" s="1422"/>
      <c r="F535" s="1422"/>
      <c r="G535" s="1422"/>
      <c r="H535" s="1423"/>
      <c r="I535" s="42" t="s">
        <v>424</v>
      </c>
      <c r="J535" s="42"/>
      <c r="K535" s="42"/>
      <c r="L535" s="42"/>
      <c r="M535" s="42"/>
      <c r="N535" s="42"/>
      <c r="O535" s="1456" t="s">
        <v>335</v>
      </c>
      <c r="P535" s="1457"/>
      <c r="Q535" s="1457"/>
      <c r="R535" s="1457"/>
      <c r="S535" s="1457"/>
      <c r="T535" s="1457"/>
      <c r="U535" s="1457"/>
      <c r="V535" s="1457"/>
      <c r="W535" s="1457"/>
      <c r="X535" s="1457"/>
      <c r="Y535" s="1457"/>
      <c r="Z535" s="1457"/>
      <c r="AA535" s="1457"/>
      <c r="AC535" s="1427" t="s">
        <v>600</v>
      </c>
      <c r="AD535" s="1428"/>
      <c r="AE535" s="1428"/>
      <c r="AF535" s="1428"/>
      <c r="AG535" s="38" t="s">
        <v>404</v>
      </c>
      <c r="AH535" s="1425"/>
      <c r="AI535" s="1425"/>
      <c r="AJ535" s="1425"/>
      <c r="AK535" s="1426"/>
      <c r="AZ535" s="3"/>
      <c r="BA535" s="3"/>
      <c r="BB535" s="3"/>
      <c r="BC535" s="3"/>
      <c r="BD535" s="3"/>
      <c r="BE535" s="3"/>
      <c r="BF535" s="3"/>
      <c r="BG535" s="3"/>
      <c r="BH535" s="3"/>
      <c r="BI535" s="3"/>
      <c r="BJ535" s="3"/>
      <c r="BK535" s="3"/>
      <c r="BL535" s="3"/>
      <c r="BM535" s="3"/>
      <c r="BN535" s="3" t="s">
        <v>2447</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421"/>
      <c r="C536" s="1422"/>
      <c r="D536" s="1422"/>
      <c r="E536" s="1422"/>
      <c r="F536" s="1422"/>
      <c r="G536" s="1422"/>
      <c r="H536" s="1423"/>
      <c r="I536" t="s">
        <v>422</v>
      </c>
      <c r="AC536" s="1427" t="s">
        <v>600</v>
      </c>
      <c r="AD536" s="1428"/>
      <c r="AE536" s="1428"/>
      <c r="AF536" s="1428"/>
      <c r="AG536" s="13" t="s">
        <v>404</v>
      </c>
      <c r="AH536" s="1425"/>
      <c r="AI536" s="1425"/>
      <c r="AJ536" s="1425"/>
      <c r="AK536" s="1426"/>
      <c r="AZ536" s="3"/>
      <c r="BA536" s="3"/>
      <c r="BB536" s="3"/>
      <c r="BC536" s="3"/>
      <c r="BD536" s="3"/>
      <c r="BE536" s="3"/>
      <c r="BF536" s="3"/>
      <c r="BG536" s="3"/>
      <c r="BH536" s="3"/>
      <c r="BI536" s="3"/>
      <c r="BJ536" s="3"/>
      <c r="BK536" s="3"/>
      <c r="BL536" s="3"/>
      <c r="BM536" s="3"/>
      <c r="BN536" s="3" t="s">
        <v>2448</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421"/>
      <c r="C537" s="1422"/>
      <c r="D537" s="1422"/>
      <c r="E537" s="1422"/>
      <c r="F537" s="1422"/>
      <c r="G537" s="1422"/>
      <c r="H537" s="1423"/>
      <c r="I537" s="48" t="s">
        <v>423</v>
      </c>
      <c r="J537" s="48"/>
      <c r="K537" s="48"/>
      <c r="L537" s="48"/>
      <c r="M537" s="48"/>
      <c r="N537" s="48"/>
      <c r="O537" s="48"/>
      <c r="P537" s="48"/>
      <c r="Q537" s="48"/>
      <c r="R537" s="48"/>
      <c r="S537" s="48"/>
      <c r="T537" s="48"/>
      <c r="U537" s="48"/>
      <c r="V537" s="48"/>
      <c r="W537" s="48"/>
      <c r="X537" s="48"/>
      <c r="Y537" s="48"/>
      <c r="Z537" s="48"/>
      <c r="AA537" s="48"/>
      <c r="AB537" s="48"/>
      <c r="AC537" s="1427" t="s">
        <v>600</v>
      </c>
      <c r="AD537" s="1428"/>
      <c r="AE537" s="1428"/>
      <c r="AF537" s="1428"/>
      <c r="AG537" s="38" t="s">
        <v>404</v>
      </c>
      <c r="AH537" s="1425"/>
      <c r="AI537" s="1425"/>
      <c r="AJ537" s="1425"/>
      <c r="AK537" s="1426"/>
      <c r="AZ537" s="3"/>
      <c r="BA537" s="3"/>
      <c r="BB537" s="3"/>
      <c r="BC537" s="3"/>
      <c r="BD537" s="3"/>
      <c r="BE537" s="3"/>
      <c r="BF537" s="3"/>
      <c r="BG537" s="3"/>
      <c r="BH537" s="3"/>
      <c r="BI537" s="3"/>
      <c r="BJ537" s="3"/>
      <c r="BK537" s="3"/>
      <c r="BL537" s="3"/>
      <c r="BM537" s="3"/>
      <c r="BN537" s="3" t="s">
        <v>2449</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421"/>
      <c r="C538" s="1422"/>
      <c r="D538" s="1422"/>
      <c r="E538" s="1422"/>
      <c r="F538" s="1422"/>
      <c r="G538" s="1422"/>
      <c r="H538" s="1423"/>
      <c r="I538" s="42" t="s">
        <v>571</v>
      </c>
      <c r="J538" s="42"/>
      <c r="K538" s="42"/>
      <c r="L538" s="42"/>
      <c r="M538" s="42"/>
      <c r="N538" s="42"/>
      <c r="O538" s="42"/>
      <c r="P538" s="42"/>
      <c r="Q538" s="42"/>
      <c r="R538" s="42"/>
      <c r="S538" s="42"/>
      <c r="T538" s="42"/>
      <c r="U538" s="42"/>
      <c r="V538" s="42"/>
      <c r="W538" s="42"/>
      <c r="AC538" s="1427">
        <v>2</v>
      </c>
      <c r="AD538" s="1428"/>
      <c r="AE538" s="1428"/>
      <c r="AF538" s="1428"/>
      <c r="AG538" s="38" t="s">
        <v>404</v>
      </c>
      <c r="AH538" s="1425">
        <v>2025</v>
      </c>
      <c r="AI538" s="1425"/>
      <c r="AJ538" s="1425"/>
      <c r="AK538" s="1426"/>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421"/>
      <c r="C539" s="1422"/>
      <c r="D539" s="1422"/>
      <c r="E539" s="1422"/>
      <c r="F539" s="1422"/>
      <c r="G539" s="1422"/>
      <c r="H539" s="1423"/>
      <c r="I539" t="s">
        <v>572</v>
      </c>
      <c r="AC539" s="1427">
        <v>2</v>
      </c>
      <c r="AD539" s="1428"/>
      <c r="AE539" s="1428"/>
      <c r="AF539" s="1428"/>
      <c r="AG539" s="13" t="s">
        <v>404</v>
      </c>
      <c r="AH539" s="1425">
        <v>2025</v>
      </c>
      <c r="AI539" s="1425"/>
      <c r="AJ539" s="1425"/>
      <c r="AK539" s="1426"/>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421"/>
      <c r="C540" s="1422"/>
      <c r="D540" s="1422"/>
      <c r="E540" s="1422"/>
      <c r="F540" s="1422"/>
      <c r="G540" s="1422"/>
      <c r="H540" s="1423"/>
      <c r="I540" t="s">
        <v>573</v>
      </c>
      <c r="AC540" s="1427">
        <v>8</v>
      </c>
      <c r="AD540" s="1428"/>
      <c r="AE540" s="1428"/>
      <c r="AF540" s="1428"/>
      <c r="AG540" s="38" t="s">
        <v>404</v>
      </c>
      <c r="AH540" s="1425">
        <v>2026</v>
      </c>
      <c r="AI540" s="1425"/>
      <c r="AJ540" s="1425"/>
      <c r="AK540" s="1426"/>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421"/>
      <c r="C541" s="1422"/>
      <c r="D541" s="1422"/>
      <c r="E541" s="1422"/>
      <c r="F541" s="1422"/>
      <c r="G541" s="1422"/>
      <c r="H541" s="1423"/>
      <c r="I541" t="s">
        <v>574</v>
      </c>
      <c r="AC541" s="1427">
        <v>9</v>
      </c>
      <c r="AD541" s="1428"/>
      <c r="AE541" s="1428"/>
      <c r="AF541" s="1428"/>
      <c r="AG541" s="38" t="s">
        <v>404</v>
      </c>
      <c r="AH541" s="1425">
        <v>2026</v>
      </c>
      <c r="AI541" s="1425"/>
      <c r="AJ541" s="1425"/>
      <c r="AK541" s="1426"/>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429"/>
      <c r="C542" s="1430"/>
      <c r="D542" s="1430"/>
      <c r="E542" s="1430"/>
      <c r="F542" s="1430"/>
      <c r="G542" s="1430"/>
      <c r="H542" s="1431"/>
      <c r="I542" s="48" t="s">
        <v>460</v>
      </c>
      <c r="J542" s="48"/>
      <c r="K542" s="48"/>
      <c r="L542" s="48"/>
      <c r="M542" s="48"/>
      <c r="N542" s="48"/>
      <c r="O542" s="48"/>
      <c r="P542" s="48"/>
      <c r="Q542" s="48"/>
      <c r="R542" s="48"/>
      <c r="S542" s="48"/>
      <c r="T542" s="48"/>
      <c r="U542" s="48"/>
      <c r="V542" s="48"/>
      <c r="W542" s="48"/>
      <c r="X542" s="48"/>
      <c r="Y542" s="48"/>
      <c r="Z542" s="48"/>
      <c r="AA542" s="48"/>
      <c r="AB542" s="48"/>
      <c r="AC542" s="1427">
        <v>3</v>
      </c>
      <c r="AD542" s="1428"/>
      <c r="AE542" s="1428"/>
      <c r="AF542" s="1428"/>
      <c r="AG542" s="38" t="s">
        <v>404</v>
      </c>
      <c r="AH542" s="1425">
        <v>2027</v>
      </c>
      <c r="AI542" s="1425"/>
      <c r="AJ542" s="1425"/>
      <c r="AK542" s="1426"/>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77" t="s">
        <v>552</v>
      </c>
      <c r="B544" s="1277"/>
      <c r="C544" s="1277"/>
      <c r="D544" s="1277"/>
      <c r="E544" s="1277"/>
      <c r="F544" s="1277"/>
      <c r="G544" s="1277"/>
      <c r="H544" s="1277"/>
      <c r="I544" s="1277"/>
      <c r="J544" s="1277"/>
      <c r="K544" s="1277"/>
      <c r="L544" s="1277"/>
      <c r="M544" s="1277"/>
      <c r="N544" s="1277"/>
      <c r="O544" s="1277"/>
      <c r="P544" s="1277"/>
      <c r="Q544" s="1277"/>
      <c r="R544" s="1277"/>
      <c r="S544" s="1277"/>
      <c r="T544" s="1277"/>
      <c r="U544" s="1277"/>
      <c r="V544" s="1277"/>
      <c r="W544" s="1277"/>
      <c r="X544" s="1277"/>
      <c r="Y544" s="1277"/>
      <c r="Z544" s="1277"/>
      <c r="AA544" s="1277"/>
      <c r="AB544" s="1277"/>
      <c r="AC544" s="1277"/>
      <c r="AD544" s="1277"/>
      <c r="AE544" s="1277"/>
      <c r="AF544" s="1277"/>
      <c r="AG544" s="1277"/>
      <c r="AH544" s="1277"/>
      <c r="AI544" s="1277"/>
      <c r="AJ544" s="1277"/>
      <c r="AK544" s="1277"/>
      <c r="AL544" s="1277"/>
      <c r="AM544" s="1277"/>
      <c r="AN544" s="1277"/>
      <c r="AO544" s="1277"/>
      <c r="AP544" s="1277"/>
      <c r="AQ544" s="1277"/>
      <c r="AR544" s="1277"/>
      <c r="AS544" s="1277"/>
      <c r="AT544" s="1277"/>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77"/>
      <c r="B545" s="1277"/>
      <c r="C545" s="1277"/>
      <c r="D545" s="1277"/>
      <c r="E545" s="1277"/>
      <c r="F545" s="1277"/>
      <c r="G545" s="1277"/>
      <c r="H545" s="1277"/>
      <c r="I545" s="1277"/>
      <c r="J545" s="1277"/>
      <c r="K545" s="1277"/>
      <c r="L545" s="1277"/>
      <c r="M545" s="1277"/>
      <c r="N545" s="1277"/>
      <c r="O545" s="1277"/>
      <c r="P545" s="1277"/>
      <c r="Q545" s="1277"/>
      <c r="R545" s="1277"/>
      <c r="S545" s="1277"/>
      <c r="T545" s="1277"/>
      <c r="U545" s="1277"/>
      <c r="V545" s="1277"/>
      <c r="W545" s="1277"/>
      <c r="X545" s="1277"/>
      <c r="Y545" s="1277"/>
      <c r="Z545" s="1277"/>
      <c r="AA545" s="1277"/>
      <c r="AB545" s="1277"/>
      <c r="AC545" s="1277"/>
      <c r="AD545" s="1277"/>
      <c r="AE545" s="1277"/>
      <c r="AF545" s="1277"/>
      <c r="AG545" s="1277"/>
      <c r="AH545" s="1277"/>
      <c r="AI545" s="1277"/>
      <c r="AJ545" s="1277"/>
      <c r="AK545" s="1277"/>
      <c r="AL545" s="1277"/>
      <c r="AM545" s="1277"/>
      <c r="AN545" s="1277"/>
      <c r="AO545" s="1277"/>
      <c r="AP545" s="1277"/>
      <c r="AQ545" s="1277"/>
      <c r="AR545" s="1277"/>
      <c r="AS545" s="1277"/>
      <c r="AT545" s="1277"/>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2421</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418" t="s">
        <v>2423</v>
      </c>
      <c r="C551" s="1419"/>
      <c r="D551" s="1419"/>
      <c r="E551" s="1419"/>
      <c r="F551" s="1419"/>
      <c r="G551" s="1419"/>
      <c r="H551" s="1419"/>
      <c r="I551" s="1419"/>
      <c r="J551" s="1419"/>
      <c r="K551" s="1419"/>
      <c r="L551" s="1420"/>
      <c r="M551" s="1418" t="s">
        <v>2424</v>
      </c>
      <c r="N551" s="1419"/>
      <c r="O551" s="1419"/>
      <c r="P551" s="1420"/>
      <c r="Q551" s="1418" t="s">
        <v>2450</v>
      </c>
      <c r="R551" s="1419"/>
      <c r="S551" s="1420"/>
      <c r="T551" s="1418" t="s">
        <v>2451</v>
      </c>
      <c r="U551" s="1419"/>
      <c r="V551" s="1420"/>
      <c r="W551" s="1418" t="s">
        <v>462</v>
      </c>
      <c r="X551" s="1419"/>
      <c r="Y551" s="1420"/>
      <c r="Z551" s="1418" t="s">
        <v>2044</v>
      </c>
      <c r="AA551" s="1419"/>
      <c r="AB551" s="1419"/>
      <c r="AC551" s="1419"/>
      <c r="AD551" s="1420"/>
      <c r="AE551" s="1418" t="s">
        <v>1866</v>
      </c>
      <c r="AF551" s="1419"/>
      <c r="AG551" s="1419"/>
      <c r="AH551" s="1420"/>
      <c r="AI551" s="1418" t="s">
        <v>1867</v>
      </c>
      <c r="AJ551" s="1419"/>
      <c r="AK551" s="1419"/>
      <c r="AL551" s="1420"/>
      <c r="AM551" s="1418" t="s">
        <v>463</v>
      </c>
      <c r="AN551" s="1419"/>
      <c r="AO551" s="1419"/>
      <c r="AP551" s="1419"/>
      <c r="AQ551" s="1419"/>
      <c r="AR551" s="1419"/>
      <c r="AS551" s="1420"/>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421"/>
      <c r="C552" s="1422"/>
      <c r="D552" s="1422"/>
      <c r="E552" s="1422"/>
      <c r="F552" s="1422"/>
      <c r="G552" s="1422"/>
      <c r="H552" s="1422"/>
      <c r="I552" s="1422"/>
      <c r="J552" s="1422"/>
      <c r="K552" s="1422"/>
      <c r="L552" s="1423"/>
      <c r="M552" s="1421"/>
      <c r="N552" s="1422"/>
      <c r="O552" s="1422"/>
      <c r="P552" s="1423"/>
      <c r="Q552" s="1421"/>
      <c r="R552" s="1422"/>
      <c r="S552" s="1423"/>
      <c r="T552" s="1421"/>
      <c r="U552" s="1422"/>
      <c r="V552" s="1423"/>
      <c r="W552" s="1421"/>
      <c r="X552" s="1422"/>
      <c r="Y552" s="1423"/>
      <c r="Z552" s="1421"/>
      <c r="AA552" s="1422"/>
      <c r="AB552" s="1422"/>
      <c r="AC552" s="1422"/>
      <c r="AD552" s="1423"/>
      <c r="AE552" s="1421"/>
      <c r="AF552" s="1422"/>
      <c r="AG552" s="1422"/>
      <c r="AH552" s="1423"/>
      <c r="AI552" s="1421"/>
      <c r="AJ552" s="1422"/>
      <c r="AK552" s="1422"/>
      <c r="AL552" s="1423"/>
      <c r="AM552" s="1421"/>
      <c r="AN552" s="1422"/>
      <c r="AO552" s="1422"/>
      <c r="AP552" s="1422"/>
      <c r="AQ552" s="1422"/>
      <c r="AR552" s="1422"/>
      <c r="AS552" s="1423"/>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429"/>
      <c r="C553" s="1430"/>
      <c r="D553" s="1430"/>
      <c r="E553" s="1430"/>
      <c r="F553" s="1430"/>
      <c r="G553" s="1430"/>
      <c r="H553" s="1430"/>
      <c r="I553" s="1430"/>
      <c r="J553" s="1430"/>
      <c r="K553" s="1430"/>
      <c r="L553" s="1431"/>
      <c r="M553" s="1429"/>
      <c r="N553" s="1430"/>
      <c r="O553" s="1430"/>
      <c r="P553" s="1431"/>
      <c r="Q553" s="1429"/>
      <c r="R553" s="1430"/>
      <c r="S553" s="1431"/>
      <c r="T553" s="1429"/>
      <c r="U553" s="1430"/>
      <c r="V553" s="1431"/>
      <c r="W553" s="1429"/>
      <c r="X553" s="1430"/>
      <c r="Y553" s="1431"/>
      <c r="Z553" s="1429"/>
      <c r="AA553" s="1430"/>
      <c r="AB553" s="1430"/>
      <c r="AC553" s="1430"/>
      <c r="AD553" s="1431"/>
      <c r="AE553" s="1429"/>
      <c r="AF553" s="1430"/>
      <c r="AG553" s="1430"/>
      <c r="AH553" s="1431"/>
      <c r="AI553" s="1429"/>
      <c r="AJ553" s="1430"/>
      <c r="AK553" s="1430"/>
      <c r="AL553" s="1431"/>
      <c r="AM553" s="1429"/>
      <c r="AN553" s="1430"/>
      <c r="AO553" s="1430"/>
      <c r="AP553" s="1430"/>
      <c r="AQ553" s="1430"/>
      <c r="AR553" s="1430"/>
      <c r="AS553" s="1431"/>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1" t="s">
        <v>112</v>
      </c>
      <c r="C554" s="1464" t="s">
        <v>2680</v>
      </c>
      <c r="D554" s="1464"/>
      <c r="E554" s="1464"/>
      <c r="F554" s="1464"/>
      <c r="G554" s="1464"/>
      <c r="H554" s="1464"/>
      <c r="I554" s="1464"/>
      <c r="J554" s="1464"/>
      <c r="K554" s="1464"/>
      <c r="L554" s="1464"/>
      <c r="M554" s="1464" t="s">
        <v>2440</v>
      </c>
      <c r="N554" s="1464"/>
      <c r="O554" s="1464"/>
      <c r="P554" s="1464"/>
      <c r="Q554" s="1462">
        <v>18</v>
      </c>
      <c r="R554" s="1462"/>
      <c r="S554" s="1463"/>
      <c r="T554" s="1461">
        <v>18</v>
      </c>
      <c r="U554" s="1462"/>
      <c r="V554" s="1463"/>
      <c r="W554" s="1522">
        <v>6.5000000000000002E-2</v>
      </c>
      <c r="X554" s="1523"/>
      <c r="Y554" s="1524"/>
      <c r="Z554" s="1549" t="s">
        <v>2685</v>
      </c>
      <c r="AA554" s="1549"/>
      <c r="AB554" s="1549"/>
      <c r="AC554" s="1549"/>
      <c r="AD554" s="1549"/>
      <c r="AE554" s="1458">
        <v>1</v>
      </c>
      <c r="AF554" s="1459"/>
      <c r="AG554" s="1459"/>
      <c r="AH554" s="1460"/>
      <c r="AI554" s="1589"/>
      <c r="AJ554" s="1590"/>
      <c r="AK554" s="1590"/>
      <c r="AL554" s="1591"/>
      <c r="AM554" s="1409">
        <v>29887200</v>
      </c>
      <c r="AN554" s="1410"/>
      <c r="AO554" s="1410"/>
      <c r="AP554" s="1410"/>
      <c r="AQ554" s="1410"/>
      <c r="AR554" s="1410"/>
      <c r="AS554" s="1411"/>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113</v>
      </c>
      <c r="C555" s="1502" t="s">
        <v>2681</v>
      </c>
      <c r="D555" s="1502"/>
      <c r="E555" s="1502"/>
      <c r="F555" s="1502"/>
      <c r="G555" s="1502"/>
      <c r="H555" s="1502"/>
      <c r="I555" s="1502"/>
      <c r="J555" s="1502"/>
      <c r="K555" s="1502"/>
      <c r="L555" s="1502"/>
      <c r="M555" s="1464" t="s">
        <v>2441</v>
      </c>
      <c r="N555" s="1464"/>
      <c r="O555" s="1464"/>
      <c r="P555" s="1464"/>
      <c r="Q555" s="1461">
        <v>18</v>
      </c>
      <c r="R555" s="1462"/>
      <c r="S555" s="1463"/>
      <c r="T555" s="1461">
        <v>18</v>
      </c>
      <c r="U555" s="1462"/>
      <c r="V555" s="1463"/>
      <c r="W555" s="1522">
        <v>6.5000000000000002E-2</v>
      </c>
      <c r="X555" s="1523"/>
      <c r="Y555" s="1524"/>
      <c r="Z555" s="1549" t="s">
        <v>2685</v>
      </c>
      <c r="AA555" s="1549"/>
      <c r="AB555" s="1549"/>
      <c r="AC555" s="1549"/>
      <c r="AD555" s="1549"/>
      <c r="AE555" s="1458">
        <v>2</v>
      </c>
      <c r="AF555" s="1459"/>
      <c r="AG555" s="1459"/>
      <c r="AH555" s="1460"/>
      <c r="AI555" s="1589"/>
      <c r="AJ555" s="1590"/>
      <c r="AK555" s="1590"/>
      <c r="AL555" s="1591"/>
      <c r="AM555" s="1409">
        <f>ROUND(0.15*AO641,0)</f>
        <v>9285360</v>
      </c>
      <c r="AN555" s="1410"/>
      <c r="AO555" s="1410"/>
      <c r="AP555" s="1410"/>
      <c r="AQ555" s="1410"/>
      <c r="AR555" s="1410"/>
      <c r="AS555" s="1411"/>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119</v>
      </c>
      <c r="C556" s="1502" t="s">
        <v>2682</v>
      </c>
      <c r="D556" s="1502"/>
      <c r="E556" s="1502"/>
      <c r="F556" s="1502"/>
      <c r="G556" s="1502"/>
      <c r="H556" s="1502"/>
      <c r="I556" s="1502"/>
      <c r="J556" s="1502"/>
      <c r="K556" s="1502"/>
      <c r="L556" s="1502"/>
      <c r="M556" s="1464" t="s">
        <v>2439</v>
      </c>
      <c r="N556" s="1464"/>
      <c r="O556" s="1464"/>
      <c r="P556" s="1464"/>
      <c r="Q556" s="1461">
        <v>18</v>
      </c>
      <c r="R556" s="1462"/>
      <c r="S556" s="1463"/>
      <c r="T556" s="1461">
        <v>18</v>
      </c>
      <c r="U556" s="1462"/>
      <c r="V556" s="1463"/>
      <c r="W556" s="1522">
        <v>6.5000000000000002E-2</v>
      </c>
      <c r="X556" s="1523"/>
      <c r="Y556" s="1524"/>
      <c r="Z556" s="1549" t="s">
        <v>2685</v>
      </c>
      <c r="AA556" s="1549"/>
      <c r="AB556" s="1549"/>
      <c r="AC556" s="1549"/>
      <c r="AD556" s="1549"/>
      <c r="AE556" s="1458">
        <v>3</v>
      </c>
      <c r="AF556" s="1459"/>
      <c r="AG556" s="1459"/>
      <c r="AH556" s="1460"/>
      <c r="AI556" s="1589"/>
      <c r="AJ556" s="1590"/>
      <c r="AK556" s="1590"/>
      <c r="AL556" s="1591"/>
      <c r="AM556" s="1409">
        <v>0</v>
      </c>
      <c r="AN556" s="1410"/>
      <c r="AO556" s="1410"/>
      <c r="AP556" s="1410"/>
      <c r="AQ556" s="1410"/>
      <c r="AR556" s="1410"/>
      <c r="AS556" s="1411"/>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590</v>
      </c>
      <c r="C557" s="1502" t="s">
        <v>2683</v>
      </c>
      <c r="D557" s="1502"/>
      <c r="E557" s="1502"/>
      <c r="F557" s="1502"/>
      <c r="G557" s="1502"/>
      <c r="H557" s="1502"/>
      <c r="I557" s="1502"/>
      <c r="J557" s="1502"/>
      <c r="K557" s="1502"/>
      <c r="L557" s="1502"/>
      <c r="M557" s="1464" t="s">
        <v>2431</v>
      </c>
      <c r="N557" s="1464"/>
      <c r="O557" s="1464"/>
      <c r="P557" s="1464"/>
      <c r="Q557" s="1461"/>
      <c r="R557" s="1462"/>
      <c r="S557" s="1463"/>
      <c r="T557" s="1461"/>
      <c r="U557" s="1462"/>
      <c r="V557" s="1463"/>
      <c r="W557" s="1522"/>
      <c r="X557" s="1523"/>
      <c r="Y557" s="1524"/>
      <c r="Z557" s="1549" t="s">
        <v>600</v>
      </c>
      <c r="AA557" s="1549"/>
      <c r="AB557" s="1549"/>
      <c r="AC557" s="1549"/>
      <c r="AD557" s="1549"/>
      <c r="AE557" s="1458"/>
      <c r="AF557" s="1459"/>
      <c r="AG557" s="1459"/>
      <c r="AH557" s="1460"/>
      <c r="AI557" s="1589"/>
      <c r="AJ557" s="1590"/>
      <c r="AK557" s="1590"/>
      <c r="AL557" s="1591"/>
      <c r="AM557" s="1409">
        <f>ROUND(0.2*AO640,0)</f>
        <v>6546046</v>
      </c>
      <c r="AN557" s="1410"/>
      <c r="AO557" s="1410"/>
      <c r="AP557" s="1410"/>
      <c r="AQ557" s="1410"/>
      <c r="AR557" s="1410"/>
      <c r="AS557" s="1411"/>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773</v>
      </c>
      <c r="C558" s="1502" t="s">
        <v>1852</v>
      </c>
      <c r="D558" s="1502"/>
      <c r="E558" s="1502"/>
      <c r="F558" s="1502"/>
      <c r="G558" s="1502"/>
      <c r="H558" s="1502"/>
      <c r="I558" s="1502"/>
      <c r="J558" s="1502"/>
      <c r="K558" s="1502"/>
      <c r="L558" s="1502"/>
      <c r="M558" s="1464" t="s">
        <v>2427</v>
      </c>
      <c r="N558" s="1464"/>
      <c r="O558" s="1464"/>
      <c r="P558" s="1464"/>
      <c r="Q558" s="1461"/>
      <c r="R558" s="1462"/>
      <c r="S558" s="1463"/>
      <c r="T558" s="1461"/>
      <c r="U558" s="1462"/>
      <c r="V558" s="1463"/>
      <c r="W558" s="1522"/>
      <c r="X558" s="1523"/>
      <c r="Y558" s="1524"/>
      <c r="Z558" s="1549" t="s">
        <v>600</v>
      </c>
      <c r="AA558" s="1549"/>
      <c r="AB558" s="1549"/>
      <c r="AC558" s="1549"/>
      <c r="AD558" s="1549"/>
      <c r="AE558" s="1458"/>
      <c r="AF558" s="1459"/>
      <c r="AG558" s="1459"/>
      <c r="AH558" s="1460"/>
      <c r="AI558" s="1589"/>
      <c r="AJ558" s="1590"/>
      <c r="AK558" s="1590"/>
      <c r="AL558" s="1591"/>
      <c r="AM558" s="1409">
        <f>'Sources and Uses Budget'!C99-1010751</f>
        <v>5705609</v>
      </c>
      <c r="AN558" s="1410"/>
      <c r="AO558" s="1410"/>
      <c r="AP558" s="1410"/>
      <c r="AQ558" s="1410"/>
      <c r="AR558" s="1410"/>
      <c r="AS558" s="1411"/>
      <c r="AT558" s="1192" t="str">
        <f t="shared" ref="AT558:AT565" si="0">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593</v>
      </c>
      <c r="C559" s="1502" t="s">
        <v>2679</v>
      </c>
      <c r="D559" s="1502"/>
      <c r="E559" s="1502"/>
      <c r="F559" s="1502"/>
      <c r="G559" s="1502"/>
      <c r="H559" s="1502"/>
      <c r="I559" s="1502"/>
      <c r="J559" s="1502"/>
      <c r="K559" s="1502"/>
      <c r="L559" s="1502"/>
      <c r="M559" s="1464" t="s">
        <v>2447</v>
      </c>
      <c r="N559" s="1464"/>
      <c r="O559" s="1464"/>
      <c r="P559" s="1464"/>
      <c r="Q559" s="1461"/>
      <c r="R559" s="1462"/>
      <c r="S559" s="1463"/>
      <c r="T559" s="1461"/>
      <c r="U559" s="1462"/>
      <c r="V559" s="1463"/>
      <c r="W559" s="1522"/>
      <c r="X559" s="1523"/>
      <c r="Y559" s="1524"/>
      <c r="Z559" s="1549" t="s">
        <v>600</v>
      </c>
      <c r="AA559" s="1549"/>
      <c r="AB559" s="1549"/>
      <c r="AC559" s="1549"/>
      <c r="AD559" s="1549"/>
      <c r="AE559" s="1458"/>
      <c r="AF559" s="1459"/>
      <c r="AG559" s="1459"/>
      <c r="AH559" s="1460"/>
      <c r="AI559" s="1589"/>
      <c r="AJ559" s="1590"/>
      <c r="AK559" s="1590"/>
      <c r="AL559" s="1591"/>
      <c r="AM559" s="1409">
        <f>AO632</f>
        <v>7178084.354321247</v>
      </c>
      <c r="AN559" s="1410"/>
      <c r="AO559" s="1410"/>
      <c r="AP559" s="1410"/>
      <c r="AQ559" s="1410"/>
      <c r="AR559" s="1410"/>
      <c r="AS559" s="1411"/>
      <c r="AT559" s="1192" t="str">
        <f t="shared" si="0"/>
        <v/>
      </c>
      <c r="AU559" s="1191"/>
      <c r="BB559" s="3"/>
      <c r="BC559" s="3"/>
      <c r="BD559" s="3"/>
      <c r="BE559" s="3"/>
      <c r="BF559" s="3"/>
      <c r="BG559" s="3"/>
      <c r="BH559" s="3" t="s">
        <v>593</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464</v>
      </c>
      <c r="C560" s="1502" t="str">
        <f>C629</f>
        <v>Seller Carryback</v>
      </c>
      <c r="D560" s="1502"/>
      <c r="E560" s="1502"/>
      <c r="F560" s="1502"/>
      <c r="G560" s="1502"/>
      <c r="H560" s="1502"/>
      <c r="I560" s="1502"/>
      <c r="J560" s="1502"/>
      <c r="K560" s="1502"/>
      <c r="L560" s="1502"/>
      <c r="M560" s="1464" t="s">
        <v>2437</v>
      </c>
      <c r="N560" s="1464"/>
      <c r="O560" s="1464"/>
      <c r="P560" s="1464"/>
      <c r="Q560" s="1461"/>
      <c r="R560" s="1462"/>
      <c r="S560" s="1463"/>
      <c r="T560" s="1461"/>
      <c r="U560" s="1462"/>
      <c r="V560" s="1463"/>
      <c r="W560" s="1522"/>
      <c r="X560" s="1523"/>
      <c r="Y560" s="1524"/>
      <c r="Z560" s="1549" t="s">
        <v>2685</v>
      </c>
      <c r="AA560" s="1549"/>
      <c r="AB560" s="1549"/>
      <c r="AC560" s="1549"/>
      <c r="AD560" s="1549"/>
      <c r="AE560" s="1458"/>
      <c r="AF560" s="1459"/>
      <c r="AG560" s="1459"/>
      <c r="AH560" s="1460"/>
      <c r="AI560" s="1589"/>
      <c r="AJ560" s="1590"/>
      <c r="AK560" s="1590"/>
      <c r="AL560" s="1591"/>
      <c r="AM560" s="1409">
        <f>AO629</f>
        <v>1500000</v>
      </c>
      <c r="AN560" s="1410"/>
      <c r="AO560" s="1410"/>
      <c r="AP560" s="1410"/>
      <c r="AQ560" s="1410"/>
      <c r="AR560" s="1410"/>
      <c r="AS560" s="1411"/>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465</v>
      </c>
      <c r="C561" s="1502" t="s">
        <v>2693</v>
      </c>
      <c r="D561" s="1502"/>
      <c r="E561" s="1502"/>
      <c r="F561" s="1502"/>
      <c r="G561" s="1502"/>
      <c r="H561" s="1502"/>
      <c r="I561" s="1502"/>
      <c r="J561" s="1502"/>
      <c r="K561" s="1502"/>
      <c r="L561" s="1502"/>
      <c r="M561" s="1464" t="s">
        <v>2430</v>
      </c>
      <c r="N561" s="1464"/>
      <c r="O561" s="1464"/>
      <c r="P561" s="1464"/>
      <c r="Q561" s="1461"/>
      <c r="R561" s="1462"/>
      <c r="S561" s="1463"/>
      <c r="T561" s="1461"/>
      <c r="U561" s="1462"/>
      <c r="V561" s="1463"/>
      <c r="W561" s="1522"/>
      <c r="X561" s="1523"/>
      <c r="Y561" s="1524"/>
      <c r="Z561" s="1549" t="s">
        <v>600</v>
      </c>
      <c r="AA561" s="1549"/>
      <c r="AB561" s="1549"/>
      <c r="AC561" s="1549"/>
      <c r="AD561" s="1549"/>
      <c r="AE561" s="1458"/>
      <c r="AF561" s="1459"/>
      <c r="AG561" s="1459"/>
      <c r="AH561" s="1460"/>
      <c r="AI561" s="1589"/>
      <c r="AJ561" s="1590"/>
      <c r="AK561" s="1590"/>
      <c r="AL561" s="1591"/>
      <c r="AM561" s="1409">
        <v>100</v>
      </c>
      <c r="AN561" s="1410"/>
      <c r="AO561" s="1410"/>
      <c r="AP561" s="1410"/>
      <c r="AQ561" s="1410"/>
      <c r="AR561" s="1410"/>
      <c r="AS561" s="1411"/>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52" t="s">
        <v>470</v>
      </c>
      <c r="C562" s="1502" t="s">
        <v>2766</v>
      </c>
      <c r="D562" s="1502"/>
      <c r="E562" s="1502"/>
      <c r="F562" s="1502"/>
      <c r="G562" s="1502"/>
      <c r="H562" s="1502"/>
      <c r="I562" s="1502"/>
      <c r="J562" s="1502"/>
      <c r="K562" s="1502"/>
      <c r="L562" s="1502"/>
      <c r="M562" s="1464" t="s">
        <v>2426</v>
      </c>
      <c r="N562" s="1464"/>
      <c r="O562" s="1464"/>
      <c r="P562" s="1464"/>
      <c r="Q562" s="1461"/>
      <c r="R562" s="1462"/>
      <c r="S562" s="1463"/>
      <c r="T562" s="1461"/>
      <c r="U562" s="1462"/>
      <c r="V562" s="1463"/>
      <c r="W562" s="1522"/>
      <c r="X562" s="1523"/>
      <c r="Y562" s="1524"/>
      <c r="Z562" s="1549" t="s">
        <v>600</v>
      </c>
      <c r="AA562" s="1549"/>
      <c r="AB562" s="1549"/>
      <c r="AC562" s="1549"/>
      <c r="AD562" s="1549"/>
      <c r="AE562" s="1458"/>
      <c r="AF562" s="1459"/>
      <c r="AG562" s="1459"/>
      <c r="AH562" s="1460"/>
      <c r="AI562" s="1589"/>
      <c r="AJ562" s="1590"/>
      <c r="AK562" s="1590"/>
      <c r="AL562" s="1591"/>
      <c r="AM562" s="1409">
        <f>AO641-SUM(AM554:AS561)</f>
        <v>1799999.6456787512</v>
      </c>
      <c r="AN562" s="1410"/>
      <c r="AO562" s="1410"/>
      <c r="AP562" s="1410"/>
      <c r="AQ562" s="1410"/>
      <c r="AR562" s="1410"/>
      <c r="AS562" s="1411"/>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2" t="s">
        <v>655</v>
      </c>
      <c r="C563" s="1502"/>
      <c r="D563" s="1502"/>
      <c r="E563" s="1502"/>
      <c r="F563" s="1502"/>
      <c r="G563" s="1502"/>
      <c r="H563" s="1502"/>
      <c r="I563" s="1502"/>
      <c r="J563" s="1502"/>
      <c r="K563" s="1502"/>
      <c r="L563" s="1502"/>
      <c r="M563" s="1464" t="s">
        <v>1291</v>
      </c>
      <c r="N563" s="1464"/>
      <c r="O563" s="1464"/>
      <c r="P563" s="1464"/>
      <c r="Q563" s="1461"/>
      <c r="R563" s="1462"/>
      <c r="S563" s="1463"/>
      <c r="T563" s="1461"/>
      <c r="U563" s="1462"/>
      <c r="V563" s="1463"/>
      <c r="W563" s="1522"/>
      <c r="X563" s="1523"/>
      <c r="Y563" s="1524"/>
      <c r="Z563" s="1549" t="s">
        <v>1291</v>
      </c>
      <c r="AA563" s="1549"/>
      <c r="AB563" s="1549"/>
      <c r="AC563" s="1549"/>
      <c r="AD563" s="1549"/>
      <c r="AE563" s="1458"/>
      <c r="AF563" s="1459"/>
      <c r="AG563" s="1459"/>
      <c r="AH563" s="1460"/>
      <c r="AI563" s="1589"/>
      <c r="AJ563" s="1590"/>
      <c r="AK563" s="1590"/>
      <c r="AL563" s="1591"/>
      <c r="AM563" s="1409"/>
      <c r="AN563" s="1410"/>
      <c r="AO563" s="1410"/>
      <c r="AP563" s="1410"/>
      <c r="AQ563" s="1410"/>
      <c r="AR563" s="1410"/>
      <c r="AS563" s="1411"/>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52" t="s">
        <v>363</v>
      </c>
      <c r="C564" s="1502"/>
      <c r="D564" s="1502"/>
      <c r="E564" s="1502"/>
      <c r="F564" s="1502"/>
      <c r="G564" s="1502"/>
      <c r="H564" s="1502"/>
      <c r="I564" s="1502"/>
      <c r="J564" s="1502"/>
      <c r="K564" s="1502"/>
      <c r="L564" s="1502"/>
      <c r="M564" s="1464" t="s">
        <v>1291</v>
      </c>
      <c r="N564" s="1464"/>
      <c r="O564" s="1464"/>
      <c r="P564" s="1464"/>
      <c r="Q564" s="1461"/>
      <c r="R564" s="1462"/>
      <c r="S564" s="1463"/>
      <c r="T564" s="1461"/>
      <c r="U564" s="1462"/>
      <c r="V564" s="1463"/>
      <c r="W564" s="1522"/>
      <c r="X564" s="1523"/>
      <c r="Y564" s="1524"/>
      <c r="Z564" s="1549" t="s">
        <v>1291</v>
      </c>
      <c r="AA564" s="1549"/>
      <c r="AB564" s="1549"/>
      <c r="AC564" s="1549"/>
      <c r="AD564" s="1549"/>
      <c r="AE564" s="1458"/>
      <c r="AF564" s="1459"/>
      <c r="AG564" s="1459"/>
      <c r="AH564" s="1460"/>
      <c r="AI564" s="1589"/>
      <c r="AJ564" s="1590"/>
      <c r="AK564" s="1590"/>
      <c r="AL564" s="1591"/>
      <c r="AM564" s="1409"/>
      <c r="AN564" s="1410"/>
      <c r="AO564" s="1410"/>
      <c r="AP564" s="1410"/>
      <c r="AQ564" s="1410"/>
      <c r="AR564" s="1410"/>
      <c r="AS564" s="1411"/>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52" t="s">
        <v>364</v>
      </c>
      <c r="C565" s="1502"/>
      <c r="D565" s="1502"/>
      <c r="E565" s="1502"/>
      <c r="F565" s="1502"/>
      <c r="G565" s="1502"/>
      <c r="H565" s="1502"/>
      <c r="I565" s="1502"/>
      <c r="J565" s="1502"/>
      <c r="K565" s="1502"/>
      <c r="L565" s="1502"/>
      <c r="M565" s="1464" t="s">
        <v>1291</v>
      </c>
      <c r="N565" s="1464"/>
      <c r="O565" s="1464"/>
      <c r="P565" s="1464"/>
      <c r="Q565" s="1461"/>
      <c r="R565" s="1462"/>
      <c r="S565" s="1463"/>
      <c r="T565" s="1461"/>
      <c r="U565" s="1462"/>
      <c r="V565" s="1463"/>
      <c r="W565" s="1522"/>
      <c r="X565" s="1523"/>
      <c r="Y565" s="1524"/>
      <c r="Z565" s="1549" t="s">
        <v>1291</v>
      </c>
      <c r="AA565" s="1549"/>
      <c r="AB565" s="1549"/>
      <c r="AC565" s="1549"/>
      <c r="AD565" s="1549"/>
      <c r="AE565" s="1458"/>
      <c r="AF565" s="1459"/>
      <c r="AG565" s="1459"/>
      <c r="AH565" s="1460"/>
      <c r="AI565" s="1589"/>
      <c r="AJ565" s="1590"/>
      <c r="AK565" s="1590"/>
      <c r="AL565" s="1591"/>
      <c r="AM565" s="1409"/>
      <c r="AN565" s="1410"/>
      <c r="AO565" s="1410"/>
      <c r="AP565" s="1410"/>
      <c r="AQ565" s="1410"/>
      <c r="AR565" s="1410"/>
      <c r="AS565" s="1411"/>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611" t="s">
        <v>127</v>
      </c>
      <c r="C566" s="1612"/>
      <c r="D566" s="1612"/>
      <c r="E566" s="1612"/>
      <c r="F566" s="1612"/>
      <c r="G566" s="1612"/>
      <c r="H566" s="1612"/>
      <c r="I566" s="1612"/>
      <c r="J566" s="1612"/>
      <c r="K566" s="1612"/>
      <c r="L566" s="1612"/>
      <c r="M566" s="1612"/>
      <c r="N566" s="1612"/>
      <c r="O566" s="1612"/>
      <c r="P566" s="1612"/>
      <c r="Q566" s="1612"/>
      <c r="R566" s="1612"/>
      <c r="S566" s="1612"/>
      <c r="T566" s="1612"/>
      <c r="U566" s="1602"/>
      <c r="V566" s="1612"/>
      <c r="W566" s="1612"/>
      <c r="X566" s="1612"/>
      <c r="Y566" s="1612"/>
      <c r="Z566" s="1612"/>
      <c r="AA566" s="1612"/>
      <c r="AB566" s="1612"/>
      <c r="AC566" s="1612"/>
      <c r="AD566" s="1612"/>
      <c r="AE566" s="1612"/>
      <c r="AF566" s="1612"/>
      <c r="AG566" s="1612"/>
      <c r="AH566" s="1612"/>
      <c r="AI566" s="1612"/>
      <c r="AJ566" s="1612"/>
      <c r="AK566" s="1612"/>
      <c r="AL566" s="1613"/>
      <c r="AM566" s="1546">
        <f>SUM(AM554:AS565)</f>
        <v>61902399</v>
      </c>
      <c r="AN566" s="1547"/>
      <c r="AO566" s="1547"/>
      <c r="AP566" s="1547"/>
      <c r="AQ566" s="1547"/>
      <c r="AR566" s="1547"/>
      <c r="AS566" s="1548"/>
      <c r="BB566" s="3"/>
      <c r="BC566" s="3"/>
      <c r="BD566" s="3"/>
      <c r="BE566" s="3"/>
      <c r="BF566" s="3"/>
      <c r="BG566" s="3"/>
      <c r="BH566" s="3" t="s">
        <v>464</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55" t="s">
        <v>112</v>
      </c>
      <c r="B568" t="s">
        <v>472</v>
      </c>
      <c r="G568" s="1393" t="str">
        <f>C554</f>
        <v>GreyStone[GHI] - Tax Exempt</v>
      </c>
      <c r="H568" s="1393"/>
      <c r="I568" s="1393"/>
      <c r="J568" s="1393"/>
      <c r="K568" s="1393"/>
      <c r="L568" s="1393"/>
      <c r="M568" s="1393"/>
      <c r="N568" s="1393"/>
      <c r="O568" s="1393"/>
      <c r="P568" s="1393"/>
      <c r="Q568" s="1393"/>
      <c r="R568" s="1393"/>
      <c r="S568" s="8"/>
      <c r="T568" s="55" t="s">
        <v>113</v>
      </c>
      <c r="U568" t="s">
        <v>472</v>
      </c>
      <c r="Z568" s="1393" t="str">
        <f>C555</f>
        <v>GreyStone[GHII] - Recycled Bonds</v>
      </c>
      <c r="AA568" s="1393"/>
      <c r="AB568" s="1393"/>
      <c r="AC568" s="1393"/>
      <c r="AD568" s="1393"/>
      <c r="AE568" s="1393"/>
      <c r="AF568" s="1393"/>
      <c r="AG568" s="1393"/>
      <c r="AH568" s="1393"/>
      <c r="AI568" s="1393"/>
      <c r="AJ568" s="1393"/>
      <c r="AK568" s="139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85</v>
      </c>
      <c r="G569" s="1385" t="s">
        <v>2686</v>
      </c>
      <c r="H569" s="1385"/>
      <c r="I569" s="1385"/>
      <c r="J569" s="1385"/>
      <c r="K569" s="1385"/>
      <c r="L569" s="1385"/>
      <c r="M569" s="1385"/>
      <c r="N569" s="1385"/>
      <c r="O569" s="1385"/>
      <c r="P569" s="1385"/>
      <c r="Q569" s="1385"/>
      <c r="R569" s="1385"/>
      <c r="S569" s="8"/>
      <c r="T569" s="22"/>
      <c r="U569" t="s">
        <v>85</v>
      </c>
      <c r="Z569" s="1385" t="s">
        <v>2686</v>
      </c>
      <c r="AA569" s="1385"/>
      <c r="AB569" s="1385"/>
      <c r="AC569" s="1385"/>
      <c r="AD569" s="1385"/>
      <c r="AE569" s="1385"/>
      <c r="AF569" s="1385"/>
      <c r="AG569" s="1385"/>
      <c r="AH569" s="1385"/>
      <c r="AI569" s="1385"/>
      <c r="AJ569" s="1385"/>
      <c r="AK569" s="138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t="s">
        <v>589</v>
      </c>
      <c r="G570" s="1385" t="s">
        <v>2687</v>
      </c>
      <c r="H570" s="1385"/>
      <c r="I570" s="1385"/>
      <c r="J570" s="1385"/>
      <c r="K570" s="1385"/>
      <c r="L570" s="1385"/>
      <c r="M570" s="1385"/>
      <c r="N570" s="1385"/>
      <c r="O570" s="1385"/>
      <c r="P570" s="1385"/>
      <c r="Q570" s="1385"/>
      <c r="R570" s="1385"/>
      <c r="T570" s="22"/>
      <c r="U570" t="s">
        <v>589</v>
      </c>
      <c r="Z570" s="1395" t="s">
        <v>2687</v>
      </c>
      <c r="AA570" s="1395"/>
      <c r="AB570" s="1395"/>
      <c r="AC570" s="1395"/>
      <c r="AD570" s="1395"/>
      <c r="AE570" s="1395"/>
      <c r="AF570" s="1395"/>
      <c r="AG570" s="1395"/>
      <c r="AH570" s="1395"/>
      <c r="AI570" s="1395"/>
      <c r="AJ570" s="1395"/>
      <c r="AK570" s="139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17</v>
      </c>
      <c r="G571" s="1385" t="s">
        <v>2688</v>
      </c>
      <c r="H571" s="1385"/>
      <c r="I571" s="1385"/>
      <c r="J571" s="1385"/>
      <c r="K571" s="1385"/>
      <c r="L571" s="1385"/>
      <c r="M571" s="1385"/>
      <c r="N571" s="1385"/>
      <c r="O571" s="1385"/>
      <c r="P571" s="1385"/>
      <c r="Q571" s="1385"/>
      <c r="R571" s="1385"/>
      <c r="S571" s="8"/>
      <c r="T571" s="22"/>
      <c r="U571" t="s">
        <v>17</v>
      </c>
      <c r="Z571" s="1395" t="s">
        <v>2688</v>
      </c>
      <c r="AA571" s="1395"/>
      <c r="AB571" s="1395"/>
      <c r="AC571" s="1395"/>
      <c r="AD571" s="1395"/>
      <c r="AE571" s="1395"/>
      <c r="AF571" s="1395"/>
      <c r="AG571" s="1395"/>
      <c r="AH571" s="1395"/>
      <c r="AI571" s="1395"/>
      <c r="AJ571" s="1395"/>
      <c r="AK571" s="139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B572" t="s">
        <v>317</v>
      </c>
      <c r="G572" s="1394" t="s">
        <v>2689</v>
      </c>
      <c r="H572" s="1394"/>
      <c r="I572" s="1394"/>
      <c r="J572" s="1394"/>
      <c r="K572" s="1394"/>
      <c r="L572" s="1394"/>
      <c r="O572" s="33" t="s">
        <v>207</v>
      </c>
      <c r="P572" s="1386"/>
      <c r="Q572" s="1386"/>
      <c r="R572" s="1386"/>
      <c r="S572" s="10"/>
      <c r="T572" s="22"/>
      <c r="U572" t="s">
        <v>317</v>
      </c>
      <c r="Z572" s="1394" t="s">
        <v>2689</v>
      </c>
      <c r="AA572" s="1394"/>
      <c r="AB572" s="1394"/>
      <c r="AC572" s="1394"/>
      <c r="AD572" s="1394"/>
      <c r="AE572" s="1394"/>
      <c r="AH572" s="33" t="s">
        <v>207</v>
      </c>
      <c r="AI572" s="1386"/>
      <c r="AJ572" s="1386"/>
      <c r="AK572" s="1386"/>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2"/>
      <c r="B573" t="s">
        <v>18</v>
      </c>
      <c r="H573" s="1385" t="str">
        <f>M554</f>
        <v>Loan, Tax-Exempt</v>
      </c>
      <c r="I573" s="1385"/>
      <c r="J573" s="1385"/>
      <c r="K573" s="1385"/>
      <c r="L573" s="1385"/>
      <c r="M573" s="1385"/>
      <c r="N573" s="1385"/>
      <c r="O573" s="1385"/>
      <c r="P573" s="1385"/>
      <c r="Q573" s="1385"/>
      <c r="R573" s="1385"/>
      <c r="S573" s="8"/>
      <c r="T573" s="22"/>
      <c r="U573" t="s">
        <v>18</v>
      </c>
      <c r="AA573" s="1385" t="str">
        <f>M555</f>
        <v>Loan, Tax-Exempt, Recycled</v>
      </c>
      <c r="AB573" s="1385"/>
      <c r="AC573" s="1385"/>
      <c r="AD573" s="1385"/>
      <c r="AE573" s="1385"/>
      <c r="AF573" s="1385"/>
      <c r="AG573" s="1385"/>
      <c r="AH573" s="1385"/>
      <c r="AI573" s="1385"/>
      <c r="AJ573" s="1385"/>
      <c r="AK573" s="138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s="348" t="s">
        <v>1292</v>
      </c>
      <c r="H574" s="8"/>
      <c r="I574" s="8"/>
      <c r="J574" s="8"/>
      <c r="K574" s="8"/>
      <c r="L574" s="8"/>
      <c r="M574" s="1598"/>
      <c r="N574" s="1598"/>
      <c r="O574" s="1598"/>
      <c r="P574" s="1598"/>
      <c r="Q574" s="1598"/>
      <c r="R574" s="1598"/>
      <c r="S574" s="8"/>
      <c r="T574" s="22"/>
      <c r="U574" s="348" t="s">
        <v>1292</v>
      </c>
      <c r="AA574" s="8"/>
      <c r="AB574" s="8"/>
      <c r="AC574" s="8"/>
      <c r="AD574" s="8"/>
      <c r="AE574" s="8"/>
      <c r="AF574" s="1598"/>
      <c r="AG574" s="1598"/>
      <c r="AH574" s="1598"/>
      <c r="AI574" s="1598"/>
      <c r="AJ574" s="1598"/>
      <c r="AK574" s="1598"/>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20</v>
      </c>
      <c r="N575" s="1381" t="s">
        <v>554</v>
      </c>
      <c r="O575" s="1381"/>
      <c r="T575" s="22"/>
      <c r="U575" t="s">
        <v>20</v>
      </c>
      <c r="AG575" s="1381" t="s">
        <v>554</v>
      </c>
      <c r="AH575" s="138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55" t="s">
        <v>119</v>
      </c>
      <c r="B577" t="s">
        <v>472</v>
      </c>
      <c r="G577" s="1393" t="str">
        <f>C556</f>
        <v>GreyStone[GHII] - Taxable Bond</v>
      </c>
      <c r="H577" s="1393"/>
      <c r="I577" s="1393"/>
      <c r="J577" s="1393"/>
      <c r="K577" s="1393"/>
      <c r="L577" s="1393"/>
      <c r="M577" s="1393"/>
      <c r="N577" s="1393"/>
      <c r="O577" s="1393"/>
      <c r="P577" s="1393"/>
      <c r="Q577" s="1393"/>
      <c r="R577" s="1393"/>
      <c r="T577" s="55" t="s">
        <v>590</v>
      </c>
      <c r="U577" t="s">
        <v>472</v>
      </c>
      <c r="Z577" s="1393" t="str">
        <f>C557</f>
        <v>Investor Equity</v>
      </c>
      <c r="AA577" s="1393"/>
      <c r="AB577" s="1393"/>
      <c r="AC577" s="1393"/>
      <c r="AD577" s="1393"/>
      <c r="AE577" s="1393"/>
      <c r="AF577" s="1393"/>
      <c r="AG577" s="1393"/>
      <c r="AH577" s="1393"/>
      <c r="AI577" s="1393"/>
      <c r="AJ577" s="1393"/>
      <c r="AK577" s="139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85</v>
      </c>
      <c r="G578" s="1385" t="s">
        <v>2686</v>
      </c>
      <c r="H578" s="1385"/>
      <c r="I578" s="1385"/>
      <c r="J578" s="1385"/>
      <c r="K578" s="1385"/>
      <c r="L578" s="1385"/>
      <c r="M578" s="1385"/>
      <c r="N578" s="1385"/>
      <c r="O578" s="1385"/>
      <c r="P578" s="1385"/>
      <c r="Q578" s="1385"/>
      <c r="R578" s="1385"/>
      <c r="T578" s="22"/>
      <c r="U578" t="s">
        <v>85</v>
      </c>
      <c r="Z578" s="1385"/>
      <c r="AA578" s="1385"/>
      <c r="AB578" s="1385"/>
      <c r="AC578" s="1385"/>
      <c r="AD578" s="1385"/>
      <c r="AE578" s="1385"/>
      <c r="AF578" s="1385"/>
      <c r="AG578" s="1385"/>
      <c r="AH578" s="1385"/>
      <c r="AI578" s="1385"/>
      <c r="AJ578" s="1385"/>
      <c r="AK578" s="138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589</v>
      </c>
      <c r="G579" s="1395" t="s">
        <v>2687</v>
      </c>
      <c r="H579" s="1395"/>
      <c r="I579" s="1395"/>
      <c r="J579" s="1395"/>
      <c r="K579" s="1395"/>
      <c r="L579" s="1395"/>
      <c r="M579" s="1395"/>
      <c r="N579" s="1395"/>
      <c r="O579" s="1395"/>
      <c r="P579" s="1395"/>
      <c r="Q579" s="1395"/>
      <c r="R579" s="1395"/>
      <c r="T579" s="22"/>
      <c r="U579" t="s">
        <v>589</v>
      </c>
      <c r="Z579" s="1395"/>
      <c r="AA579" s="1395"/>
      <c r="AB579" s="1395"/>
      <c r="AC579" s="1395"/>
      <c r="AD579" s="1395"/>
      <c r="AE579" s="1395"/>
      <c r="AF579" s="1395"/>
      <c r="AG579" s="1395"/>
      <c r="AH579" s="1395"/>
      <c r="AI579" s="1395"/>
      <c r="AJ579" s="1395"/>
      <c r="AK579" s="139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B580" t="s">
        <v>17</v>
      </c>
      <c r="G580" s="1395" t="s">
        <v>2688</v>
      </c>
      <c r="H580" s="1395"/>
      <c r="I580" s="1395"/>
      <c r="J580" s="1395"/>
      <c r="K580" s="1395"/>
      <c r="L580" s="1395"/>
      <c r="M580" s="1395"/>
      <c r="N580" s="1395"/>
      <c r="O580" s="1395"/>
      <c r="P580" s="1395"/>
      <c r="Q580" s="1395"/>
      <c r="R580" s="1395"/>
      <c r="T580" s="22"/>
      <c r="U580" t="s">
        <v>17</v>
      </c>
      <c r="Z580" s="1395"/>
      <c r="AA580" s="1395"/>
      <c r="AB580" s="1395"/>
      <c r="AC580" s="1395"/>
      <c r="AD580" s="1395"/>
      <c r="AE580" s="1395"/>
      <c r="AF580" s="1395"/>
      <c r="AG580" s="1395"/>
      <c r="AH580" s="1395"/>
      <c r="AI580" s="1395"/>
      <c r="AJ580" s="1395"/>
      <c r="AK580" s="1395"/>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2"/>
      <c r="B581" t="s">
        <v>317</v>
      </c>
      <c r="G581" s="1394" t="s">
        <v>2689</v>
      </c>
      <c r="H581" s="1394"/>
      <c r="I581" s="1394"/>
      <c r="J581" s="1394"/>
      <c r="K581" s="1394"/>
      <c r="L581" s="1394"/>
      <c r="O581" s="33" t="s">
        <v>207</v>
      </c>
      <c r="P581" s="1386"/>
      <c r="Q581" s="1386"/>
      <c r="R581" s="1386"/>
      <c r="T581" s="22"/>
      <c r="U581" t="s">
        <v>317</v>
      </c>
      <c r="Z581" s="1394"/>
      <c r="AA581" s="1394"/>
      <c r="AB581" s="1394"/>
      <c r="AC581" s="1394"/>
      <c r="AD581" s="1394"/>
      <c r="AE581" s="1394"/>
      <c r="AH581" s="33" t="s">
        <v>207</v>
      </c>
      <c r="AI581" s="1386"/>
      <c r="AJ581" s="1386"/>
      <c r="AK581" s="138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18</v>
      </c>
      <c r="H582" s="1385" t="str">
        <f>M556</f>
        <v>Loan, Taxable</v>
      </c>
      <c r="I582" s="1385"/>
      <c r="J582" s="1385"/>
      <c r="K582" s="1385"/>
      <c r="L582" s="1385"/>
      <c r="M582" s="1385"/>
      <c r="N582" s="1385"/>
      <c r="O582" s="1385"/>
      <c r="P582" s="1385"/>
      <c r="Q582" s="1385"/>
      <c r="R582" s="1385"/>
      <c r="T582" s="22"/>
      <c r="U582" t="s">
        <v>18</v>
      </c>
      <c r="AA582" s="1385" t="str">
        <f>M557</f>
        <v>Equity, LIHTC Investor</v>
      </c>
      <c r="AB582" s="1385"/>
      <c r="AC582" s="1385"/>
      <c r="AD582" s="1385"/>
      <c r="AE582" s="1385"/>
      <c r="AF582" s="1385"/>
      <c r="AG582" s="1385"/>
      <c r="AH582" s="1385"/>
      <c r="AI582" s="1385"/>
      <c r="AJ582" s="1385"/>
      <c r="AK582" s="138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20</v>
      </c>
      <c r="N583" s="1381" t="s">
        <v>554</v>
      </c>
      <c r="O583" s="1381"/>
      <c r="T583" s="22"/>
      <c r="U583" t="s">
        <v>20</v>
      </c>
      <c r="AG583" s="1381" t="s">
        <v>554</v>
      </c>
      <c r="AH583" s="138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55" t="s">
        <v>773</v>
      </c>
      <c r="B585" t="s">
        <v>472</v>
      </c>
      <c r="G585" s="1393" t="str">
        <f>C558</f>
        <v>Deferred Developer Fee</v>
      </c>
      <c r="H585" s="1393"/>
      <c r="I585" s="1393"/>
      <c r="J585" s="1393"/>
      <c r="K585" s="1393"/>
      <c r="L585" s="1393"/>
      <c r="M585" s="1393"/>
      <c r="N585" s="1393"/>
      <c r="O585" s="1393"/>
      <c r="P585" s="1393"/>
      <c r="Q585" s="1393"/>
      <c r="R585" s="1393"/>
      <c r="T585" s="55" t="s">
        <v>593</v>
      </c>
      <c r="U585" t="s">
        <v>472</v>
      </c>
      <c r="Z585" s="1393" t="str">
        <f>C559</f>
        <v>Property Donation</v>
      </c>
      <c r="AA585" s="1393"/>
      <c r="AB585" s="1393"/>
      <c r="AC585" s="1393"/>
      <c r="AD585" s="1393"/>
      <c r="AE585" s="1393"/>
      <c r="AF585" s="1393"/>
      <c r="AG585" s="1393"/>
      <c r="AH585" s="1393"/>
      <c r="AI585" s="1393"/>
      <c r="AJ585" s="1393"/>
      <c r="AK585" s="139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85</v>
      </c>
      <c r="G586" s="1385" t="s">
        <v>2690</v>
      </c>
      <c r="H586" s="1385"/>
      <c r="I586" s="1385"/>
      <c r="J586" s="1385"/>
      <c r="K586" s="1385"/>
      <c r="L586" s="1385"/>
      <c r="M586" s="1385"/>
      <c r="N586" s="1385"/>
      <c r="O586" s="1385"/>
      <c r="P586" s="1385"/>
      <c r="Q586" s="1385"/>
      <c r="R586" s="1385"/>
      <c r="T586" s="22"/>
      <c r="U586" t="s">
        <v>85</v>
      </c>
      <c r="Z586" s="1385" t="s">
        <v>2676</v>
      </c>
      <c r="AA586" s="1385"/>
      <c r="AB586" s="1385"/>
      <c r="AC586" s="1385"/>
      <c r="AD586" s="1385"/>
      <c r="AE586" s="1385"/>
      <c r="AF586" s="1385"/>
      <c r="AG586" s="1385"/>
      <c r="AH586" s="1385"/>
      <c r="AI586" s="1385"/>
      <c r="AJ586" s="1385"/>
      <c r="AK586" s="138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589</v>
      </c>
      <c r="G587" s="1385" t="s">
        <v>2640</v>
      </c>
      <c r="H587" s="1385"/>
      <c r="I587" s="1385"/>
      <c r="J587" s="1385"/>
      <c r="K587" s="1385"/>
      <c r="L587" s="1385"/>
      <c r="M587" s="1385"/>
      <c r="N587" s="1385"/>
      <c r="O587" s="1385"/>
      <c r="P587" s="1385"/>
      <c r="Q587" s="1385"/>
      <c r="R587" s="1385"/>
      <c r="T587" s="22"/>
      <c r="U587" t="s">
        <v>589</v>
      </c>
      <c r="Z587" s="1395" t="s">
        <v>2691</v>
      </c>
      <c r="AA587" s="1395"/>
      <c r="AB587" s="1395"/>
      <c r="AC587" s="1395"/>
      <c r="AD587" s="1395"/>
      <c r="AE587" s="1395"/>
      <c r="AF587" s="1395"/>
      <c r="AG587" s="1395"/>
      <c r="AH587" s="1395"/>
      <c r="AI587" s="1395"/>
      <c r="AJ587" s="1395"/>
      <c r="AK587" s="1395"/>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2"/>
      <c r="B588" t="s">
        <v>17</v>
      </c>
      <c r="G588" s="1385" t="s">
        <v>2641</v>
      </c>
      <c r="H588" s="1385"/>
      <c r="I588" s="1385"/>
      <c r="J588" s="1385"/>
      <c r="K588" s="1385"/>
      <c r="L588" s="1385"/>
      <c r="M588" s="1385"/>
      <c r="N588" s="1385"/>
      <c r="O588" s="1385"/>
      <c r="P588" s="1385"/>
      <c r="Q588" s="1385"/>
      <c r="R588" s="1385"/>
      <c r="T588" s="22"/>
      <c r="U588" t="s">
        <v>17</v>
      </c>
      <c r="Z588" s="1395" t="s">
        <v>2675</v>
      </c>
      <c r="AA588" s="1395"/>
      <c r="AB588" s="1395"/>
      <c r="AC588" s="1395"/>
      <c r="AD588" s="1395"/>
      <c r="AE588" s="1395"/>
      <c r="AF588" s="1395"/>
      <c r="AG588" s="1395"/>
      <c r="AH588" s="1395"/>
      <c r="AI588" s="1395"/>
      <c r="AJ588" s="1395"/>
      <c r="AK588" s="1395"/>
    </row>
    <row r="589" spans="1:110" ht="13" customHeight="1">
      <c r="A589" s="22"/>
      <c r="B589" t="s">
        <v>317</v>
      </c>
      <c r="G589" s="1394" t="s">
        <v>2648</v>
      </c>
      <c r="H589" s="1394"/>
      <c r="I589" s="1394"/>
      <c r="J589" s="1394"/>
      <c r="K589" s="1394"/>
      <c r="L589" s="1394"/>
      <c r="O589" s="33" t="s">
        <v>207</v>
      </c>
      <c r="P589" s="1386"/>
      <c r="Q589" s="1386"/>
      <c r="R589" s="1386"/>
      <c r="T589" s="22"/>
      <c r="U589" t="s">
        <v>317</v>
      </c>
      <c r="Z589" s="1394" t="s">
        <v>2692</v>
      </c>
      <c r="AA589" s="1394"/>
      <c r="AB589" s="1394"/>
      <c r="AC589" s="1394"/>
      <c r="AD589" s="1394"/>
      <c r="AE589" s="1394"/>
      <c r="AH589" s="33" t="s">
        <v>207</v>
      </c>
      <c r="AI589" s="1386"/>
      <c r="AJ589" s="1386"/>
      <c r="AK589" s="138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18</v>
      </c>
      <c r="H590" s="1385" t="str">
        <f>M558</f>
        <v>Developer Fee, Deferral</v>
      </c>
      <c r="I590" s="1385"/>
      <c r="J590" s="1385"/>
      <c r="K590" s="1385"/>
      <c r="L590" s="1385"/>
      <c r="M590" s="1385"/>
      <c r="N590" s="1385"/>
      <c r="O590" s="1385"/>
      <c r="P590" s="1385"/>
      <c r="Q590" s="1385"/>
      <c r="R590" s="1385"/>
      <c r="T590" s="22"/>
      <c r="U590" t="s">
        <v>18</v>
      </c>
      <c r="AA590" s="1385" t="s">
        <v>2447</v>
      </c>
      <c r="AB590" s="1385"/>
      <c r="AC590" s="1385"/>
      <c r="AD590" s="1385"/>
      <c r="AE590" s="1385"/>
      <c r="AF590" s="1385"/>
      <c r="AG590" s="1385"/>
      <c r="AH590" s="1385"/>
      <c r="AI590" s="1385"/>
      <c r="AJ590" s="1385"/>
      <c r="AK590" s="138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20</v>
      </c>
      <c r="N591" s="1381" t="s">
        <v>554</v>
      </c>
      <c r="O591" s="1381"/>
      <c r="T591" s="22"/>
      <c r="U591" t="s">
        <v>20</v>
      </c>
      <c r="AG591" s="1381" t="s">
        <v>554</v>
      </c>
      <c r="AH591" s="1381"/>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55" t="s">
        <v>464</v>
      </c>
      <c r="B593" t="s">
        <v>472</v>
      </c>
      <c r="G593" s="1393" t="str">
        <f>C560</f>
        <v>Seller Carryback</v>
      </c>
      <c r="H593" s="1393"/>
      <c r="I593" s="1393"/>
      <c r="J593" s="1393"/>
      <c r="K593" s="1393"/>
      <c r="L593" s="1393"/>
      <c r="M593" s="1393"/>
      <c r="N593" s="1393"/>
      <c r="O593" s="1393"/>
      <c r="P593" s="1393"/>
      <c r="Q593" s="1393"/>
      <c r="R593" s="1393"/>
      <c r="T593" s="55" t="s">
        <v>465</v>
      </c>
      <c r="U593" t="s">
        <v>472</v>
      </c>
      <c r="Z593" s="1393" t="str">
        <f>C561</f>
        <v>GP Equity</v>
      </c>
      <c r="AA593" s="1393"/>
      <c r="AB593" s="1393"/>
      <c r="AC593" s="1393"/>
      <c r="AD593" s="1393"/>
      <c r="AE593" s="1393"/>
      <c r="AF593" s="1393"/>
      <c r="AG593" s="1393"/>
      <c r="AH593" s="1393"/>
      <c r="AI593" s="1393"/>
      <c r="AJ593" s="1393"/>
      <c r="AK593" s="13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85</v>
      </c>
      <c r="C594"/>
      <c r="D594"/>
      <c r="E594"/>
      <c r="F594"/>
      <c r="G594" s="1385" t="s">
        <v>2676</v>
      </c>
      <c r="H594" s="1385"/>
      <c r="I594" s="1385"/>
      <c r="J594" s="1385"/>
      <c r="K594" s="1385"/>
      <c r="L594" s="1385"/>
      <c r="M594" s="1385"/>
      <c r="N594" s="1385"/>
      <c r="O594" s="1385"/>
      <c r="P594" s="1385"/>
      <c r="Q594" s="1385"/>
      <c r="R594" s="1385"/>
      <c r="S594"/>
      <c r="T594" s="22"/>
      <c r="U594" t="s">
        <v>85</v>
      </c>
      <c r="V594"/>
      <c r="W594"/>
      <c r="X594"/>
      <c r="Y594"/>
      <c r="Z594" s="1385" t="s">
        <v>2703</v>
      </c>
      <c r="AA594" s="1385"/>
      <c r="AB594" s="1385"/>
      <c r="AC594" s="1385"/>
      <c r="AD594" s="1385"/>
      <c r="AE594" s="1385"/>
      <c r="AF594" s="1385"/>
      <c r="AG594" s="1385"/>
      <c r="AH594" s="1385"/>
      <c r="AI594" s="1385"/>
      <c r="AJ594" s="1385"/>
      <c r="AK594" s="138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 customHeight="1">
      <c r="A595" s="22"/>
      <c r="B595" t="s">
        <v>589</v>
      </c>
      <c r="C595"/>
      <c r="D595"/>
      <c r="E595"/>
      <c r="F595"/>
      <c r="G595" s="1385" t="s">
        <v>2691</v>
      </c>
      <c r="H595" s="1385"/>
      <c r="I595" s="1385"/>
      <c r="J595" s="1385"/>
      <c r="K595" s="1385"/>
      <c r="L595" s="1385"/>
      <c r="M595" s="1385"/>
      <c r="N595" s="1385"/>
      <c r="O595" s="1385"/>
      <c r="P595" s="1385"/>
      <c r="Q595" s="1385"/>
      <c r="R595" s="1385"/>
      <c r="S595"/>
      <c r="T595" s="22"/>
      <c r="U595" t="s">
        <v>589</v>
      </c>
      <c r="V595"/>
      <c r="W595"/>
      <c r="X595"/>
      <c r="Y595"/>
      <c r="Z595" s="1395" t="s">
        <v>2653</v>
      </c>
      <c r="AA595" s="1395"/>
      <c r="AB595" s="1395"/>
      <c r="AC595" s="1395"/>
      <c r="AD595" s="1395"/>
      <c r="AE595" s="1395"/>
      <c r="AF595" s="1395"/>
      <c r="AG595" s="1395"/>
      <c r="AH595" s="1395"/>
      <c r="AI595" s="1395"/>
      <c r="AJ595" s="1395"/>
      <c r="AK595" s="1395"/>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2035</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2"/>
      <c r="B596" t="s">
        <v>17</v>
      </c>
      <c r="C596"/>
      <c r="D596"/>
      <c r="E596"/>
      <c r="F596"/>
      <c r="G596" s="1385" t="s">
        <v>2675</v>
      </c>
      <c r="H596" s="1385"/>
      <c r="I596" s="1385"/>
      <c r="J596" s="1385"/>
      <c r="K596" s="1385"/>
      <c r="L596" s="1385"/>
      <c r="M596" s="1385"/>
      <c r="N596" s="1385"/>
      <c r="O596" s="1385"/>
      <c r="P596" s="1385"/>
      <c r="Q596" s="1385"/>
      <c r="R596" s="1385"/>
      <c r="S596"/>
      <c r="T596" s="22"/>
      <c r="U596" t="s">
        <v>17</v>
      </c>
      <c r="V596"/>
      <c r="W596"/>
      <c r="X596"/>
      <c r="Y596"/>
      <c r="Z596" s="1395" t="s">
        <v>2641</v>
      </c>
      <c r="AA596" s="1395"/>
      <c r="AB596" s="1395"/>
      <c r="AC596" s="1395"/>
      <c r="AD596" s="1395"/>
      <c r="AE596" s="1395"/>
      <c r="AF596" s="1395"/>
      <c r="AG596" s="1395"/>
      <c r="AH596" s="1395"/>
      <c r="AI596" s="1395"/>
      <c r="AJ596" s="1395"/>
      <c r="AK596" s="1395"/>
      <c r="AL596"/>
      <c r="AM596"/>
      <c r="AN596"/>
      <c r="AO596"/>
      <c r="AP596"/>
      <c r="AQ596"/>
      <c r="AR596"/>
      <c r="AS596"/>
      <c r="AT596"/>
      <c r="AU596"/>
      <c r="AV596"/>
      <c r="AW596"/>
      <c r="AX596"/>
      <c r="AY596"/>
      <c r="BA596" s="4" t="s">
        <v>325</v>
      </c>
      <c r="BB596" s="3"/>
      <c r="BC596" s="3"/>
      <c r="BD596" s="3"/>
      <c r="BE596" s="121" t="s">
        <v>483</v>
      </c>
      <c r="BF596" s="122"/>
      <c r="BG596" s="1525"/>
      <c r="BH596" s="1526"/>
      <c r="BI596" s="121" t="s">
        <v>484</v>
      </c>
      <c r="BJ596" s="122"/>
      <c r="BK596" s="1525"/>
      <c r="BL596" s="1526"/>
      <c r="BM596" s="3"/>
      <c r="BN596" s="1767" t="s">
        <v>642</v>
      </c>
      <c r="BO596" s="1768"/>
      <c r="BP596" s="1768"/>
      <c r="BQ596" s="1768"/>
      <c r="BR596" s="1769"/>
      <c r="BS596" s="1550" t="s">
        <v>326</v>
      </c>
      <c r="BT596" s="1550"/>
      <c r="BU596" s="1550"/>
      <c r="BV596" s="1550"/>
      <c r="BW596" s="1550"/>
      <c r="BX596" s="1550" t="s">
        <v>163</v>
      </c>
      <c r="BY596" s="1550"/>
      <c r="BZ596" s="1550"/>
      <c r="CA596" s="1550"/>
      <c r="CB596" s="1550"/>
      <c r="CC596" s="1550" t="s">
        <v>164</v>
      </c>
      <c r="CD596" s="1550"/>
      <c r="CE596" s="1550"/>
      <c r="CF596" s="1550"/>
      <c r="CG596" s="1550"/>
      <c r="CH596" s="1550" t="s">
        <v>469</v>
      </c>
      <c r="CI596" s="1550"/>
      <c r="CJ596" s="1550"/>
      <c r="CK596" s="1550"/>
      <c r="CL596" s="1550"/>
      <c r="CM596" s="1550" t="s">
        <v>30</v>
      </c>
      <c r="CN596" s="1550"/>
      <c r="CO596" s="1550"/>
      <c r="CP596" s="1550"/>
      <c r="CQ596" s="1550"/>
      <c r="CR596" s="89"/>
      <c r="CS596" s="1550" t="s">
        <v>642</v>
      </c>
      <c r="CT596" s="1550"/>
      <c r="CU596" s="1550"/>
      <c r="CV596" s="1550"/>
      <c r="CW596" s="1550"/>
      <c r="CX596" s="1550" t="s">
        <v>326</v>
      </c>
      <c r="CY596" s="1550"/>
      <c r="CZ596" s="1550"/>
      <c r="DA596" s="1550"/>
      <c r="DB596" s="1550"/>
      <c r="DC596" s="1550" t="s">
        <v>163</v>
      </c>
      <c r="DD596" s="1550"/>
      <c r="DE596" s="1550"/>
      <c r="DF596" s="1550"/>
      <c r="DG596" s="1550"/>
      <c r="DH596" s="1550" t="s">
        <v>164</v>
      </c>
      <c r="DI596" s="1550"/>
      <c r="DJ596" s="1550"/>
      <c r="DK596" s="1550"/>
      <c r="DL596" s="1550"/>
      <c r="DM596" s="1550" t="s">
        <v>469</v>
      </c>
      <c r="DN596" s="1550"/>
      <c r="DO596" s="1550"/>
      <c r="DP596" s="1550"/>
      <c r="DQ596" s="1550"/>
      <c r="DR596" s="1550" t="s">
        <v>30</v>
      </c>
      <c r="DS596" s="1550"/>
      <c r="DT596" s="1550"/>
      <c r="DU596" s="1550"/>
      <c r="DV596" s="1550"/>
      <c r="DX596" s="1550" t="s">
        <v>642</v>
      </c>
      <c r="DY596" s="1550"/>
      <c r="DZ596" s="1550"/>
      <c r="EA596" s="1550"/>
      <c r="EB596" s="1550"/>
      <c r="EC596" s="1550" t="s">
        <v>326</v>
      </c>
      <c r="ED596" s="1550"/>
      <c r="EE596" s="1550"/>
      <c r="EF596" s="1550"/>
      <c r="EG596" s="1550"/>
      <c r="EH596" s="1550" t="s">
        <v>163</v>
      </c>
      <c r="EI596" s="1550"/>
      <c r="EJ596" s="1550"/>
      <c r="EK596" s="1550"/>
      <c r="EL596" s="1550"/>
      <c r="EM596" s="1550" t="s">
        <v>164</v>
      </c>
      <c r="EN596" s="1550"/>
      <c r="EO596" s="1550"/>
      <c r="EP596" s="1550"/>
      <c r="EQ596" s="1550"/>
      <c r="ER596" s="1550" t="s">
        <v>469</v>
      </c>
      <c r="ES596" s="1550"/>
      <c r="ET596" s="1550"/>
      <c r="EU596" s="1550"/>
      <c r="EV596" s="1550"/>
      <c r="EW596" s="1550" t="s">
        <v>30</v>
      </c>
      <c r="EX596" s="1550"/>
      <c r="EY596" s="1550"/>
      <c r="EZ596" s="1550"/>
      <c r="FA596" s="1550"/>
    </row>
    <row r="597" spans="1:157" s="4" customFormat="1" ht="13" customHeight="1">
      <c r="A597" s="22"/>
      <c r="B597" t="s">
        <v>317</v>
      </c>
      <c r="C597"/>
      <c r="D597"/>
      <c r="E597"/>
      <c r="F597"/>
      <c r="G597" s="1394" t="s">
        <v>2692</v>
      </c>
      <c r="H597" s="1394"/>
      <c r="I597" s="1394"/>
      <c r="J597" s="1394"/>
      <c r="K597" s="1394"/>
      <c r="L597" s="1394"/>
      <c r="M597"/>
      <c r="N597"/>
      <c r="O597" s="33" t="s">
        <v>207</v>
      </c>
      <c r="P597" s="1386"/>
      <c r="Q597" s="1386"/>
      <c r="R597" s="1386"/>
      <c r="S597"/>
      <c r="T597" s="22"/>
      <c r="U597" t="s">
        <v>317</v>
      </c>
      <c r="V597"/>
      <c r="W597"/>
      <c r="X597"/>
      <c r="Y597"/>
      <c r="Z597" s="1394" t="s">
        <v>2648</v>
      </c>
      <c r="AA597" s="1394"/>
      <c r="AB597" s="1394"/>
      <c r="AC597" s="1394"/>
      <c r="AD597" s="1394"/>
      <c r="AE597" s="1394"/>
      <c r="AF597"/>
      <c r="AG597"/>
      <c r="AH597" s="33" t="s">
        <v>207</v>
      </c>
      <c r="AI597" s="1386"/>
      <c r="AJ597" s="1386"/>
      <c r="AK597" s="1386"/>
      <c r="AL597"/>
      <c r="AM597"/>
      <c r="AN597"/>
      <c r="AO597"/>
      <c r="AP597"/>
      <c r="AQ597"/>
      <c r="AR597"/>
      <c r="AS597"/>
      <c r="AT597"/>
      <c r="AU597"/>
      <c r="AV597"/>
      <c r="AW597"/>
      <c r="AX597"/>
      <c r="AY597"/>
      <c r="BA597" s="4" t="s">
        <v>326</v>
      </c>
      <c r="BB597" s="3"/>
      <c r="BC597" s="3"/>
      <c r="BD597" s="3"/>
      <c r="BE597" s="1402">
        <f t="shared" ref="BE597:BE631" si="1">IF(AND(AC718&lt;=0.5,AC718&gt;=0.36),1,0)</f>
        <v>0</v>
      </c>
      <c r="BF597" s="1404"/>
      <c r="BG597" s="1525">
        <f t="shared" ref="BG597:BG631" si="2">IF(BE597=1,G718,0)</f>
        <v>0</v>
      </c>
      <c r="BH597" s="1526"/>
      <c r="BI597" s="1402">
        <f t="shared" ref="BI597:BI631" si="3">IF(AND(AC718&lt;=0.35,AC718&gt;0),1,0)</f>
        <v>1</v>
      </c>
      <c r="BJ597" s="1404"/>
      <c r="BK597" s="1525">
        <f t="shared" ref="BK597:BK631" si="4">IF(BI597=1,G718,0)</f>
        <v>72</v>
      </c>
      <c r="BL597" s="1526"/>
      <c r="BM597" s="3"/>
      <c r="BN597" s="1527">
        <f t="shared" ref="BN597:BN631" si="5">IF(B718="SRO/Studio",G718,0)</f>
        <v>72</v>
      </c>
      <c r="BO597" s="1528"/>
      <c r="BP597" s="1528"/>
      <c r="BQ597" s="1528"/>
      <c r="BR597" s="1529"/>
      <c r="BS597" s="1407">
        <f t="shared" ref="BS597:BS631" si="6">IF(B718="1 Bedroom",G718,0)</f>
        <v>0</v>
      </c>
      <c r="BT597" s="1407"/>
      <c r="BU597" s="1407"/>
      <c r="BV597" s="1407"/>
      <c r="BW597" s="1407"/>
      <c r="BX597" s="1407">
        <f t="shared" ref="BX597:BX631" si="7">IF(B718="2 Bedrooms",G718,0)</f>
        <v>0</v>
      </c>
      <c r="BY597" s="1407"/>
      <c r="BZ597" s="1407"/>
      <c r="CA597" s="1407"/>
      <c r="CB597" s="1407"/>
      <c r="CC597" s="1407">
        <f t="shared" ref="CC597:CC631" si="8">IF(B718="3 Bedrooms",G718,0)</f>
        <v>0</v>
      </c>
      <c r="CD597" s="1407"/>
      <c r="CE597" s="1407"/>
      <c r="CF597" s="1407"/>
      <c r="CG597" s="1407"/>
      <c r="CH597" s="1407">
        <f t="shared" ref="CH597:CH631" si="9">IF(B718="4 Bedrooms",G718,0)</f>
        <v>0</v>
      </c>
      <c r="CI597" s="1407"/>
      <c r="CJ597" s="1407"/>
      <c r="CK597" s="1407"/>
      <c r="CL597" s="1407"/>
      <c r="CM597" s="1407">
        <f t="shared" ref="CM597:CM631" si="10">IF(B718="5 Bedrooms",G718,0)</f>
        <v>0</v>
      </c>
      <c r="CN597" s="1407"/>
      <c r="CO597" s="1407"/>
      <c r="CP597" s="1407"/>
      <c r="CQ597" s="1407"/>
      <c r="CR597" s="6"/>
      <c r="CS597" s="1406">
        <f t="shared" ref="CS597:CS631" si="11">IF(AND(B718="SRO/Studio",AC718&lt;=0.3),G718,0)</f>
        <v>72</v>
      </c>
      <c r="CT597" s="1406"/>
      <c r="CU597" s="1406"/>
      <c r="CV597" s="1406"/>
      <c r="CW597" s="1406"/>
      <c r="CX597" s="1406">
        <f t="shared" ref="CX597:CX631" si="12">IF(AND(B718="1 Bedroom",AC718&lt;=0.3),G718,0)</f>
        <v>0</v>
      </c>
      <c r="CY597" s="1406"/>
      <c r="CZ597" s="1406"/>
      <c r="DA597" s="1406"/>
      <c r="DB597" s="1406"/>
      <c r="DC597" s="1406">
        <f t="shared" ref="DC597:DC631" si="13">IF(AND(B718="2 Bedrooms",AC718&lt;=0.3),G718,0)</f>
        <v>0</v>
      </c>
      <c r="DD597" s="1406"/>
      <c r="DE597" s="1406"/>
      <c r="DF597" s="1406"/>
      <c r="DG597" s="1406"/>
      <c r="DH597" s="1406">
        <f t="shared" ref="DH597:DH631" si="14">IF(AND(B718="3 Bedrooms",AC718&lt;=0.3),G718,0)</f>
        <v>0</v>
      </c>
      <c r="DI597" s="1406"/>
      <c r="DJ597" s="1406"/>
      <c r="DK597" s="1406"/>
      <c r="DL597" s="1406"/>
      <c r="DM597" s="1406">
        <f t="shared" ref="DM597:DM631" si="15">IF(AND(B718="4 Bedrooms",AC718&lt;=0.3),G718,0)</f>
        <v>0</v>
      </c>
      <c r="DN597" s="1406"/>
      <c r="DO597" s="1406"/>
      <c r="DP597" s="1406"/>
      <c r="DQ597" s="1406"/>
      <c r="DR597" s="1406">
        <f t="shared" ref="DR597:DR631" si="16">IF(AND(B718="5 Bedrooms",AC718&lt;=0.3),G718,0)</f>
        <v>0</v>
      </c>
      <c r="DS597" s="1406"/>
      <c r="DT597" s="1406"/>
      <c r="DU597" s="1406"/>
      <c r="DV597" s="1406"/>
      <c r="DX597" s="1402">
        <f t="shared" ref="DX597:DX631" si="17">IF(BN597&gt;0,O718,"")</f>
        <v>777</v>
      </c>
      <c r="DY597" s="1403"/>
      <c r="DZ597" s="1403"/>
      <c r="EA597" s="1403"/>
      <c r="EB597" s="1404"/>
      <c r="EC597" s="1402" t="str">
        <f t="shared" ref="EC597:EC631" si="18">IF(BS597&gt;0,O718,"")</f>
        <v/>
      </c>
      <c r="ED597" s="1403"/>
      <c r="EE597" s="1403"/>
      <c r="EF597" s="1403"/>
      <c r="EG597" s="1404"/>
      <c r="EH597" s="1402" t="str">
        <f t="shared" ref="EH597:EH631" si="19">IF(BX597&gt;0,O718,"")</f>
        <v/>
      </c>
      <c r="EI597" s="1403"/>
      <c r="EJ597" s="1403"/>
      <c r="EK597" s="1403"/>
      <c r="EL597" s="1404"/>
      <c r="EM597" s="1402" t="str">
        <f t="shared" ref="EM597:EM631" si="20">IF(CC597&gt;0,O718,"")</f>
        <v/>
      </c>
      <c r="EN597" s="1403"/>
      <c r="EO597" s="1403"/>
      <c r="EP597" s="1403"/>
      <c r="EQ597" s="1404"/>
      <c r="ER597" s="1402" t="str">
        <f t="shared" ref="ER597:ER631" si="21">IF(CH597&gt;0,O718,"")</f>
        <v/>
      </c>
      <c r="ES597" s="1403"/>
      <c r="ET597" s="1403"/>
      <c r="EU597" s="1403"/>
      <c r="EV597" s="1404"/>
      <c r="EW597" s="1402" t="str">
        <f t="shared" ref="EW597:EW631" si="22">IF(CM597&gt;0,O718,"")</f>
        <v/>
      </c>
      <c r="EX597" s="1403"/>
      <c r="EY597" s="1403"/>
      <c r="EZ597" s="1403"/>
      <c r="FA597" s="1404"/>
    </row>
    <row r="598" spans="1:157" s="4" customFormat="1" ht="13" customHeight="1">
      <c r="A598" s="22"/>
      <c r="B598" t="s">
        <v>18</v>
      </c>
      <c r="C598"/>
      <c r="D598"/>
      <c r="E598"/>
      <c r="F598"/>
      <c r="G598"/>
      <c r="H598" s="1396" t="s">
        <v>2749</v>
      </c>
      <c r="I598" s="1385"/>
      <c r="J598" s="1385"/>
      <c r="K598" s="1385"/>
      <c r="L598" s="1385"/>
      <c r="M598" s="1385"/>
      <c r="N598" s="1385"/>
      <c r="O598" s="1385"/>
      <c r="P598" s="1385"/>
      <c r="Q598" s="1385"/>
      <c r="R598" s="1385"/>
      <c r="S598"/>
      <c r="T598" s="22"/>
      <c r="U598" t="s">
        <v>18</v>
      </c>
      <c r="V598"/>
      <c r="W598"/>
      <c r="X598"/>
      <c r="Y598"/>
      <c r="Z598"/>
      <c r="AA598" s="1385" t="str">
        <f>M561</f>
        <v>Equity, General Partner</v>
      </c>
      <c r="AB598" s="1385"/>
      <c r="AC598" s="1385"/>
      <c r="AD598" s="1385"/>
      <c r="AE598" s="1385"/>
      <c r="AF598" s="1385"/>
      <c r="AG598" s="1385"/>
      <c r="AH598" s="1385"/>
      <c r="AI598" s="1385"/>
      <c r="AJ598" s="1385"/>
      <c r="AK598" s="1385"/>
      <c r="AL598"/>
      <c r="AM598"/>
      <c r="AN598"/>
      <c r="AO598"/>
      <c r="AP598"/>
      <c r="AQ598"/>
      <c r="AR598"/>
      <c r="AS598"/>
      <c r="AT598"/>
      <c r="AU598"/>
      <c r="AV598"/>
      <c r="AW598"/>
      <c r="AX598"/>
      <c r="AY598"/>
      <c r="BA598" s="4" t="s">
        <v>163</v>
      </c>
      <c r="BB598" s="3"/>
      <c r="BC598" s="3"/>
      <c r="BD598" s="3"/>
      <c r="BE598" s="1402">
        <f t="shared" si="1"/>
        <v>1</v>
      </c>
      <c r="BF598" s="1404"/>
      <c r="BG598" s="1525">
        <f t="shared" si="2"/>
        <v>2</v>
      </c>
      <c r="BH598" s="1526"/>
      <c r="BI598" s="1402">
        <f t="shared" si="3"/>
        <v>0</v>
      </c>
      <c r="BJ598" s="1404"/>
      <c r="BK598" s="1525">
        <f t="shared" si="4"/>
        <v>0</v>
      </c>
      <c r="BL598" s="1526"/>
      <c r="BM598" s="3"/>
      <c r="BN598" s="1527">
        <f t="shared" si="5"/>
        <v>2</v>
      </c>
      <c r="BO598" s="1528"/>
      <c r="BP598" s="1528"/>
      <c r="BQ598" s="1528"/>
      <c r="BR598" s="1529"/>
      <c r="BS598" s="1407">
        <f t="shared" si="6"/>
        <v>0</v>
      </c>
      <c r="BT598" s="1407"/>
      <c r="BU598" s="1407"/>
      <c r="BV598" s="1407"/>
      <c r="BW598" s="1407"/>
      <c r="BX598" s="1407">
        <f t="shared" si="7"/>
        <v>0</v>
      </c>
      <c r="BY598" s="1407"/>
      <c r="BZ598" s="1407"/>
      <c r="CA598" s="1407"/>
      <c r="CB598" s="1407"/>
      <c r="CC598" s="1407">
        <f t="shared" si="8"/>
        <v>0</v>
      </c>
      <c r="CD598" s="1407"/>
      <c r="CE598" s="1407"/>
      <c r="CF598" s="1407"/>
      <c r="CG598" s="1407"/>
      <c r="CH598" s="1407">
        <f t="shared" si="9"/>
        <v>0</v>
      </c>
      <c r="CI598" s="1407"/>
      <c r="CJ598" s="1407"/>
      <c r="CK598" s="1407"/>
      <c r="CL598" s="1407"/>
      <c r="CM598" s="1407">
        <f t="shared" si="10"/>
        <v>0</v>
      </c>
      <c r="CN598" s="1407"/>
      <c r="CO598" s="1407"/>
      <c r="CP598" s="1407"/>
      <c r="CQ598" s="1407"/>
      <c r="CR598" s="6"/>
      <c r="CS598" s="1406">
        <f t="shared" si="11"/>
        <v>0</v>
      </c>
      <c r="CT598" s="1406"/>
      <c r="CU598" s="1406"/>
      <c r="CV598" s="1406"/>
      <c r="CW598" s="1406"/>
      <c r="CX598" s="1406">
        <f t="shared" si="12"/>
        <v>0</v>
      </c>
      <c r="CY598" s="1406"/>
      <c r="CZ598" s="1406"/>
      <c r="DA598" s="1406"/>
      <c r="DB598" s="1406"/>
      <c r="DC598" s="1406">
        <f t="shared" si="13"/>
        <v>0</v>
      </c>
      <c r="DD598" s="1406"/>
      <c r="DE598" s="1406"/>
      <c r="DF598" s="1406"/>
      <c r="DG598" s="1406"/>
      <c r="DH598" s="1406">
        <f t="shared" si="14"/>
        <v>0</v>
      </c>
      <c r="DI598" s="1406"/>
      <c r="DJ598" s="1406"/>
      <c r="DK598" s="1406"/>
      <c r="DL598" s="1406"/>
      <c r="DM598" s="1406">
        <f t="shared" si="15"/>
        <v>0</v>
      </c>
      <c r="DN598" s="1406"/>
      <c r="DO598" s="1406"/>
      <c r="DP598" s="1406"/>
      <c r="DQ598" s="1406"/>
      <c r="DR598" s="1406">
        <f t="shared" si="16"/>
        <v>0</v>
      </c>
      <c r="DS598" s="1406"/>
      <c r="DT598" s="1406"/>
      <c r="DU598" s="1406"/>
      <c r="DV598" s="1406"/>
      <c r="DX598" s="1402">
        <f t="shared" si="17"/>
        <v>1036</v>
      </c>
      <c r="DY598" s="1403"/>
      <c r="DZ598" s="1403"/>
      <c r="EA598" s="1403"/>
      <c r="EB598" s="1404"/>
      <c r="EC598" s="1402" t="str">
        <f t="shared" si="18"/>
        <v/>
      </c>
      <c r="ED598" s="1403"/>
      <c r="EE598" s="1403"/>
      <c r="EF598" s="1403"/>
      <c r="EG598" s="1404"/>
      <c r="EH598" s="1402" t="str">
        <f t="shared" si="19"/>
        <v/>
      </c>
      <c r="EI598" s="1403"/>
      <c r="EJ598" s="1403"/>
      <c r="EK598" s="1403"/>
      <c r="EL598" s="1404"/>
      <c r="EM598" s="1402" t="str">
        <f t="shared" si="20"/>
        <v/>
      </c>
      <c r="EN598" s="1403"/>
      <c r="EO598" s="1403"/>
      <c r="EP598" s="1403"/>
      <c r="EQ598" s="1404"/>
      <c r="ER598" s="1402" t="str">
        <f t="shared" si="21"/>
        <v/>
      </c>
      <c r="ES598" s="1403"/>
      <c r="ET598" s="1403"/>
      <c r="EU598" s="1403"/>
      <c r="EV598" s="1404"/>
      <c r="EW598" s="1402" t="str">
        <f t="shared" si="22"/>
        <v/>
      </c>
      <c r="EX598" s="1403"/>
      <c r="EY598" s="1403"/>
      <c r="EZ598" s="1403"/>
      <c r="FA598" s="1404"/>
    </row>
    <row r="599" spans="1:157" ht="13" customHeight="1">
      <c r="A599" s="22"/>
      <c r="B599" t="s">
        <v>20</v>
      </c>
      <c r="N599" s="1381" t="s">
        <v>554</v>
      </c>
      <c r="O599" s="1381"/>
      <c r="T599" s="22"/>
      <c r="U599" t="s">
        <v>20</v>
      </c>
      <c r="AG599" s="1381" t="s">
        <v>554</v>
      </c>
      <c r="AH599" s="1381"/>
      <c r="BA599" s="4" t="s">
        <v>164</v>
      </c>
      <c r="BB599" s="3"/>
      <c r="BC599" s="3"/>
      <c r="BD599" s="3"/>
      <c r="BE599" s="1402">
        <f t="shared" si="1"/>
        <v>1</v>
      </c>
      <c r="BF599" s="1404"/>
      <c r="BG599" s="1525">
        <f t="shared" si="2"/>
        <v>66</v>
      </c>
      <c r="BH599" s="1526"/>
      <c r="BI599" s="1402">
        <f t="shared" si="3"/>
        <v>0</v>
      </c>
      <c r="BJ599" s="1404"/>
      <c r="BK599" s="1525">
        <f t="shared" si="4"/>
        <v>0</v>
      </c>
      <c r="BL599" s="1526"/>
      <c r="BM599" s="3"/>
      <c r="BN599" s="1527">
        <f t="shared" si="5"/>
        <v>66</v>
      </c>
      <c r="BO599" s="1528"/>
      <c r="BP599" s="1528"/>
      <c r="BQ599" s="1528"/>
      <c r="BR599" s="1529"/>
      <c r="BS599" s="1407">
        <f t="shared" si="6"/>
        <v>0</v>
      </c>
      <c r="BT599" s="1407"/>
      <c r="BU599" s="1407"/>
      <c r="BV599" s="1407"/>
      <c r="BW599" s="1407"/>
      <c r="BX599" s="1407">
        <f t="shared" si="7"/>
        <v>0</v>
      </c>
      <c r="BY599" s="1407"/>
      <c r="BZ599" s="1407"/>
      <c r="CA599" s="1407"/>
      <c r="CB599" s="1407"/>
      <c r="CC599" s="1407">
        <f t="shared" si="8"/>
        <v>0</v>
      </c>
      <c r="CD599" s="1407"/>
      <c r="CE599" s="1407"/>
      <c r="CF599" s="1407"/>
      <c r="CG599" s="1407"/>
      <c r="CH599" s="1407">
        <f t="shared" si="9"/>
        <v>0</v>
      </c>
      <c r="CI599" s="1407"/>
      <c r="CJ599" s="1407"/>
      <c r="CK599" s="1407"/>
      <c r="CL599" s="1407"/>
      <c r="CM599" s="1407">
        <f t="shared" si="10"/>
        <v>0</v>
      </c>
      <c r="CN599" s="1407"/>
      <c r="CO599" s="1407"/>
      <c r="CP599" s="1407"/>
      <c r="CQ599" s="1407"/>
      <c r="CR599" s="6"/>
      <c r="CS599" s="1406">
        <f t="shared" si="11"/>
        <v>0</v>
      </c>
      <c r="CT599" s="1406"/>
      <c r="CU599" s="1406"/>
      <c r="CV599" s="1406"/>
      <c r="CW599" s="1406"/>
      <c r="CX599" s="1406">
        <f t="shared" si="12"/>
        <v>0</v>
      </c>
      <c r="CY599" s="1406"/>
      <c r="CZ599" s="1406"/>
      <c r="DA599" s="1406"/>
      <c r="DB599" s="1406"/>
      <c r="DC599" s="1406">
        <f t="shared" si="13"/>
        <v>0</v>
      </c>
      <c r="DD599" s="1406"/>
      <c r="DE599" s="1406"/>
      <c r="DF599" s="1406"/>
      <c r="DG599" s="1406"/>
      <c r="DH599" s="1406">
        <f t="shared" si="14"/>
        <v>0</v>
      </c>
      <c r="DI599" s="1406"/>
      <c r="DJ599" s="1406"/>
      <c r="DK599" s="1406"/>
      <c r="DL599" s="1406"/>
      <c r="DM599" s="1406">
        <f t="shared" si="15"/>
        <v>0</v>
      </c>
      <c r="DN599" s="1406"/>
      <c r="DO599" s="1406"/>
      <c r="DP599" s="1406"/>
      <c r="DQ599" s="1406"/>
      <c r="DR599" s="1406">
        <f t="shared" si="16"/>
        <v>0</v>
      </c>
      <c r="DS599" s="1406"/>
      <c r="DT599" s="1406"/>
      <c r="DU599" s="1406"/>
      <c r="DV599" s="1406"/>
      <c r="DX599" s="1402">
        <f t="shared" si="17"/>
        <v>1295</v>
      </c>
      <c r="DY599" s="1403"/>
      <c r="DZ599" s="1403"/>
      <c r="EA599" s="1403"/>
      <c r="EB599" s="1404"/>
      <c r="EC599" s="1402" t="str">
        <f t="shared" si="18"/>
        <v/>
      </c>
      <c r="ED599" s="1403"/>
      <c r="EE599" s="1403"/>
      <c r="EF599" s="1403"/>
      <c r="EG599" s="1404"/>
      <c r="EH599" s="1402" t="str">
        <f t="shared" si="19"/>
        <v/>
      </c>
      <c r="EI599" s="1403"/>
      <c r="EJ599" s="1403"/>
      <c r="EK599" s="1403"/>
      <c r="EL599" s="1404"/>
      <c r="EM599" s="1402" t="str">
        <f t="shared" si="20"/>
        <v/>
      </c>
      <c r="EN599" s="1403"/>
      <c r="EO599" s="1403"/>
      <c r="EP599" s="1403"/>
      <c r="EQ599" s="1404"/>
      <c r="ER599" s="1402" t="str">
        <f t="shared" si="21"/>
        <v/>
      </c>
      <c r="ES599" s="1403"/>
      <c r="ET599" s="1403"/>
      <c r="EU599" s="1403"/>
      <c r="EV599" s="1404"/>
      <c r="EW599" s="1402" t="str">
        <f t="shared" si="22"/>
        <v/>
      </c>
      <c r="EX599" s="1403"/>
      <c r="EY599" s="1403"/>
      <c r="EZ599" s="1403"/>
      <c r="FA599" s="1404"/>
    </row>
    <row r="600" spans="1:157" ht="13" customHeight="1">
      <c r="A600" s="22"/>
      <c r="T600" s="22"/>
      <c r="BA600" s="4" t="s">
        <v>165</v>
      </c>
      <c r="BB600" s="3"/>
      <c r="BC600" s="3"/>
      <c r="BD600" s="3"/>
      <c r="BE600" s="1402">
        <f t="shared" si="1"/>
        <v>0</v>
      </c>
      <c r="BF600" s="1404"/>
      <c r="BG600" s="1525">
        <f t="shared" si="2"/>
        <v>0</v>
      </c>
      <c r="BH600" s="1526"/>
      <c r="BI600" s="1402">
        <f t="shared" si="3"/>
        <v>0</v>
      </c>
      <c r="BJ600" s="1404"/>
      <c r="BK600" s="1525">
        <f t="shared" si="4"/>
        <v>0</v>
      </c>
      <c r="BL600" s="1526"/>
      <c r="BM600" s="3"/>
      <c r="BN600" s="1527">
        <f t="shared" si="5"/>
        <v>0</v>
      </c>
      <c r="BO600" s="1528"/>
      <c r="BP600" s="1528"/>
      <c r="BQ600" s="1528"/>
      <c r="BR600" s="1529"/>
      <c r="BS600" s="1407">
        <f t="shared" si="6"/>
        <v>0</v>
      </c>
      <c r="BT600" s="1407"/>
      <c r="BU600" s="1407"/>
      <c r="BV600" s="1407"/>
      <c r="BW600" s="1407"/>
      <c r="BX600" s="1407">
        <f t="shared" si="7"/>
        <v>0</v>
      </c>
      <c r="BY600" s="1407"/>
      <c r="BZ600" s="1407"/>
      <c r="CA600" s="1407"/>
      <c r="CB600" s="1407"/>
      <c r="CC600" s="1407">
        <f t="shared" si="8"/>
        <v>0</v>
      </c>
      <c r="CD600" s="1407"/>
      <c r="CE600" s="1407"/>
      <c r="CF600" s="1407"/>
      <c r="CG600" s="1407"/>
      <c r="CH600" s="1407">
        <f t="shared" si="9"/>
        <v>0</v>
      </c>
      <c r="CI600" s="1407"/>
      <c r="CJ600" s="1407"/>
      <c r="CK600" s="1407"/>
      <c r="CL600" s="1407"/>
      <c r="CM600" s="1407">
        <f t="shared" si="10"/>
        <v>0</v>
      </c>
      <c r="CN600" s="1407"/>
      <c r="CO600" s="1407"/>
      <c r="CP600" s="1407"/>
      <c r="CQ600" s="1407"/>
      <c r="CR600" s="6"/>
      <c r="CS600" s="1406">
        <f t="shared" si="11"/>
        <v>0</v>
      </c>
      <c r="CT600" s="1406"/>
      <c r="CU600" s="1406"/>
      <c r="CV600" s="1406"/>
      <c r="CW600" s="1406"/>
      <c r="CX600" s="1406">
        <f t="shared" si="12"/>
        <v>0</v>
      </c>
      <c r="CY600" s="1406"/>
      <c r="CZ600" s="1406"/>
      <c r="DA600" s="1406"/>
      <c r="DB600" s="1406"/>
      <c r="DC600" s="1406">
        <f t="shared" si="13"/>
        <v>0</v>
      </c>
      <c r="DD600" s="1406"/>
      <c r="DE600" s="1406"/>
      <c r="DF600" s="1406"/>
      <c r="DG600" s="1406"/>
      <c r="DH600" s="1406">
        <f t="shared" si="14"/>
        <v>0</v>
      </c>
      <c r="DI600" s="1406"/>
      <c r="DJ600" s="1406"/>
      <c r="DK600" s="1406"/>
      <c r="DL600" s="1406"/>
      <c r="DM600" s="1406">
        <f t="shared" si="15"/>
        <v>0</v>
      </c>
      <c r="DN600" s="1406"/>
      <c r="DO600" s="1406"/>
      <c r="DP600" s="1406"/>
      <c r="DQ600" s="1406"/>
      <c r="DR600" s="1406">
        <f t="shared" si="16"/>
        <v>0</v>
      </c>
      <c r="DS600" s="1406"/>
      <c r="DT600" s="1406"/>
      <c r="DU600" s="1406"/>
      <c r="DV600" s="1406"/>
      <c r="DX600" s="1402" t="str">
        <f t="shared" si="17"/>
        <v/>
      </c>
      <c r="DY600" s="1403"/>
      <c r="DZ600" s="1403"/>
      <c r="EA600" s="1403"/>
      <c r="EB600" s="1404"/>
      <c r="EC600" s="1402" t="str">
        <f t="shared" si="18"/>
        <v/>
      </c>
      <c r="ED600" s="1403"/>
      <c r="EE600" s="1403"/>
      <c r="EF600" s="1403"/>
      <c r="EG600" s="1404"/>
      <c r="EH600" s="1402" t="str">
        <f t="shared" si="19"/>
        <v/>
      </c>
      <c r="EI600" s="1403"/>
      <c r="EJ600" s="1403"/>
      <c r="EK600" s="1403"/>
      <c r="EL600" s="1404"/>
      <c r="EM600" s="1402" t="str">
        <f t="shared" si="20"/>
        <v/>
      </c>
      <c r="EN600" s="1403"/>
      <c r="EO600" s="1403"/>
      <c r="EP600" s="1403"/>
      <c r="EQ600" s="1404"/>
      <c r="ER600" s="1402" t="str">
        <f t="shared" si="21"/>
        <v/>
      </c>
      <c r="ES600" s="1403"/>
      <c r="ET600" s="1403"/>
      <c r="EU600" s="1403"/>
      <c r="EV600" s="1404"/>
      <c r="EW600" s="1402" t="str">
        <f t="shared" si="22"/>
        <v/>
      </c>
      <c r="EX600" s="1403"/>
      <c r="EY600" s="1403"/>
      <c r="EZ600" s="1403"/>
      <c r="FA600" s="1404"/>
    </row>
    <row r="601" spans="1:157" ht="13" customHeight="1">
      <c r="A601" s="55" t="s">
        <v>470</v>
      </c>
      <c r="B601" t="s">
        <v>472</v>
      </c>
      <c r="G601" s="1393" t="str">
        <f>C562</f>
        <v>Defeerred to Permanent Conversion</v>
      </c>
      <c r="H601" s="1393"/>
      <c r="I601" s="1393"/>
      <c r="J601" s="1393"/>
      <c r="K601" s="1393"/>
      <c r="L601" s="1393"/>
      <c r="M601" s="1393"/>
      <c r="N601" s="1393"/>
      <c r="O601" s="1393"/>
      <c r="P601" s="1393"/>
      <c r="Q601" s="1393"/>
      <c r="R601" s="1393"/>
      <c r="T601" s="55" t="s">
        <v>655</v>
      </c>
      <c r="U601" t="s">
        <v>472</v>
      </c>
      <c r="Z601" s="1393">
        <f>C563</f>
        <v>0</v>
      </c>
      <c r="AA601" s="1393"/>
      <c r="AB601" s="1393"/>
      <c r="AC601" s="1393"/>
      <c r="AD601" s="1393"/>
      <c r="AE601" s="1393"/>
      <c r="AF601" s="1393"/>
      <c r="AG601" s="1393"/>
      <c r="AH601" s="1393"/>
      <c r="AI601" s="1393"/>
      <c r="AJ601" s="1393"/>
      <c r="AK601" s="1393"/>
      <c r="BA601" s="4" t="s">
        <v>30</v>
      </c>
      <c r="BB601" s="3"/>
      <c r="BC601" s="3"/>
      <c r="BD601" s="3"/>
      <c r="BE601" s="1402">
        <f t="shared" si="1"/>
        <v>0</v>
      </c>
      <c r="BF601" s="1404"/>
      <c r="BG601" s="1525">
        <f t="shared" si="2"/>
        <v>0</v>
      </c>
      <c r="BH601" s="1526"/>
      <c r="BI601" s="1402">
        <f t="shared" si="3"/>
        <v>0</v>
      </c>
      <c r="BJ601" s="1404"/>
      <c r="BK601" s="1525">
        <f t="shared" si="4"/>
        <v>0</v>
      </c>
      <c r="BL601" s="1526"/>
      <c r="BM601" s="3"/>
      <c r="BN601" s="1527">
        <f t="shared" si="5"/>
        <v>0</v>
      </c>
      <c r="BO601" s="1528"/>
      <c r="BP601" s="1528"/>
      <c r="BQ601" s="1528"/>
      <c r="BR601" s="1529"/>
      <c r="BS601" s="1407">
        <f t="shared" si="6"/>
        <v>0</v>
      </c>
      <c r="BT601" s="1407"/>
      <c r="BU601" s="1407"/>
      <c r="BV601" s="1407"/>
      <c r="BW601" s="1407"/>
      <c r="BX601" s="1407">
        <f t="shared" si="7"/>
        <v>0</v>
      </c>
      <c r="BY601" s="1407"/>
      <c r="BZ601" s="1407"/>
      <c r="CA601" s="1407"/>
      <c r="CB601" s="1407"/>
      <c r="CC601" s="1407">
        <f t="shared" si="8"/>
        <v>0</v>
      </c>
      <c r="CD601" s="1407"/>
      <c r="CE601" s="1407"/>
      <c r="CF601" s="1407"/>
      <c r="CG601" s="1407"/>
      <c r="CH601" s="1407">
        <f t="shared" si="9"/>
        <v>0</v>
      </c>
      <c r="CI601" s="1407"/>
      <c r="CJ601" s="1407"/>
      <c r="CK601" s="1407"/>
      <c r="CL601" s="1407"/>
      <c r="CM601" s="1407">
        <f t="shared" si="10"/>
        <v>0</v>
      </c>
      <c r="CN601" s="1407"/>
      <c r="CO601" s="1407"/>
      <c r="CP601" s="1407"/>
      <c r="CQ601" s="1407"/>
      <c r="CR601" s="6"/>
      <c r="CS601" s="1406">
        <f t="shared" si="11"/>
        <v>0</v>
      </c>
      <c r="CT601" s="1406"/>
      <c r="CU601" s="1406"/>
      <c r="CV601" s="1406"/>
      <c r="CW601" s="1406"/>
      <c r="CX601" s="1406">
        <f t="shared" si="12"/>
        <v>0</v>
      </c>
      <c r="CY601" s="1406"/>
      <c r="CZ601" s="1406"/>
      <c r="DA601" s="1406"/>
      <c r="DB601" s="1406"/>
      <c r="DC601" s="1406">
        <f t="shared" si="13"/>
        <v>0</v>
      </c>
      <c r="DD601" s="1406"/>
      <c r="DE601" s="1406"/>
      <c r="DF601" s="1406"/>
      <c r="DG601" s="1406"/>
      <c r="DH601" s="1406">
        <f t="shared" si="14"/>
        <v>0</v>
      </c>
      <c r="DI601" s="1406"/>
      <c r="DJ601" s="1406"/>
      <c r="DK601" s="1406"/>
      <c r="DL601" s="1406"/>
      <c r="DM601" s="1406">
        <f t="shared" si="15"/>
        <v>0</v>
      </c>
      <c r="DN601" s="1406"/>
      <c r="DO601" s="1406"/>
      <c r="DP601" s="1406"/>
      <c r="DQ601" s="1406"/>
      <c r="DR601" s="1406">
        <f t="shared" si="16"/>
        <v>0</v>
      </c>
      <c r="DS601" s="1406"/>
      <c r="DT601" s="1406"/>
      <c r="DU601" s="1406"/>
      <c r="DV601" s="1406"/>
      <c r="DX601" s="1402" t="str">
        <f t="shared" si="17"/>
        <v/>
      </c>
      <c r="DY601" s="1403"/>
      <c r="DZ601" s="1403"/>
      <c r="EA601" s="1403"/>
      <c r="EB601" s="1404"/>
      <c r="EC601" s="1402" t="str">
        <f t="shared" si="18"/>
        <v/>
      </c>
      <c r="ED601" s="1403"/>
      <c r="EE601" s="1403"/>
      <c r="EF601" s="1403"/>
      <c r="EG601" s="1404"/>
      <c r="EH601" s="1402" t="str">
        <f t="shared" si="19"/>
        <v/>
      </c>
      <c r="EI601" s="1403"/>
      <c r="EJ601" s="1403"/>
      <c r="EK601" s="1403"/>
      <c r="EL601" s="1404"/>
      <c r="EM601" s="1402" t="str">
        <f t="shared" si="20"/>
        <v/>
      </c>
      <c r="EN601" s="1403"/>
      <c r="EO601" s="1403"/>
      <c r="EP601" s="1403"/>
      <c r="EQ601" s="1404"/>
      <c r="ER601" s="1402" t="str">
        <f t="shared" si="21"/>
        <v/>
      </c>
      <c r="ES601" s="1403"/>
      <c r="ET601" s="1403"/>
      <c r="EU601" s="1403"/>
      <c r="EV601" s="1404"/>
      <c r="EW601" s="1402" t="str">
        <f t="shared" si="22"/>
        <v/>
      </c>
      <c r="EX601" s="1403"/>
      <c r="EY601" s="1403"/>
      <c r="EZ601" s="1403"/>
      <c r="FA601" s="1404"/>
    </row>
    <row r="602" spans="1:157" ht="13" customHeight="1">
      <c r="A602" s="22"/>
      <c r="B602" t="s">
        <v>85</v>
      </c>
      <c r="G602" s="1385" t="s">
        <v>2703</v>
      </c>
      <c r="H602" s="1385"/>
      <c r="I602" s="1385"/>
      <c r="J602" s="1385"/>
      <c r="K602" s="1385"/>
      <c r="L602" s="1385"/>
      <c r="M602" s="1385"/>
      <c r="N602" s="1385"/>
      <c r="O602" s="1385"/>
      <c r="P602" s="1385"/>
      <c r="Q602" s="1385"/>
      <c r="R602" s="1385"/>
      <c r="T602" s="22"/>
      <c r="U602" t="s">
        <v>85</v>
      </c>
      <c r="Z602" s="1385"/>
      <c r="AA602" s="1385"/>
      <c r="AB602" s="1385"/>
      <c r="AC602" s="1385"/>
      <c r="AD602" s="1385"/>
      <c r="AE602" s="1385"/>
      <c r="AF602" s="1385"/>
      <c r="AG602" s="1385"/>
      <c r="AH602" s="1385"/>
      <c r="AI602" s="1385"/>
      <c r="AJ602" s="1385"/>
      <c r="AK602" s="1385"/>
      <c r="AZ602" s="3"/>
      <c r="BA602" s="3"/>
      <c r="BB602" s="3"/>
      <c r="BC602" s="3"/>
      <c r="BD602" s="3"/>
      <c r="BE602" s="1402">
        <f t="shared" si="1"/>
        <v>0</v>
      </c>
      <c r="BF602" s="1404"/>
      <c r="BG602" s="1525">
        <f t="shared" si="2"/>
        <v>0</v>
      </c>
      <c r="BH602" s="1526"/>
      <c r="BI602" s="1402">
        <f t="shared" si="3"/>
        <v>0</v>
      </c>
      <c r="BJ602" s="1404"/>
      <c r="BK602" s="1525">
        <f t="shared" si="4"/>
        <v>0</v>
      </c>
      <c r="BL602" s="1526"/>
      <c r="BM602" s="3"/>
      <c r="BN602" s="1527">
        <f t="shared" si="5"/>
        <v>0</v>
      </c>
      <c r="BO602" s="1528"/>
      <c r="BP602" s="1528"/>
      <c r="BQ602" s="1528"/>
      <c r="BR602" s="1529"/>
      <c r="BS602" s="1407">
        <f t="shared" si="6"/>
        <v>0</v>
      </c>
      <c r="BT602" s="1407"/>
      <c r="BU602" s="1407"/>
      <c r="BV602" s="1407"/>
      <c r="BW602" s="1407"/>
      <c r="BX602" s="1407">
        <f t="shared" si="7"/>
        <v>0</v>
      </c>
      <c r="BY602" s="1407"/>
      <c r="BZ602" s="1407"/>
      <c r="CA602" s="1407"/>
      <c r="CB602" s="1407"/>
      <c r="CC602" s="1407">
        <f t="shared" si="8"/>
        <v>0</v>
      </c>
      <c r="CD602" s="1407"/>
      <c r="CE602" s="1407"/>
      <c r="CF602" s="1407"/>
      <c r="CG602" s="1407"/>
      <c r="CH602" s="1407">
        <f t="shared" si="9"/>
        <v>0</v>
      </c>
      <c r="CI602" s="1407"/>
      <c r="CJ602" s="1407"/>
      <c r="CK602" s="1407"/>
      <c r="CL602" s="1407"/>
      <c r="CM602" s="1407">
        <f t="shared" si="10"/>
        <v>0</v>
      </c>
      <c r="CN602" s="1407"/>
      <c r="CO602" s="1407"/>
      <c r="CP602" s="1407"/>
      <c r="CQ602" s="1407"/>
      <c r="CR602" s="6"/>
      <c r="CS602" s="1406">
        <f t="shared" si="11"/>
        <v>0</v>
      </c>
      <c r="CT602" s="1406"/>
      <c r="CU602" s="1406"/>
      <c r="CV602" s="1406"/>
      <c r="CW602" s="1406"/>
      <c r="CX602" s="1406">
        <f t="shared" si="12"/>
        <v>0</v>
      </c>
      <c r="CY602" s="1406"/>
      <c r="CZ602" s="1406"/>
      <c r="DA602" s="1406"/>
      <c r="DB602" s="1406"/>
      <c r="DC602" s="1406">
        <f t="shared" si="13"/>
        <v>0</v>
      </c>
      <c r="DD602" s="1406"/>
      <c r="DE602" s="1406"/>
      <c r="DF602" s="1406"/>
      <c r="DG602" s="1406"/>
      <c r="DH602" s="1406">
        <f t="shared" si="14"/>
        <v>0</v>
      </c>
      <c r="DI602" s="1406"/>
      <c r="DJ602" s="1406"/>
      <c r="DK602" s="1406"/>
      <c r="DL602" s="1406"/>
      <c r="DM602" s="1406">
        <f t="shared" si="15"/>
        <v>0</v>
      </c>
      <c r="DN602" s="1406"/>
      <c r="DO602" s="1406"/>
      <c r="DP602" s="1406"/>
      <c r="DQ602" s="1406"/>
      <c r="DR602" s="1406">
        <f t="shared" si="16"/>
        <v>0</v>
      </c>
      <c r="DS602" s="1406"/>
      <c r="DT602" s="1406"/>
      <c r="DU602" s="1406"/>
      <c r="DV602" s="1406"/>
      <c r="DX602" s="1402" t="str">
        <f t="shared" si="17"/>
        <v/>
      </c>
      <c r="DY602" s="1403"/>
      <c r="DZ602" s="1403"/>
      <c r="EA602" s="1403"/>
      <c r="EB602" s="1404"/>
      <c r="EC602" s="1402" t="str">
        <f t="shared" si="18"/>
        <v/>
      </c>
      <c r="ED602" s="1403"/>
      <c r="EE602" s="1403"/>
      <c r="EF602" s="1403"/>
      <c r="EG602" s="1404"/>
      <c r="EH602" s="1402" t="str">
        <f t="shared" si="19"/>
        <v/>
      </c>
      <c r="EI602" s="1403"/>
      <c r="EJ602" s="1403"/>
      <c r="EK602" s="1403"/>
      <c r="EL602" s="1404"/>
      <c r="EM602" s="1402" t="str">
        <f t="shared" si="20"/>
        <v/>
      </c>
      <c r="EN602" s="1403"/>
      <c r="EO602" s="1403"/>
      <c r="EP602" s="1403"/>
      <c r="EQ602" s="1404"/>
      <c r="ER602" s="1402" t="str">
        <f t="shared" si="21"/>
        <v/>
      </c>
      <c r="ES602" s="1403"/>
      <c r="ET602" s="1403"/>
      <c r="EU602" s="1403"/>
      <c r="EV602" s="1404"/>
      <c r="EW602" s="1402" t="str">
        <f t="shared" si="22"/>
        <v/>
      </c>
      <c r="EX602" s="1403"/>
      <c r="EY602" s="1403"/>
      <c r="EZ602" s="1403"/>
      <c r="FA602" s="1404"/>
    </row>
    <row r="603" spans="1:157" ht="13" customHeight="1">
      <c r="A603" s="22"/>
      <c r="B603" t="s">
        <v>589</v>
      </c>
      <c r="G603" s="1385" t="s">
        <v>2653</v>
      </c>
      <c r="H603" s="1385"/>
      <c r="I603" s="1385"/>
      <c r="J603" s="1385"/>
      <c r="K603" s="1385"/>
      <c r="L603" s="1385"/>
      <c r="M603" s="1385"/>
      <c r="N603" s="1385"/>
      <c r="O603" s="1385"/>
      <c r="P603" s="1385"/>
      <c r="Q603" s="1385"/>
      <c r="R603" s="1385"/>
      <c r="T603" s="22"/>
      <c r="U603" t="s">
        <v>589</v>
      </c>
      <c r="Z603" s="1395"/>
      <c r="AA603" s="1395"/>
      <c r="AB603" s="1395"/>
      <c r="AC603" s="1395"/>
      <c r="AD603" s="1395"/>
      <c r="AE603" s="1395"/>
      <c r="AF603" s="1395"/>
      <c r="AG603" s="1395"/>
      <c r="AH603" s="1395"/>
      <c r="AI603" s="1395"/>
      <c r="AJ603" s="1395"/>
      <c r="AK603" s="1395"/>
      <c r="AZ603" s="3"/>
      <c r="BA603" s="3"/>
      <c r="BB603" s="3"/>
      <c r="BC603" s="3"/>
      <c r="BD603" s="3"/>
      <c r="BE603" s="1402">
        <f t="shared" si="1"/>
        <v>0</v>
      </c>
      <c r="BF603" s="1404"/>
      <c r="BG603" s="1525">
        <f t="shared" si="2"/>
        <v>0</v>
      </c>
      <c r="BH603" s="1526"/>
      <c r="BI603" s="1402">
        <f t="shared" si="3"/>
        <v>0</v>
      </c>
      <c r="BJ603" s="1404"/>
      <c r="BK603" s="1525">
        <f t="shared" si="4"/>
        <v>0</v>
      </c>
      <c r="BL603" s="1526"/>
      <c r="BM603" s="3"/>
      <c r="BN603" s="1527">
        <f t="shared" si="5"/>
        <v>0</v>
      </c>
      <c r="BO603" s="1528"/>
      <c r="BP603" s="1528"/>
      <c r="BQ603" s="1528"/>
      <c r="BR603" s="1529"/>
      <c r="BS603" s="1407">
        <f t="shared" si="6"/>
        <v>0</v>
      </c>
      <c r="BT603" s="1407"/>
      <c r="BU603" s="1407"/>
      <c r="BV603" s="1407"/>
      <c r="BW603" s="1407"/>
      <c r="BX603" s="1407">
        <f t="shared" si="7"/>
        <v>0</v>
      </c>
      <c r="BY603" s="1407"/>
      <c r="BZ603" s="1407"/>
      <c r="CA603" s="1407"/>
      <c r="CB603" s="1407"/>
      <c r="CC603" s="1407">
        <f t="shared" si="8"/>
        <v>0</v>
      </c>
      <c r="CD603" s="1407"/>
      <c r="CE603" s="1407"/>
      <c r="CF603" s="1407"/>
      <c r="CG603" s="1407"/>
      <c r="CH603" s="1407">
        <f t="shared" si="9"/>
        <v>0</v>
      </c>
      <c r="CI603" s="1407"/>
      <c r="CJ603" s="1407"/>
      <c r="CK603" s="1407"/>
      <c r="CL603" s="1407"/>
      <c r="CM603" s="1407">
        <f t="shared" si="10"/>
        <v>0</v>
      </c>
      <c r="CN603" s="1407"/>
      <c r="CO603" s="1407"/>
      <c r="CP603" s="1407"/>
      <c r="CQ603" s="1407"/>
      <c r="CR603" s="6"/>
      <c r="CS603" s="1406">
        <f t="shared" si="11"/>
        <v>0</v>
      </c>
      <c r="CT603" s="1406"/>
      <c r="CU603" s="1406"/>
      <c r="CV603" s="1406"/>
      <c r="CW603" s="1406"/>
      <c r="CX603" s="1406">
        <f t="shared" si="12"/>
        <v>0</v>
      </c>
      <c r="CY603" s="1406"/>
      <c r="CZ603" s="1406"/>
      <c r="DA603" s="1406"/>
      <c r="DB603" s="1406"/>
      <c r="DC603" s="1406">
        <f t="shared" si="13"/>
        <v>0</v>
      </c>
      <c r="DD603" s="1406"/>
      <c r="DE603" s="1406"/>
      <c r="DF603" s="1406"/>
      <c r="DG603" s="1406"/>
      <c r="DH603" s="1406">
        <f t="shared" si="14"/>
        <v>0</v>
      </c>
      <c r="DI603" s="1406"/>
      <c r="DJ603" s="1406"/>
      <c r="DK603" s="1406"/>
      <c r="DL603" s="1406"/>
      <c r="DM603" s="1406">
        <f t="shared" si="15"/>
        <v>0</v>
      </c>
      <c r="DN603" s="1406"/>
      <c r="DO603" s="1406"/>
      <c r="DP603" s="1406"/>
      <c r="DQ603" s="1406"/>
      <c r="DR603" s="1406">
        <f t="shared" si="16"/>
        <v>0</v>
      </c>
      <c r="DS603" s="1406"/>
      <c r="DT603" s="1406"/>
      <c r="DU603" s="1406"/>
      <c r="DV603" s="1406"/>
      <c r="DX603" s="1402" t="str">
        <f t="shared" si="17"/>
        <v/>
      </c>
      <c r="DY603" s="1403"/>
      <c r="DZ603" s="1403"/>
      <c r="EA603" s="1403"/>
      <c r="EB603" s="1404"/>
      <c r="EC603" s="1402" t="str">
        <f t="shared" si="18"/>
        <v/>
      </c>
      <c r="ED603" s="1403"/>
      <c r="EE603" s="1403"/>
      <c r="EF603" s="1403"/>
      <c r="EG603" s="1404"/>
      <c r="EH603" s="1402" t="str">
        <f t="shared" si="19"/>
        <v/>
      </c>
      <c r="EI603" s="1403"/>
      <c r="EJ603" s="1403"/>
      <c r="EK603" s="1403"/>
      <c r="EL603" s="1404"/>
      <c r="EM603" s="1402" t="str">
        <f t="shared" si="20"/>
        <v/>
      </c>
      <c r="EN603" s="1403"/>
      <c r="EO603" s="1403"/>
      <c r="EP603" s="1403"/>
      <c r="EQ603" s="1404"/>
      <c r="ER603" s="1402" t="str">
        <f t="shared" si="21"/>
        <v/>
      </c>
      <c r="ES603" s="1403"/>
      <c r="ET603" s="1403"/>
      <c r="EU603" s="1403"/>
      <c r="EV603" s="1404"/>
      <c r="EW603" s="1402" t="str">
        <f t="shared" si="22"/>
        <v/>
      </c>
      <c r="EX603" s="1403"/>
      <c r="EY603" s="1403"/>
      <c r="EZ603" s="1403"/>
      <c r="FA603" s="1404"/>
    </row>
    <row r="604" spans="1:157" ht="13" customHeight="1">
      <c r="A604" s="22"/>
      <c r="B604" t="s">
        <v>17</v>
      </c>
      <c r="G604" s="1385" t="s">
        <v>2641</v>
      </c>
      <c r="H604" s="1385"/>
      <c r="I604" s="1385"/>
      <c r="J604" s="1385"/>
      <c r="K604" s="1385"/>
      <c r="L604" s="1385"/>
      <c r="M604" s="1385"/>
      <c r="N604" s="1385"/>
      <c r="O604" s="1385"/>
      <c r="P604" s="1385"/>
      <c r="Q604" s="1385"/>
      <c r="R604" s="1385"/>
      <c r="T604" s="22"/>
      <c r="U604" t="s">
        <v>17</v>
      </c>
      <c r="Z604" s="1395"/>
      <c r="AA604" s="1395"/>
      <c r="AB604" s="1395"/>
      <c r="AC604" s="1395"/>
      <c r="AD604" s="1395"/>
      <c r="AE604" s="1395"/>
      <c r="AF604" s="1395"/>
      <c r="AG604" s="1395"/>
      <c r="AH604" s="1395"/>
      <c r="AI604" s="1395"/>
      <c r="AJ604" s="1395"/>
      <c r="AK604" s="1395"/>
      <c r="AZ604" s="3"/>
      <c r="BA604" s="3"/>
      <c r="BB604" s="3"/>
      <c r="BC604" s="3"/>
      <c r="BD604" s="3"/>
      <c r="BE604" s="1402">
        <f t="shared" si="1"/>
        <v>0</v>
      </c>
      <c r="BF604" s="1404"/>
      <c r="BG604" s="1525">
        <f t="shared" si="2"/>
        <v>0</v>
      </c>
      <c r="BH604" s="1526"/>
      <c r="BI604" s="1402">
        <f t="shared" si="3"/>
        <v>0</v>
      </c>
      <c r="BJ604" s="1404"/>
      <c r="BK604" s="1525">
        <f t="shared" si="4"/>
        <v>0</v>
      </c>
      <c r="BL604" s="1526"/>
      <c r="BM604" s="3"/>
      <c r="BN604" s="1527">
        <f t="shared" si="5"/>
        <v>0</v>
      </c>
      <c r="BO604" s="1528"/>
      <c r="BP604" s="1528"/>
      <c r="BQ604" s="1528"/>
      <c r="BR604" s="1529"/>
      <c r="BS604" s="1407">
        <f t="shared" si="6"/>
        <v>0</v>
      </c>
      <c r="BT604" s="1407"/>
      <c r="BU604" s="1407"/>
      <c r="BV604" s="1407"/>
      <c r="BW604" s="1407"/>
      <c r="BX604" s="1407">
        <f t="shared" si="7"/>
        <v>0</v>
      </c>
      <c r="BY604" s="1407"/>
      <c r="BZ604" s="1407"/>
      <c r="CA604" s="1407"/>
      <c r="CB604" s="1407"/>
      <c r="CC604" s="1407">
        <f t="shared" si="8"/>
        <v>0</v>
      </c>
      <c r="CD604" s="1407"/>
      <c r="CE604" s="1407"/>
      <c r="CF604" s="1407"/>
      <c r="CG604" s="1407"/>
      <c r="CH604" s="1407">
        <f t="shared" si="9"/>
        <v>0</v>
      </c>
      <c r="CI604" s="1407"/>
      <c r="CJ604" s="1407"/>
      <c r="CK604" s="1407"/>
      <c r="CL604" s="1407"/>
      <c r="CM604" s="1407">
        <f t="shared" si="10"/>
        <v>0</v>
      </c>
      <c r="CN604" s="1407"/>
      <c r="CO604" s="1407"/>
      <c r="CP604" s="1407"/>
      <c r="CQ604" s="1407"/>
      <c r="CR604" s="6"/>
      <c r="CS604" s="1406">
        <f t="shared" si="11"/>
        <v>0</v>
      </c>
      <c r="CT604" s="1406"/>
      <c r="CU604" s="1406"/>
      <c r="CV604" s="1406"/>
      <c r="CW604" s="1406"/>
      <c r="CX604" s="1406">
        <f t="shared" si="12"/>
        <v>0</v>
      </c>
      <c r="CY604" s="1406"/>
      <c r="CZ604" s="1406"/>
      <c r="DA604" s="1406"/>
      <c r="DB604" s="1406"/>
      <c r="DC604" s="1406">
        <f t="shared" si="13"/>
        <v>0</v>
      </c>
      <c r="DD604" s="1406"/>
      <c r="DE604" s="1406"/>
      <c r="DF604" s="1406"/>
      <c r="DG604" s="1406"/>
      <c r="DH604" s="1406">
        <f t="shared" si="14"/>
        <v>0</v>
      </c>
      <c r="DI604" s="1406"/>
      <c r="DJ604" s="1406"/>
      <c r="DK604" s="1406"/>
      <c r="DL604" s="1406"/>
      <c r="DM604" s="1406">
        <f t="shared" si="15"/>
        <v>0</v>
      </c>
      <c r="DN604" s="1406"/>
      <c r="DO604" s="1406"/>
      <c r="DP604" s="1406"/>
      <c r="DQ604" s="1406"/>
      <c r="DR604" s="1406">
        <f t="shared" si="16"/>
        <v>0</v>
      </c>
      <c r="DS604" s="1406"/>
      <c r="DT604" s="1406"/>
      <c r="DU604" s="1406"/>
      <c r="DV604" s="1406"/>
      <c r="DX604" s="1402" t="str">
        <f t="shared" si="17"/>
        <v/>
      </c>
      <c r="DY604" s="1403"/>
      <c r="DZ604" s="1403"/>
      <c r="EA604" s="1403"/>
      <c r="EB604" s="1404"/>
      <c r="EC604" s="1402" t="str">
        <f t="shared" si="18"/>
        <v/>
      </c>
      <c r="ED604" s="1403"/>
      <c r="EE604" s="1403"/>
      <c r="EF604" s="1403"/>
      <c r="EG604" s="1404"/>
      <c r="EH604" s="1402" t="str">
        <f t="shared" si="19"/>
        <v/>
      </c>
      <c r="EI604" s="1403"/>
      <c r="EJ604" s="1403"/>
      <c r="EK604" s="1403"/>
      <c r="EL604" s="1404"/>
      <c r="EM604" s="1402" t="str">
        <f t="shared" si="20"/>
        <v/>
      </c>
      <c r="EN604" s="1403"/>
      <c r="EO604" s="1403"/>
      <c r="EP604" s="1403"/>
      <c r="EQ604" s="1404"/>
      <c r="ER604" s="1402" t="str">
        <f t="shared" si="21"/>
        <v/>
      </c>
      <c r="ES604" s="1403"/>
      <c r="ET604" s="1403"/>
      <c r="EU604" s="1403"/>
      <c r="EV604" s="1404"/>
      <c r="EW604" s="1402" t="str">
        <f t="shared" si="22"/>
        <v/>
      </c>
      <c r="EX604" s="1403"/>
      <c r="EY604" s="1403"/>
      <c r="EZ604" s="1403"/>
      <c r="FA604" s="1404"/>
    </row>
    <row r="605" spans="1:157" s="4" customFormat="1" ht="13" customHeight="1">
      <c r="A605" s="22"/>
      <c r="B605" t="s">
        <v>317</v>
      </c>
      <c r="C605"/>
      <c r="D605"/>
      <c r="E605"/>
      <c r="F605"/>
      <c r="G605" s="1394" t="s">
        <v>2648</v>
      </c>
      <c r="H605" s="1394"/>
      <c r="I605" s="1394"/>
      <c r="J605" s="1394"/>
      <c r="K605" s="1394"/>
      <c r="L605" s="1394"/>
      <c r="M605"/>
      <c r="N605"/>
      <c r="O605" s="33" t="s">
        <v>207</v>
      </c>
      <c r="P605" s="1386"/>
      <c r="Q605" s="1386"/>
      <c r="R605" s="1386"/>
      <c r="S605"/>
      <c r="T605" s="22"/>
      <c r="U605" t="s">
        <v>317</v>
      </c>
      <c r="V605"/>
      <c r="W605"/>
      <c r="X605"/>
      <c r="Y605"/>
      <c r="Z605" s="1394"/>
      <c r="AA605" s="1394"/>
      <c r="AB605" s="1394"/>
      <c r="AC605" s="1394"/>
      <c r="AD605" s="1394"/>
      <c r="AE605" s="1394"/>
      <c r="AF605"/>
      <c r="AG605"/>
      <c r="AH605" s="33" t="s">
        <v>207</v>
      </c>
      <c r="AI605" s="1386"/>
      <c r="AJ605" s="1386"/>
      <c r="AK605" s="1386"/>
      <c r="AL605"/>
      <c r="AM605"/>
      <c r="AN605"/>
      <c r="AO605"/>
      <c r="AP605"/>
      <c r="AQ605"/>
      <c r="AR605"/>
      <c r="AS605"/>
      <c r="AT605"/>
      <c r="AU605"/>
      <c r="AV605"/>
      <c r="AW605"/>
      <c r="AX605"/>
      <c r="AY605"/>
      <c r="AZ605" s="3"/>
      <c r="BA605" s="3"/>
      <c r="BB605" s="3"/>
      <c r="BC605" s="3"/>
      <c r="BD605" s="3"/>
      <c r="BE605" s="1402">
        <f t="shared" si="1"/>
        <v>0</v>
      </c>
      <c r="BF605" s="1404"/>
      <c r="BG605" s="1525">
        <f t="shared" si="2"/>
        <v>0</v>
      </c>
      <c r="BH605" s="1526"/>
      <c r="BI605" s="1402">
        <f t="shared" si="3"/>
        <v>0</v>
      </c>
      <c r="BJ605" s="1404"/>
      <c r="BK605" s="1525">
        <f t="shared" si="4"/>
        <v>0</v>
      </c>
      <c r="BL605" s="1526"/>
      <c r="BM605" s="3"/>
      <c r="BN605" s="1527">
        <f t="shared" si="5"/>
        <v>0</v>
      </c>
      <c r="BO605" s="1528"/>
      <c r="BP605" s="1528"/>
      <c r="BQ605" s="1528"/>
      <c r="BR605" s="1529"/>
      <c r="BS605" s="1407">
        <f t="shared" si="6"/>
        <v>0</v>
      </c>
      <c r="BT605" s="1407"/>
      <c r="BU605" s="1407"/>
      <c r="BV605" s="1407"/>
      <c r="BW605" s="1407"/>
      <c r="BX605" s="1407">
        <f t="shared" si="7"/>
        <v>0</v>
      </c>
      <c r="BY605" s="1407"/>
      <c r="BZ605" s="1407"/>
      <c r="CA605" s="1407"/>
      <c r="CB605" s="1407"/>
      <c r="CC605" s="1407">
        <f t="shared" si="8"/>
        <v>0</v>
      </c>
      <c r="CD605" s="1407"/>
      <c r="CE605" s="1407"/>
      <c r="CF605" s="1407"/>
      <c r="CG605" s="1407"/>
      <c r="CH605" s="1407">
        <f t="shared" si="9"/>
        <v>0</v>
      </c>
      <c r="CI605" s="1407"/>
      <c r="CJ605" s="1407"/>
      <c r="CK605" s="1407"/>
      <c r="CL605" s="1407"/>
      <c r="CM605" s="1407">
        <f t="shared" si="10"/>
        <v>0</v>
      </c>
      <c r="CN605" s="1407"/>
      <c r="CO605" s="1407"/>
      <c r="CP605" s="1407"/>
      <c r="CQ605" s="1407"/>
      <c r="CR605" s="6"/>
      <c r="CS605" s="1406">
        <f t="shared" si="11"/>
        <v>0</v>
      </c>
      <c r="CT605" s="1406"/>
      <c r="CU605" s="1406"/>
      <c r="CV605" s="1406"/>
      <c r="CW605" s="1406"/>
      <c r="CX605" s="1406">
        <f t="shared" si="12"/>
        <v>0</v>
      </c>
      <c r="CY605" s="1406"/>
      <c r="CZ605" s="1406"/>
      <c r="DA605" s="1406"/>
      <c r="DB605" s="1406"/>
      <c r="DC605" s="1406">
        <f t="shared" si="13"/>
        <v>0</v>
      </c>
      <c r="DD605" s="1406"/>
      <c r="DE605" s="1406"/>
      <c r="DF605" s="1406"/>
      <c r="DG605" s="1406"/>
      <c r="DH605" s="1406">
        <f t="shared" si="14"/>
        <v>0</v>
      </c>
      <c r="DI605" s="1406"/>
      <c r="DJ605" s="1406"/>
      <c r="DK605" s="1406"/>
      <c r="DL605" s="1406"/>
      <c r="DM605" s="1406">
        <f t="shared" si="15"/>
        <v>0</v>
      </c>
      <c r="DN605" s="1406"/>
      <c r="DO605" s="1406"/>
      <c r="DP605" s="1406"/>
      <c r="DQ605" s="1406"/>
      <c r="DR605" s="1406">
        <f t="shared" si="16"/>
        <v>0</v>
      </c>
      <c r="DS605" s="1406"/>
      <c r="DT605" s="1406"/>
      <c r="DU605" s="1406"/>
      <c r="DV605" s="1406"/>
      <c r="DX605" s="1402" t="str">
        <f t="shared" si="17"/>
        <v/>
      </c>
      <c r="DY605" s="1403"/>
      <c r="DZ605" s="1403"/>
      <c r="EA605" s="1403"/>
      <c r="EB605" s="1404"/>
      <c r="EC605" s="1402" t="str">
        <f t="shared" si="18"/>
        <v/>
      </c>
      <c r="ED605" s="1403"/>
      <c r="EE605" s="1403"/>
      <c r="EF605" s="1403"/>
      <c r="EG605" s="1404"/>
      <c r="EH605" s="1402" t="str">
        <f t="shared" si="19"/>
        <v/>
      </c>
      <c r="EI605" s="1403"/>
      <c r="EJ605" s="1403"/>
      <c r="EK605" s="1403"/>
      <c r="EL605" s="1404"/>
      <c r="EM605" s="1402" t="str">
        <f t="shared" si="20"/>
        <v/>
      </c>
      <c r="EN605" s="1403"/>
      <c r="EO605" s="1403"/>
      <c r="EP605" s="1403"/>
      <c r="EQ605" s="1404"/>
      <c r="ER605" s="1402" t="str">
        <f t="shared" si="21"/>
        <v/>
      </c>
      <c r="ES605" s="1403"/>
      <c r="ET605" s="1403"/>
      <c r="EU605" s="1403"/>
      <c r="EV605" s="1404"/>
      <c r="EW605" s="1402" t="str">
        <f t="shared" si="22"/>
        <v/>
      </c>
      <c r="EX605" s="1403"/>
      <c r="EY605" s="1403"/>
      <c r="EZ605" s="1403"/>
      <c r="FA605" s="1404"/>
    </row>
    <row r="606" spans="1:157" s="4" customFormat="1" ht="13" customHeight="1">
      <c r="A606" s="22"/>
      <c r="B606" t="s">
        <v>18</v>
      </c>
      <c r="C606"/>
      <c r="D606"/>
      <c r="E606"/>
      <c r="F606"/>
      <c r="G606"/>
      <c r="H606" s="1385" t="str">
        <f>M562</f>
        <v>Cost Deferral</v>
      </c>
      <c r="I606" s="1385"/>
      <c r="J606" s="1385"/>
      <c r="K606" s="1385"/>
      <c r="L606" s="1385"/>
      <c r="M606" s="1385"/>
      <c r="N606" s="1385"/>
      <c r="O606" s="1385"/>
      <c r="P606" s="1385"/>
      <c r="Q606" s="1385"/>
      <c r="R606" s="1385"/>
      <c r="S606"/>
      <c r="T606" s="22"/>
      <c r="U606" t="s">
        <v>18</v>
      </c>
      <c r="V606"/>
      <c r="W606"/>
      <c r="X606"/>
      <c r="Y606"/>
      <c r="Z606"/>
      <c r="AA606" s="1385"/>
      <c r="AB606" s="1385"/>
      <c r="AC606" s="1385"/>
      <c r="AD606" s="1385"/>
      <c r="AE606" s="1385"/>
      <c r="AF606" s="1385"/>
      <c r="AG606" s="1385"/>
      <c r="AH606" s="1385"/>
      <c r="AI606" s="1385"/>
      <c r="AJ606" s="1385"/>
      <c r="AK606" s="1385"/>
      <c r="AL606"/>
      <c r="AM606"/>
      <c r="AN606"/>
      <c r="AO606"/>
      <c r="AP606"/>
      <c r="AQ606"/>
      <c r="AR606"/>
      <c r="AS606"/>
      <c r="AT606"/>
      <c r="AU606"/>
      <c r="AV606"/>
      <c r="AW606"/>
      <c r="AX606"/>
      <c r="AY606"/>
      <c r="AZ606" s="3"/>
      <c r="BA606" s="3"/>
      <c r="BB606" s="3"/>
      <c r="BC606" s="3"/>
      <c r="BD606" s="3"/>
      <c r="BE606" s="1402">
        <f t="shared" si="1"/>
        <v>0</v>
      </c>
      <c r="BF606" s="1404"/>
      <c r="BG606" s="1525">
        <f t="shared" si="2"/>
        <v>0</v>
      </c>
      <c r="BH606" s="1526"/>
      <c r="BI606" s="1402">
        <f t="shared" si="3"/>
        <v>0</v>
      </c>
      <c r="BJ606" s="1404"/>
      <c r="BK606" s="1525">
        <f t="shared" si="4"/>
        <v>0</v>
      </c>
      <c r="BL606" s="1526"/>
      <c r="BM606" s="3"/>
      <c r="BN606" s="1527">
        <f t="shared" si="5"/>
        <v>0</v>
      </c>
      <c r="BO606" s="1528"/>
      <c r="BP606" s="1528"/>
      <c r="BQ606" s="1528"/>
      <c r="BR606" s="1529"/>
      <c r="BS606" s="1407">
        <f t="shared" si="6"/>
        <v>0</v>
      </c>
      <c r="BT606" s="1407"/>
      <c r="BU606" s="1407"/>
      <c r="BV606" s="1407"/>
      <c r="BW606" s="1407"/>
      <c r="BX606" s="1407">
        <f t="shared" si="7"/>
        <v>0</v>
      </c>
      <c r="BY606" s="1407"/>
      <c r="BZ606" s="1407"/>
      <c r="CA606" s="1407"/>
      <c r="CB606" s="1407"/>
      <c r="CC606" s="1407">
        <f t="shared" si="8"/>
        <v>0</v>
      </c>
      <c r="CD606" s="1407"/>
      <c r="CE606" s="1407"/>
      <c r="CF606" s="1407"/>
      <c r="CG606" s="1407"/>
      <c r="CH606" s="1407">
        <f t="shared" si="9"/>
        <v>0</v>
      </c>
      <c r="CI606" s="1407"/>
      <c r="CJ606" s="1407"/>
      <c r="CK606" s="1407"/>
      <c r="CL606" s="1407"/>
      <c r="CM606" s="1407">
        <f t="shared" si="10"/>
        <v>0</v>
      </c>
      <c r="CN606" s="1407"/>
      <c r="CO606" s="1407"/>
      <c r="CP606" s="1407"/>
      <c r="CQ606" s="1407"/>
      <c r="CR606" s="6"/>
      <c r="CS606" s="1406">
        <f t="shared" si="11"/>
        <v>0</v>
      </c>
      <c r="CT606" s="1406"/>
      <c r="CU606" s="1406"/>
      <c r="CV606" s="1406"/>
      <c r="CW606" s="1406"/>
      <c r="CX606" s="1406">
        <f t="shared" si="12"/>
        <v>0</v>
      </c>
      <c r="CY606" s="1406"/>
      <c r="CZ606" s="1406"/>
      <c r="DA606" s="1406"/>
      <c r="DB606" s="1406"/>
      <c r="DC606" s="1406">
        <f t="shared" si="13"/>
        <v>0</v>
      </c>
      <c r="DD606" s="1406"/>
      <c r="DE606" s="1406"/>
      <c r="DF606" s="1406"/>
      <c r="DG606" s="1406"/>
      <c r="DH606" s="1406">
        <f t="shared" si="14"/>
        <v>0</v>
      </c>
      <c r="DI606" s="1406"/>
      <c r="DJ606" s="1406"/>
      <c r="DK606" s="1406"/>
      <c r="DL606" s="1406"/>
      <c r="DM606" s="1406">
        <f t="shared" si="15"/>
        <v>0</v>
      </c>
      <c r="DN606" s="1406"/>
      <c r="DO606" s="1406"/>
      <c r="DP606" s="1406"/>
      <c r="DQ606" s="1406"/>
      <c r="DR606" s="1406">
        <f t="shared" si="16"/>
        <v>0</v>
      </c>
      <c r="DS606" s="1406"/>
      <c r="DT606" s="1406"/>
      <c r="DU606" s="1406"/>
      <c r="DV606" s="1406"/>
      <c r="DX606" s="1402" t="str">
        <f t="shared" si="17"/>
        <v/>
      </c>
      <c r="DY606" s="1403"/>
      <c r="DZ606" s="1403"/>
      <c r="EA606" s="1403"/>
      <c r="EB606" s="1404"/>
      <c r="EC606" s="1402" t="str">
        <f t="shared" si="18"/>
        <v/>
      </c>
      <c r="ED606" s="1403"/>
      <c r="EE606" s="1403"/>
      <c r="EF606" s="1403"/>
      <c r="EG606" s="1404"/>
      <c r="EH606" s="1402" t="str">
        <f t="shared" si="19"/>
        <v/>
      </c>
      <c r="EI606" s="1403"/>
      <c r="EJ606" s="1403"/>
      <c r="EK606" s="1403"/>
      <c r="EL606" s="1404"/>
      <c r="EM606" s="1402" t="str">
        <f t="shared" si="20"/>
        <v/>
      </c>
      <c r="EN606" s="1403"/>
      <c r="EO606" s="1403"/>
      <c r="EP606" s="1403"/>
      <c r="EQ606" s="1404"/>
      <c r="ER606" s="1402" t="str">
        <f t="shared" si="21"/>
        <v/>
      </c>
      <c r="ES606" s="1403"/>
      <c r="ET606" s="1403"/>
      <c r="EU606" s="1403"/>
      <c r="EV606" s="1404"/>
      <c r="EW606" s="1402" t="str">
        <f t="shared" si="22"/>
        <v/>
      </c>
      <c r="EX606" s="1403"/>
      <c r="EY606" s="1403"/>
      <c r="EZ606" s="1403"/>
      <c r="FA606" s="1404"/>
    </row>
    <row r="607" spans="1:157" s="4" customFormat="1" ht="13" customHeight="1">
      <c r="A607" s="22"/>
      <c r="B607" t="s">
        <v>20</v>
      </c>
      <c r="C607"/>
      <c r="D607"/>
      <c r="E607"/>
      <c r="F607"/>
      <c r="G607"/>
      <c r="H607"/>
      <c r="I607"/>
      <c r="J607"/>
      <c r="K607"/>
      <c r="L607"/>
      <c r="M607"/>
      <c r="N607" s="1381" t="s">
        <v>554</v>
      </c>
      <c r="O607" s="1381"/>
      <c r="P607"/>
      <c r="Q607"/>
      <c r="R607"/>
      <c r="S607"/>
      <c r="T607" s="22"/>
      <c r="U607" t="s">
        <v>20</v>
      </c>
      <c r="V607"/>
      <c r="W607"/>
      <c r="X607"/>
      <c r="Y607"/>
      <c r="Z607"/>
      <c r="AA607"/>
      <c r="AB607"/>
      <c r="AC607"/>
      <c r="AD607"/>
      <c r="AE607"/>
      <c r="AF607"/>
      <c r="AG607" s="1381" t="s">
        <v>678</v>
      </c>
      <c r="AH607" s="1381"/>
      <c r="AI607"/>
      <c r="AJ607"/>
      <c r="AK607"/>
      <c r="AL607"/>
      <c r="AM607"/>
      <c r="AN607"/>
      <c r="AO607"/>
      <c r="AP607"/>
      <c r="AQ607"/>
      <c r="AR607"/>
      <c r="AS607"/>
      <c r="AT607"/>
      <c r="AU607"/>
      <c r="AV607"/>
      <c r="AW607"/>
      <c r="AX607"/>
      <c r="AY607"/>
      <c r="AZ607" s="3"/>
      <c r="BA607" s="3"/>
      <c r="BB607" s="3"/>
      <c r="BC607" s="3"/>
      <c r="BD607" s="3"/>
      <c r="BE607" s="1402">
        <f t="shared" si="1"/>
        <v>0</v>
      </c>
      <c r="BF607" s="1404"/>
      <c r="BG607" s="1525">
        <f t="shared" si="2"/>
        <v>0</v>
      </c>
      <c r="BH607" s="1526"/>
      <c r="BI607" s="1402">
        <f t="shared" si="3"/>
        <v>0</v>
      </c>
      <c r="BJ607" s="1404"/>
      <c r="BK607" s="1525">
        <f t="shared" si="4"/>
        <v>0</v>
      </c>
      <c r="BL607" s="1526"/>
      <c r="BM607" s="3"/>
      <c r="BN607" s="1527">
        <f t="shared" si="5"/>
        <v>0</v>
      </c>
      <c r="BO607" s="1528"/>
      <c r="BP607" s="1528"/>
      <c r="BQ607" s="1528"/>
      <c r="BR607" s="1529"/>
      <c r="BS607" s="1407">
        <f t="shared" si="6"/>
        <v>0</v>
      </c>
      <c r="BT607" s="1407"/>
      <c r="BU607" s="1407"/>
      <c r="BV607" s="1407"/>
      <c r="BW607" s="1407"/>
      <c r="BX607" s="1407">
        <f t="shared" si="7"/>
        <v>0</v>
      </c>
      <c r="BY607" s="1407"/>
      <c r="BZ607" s="1407"/>
      <c r="CA607" s="1407"/>
      <c r="CB607" s="1407"/>
      <c r="CC607" s="1407">
        <f t="shared" si="8"/>
        <v>0</v>
      </c>
      <c r="CD607" s="1407"/>
      <c r="CE607" s="1407"/>
      <c r="CF607" s="1407"/>
      <c r="CG607" s="1407"/>
      <c r="CH607" s="1407">
        <f t="shared" si="9"/>
        <v>0</v>
      </c>
      <c r="CI607" s="1407"/>
      <c r="CJ607" s="1407"/>
      <c r="CK607" s="1407"/>
      <c r="CL607" s="1407"/>
      <c r="CM607" s="1407">
        <f t="shared" si="10"/>
        <v>0</v>
      </c>
      <c r="CN607" s="1407"/>
      <c r="CO607" s="1407"/>
      <c r="CP607" s="1407"/>
      <c r="CQ607" s="1407"/>
      <c r="CR607" s="6"/>
      <c r="CS607" s="1406">
        <f t="shared" si="11"/>
        <v>0</v>
      </c>
      <c r="CT607" s="1406"/>
      <c r="CU607" s="1406"/>
      <c r="CV607" s="1406"/>
      <c r="CW607" s="1406"/>
      <c r="CX607" s="1406">
        <f t="shared" si="12"/>
        <v>0</v>
      </c>
      <c r="CY607" s="1406"/>
      <c r="CZ607" s="1406"/>
      <c r="DA607" s="1406"/>
      <c r="DB607" s="1406"/>
      <c r="DC607" s="1406">
        <f t="shared" si="13"/>
        <v>0</v>
      </c>
      <c r="DD607" s="1406"/>
      <c r="DE607" s="1406"/>
      <c r="DF607" s="1406"/>
      <c r="DG607" s="1406"/>
      <c r="DH607" s="1406">
        <f t="shared" si="14"/>
        <v>0</v>
      </c>
      <c r="DI607" s="1406"/>
      <c r="DJ607" s="1406"/>
      <c r="DK607" s="1406"/>
      <c r="DL607" s="1406"/>
      <c r="DM607" s="1406">
        <f t="shared" si="15"/>
        <v>0</v>
      </c>
      <c r="DN607" s="1406"/>
      <c r="DO607" s="1406"/>
      <c r="DP607" s="1406"/>
      <c r="DQ607" s="1406"/>
      <c r="DR607" s="1406">
        <f t="shared" si="16"/>
        <v>0</v>
      </c>
      <c r="DS607" s="1406"/>
      <c r="DT607" s="1406"/>
      <c r="DU607" s="1406"/>
      <c r="DV607" s="1406"/>
      <c r="DX607" s="1402" t="str">
        <f t="shared" si="17"/>
        <v/>
      </c>
      <c r="DY607" s="1403"/>
      <c r="DZ607" s="1403"/>
      <c r="EA607" s="1403"/>
      <c r="EB607" s="1404"/>
      <c r="EC607" s="1402" t="str">
        <f t="shared" si="18"/>
        <v/>
      </c>
      <c r="ED607" s="1403"/>
      <c r="EE607" s="1403"/>
      <c r="EF607" s="1403"/>
      <c r="EG607" s="1404"/>
      <c r="EH607" s="1402" t="str">
        <f t="shared" si="19"/>
        <v/>
      </c>
      <c r="EI607" s="1403"/>
      <c r="EJ607" s="1403"/>
      <c r="EK607" s="1403"/>
      <c r="EL607" s="1404"/>
      <c r="EM607" s="1402" t="str">
        <f t="shared" si="20"/>
        <v/>
      </c>
      <c r="EN607" s="1403"/>
      <c r="EO607" s="1403"/>
      <c r="EP607" s="1403"/>
      <c r="EQ607" s="1404"/>
      <c r="ER607" s="1402" t="str">
        <f t="shared" si="21"/>
        <v/>
      </c>
      <c r="ES607" s="1403"/>
      <c r="ET607" s="1403"/>
      <c r="EU607" s="1403"/>
      <c r="EV607" s="1404"/>
      <c r="EW607" s="1402" t="str">
        <f t="shared" si="22"/>
        <v/>
      </c>
      <c r="EX607" s="1403"/>
      <c r="EY607" s="1403"/>
      <c r="EZ607" s="1403"/>
      <c r="FA607" s="1404"/>
    </row>
    <row r="608" spans="1:157" ht="13" customHeight="1">
      <c r="A608" s="22"/>
      <c r="T608" s="22"/>
      <c r="AZ608" s="3"/>
      <c r="BA608" s="3"/>
      <c r="BB608" s="3"/>
      <c r="BC608" s="3"/>
      <c r="BD608" s="3"/>
      <c r="BE608" s="1402">
        <f t="shared" si="1"/>
        <v>0</v>
      </c>
      <c r="BF608" s="1404"/>
      <c r="BG608" s="1525">
        <f t="shared" si="2"/>
        <v>0</v>
      </c>
      <c r="BH608" s="1526"/>
      <c r="BI608" s="1402">
        <f t="shared" si="3"/>
        <v>0</v>
      </c>
      <c r="BJ608" s="1404"/>
      <c r="BK608" s="1525">
        <f t="shared" si="4"/>
        <v>0</v>
      </c>
      <c r="BL608" s="1526"/>
      <c r="BM608" s="3"/>
      <c r="BN608" s="1527">
        <f t="shared" si="5"/>
        <v>0</v>
      </c>
      <c r="BO608" s="1528"/>
      <c r="BP608" s="1528"/>
      <c r="BQ608" s="1528"/>
      <c r="BR608" s="1529"/>
      <c r="BS608" s="1407">
        <f t="shared" si="6"/>
        <v>0</v>
      </c>
      <c r="BT608" s="1407"/>
      <c r="BU608" s="1407"/>
      <c r="BV608" s="1407"/>
      <c r="BW608" s="1407"/>
      <c r="BX608" s="1407">
        <f t="shared" si="7"/>
        <v>0</v>
      </c>
      <c r="BY608" s="1407"/>
      <c r="BZ608" s="1407"/>
      <c r="CA608" s="1407"/>
      <c r="CB608" s="1407"/>
      <c r="CC608" s="1407">
        <f t="shared" si="8"/>
        <v>0</v>
      </c>
      <c r="CD608" s="1407"/>
      <c r="CE608" s="1407"/>
      <c r="CF608" s="1407"/>
      <c r="CG608" s="1407"/>
      <c r="CH608" s="1407">
        <f t="shared" si="9"/>
        <v>0</v>
      </c>
      <c r="CI608" s="1407"/>
      <c r="CJ608" s="1407"/>
      <c r="CK608" s="1407"/>
      <c r="CL608" s="1407"/>
      <c r="CM608" s="1407">
        <f t="shared" si="10"/>
        <v>0</v>
      </c>
      <c r="CN608" s="1407"/>
      <c r="CO608" s="1407"/>
      <c r="CP608" s="1407"/>
      <c r="CQ608" s="1407"/>
      <c r="CR608" s="6"/>
      <c r="CS608" s="1406">
        <f t="shared" si="11"/>
        <v>0</v>
      </c>
      <c r="CT608" s="1406"/>
      <c r="CU608" s="1406"/>
      <c r="CV608" s="1406"/>
      <c r="CW608" s="1406"/>
      <c r="CX608" s="1406">
        <f t="shared" si="12"/>
        <v>0</v>
      </c>
      <c r="CY608" s="1406"/>
      <c r="CZ608" s="1406"/>
      <c r="DA608" s="1406"/>
      <c r="DB608" s="1406"/>
      <c r="DC608" s="1406">
        <f t="shared" si="13"/>
        <v>0</v>
      </c>
      <c r="DD608" s="1406"/>
      <c r="DE608" s="1406"/>
      <c r="DF608" s="1406"/>
      <c r="DG608" s="1406"/>
      <c r="DH608" s="1406">
        <f t="shared" si="14"/>
        <v>0</v>
      </c>
      <c r="DI608" s="1406"/>
      <c r="DJ608" s="1406"/>
      <c r="DK608" s="1406"/>
      <c r="DL608" s="1406"/>
      <c r="DM608" s="1406">
        <f t="shared" si="15"/>
        <v>0</v>
      </c>
      <c r="DN608" s="1406"/>
      <c r="DO608" s="1406"/>
      <c r="DP608" s="1406"/>
      <c r="DQ608" s="1406"/>
      <c r="DR608" s="1406">
        <f t="shared" si="16"/>
        <v>0</v>
      </c>
      <c r="DS608" s="1406"/>
      <c r="DT608" s="1406"/>
      <c r="DU608" s="1406"/>
      <c r="DV608" s="1406"/>
      <c r="DX608" s="1402" t="str">
        <f t="shared" si="17"/>
        <v/>
      </c>
      <c r="DY608" s="1403"/>
      <c r="DZ608" s="1403"/>
      <c r="EA608" s="1403"/>
      <c r="EB608" s="1404"/>
      <c r="EC608" s="1402" t="str">
        <f t="shared" si="18"/>
        <v/>
      </c>
      <c r="ED608" s="1403"/>
      <c r="EE608" s="1403"/>
      <c r="EF608" s="1403"/>
      <c r="EG608" s="1404"/>
      <c r="EH608" s="1402" t="str">
        <f t="shared" si="19"/>
        <v/>
      </c>
      <c r="EI608" s="1403"/>
      <c r="EJ608" s="1403"/>
      <c r="EK608" s="1403"/>
      <c r="EL608" s="1404"/>
      <c r="EM608" s="1402" t="str">
        <f t="shared" si="20"/>
        <v/>
      </c>
      <c r="EN608" s="1403"/>
      <c r="EO608" s="1403"/>
      <c r="EP608" s="1403"/>
      <c r="EQ608" s="1404"/>
      <c r="ER608" s="1402" t="str">
        <f t="shared" si="21"/>
        <v/>
      </c>
      <c r="ES608" s="1403"/>
      <c r="ET608" s="1403"/>
      <c r="EU608" s="1403"/>
      <c r="EV608" s="1404"/>
      <c r="EW608" s="1402" t="str">
        <f t="shared" si="22"/>
        <v/>
      </c>
      <c r="EX608" s="1403"/>
      <c r="EY608" s="1403"/>
      <c r="EZ608" s="1403"/>
      <c r="FA608" s="1404"/>
    </row>
    <row r="609" spans="1:157" ht="13" customHeight="1">
      <c r="A609" s="55" t="s">
        <v>363</v>
      </c>
      <c r="B609" t="s">
        <v>472</v>
      </c>
      <c r="G609" s="1393">
        <f>C564</f>
        <v>0</v>
      </c>
      <c r="H609" s="1393"/>
      <c r="I609" s="1393"/>
      <c r="J609" s="1393"/>
      <c r="K609" s="1393"/>
      <c r="L609" s="1393"/>
      <c r="M609" s="1393"/>
      <c r="N609" s="1393"/>
      <c r="O609" s="1393"/>
      <c r="P609" s="1393"/>
      <c r="Q609" s="1393"/>
      <c r="R609" s="1393"/>
      <c r="T609" s="55" t="s">
        <v>364</v>
      </c>
      <c r="U609" t="s">
        <v>472</v>
      </c>
      <c r="Z609" s="1393">
        <f>C565</f>
        <v>0</v>
      </c>
      <c r="AA609" s="1393"/>
      <c r="AB609" s="1393"/>
      <c r="AC609" s="1393"/>
      <c r="AD609" s="1393"/>
      <c r="AE609" s="1393"/>
      <c r="AF609" s="1393"/>
      <c r="AG609" s="1393"/>
      <c r="AH609" s="1393"/>
      <c r="AI609" s="1393"/>
      <c r="AJ609" s="1393"/>
      <c r="AK609" s="1393"/>
      <c r="AZ609" s="3"/>
      <c r="BA609" s="3"/>
      <c r="BB609" s="3"/>
      <c r="BC609" s="3"/>
      <c r="BD609" s="3"/>
      <c r="BE609" s="1402">
        <f t="shared" si="1"/>
        <v>0</v>
      </c>
      <c r="BF609" s="1404"/>
      <c r="BG609" s="1525">
        <f t="shared" si="2"/>
        <v>0</v>
      </c>
      <c r="BH609" s="1526"/>
      <c r="BI609" s="1402">
        <f t="shared" si="3"/>
        <v>0</v>
      </c>
      <c r="BJ609" s="1404"/>
      <c r="BK609" s="1525">
        <f t="shared" si="4"/>
        <v>0</v>
      </c>
      <c r="BL609" s="1526"/>
      <c r="BM609" s="3"/>
      <c r="BN609" s="1527">
        <f t="shared" si="5"/>
        <v>0</v>
      </c>
      <c r="BO609" s="1528"/>
      <c r="BP609" s="1528"/>
      <c r="BQ609" s="1528"/>
      <c r="BR609" s="1529"/>
      <c r="BS609" s="1407">
        <f t="shared" si="6"/>
        <v>0</v>
      </c>
      <c r="BT609" s="1407"/>
      <c r="BU609" s="1407"/>
      <c r="BV609" s="1407"/>
      <c r="BW609" s="1407"/>
      <c r="BX609" s="1407">
        <f t="shared" si="7"/>
        <v>0</v>
      </c>
      <c r="BY609" s="1407"/>
      <c r="BZ609" s="1407"/>
      <c r="CA609" s="1407"/>
      <c r="CB609" s="1407"/>
      <c r="CC609" s="1407">
        <f t="shared" si="8"/>
        <v>0</v>
      </c>
      <c r="CD609" s="1407"/>
      <c r="CE609" s="1407"/>
      <c r="CF609" s="1407"/>
      <c r="CG609" s="1407"/>
      <c r="CH609" s="1407">
        <f t="shared" si="9"/>
        <v>0</v>
      </c>
      <c r="CI609" s="1407"/>
      <c r="CJ609" s="1407"/>
      <c r="CK609" s="1407"/>
      <c r="CL609" s="1407"/>
      <c r="CM609" s="1407">
        <f t="shared" si="10"/>
        <v>0</v>
      </c>
      <c r="CN609" s="1407"/>
      <c r="CO609" s="1407"/>
      <c r="CP609" s="1407"/>
      <c r="CQ609" s="1407"/>
      <c r="CR609" s="6"/>
      <c r="CS609" s="1406">
        <f t="shared" si="11"/>
        <v>0</v>
      </c>
      <c r="CT609" s="1406"/>
      <c r="CU609" s="1406"/>
      <c r="CV609" s="1406"/>
      <c r="CW609" s="1406"/>
      <c r="CX609" s="1406">
        <f t="shared" si="12"/>
        <v>0</v>
      </c>
      <c r="CY609" s="1406"/>
      <c r="CZ609" s="1406"/>
      <c r="DA609" s="1406"/>
      <c r="DB609" s="1406"/>
      <c r="DC609" s="1406">
        <f t="shared" si="13"/>
        <v>0</v>
      </c>
      <c r="DD609" s="1406"/>
      <c r="DE609" s="1406"/>
      <c r="DF609" s="1406"/>
      <c r="DG609" s="1406"/>
      <c r="DH609" s="1406">
        <f t="shared" si="14"/>
        <v>0</v>
      </c>
      <c r="DI609" s="1406"/>
      <c r="DJ609" s="1406"/>
      <c r="DK609" s="1406"/>
      <c r="DL609" s="1406"/>
      <c r="DM609" s="1406">
        <f t="shared" si="15"/>
        <v>0</v>
      </c>
      <c r="DN609" s="1406"/>
      <c r="DO609" s="1406"/>
      <c r="DP609" s="1406"/>
      <c r="DQ609" s="1406"/>
      <c r="DR609" s="1406">
        <f t="shared" si="16"/>
        <v>0</v>
      </c>
      <c r="DS609" s="1406"/>
      <c r="DT609" s="1406"/>
      <c r="DU609" s="1406"/>
      <c r="DV609" s="1406"/>
      <c r="DX609" s="1402" t="str">
        <f t="shared" si="17"/>
        <v/>
      </c>
      <c r="DY609" s="1403"/>
      <c r="DZ609" s="1403"/>
      <c r="EA609" s="1403"/>
      <c r="EB609" s="1404"/>
      <c r="EC609" s="1402" t="str">
        <f t="shared" si="18"/>
        <v/>
      </c>
      <c r="ED609" s="1403"/>
      <c r="EE609" s="1403"/>
      <c r="EF609" s="1403"/>
      <c r="EG609" s="1404"/>
      <c r="EH609" s="1402" t="str">
        <f t="shared" si="19"/>
        <v/>
      </c>
      <c r="EI609" s="1403"/>
      <c r="EJ609" s="1403"/>
      <c r="EK609" s="1403"/>
      <c r="EL609" s="1404"/>
      <c r="EM609" s="1402" t="str">
        <f t="shared" si="20"/>
        <v/>
      </c>
      <c r="EN609" s="1403"/>
      <c r="EO609" s="1403"/>
      <c r="EP609" s="1403"/>
      <c r="EQ609" s="1404"/>
      <c r="ER609" s="1402" t="str">
        <f t="shared" si="21"/>
        <v/>
      </c>
      <c r="ES609" s="1403"/>
      <c r="ET609" s="1403"/>
      <c r="EU609" s="1403"/>
      <c r="EV609" s="1404"/>
      <c r="EW609" s="1402" t="str">
        <f t="shared" si="22"/>
        <v/>
      </c>
      <c r="EX609" s="1403"/>
      <c r="EY609" s="1403"/>
      <c r="EZ609" s="1403"/>
      <c r="FA609" s="1404"/>
    </row>
    <row r="610" spans="1:157" ht="13" customHeight="1">
      <c r="B610" t="s">
        <v>85</v>
      </c>
      <c r="G610" s="1385"/>
      <c r="H610" s="1385"/>
      <c r="I610" s="1385"/>
      <c r="J610" s="1385"/>
      <c r="K610" s="1385"/>
      <c r="L610" s="1385"/>
      <c r="M610" s="1385"/>
      <c r="N610" s="1385"/>
      <c r="O610" s="1385"/>
      <c r="P610" s="1385"/>
      <c r="Q610" s="1385"/>
      <c r="R610" s="1385"/>
      <c r="U610" t="s">
        <v>85</v>
      </c>
      <c r="Z610" s="1385"/>
      <c r="AA610" s="1385"/>
      <c r="AB610" s="1385"/>
      <c r="AC610" s="1385"/>
      <c r="AD610" s="1385"/>
      <c r="AE610" s="1385"/>
      <c r="AF610" s="1385"/>
      <c r="AG610" s="1385"/>
      <c r="AH610" s="1385"/>
      <c r="AI610" s="1385"/>
      <c r="AJ610" s="1385"/>
      <c r="AK610" s="1385"/>
      <c r="AZ610" s="3"/>
      <c r="BA610" s="3"/>
      <c r="BB610" s="3"/>
      <c r="BC610" s="3"/>
      <c r="BD610" s="3"/>
      <c r="BE610" s="1402">
        <f t="shared" si="1"/>
        <v>0</v>
      </c>
      <c r="BF610" s="1404"/>
      <c r="BG610" s="1525">
        <f t="shared" si="2"/>
        <v>0</v>
      </c>
      <c r="BH610" s="1526"/>
      <c r="BI610" s="1402">
        <f t="shared" si="3"/>
        <v>0</v>
      </c>
      <c r="BJ610" s="1404"/>
      <c r="BK610" s="1525">
        <f t="shared" si="4"/>
        <v>0</v>
      </c>
      <c r="BL610" s="1526"/>
      <c r="BM610" s="3"/>
      <c r="BN610" s="1527">
        <f t="shared" si="5"/>
        <v>0</v>
      </c>
      <c r="BO610" s="1528"/>
      <c r="BP610" s="1528"/>
      <c r="BQ610" s="1528"/>
      <c r="BR610" s="1529"/>
      <c r="BS610" s="1407">
        <f t="shared" si="6"/>
        <v>0</v>
      </c>
      <c r="BT610" s="1407"/>
      <c r="BU610" s="1407"/>
      <c r="BV610" s="1407"/>
      <c r="BW610" s="1407"/>
      <c r="BX610" s="1407">
        <f t="shared" si="7"/>
        <v>0</v>
      </c>
      <c r="BY610" s="1407"/>
      <c r="BZ610" s="1407"/>
      <c r="CA610" s="1407"/>
      <c r="CB610" s="1407"/>
      <c r="CC610" s="1407">
        <f t="shared" si="8"/>
        <v>0</v>
      </c>
      <c r="CD610" s="1407"/>
      <c r="CE610" s="1407"/>
      <c r="CF610" s="1407"/>
      <c r="CG610" s="1407"/>
      <c r="CH610" s="1407">
        <f t="shared" si="9"/>
        <v>0</v>
      </c>
      <c r="CI610" s="1407"/>
      <c r="CJ610" s="1407"/>
      <c r="CK610" s="1407"/>
      <c r="CL610" s="1407"/>
      <c r="CM610" s="1407">
        <f t="shared" si="10"/>
        <v>0</v>
      </c>
      <c r="CN610" s="1407"/>
      <c r="CO610" s="1407"/>
      <c r="CP610" s="1407"/>
      <c r="CQ610" s="1407"/>
      <c r="CR610" s="6"/>
      <c r="CS610" s="1406">
        <f t="shared" si="11"/>
        <v>0</v>
      </c>
      <c r="CT610" s="1406"/>
      <c r="CU610" s="1406"/>
      <c r="CV610" s="1406"/>
      <c r="CW610" s="1406"/>
      <c r="CX610" s="1406">
        <f t="shared" si="12"/>
        <v>0</v>
      </c>
      <c r="CY610" s="1406"/>
      <c r="CZ610" s="1406"/>
      <c r="DA610" s="1406"/>
      <c r="DB610" s="1406"/>
      <c r="DC610" s="1406">
        <f t="shared" si="13"/>
        <v>0</v>
      </c>
      <c r="DD610" s="1406"/>
      <c r="DE610" s="1406"/>
      <c r="DF610" s="1406"/>
      <c r="DG610" s="1406"/>
      <c r="DH610" s="1406">
        <f t="shared" si="14"/>
        <v>0</v>
      </c>
      <c r="DI610" s="1406"/>
      <c r="DJ610" s="1406"/>
      <c r="DK610" s="1406"/>
      <c r="DL610" s="1406"/>
      <c r="DM610" s="1406">
        <f t="shared" si="15"/>
        <v>0</v>
      </c>
      <c r="DN610" s="1406"/>
      <c r="DO610" s="1406"/>
      <c r="DP610" s="1406"/>
      <c r="DQ610" s="1406"/>
      <c r="DR610" s="1406">
        <f t="shared" si="16"/>
        <v>0</v>
      </c>
      <c r="DS610" s="1406"/>
      <c r="DT610" s="1406"/>
      <c r="DU610" s="1406"/>
      <c r="DV610" s="1406"/>
      <c r="DX610" s="1402" t="str">
        <f t="shared" si="17"/>
        <v/>
      </c>
      <c r="DY610" s="1403"/>
      <c r="DZ610" s="1403"/>
      <c r="EA610" s="1403"/>
      <c r="EB610" s="1404"/>
      <c r="EC610" s="1402" t="str">
        <f t="shared" si="18"/>
        <v/>
      </c>
      <c r="ED610" s="1403"/>
      <c r="EE610" s="1403"/>
      <c r="EF610" s="1403"/>
      <c r="EG610" s="1404"/>
      <c r="EH610" s="1402" t="str">
        <f t="shared" si="19"/>
        <v/>
      </c>
      <c r="EI610" s="1403"/>
      <c r="EJ610" s="1403"/>
      <c r="EK610" s="1403"/>
      <c r="EL610" s="1404"/>
      <c r="EM610" s="1402" t="str">
        <f t="shared" si="20"/>
        <v/>
      </c>
      <c r="EN610" s="1403"/>
      <c r="EO610" s="1403"/>
      <c r="EP610" s="1403"/>
      <c r="EQ610" s="1404"/>
      <c r="ER610" s="1402" t="str">
        <f t="shared" si="21"/>
        <v/>
      </c>
      <c r="ES610" s="1403"/>
      <c r="ET610" s="1403"/>
      <c r="EU610" s="1403"/>
      <c r="EV610" s="1404"/>
      <c r="EW610" s="1402" t="str">
        <f t="shared" si="22"/>
        <v/>
      </c>
      <c r="EX610" s="1403"/>
      <c r="EY610" s="1403"/>
      <c r="EZ610" s="1403"/>
      <c r="FA610" s="1404"/>
    </row>
    <row r="611" spans="1:157" ht="13" customHeight="1">
      <c r="B611" t="s">
        <v>589</v>
      </c>
      <c r="G611" s="1385"/>
      <c r="H611" s="1385"/>
      <c r="I611" s="1385"/>
      <c r="J611" s="1385"/>
      <c r="K611" s="1385"/>
      <c r="L611" s="1385"/>
      <c r="M611" s="1385"/>
      <c r="N611" s="1385"/>
      <c r="O611" s="1385"/>
      <c r="P611" s="1385"/>
      <c r="Q611" s="1385"/>
      <c r="R611" s="1385"/>
      <c r="U611" t="s">
        <v>589</v>
      </c>
      <c r="Z611" s="1395"/>
      <c r="AA611" s="1395"/>
      <c r="AB611" s="1395"/>
      <c r="AC611" s="1395"/>
      <c r="AD611" s="1395"/>
      <c r="AE611" s="1395"/>
      <c r="AF611" s="1395"/>
      <c r="AG611" s="1395"/>
      <c r="AH611" s="1395"/>
      <c r="AI611" s="1395"/>
      <c r="AJ611" s="1395"/>
      <c r="AK611" s="1395"/>
      <c r="AZ611" s="3"/>
      <c r="BA611" s="3"/>
      <c r="BB611" s="3"/>
      <c r="BC611" s="3"/>
      <c r="BD611" s="3"/>
      <c r="BE611" s="1402">
        <f t="shared" si="1"/>
        <v>0</v>
      </c>
      <c r="BF611" s="1404"/>
      <c r="BG611" s="1525">
        <f t="shared" si="2"/>
        <v>0</v>
      </c>
      <c r="BH611" s="1526"/>
      <c r="BI611" s="1402">
        <f t="shared" si="3"/>
        <v>0</v>
      </c>
      <c r="BJ611" s="1404"/>
      <c r="BK611" s="1525">
        <f t="shared" si="4"/>
        <v>0</v>
      </c>
      <c r="BL611" s="1526"/>
      <c r="BM611" s="3"/>
      <c r="BN611" s="1527">
        <f t="shared" si="5"/>
        <v>0</v>
      </c>
      <c r="BO611" s="1528"/>
      <c r="BP611" s="1528"/>
      <c r="BQ611" s="1528"/>
      <c r="BR611" s="1529"/>
      <c r="BS611" s="1407">
        <f t="shared" si="6"/>
        <v>0</v>
      </c>
      <c r="BT611" s="1407"/>
      <c r="BU611" s="1407"/>
      <c r="BV611" s="1407"/>
      <c r="BW611" s="1407"/>
      <c r="BX611" s="1407">
        <f t="shared" si="7"/>
        <v>0</v>
      </c>
      <c r="BY611" s="1407"/>
      <c r="BZ611" s="1407"/>
      <c r="CA611" s="1407"/>
      <c r="CB611" s="1407"/>
      <c r="CC611" s="1407">
        <f t="shared" si="8"/>
        <v>0</v>
      </c>
      <c r="CD611" s="1407"/>
      <c r="CE611" s="1407"/>
      <c r="CF611" s="1407"/>
      <c r="CG611" s="1407"/>
      <c r="CH611" s="1407">
        <f t="shared" si="9"/>
        <v>0</v>
      </c>
      <c r="CI611" s="1407"/>
      <c r="CJ611" s="1407"/>
      <c r="CK611" s="1407"/>
      <c r="CL611" s="1407"/>
      <c r="CM611" s="1407">
        <f t="shared" si="10"/>
        <v>0</v>
      </c>
      <c r="CN611" s="1407"/>
      <c r="CO611" s="1407"/>
      <c r="CP611" s="1407"/>
      <c r="CQ611" s="1407"/>
      <c r="CR611" s="6"/>
      <c r="CS611" s="1406">
        <f t="shared" si="11"/>
        <v>0</v>
      </c>
      <c r="CT611" s="1406"/>
      <c r="CU611" s="1406"/>
      <c r="CV611" s="1406"/>
      <c r="CW611" s="1406"/>
      <c r="CX611" s="1406">
        <f t="shared" si="12"/>
        <v>0</v>
      </c>
      <c r="CY611" s="1406"/>
      <c r="CZ611" s="1406"/>
      <c r="DA611" s="1406"/>
      <c r="DB611" s="1406"/>
      <c r="DC611" s="1406">
        <f t="shared" si="13"/>
        <v>0</v>
      </c>
      <c r="DD611" s="1406"/>
      <c r="DE611" s="1406"/>
      <c r="DF611" s="1406"/>
      <c r="DG611" s="1406"/>
      <c r="DH611" s="1406">
        <f t="shared" si="14"/>
        <v>0</v>
      </c>
      <c r="DI611" s="1406"/>
      <c r="DJ611" s="1406"/>
      <c r="DK611" s="1406"/>
      <c r="DL611" s="1406"/>
      <c r="DM611" s="1406">
        <f t="shared" si="15"/>
        <v>0</v>
      </c>
      <c r="DN611" s="1406"/>
      <c r="DO611" s="1406"/>
      <c r="DP611" s="1406"/>
      <c r="DQ611" s="1406"/>
      <c r="DR611" s="1406">
        <f t="shared" si="16"/>
        <v>0</v>
      </c>
      <c r="DS611" s="1406"/>
      <c r="DT611" s="1406"/>
      <c r="DU611" s="1406"/>
      <c r="DV611" s="1406"/>
      <c r="DX611" s="1402" t="str">
        <f t="shared" si="17"/>
        <v/>
      </c>
      <c r="DY611" s="1403"/>
      <c r="DZ611" s="1403"/>
      <c r="EA611" s="1403"/>
      <c r="EB611" s="1404"/>
      <c r="EC611" s="1402" t="str">
        <f t="shared" si="18"/>
        <v/>
      </c>
      <c r="ED611" s="1403"/>
      <c r="EE611" s="1403"/>
      <c r="EF611" s="1403"/>
      <c r="EG611" s="1404"/>
      <c r="EH611" s="1402" t="str">
        <f t="shared" si="19"/>
        <v/>
      </c>
      <c r="EI611" s="1403"/>
      <c r="EJ611" s="1403"/>
      <c r="EK611" s="1403"/>
      <c r="EL611" s="1404"/>
      <c r="EM611" s="1402" t="str">
        <f t="shared" si="20"/>
        <v/>
      </c>
      <c r="EN611" s="1403"/>
      <c r="EO611" s="1403"/>
      <c r="EP611" s="1403"/>
      <c r="EQ611" s="1404"/>
      <c r="ER611" s="1402" t="str">
        <f t="shared" si="21"/>
        <v/>
      </c>
      <c r="ES611" s="1403"/>
      <c r="ET611" s="1403"/>
      <c r="EU611" s="1403"/>
      <c r="EV611" s="1404"/>
      <c r="EW611" s="1402" t="str">
        <f t="shared" si="22"/>
        <v/>
      </c>
      <c r="EX611" s="1403"/>
      <c r="EY611" s="1403"/>
      <c r="EZ611" s="1403"/>
      <c r="FA611" s="1404"/>
    </row>
    <row r="612" spans="1:157" ht="13" customHeight="1">
      <c r="B612" t="s">
        <v>17</v>
      </c>
      <c r="G612" s="1385"/>
      <c r="H612" s="1385"/>
      <c r="I612" s="1385"/>
      <c r="J612" s="1385"/>
      <c r="K612" s="1385"/>
      <c r="L612" s="1385"/>
      <c r="M612" s="1385"/>
      <c r="N612" s="1385"/>
      <c r="O612" s="1385"/>
      <c r="P612" s="1385"/>
      <c r="Q612" s="1385"/>
      <c r="R612" s="1385"/>
      <c r="U612" t="s">
        <v>17</v>
      </c>
      <c r="Z612" s="1395"/>
      <c r="AA612" s="1395"/>
      <c r="AB612" s="1395"/>
      <c r="AC612" s="1395"/>
      <c r="AD612" s="1395"/>
      <c r="AE612" s="1395"/>
      <c r="AF612" s="1395"/>
      <c r="AG612" s="1395"/>
      <c r="AH612" s="1395"/>
      <c r="AI612" s="1395"/>
      <c r="AJ612" s="1395"/>
      <c r="AK612" s="1395"/>
      <c r="AZ612" s="3"/>
      <c r="BA612" s="3"/>
      <c r="BB612" s="3"/>
      <c r="BC612" s="3"/>
      <c r="BD612" s="3"/>
      <c r="BE612" s="1402">
        <f t="shared" si="1"/>
        <v>0</v>
      </c>
      <c r="BF612" s="1404"/>
      <c r="BG612" s="1525">
        <f t="shared" si="2"/>
        <v>0</v>
      </c>
      <c r="BH612" s="1526"/>
      <c r="BI612" s="1402">
        <f t="shared" si="3"/>
        <v>0</v>
      </c>
      <c r="BJ612" s="1404"/>
      <c r="BK612" s="1525">
        <f t="shared" si="4"/>
        <v>0</v>
      </c>
      <c r="BL612" s="1526"/>
      <c r="BM612" s="3"/>
      <c r="BN612" s="1527">
        <f t="shared" si="5"/>
        <v>0</v>
      </c>
      <c r="BO612" s="1528"/>
      <c r="BP612" s="1528"/>
      <c r="BQ612" s="1528"/>
      <c r="BR612" s="1529"/>
      <c r="BS612" s="1407">
        <f t="shared" si="6"/>
        <v>0</v>
      </c>
      <c r="BT612" s="1407"/>
      <c r="BU612" s="1407"/>
      <c r="BV612" s="1407"/>
      <c r="BW612" s="1407"/>
      <c r="BX612" s="1407">
        <f t="shared" si="7"/>
        <v>0</v>
      </c>
      <c r="BY612" s="1407"/>
      <c r="BZ612" s="1407"/>
      <c r="CA612" s="1407"/>
      <c r="CB612" s="1407"/>
      <c r="CC612" s="1407">
        <f t="shared" si="8"/>
        <v>0</v>
      </c>
      <c r="CD612" s="1407"/>
      <c r="CE612" s="1407"/>
      <c r="CF612" s="1407"/>
      <c r="CG612" s="1407"/>
      <c r="CH612" s="1407">
        <f t="shared" si="9"/>
        <v>0</v>
      </c>
      <c r="CI612" s="1407"/>
      <c r="CJ612" s="1407"/>
      <c r="CK612" s="1407"/>
      <c r="CL612" s="1407"/>
      <c r="CM612" s="1407">
        <f t="shared" si="10"/>
        <v>0</v>
      </c>
      <c r="CN612" s="1407"/>
      <c r="CO612" s="1407"/>
      <c r="CP612" s="1407"/>
      <c r="CQ612" s="1407"/>
      <c r="CR612" s="6"/>
      <c r="CS612" s="1406">
        <f t="shared" si="11"/>
        <v>0</v>
      </c>
      <c r="CT612" s="1406"/>
      <c r="CU612" s="1406"/>
      <c r="CV612" s="1406"/>
      <c r="CW612" s="1406"/>
      <c r="CX612" s="1406">
        <f t="shared" si="12"/>
        <v>0</v>
      </c>
      <c r="CY612" s="1406"/>
      <c r="CZ612" s="1406"/>
      <c r="DA612" s="1406"/>
      <c r="DB612" s="1406"/>
      <c r="DC612" s="1406">
        <f t="shared" si="13"/>
        <v>0</v>
      </c>
      <c r="DD612" s="1406"/>
      <c r="DE612" s="1406"/>
      <c r="DF612" s="1406"/>
      <c r="DG612" s="1406"/>
      <c r="DH612" s="1406">
        <f t="shared" si="14"/>
        <v>0</v>
      </c>
      <c r="DI612" s="1406"/>
      <c r="DJ612" s="1406"/>
      <c r="DK612" s="1406"/>
      <c r="DL612" s="1406"/>
      <c r="DM612" s="1406">
        <f t="shared" si="15"/>
        <v>0</v>
      </c>
      <c r="DN612" s="1406"/>
      <c r="DO612" s="1406"/>
      <c r="DP612" s="1406"/>
      <c r="DQ612" s="1406"/>
      <c r="DR612" s="1406">
        <f t="shared" si="16"/>
        <v>0</v>
      </c>
      <c r="DS612" s="1406"/>
      <c r="DT612" s="1406"/>
      <c r="DU612" s="1406"/>
      <c r="DV612" s="1406"/>
      <c r="DX612" s="1402" t="str">
        <f t="shared" si="17"/>
        <v/>
      </c>
      <c r="DY612" s="1403"/>
      <c r="DZ612" s="1403"/>
      <c r="EA612" s="1403"/>
      <c r="EB612" s="1404"/>
      <c r="EC612" s="1402" t="str">
        <f t="shared" si="18"/>
        <v/>
      </c>
      <c r="ED612" s="1403"/>
      <c r="EE612" s="1403"/>
      <c r="EF612" s="1403"/>
      <c r="EG612" s="1404"/>
      <c r="EH612" s="1402" t="str">
        <f t="shared" si="19"/>
        <v/>
      </c>
      <c r="EI612" s="1403"/>
      <c r="EJ612" s="1403"/>
      <c r="EK612" s="1403"/>
      <c r="EL612" s="1404"/>
      <c r="EM612" s="1402" t="str">
        <f t="shared" si="20"/>
        <v/>
      </c>
      <c r="EN612" s="1403"/>
      <c r="EO612" s="1403"/>
      <c r="EP612" s="1403"/>
      <c r="EQ612" s="1404"/>
      <c r="ER612" s="1402" t="str">
        <f t="shared" si="21"/>
        <v/>
      </c>
      <c r="ES612" s="1403"/>
      <c r="ET612" s="1403"/>
      <c r="EU612" s="1403"/>
      <c r="EV612" s="1404"/>
      <c r="EW612" s="1402" t="str">
        <f t="shared" si="22"/>
        <v/>
      </c>
      <c r="EX612" s="1403"/>
      <c r="EY612" s="1403"/>
      <c r="EZ612" s="1403"/>
      <c r="FA612" s="1404"/>
    </row>
    <row r="613" spans="1:157" ht="13" customHeight="1">
      <c r="B613" t="s">
        <v>317</v>
      </c>
      <c r="G613" s="1394"/>
      <c r="H613" s="1394"/>
      <c r="I613" s="1394"/>
      <c r="J613" s="1394"/>
      <c r="K613" s="1394"/>
      <c r="L613" s="1394"/>
      <c r="O613" s="33" t="s">
        <v>207</v>
      </c>
      <c r="P613" s="1386"/>
      <c r="Q613" s="1386"/>
      <c r="R613" s="1386"/>
      <c r="U613" t="s">
        <v>317</v>
      </c>
      <c r="Z613" s="1394"/>
      <c r="AA613" s="1394"/>
      <c r="AB613" s="1394"/>
      <c r="AC613" s="1394"/>
      <c r="AD613" s="1394"/>
      <c r="AE613" s="1394"/>
      <c r="AH613" s="33" t="s">
        <v>207</v>
      </c>
      <c r="AI613" s="1386"/>
      <c r="AJ613" s="1386"/>
      <c r="AK613" s="1386"/>
      <c r="AZ613" s="3"/>
      <c r="BA613" s="3"/>
      <c r="BB613" s="3"/>
      <c r="BC613" s="3"/>
      <c r="BD613" s="3"/>
      <c r="BE613" s="1402">
        <f t="shared" si="1"/>
        <v>0</v>
      </c>
      <c r="BF613" s="1404"/>
      <c r="BG613" s="1525">
        <f t="shared" si="2"/>
        <v>0</v>
      </c>
      <c r="BH613" s="1526"/>
      <c r="BI613" s="1402">
        <f t="shared" si="3"/>
        <v>0</v>
      </c>
      <c r="BJ613" s="1404"/>
      <c r="BK613" s="1525">
        <f t="shared" si="4"/>
        <v>0</v>
      </c>
      <c r="BL613" s="1526"/>
      <c r="BM613" s="3"/>
      <c r="BN613" s="1527">
        <f t="shared" si="5"/>
        <v>0</v>
      </c>
      <c r="BO613" s="1528"/>
      <c r="BP613" s="1528"/>
      <c r="BQ613" s="1528"/>
      <c r="BR613" s="1529"/>
      <c r="BS613" s="1407">
        <f t="shared" si="6"/>
        <v>0</v>
      </c>
      <c r="BT613" s="1407"/>
      <c r="BU613" s="1407"/>
      <c r="BV613" s="1407"/>
      <c r="BW613" s="1407"/>
      <c r="BX613" s="1407">
        <f t="shared" si="7"/>
        <v>0</v>
      </c>
      <c r="BY613" s="1407"/>
      <c r="BZ613" s="1407"/>
      <c r="CA613" s="1407"/>
      <c r="CB613" s="1407"/>
      <c r="CC613" s="1407">
        <f t="shared" si="8"/>
        <v>0</v>
      </c>
      <c r="CD613" s="1407"/>
      <c r="CE613" s="1407"/>
      <c r="CF613" s="1407"/>
      <c r="CG613" s="1407"/>
      <c r="CH613" s="1407">
        <f t="shared" si="9"/>
        <v>0</v>
      </c>
      <c r="CI613" s="1407"/>
      <c r="CJ613" s="1407"/>
      <c r="CK613" s="1407"/>
      <c r="CL613" s="1407"/>
      <c r="CM613" s="1407">
        <f t="shared" si="10"/>
        <v>0</v>
      </c>
      <c r="CN613" s="1407"/>
      <c r="CO613" s="1407"/>
      <c r="CP613" s="1407"/>
      <c r="CQ613" s="1407"/>
      <c r="CR613" s="6"/>
      <c r="CS613" s="1406">
        <f t="shared" si="11"/>
        <v>0</v>
      </c>
      <c r="CT613" s="1406"/>
      <c r="CU613" s="1406"/>
      <c r="CV613" s="1406"/>
      <c r="CW613" s="1406"/>
      <c r="CX613" s="1406">
        <f t="shared" si="12"/>
        <v>0</v>
      </c>
      <c r="CY613" s="1406"/>
      <c r="CZ613" s="1406"/>
      <c r="DA613" s="1406"/>
      <c r="DB613" s="1406"/>
      <c r="DC613" s="1406">
        <f t="shared" si="13"/>
        <v>0</v>
      </c>
      <c r="DD613" s="1406"/>
      <c r="DE613" s="1406"/>
      <c r="DF613" s="1406"/>
      <c r="DG613" s="1406"/>
      <c r="DH613" s="1406">
        <f t="shared" si="14"/>
        <v>0</v>
      </c>
      <c r="DI613" s="1406"/>
      <c r="DJ613" s="1406"/>
      <c r="DK613" s="1406"/>
      <c r="DL613" s="1406"/>
      <c r="DM613" s="1406">
        <f t="shared" si="15"/>
        <v>0</v>
      </c>
      <c r="DN613" s="1406"/>
      <c r="DO613" s="1406"/>
      <c r="DP613" s="1406"/>
      <c r="DQ613" s="1406"/>
      <c r="DR613" s="1406">
        <f t="shared" si="16"/>
        <v>0</v>
      </c>
      <c r="DS613" s="1406"/>
      <c r="DT613" s="1406"/>
      <c r="DU613" s="1406"/>
      <c r="DV613" s="1406"/>
      <c r="DX613" s="1402" t="str">
        <f t="shared" si="17"/>
        <v/>
      </c>
      <c r="DY613" s="1403"/>
      <c r="DZ613" s="1403"/>
      <c r="EA613" s="1403"/>
      <c r="EB613" s="1404"/>
      <c r="EC613" s="1402" t="str">
        <f t="shared" si="18"/>
        <v/>
      </c>
      <c r="ED613" s="1403"/>
      <c r="EE613" s="1403"/>
      <c r="EF613" s="1403"/>
      <c r="EG613" s="1404"/>
      <c r="EH613" s="1402" t="str">
        <f t="shared" si="19"/>
        <v/>
      </c>
      <c r="EI613" s="1403"/>
      <c r="EJ613" s="1403"/>
      <c r="EK613" s="1403"/>
      <c r="EL613" s="1404"/>
      <c r="EM613" s="1402" t="str">
        <f t="shared" si="20"/>
        <v/>
      </c>
      <c r="EN613" s="1403"/>
      <c r="EO613" s="1403"/>
      <c r="EP613" s="1403"/>
      <c r="EQ613" s="1404"/>
      <c r="ER613" s="1402" t="str">
        <f t="shared" si="21"/>
        <v/>
      </c>
      <c r="ES613" s="1403"/>
      <c r="ET613" s="1403"/>
      <c r="EU613" s="1403"/>
      <c r="EV613" s="1404"/>
      <c r="EW613" s="1402" t="str">
        <f t="shared" si="22"/>
        <v/>
      </c>
      <c r="EX613" s="1403"/>
      <c r="EY613" s="1403"/>
      <c r="EZ613" s="1403"/>
      <c r="FA613" s="1404"/>
    </row>
    <row r="614" spans="1:157" ht="13" customHeight="1">
      <c r="B614" t="s">
        <v>18</v>
      </c>
      <c r="H614" s="1385"/>
      <c r="I614" s="1385"/>
      <c r="J614" s="1385"/>
      <c r="K614" s="1385"/>
      <c r="L614" s="1385"/>
      <c r="M614" s="1385"/>
      <c r="N614" s="1385"/>
      <c r="O614" s="1385"/>
      <c r="P614" s="1385"/>
      <c r="Q614" s="1385"/>
      <c r="R614" s="1385"/>
      <c r="U614" t="s">
        <v>18</v>
      </c>
      <c r="AA614" s="1385"/>
      <c r="AB614" s="1385"/>
      <c r="AC614" s="1385"/>
      <c r="AD614" s="1385"/>
      <c r="AE614" s="1385"/>
      <c r="AF614" s="1385"/>
      <c r="AG614" s="1385"/>
      <c r="AH614" s="1385"/>
      <c r="AI614" s="1385"/>
      <c r="AJ614" s="1385"/>
      <c r="AK614" s="1385"/>
      <c r="AU614" s="934"/>
      <c r="AV614" s="934"/>
      <c r="AW614" s="934"/>
      <c r="AX614" s="934"/>
      <c r="AY614" s="934"/>
      <c r="AZ614" s="3"/>
      <c r="BA614" s="3"/>
      <c r="BB614" s="3"/>
      <c r="BC614" s="3"/>
      <c r="BD614" s="3"/>
      <c r="BE614" s="1402">
        <f t="shared" si="1"/>
        <v>0</v>
      </c>
      <c r="BF614" s="1404"/>
      <c r="BG614" s="1525">
        <f t="shared" si="2"/>
        <v>0</v>
      </c>
      <c r="BH614" s="1526"/>
      <c r="BI614" s="1402">
        <f t="shared" si="3"/>
        <v>0</v>
      </c>
      <c r="BJ614" s="1404"/>
      <c r="BK614" s="1525">
        <f t="shared" si="4"/>
        <v>0</v>
      </c>
      <c r="BL614" s="1526"/>
      <c r="BM614" s="3"/>
      <c r="BN614" s="1527">
        <f t="shared" si="5"/>
        <v>0</v>
      </c>
      <c r="BO614" s="1528"/>
      <c r="BP614" s="1528"/>
      <c r="BQ614" s="1528"/>
      <c r="BR614" s="1529"/>
      <c r="BS614" s="1407">
        <f t="shared" si="6"/>
        <v>0</v>
      </c>
      <c r="BT614" s="1407"/>
      <c r="BU614" s="1407"/>
      <c r="BV614" s="1407"/>
      <c r="BW614" s="1407"/>
      <c r="BX614" s="1407">
        <f t="shared" si="7"/>
        <v>0</v>
      </c>
      <c r="BY614" s="1407"/>
      <c r="BZ614" s="1407"/>
      <c r="CA614" s="1407"/>
      <c r="CB614" s="1407"/>
      <c r="CC614" s="1407">
        <f t="shared" si="8"/>
        <v>0</v>
      </c>
      <c r="CD614" s="1407"/>
      <c r="CE614" s="1407"/>
      <c r="CF614" s="1407"/>
      <c r="CG614" s="1407"/>
      <c r="CH614" s="1407">
        <f t="shared" si="9"/>
        <v>0</v>
      </c>
      <c r="CI614" s="1407"/>
      <c r="CJ614" s="1407"/>
      <c r="CK614" s="1407"/>
      <c r="CL614" s="1407"/>
      <c r="CM614" s="1407">
        <f t="shared" si="10"/>
        <v>0</v>
      </c>
      <c r="CN614" s="1407"/>
      <c r="CO614" s="1407"/>
      <c r="CP614" s="1407"/>
      <c r="CQ614" s="1407"/>
      <c r="CR614" s="6"/>
      <c r="CS614" s="1406">
        <f t="shared" si="11"/>
        <v>0</v>
      </c>
      <c r="CT614" s="1406"/>
      <c r="CU614" s="1406"/>
      <c r="CV614" s="1406"/>
      <c r="CW614" s="1406"/>
      <c r="CX614" s="1406">
        <f t="shared" si="12"/>
        <v>0</v>
      </c>
      <c r="CY614" s="1406"/>
      <c r="CZ614" s="1406"/>
      <c r="DA614" s="1406"/>
      <c r="DB614" s="1406"/>
      <c r="DC614" s="1406">
        <f t="shared" si="13"/>
        <v>0</v>
      </c>
      <c r="DD614" s="1406"/>
      <c r="DE614" s="1406"/>
      <c r="DF614" s="1406"/>
      <c r="DG614" s="1406"/>
      <c r="DH614" s="1406">
        <f t="shared" si="14"/>
        <v>0</v>
      </c>
      <c r="DI614" s="1406"/>
      <c r="DJ614" s="1406"/>
      <c r="DK614" s="1406"/>
      <c r="DL614" s="1406"/>
      <c r="DM614" s="1406">
        <f t="shared" si="15"/>
        <v>0</v>
      </c>
      <c r="DN614" s="1406"/>
      <c r="DO614" s="1406"/>
      <c r="DP614" s="1406"/>
      <c r="DQ614" s="1406"/>
      <c r="DR614" s="1406">
        <f t="shared" si="16"/>
        <v>0</v>
      </c>
      <c r="DS614" s="1406"/>
      <c r="DT614" s="1406"/>
      <c r="DU614" s="1406"/>
      <c r="DV614" s="1406"/>
      <c r="DX614" s="1402" t="str">
        <f t="shared" si="17"/>
        <v/>
      </c>
      <c r="DY614" s="1403"/>
      <c r="DZ614" s="1403"/>
      <c r="EA614" s="1403"/>
      <c r="EB614" s="1404"/>
      <c r="EC614" s="1402" t="str">
        <f t="shared" si="18"/>
        <v/>
      </c>
      <c r="ED614" s="1403"/>
      <c r="EE614" s="1403"/>
      <c r="EF614" s="1403"/>
      <c r="EG614" s="1404"/>
      <c r="EH614" s="1402" t="str">
        <f t="shared" si="19"/>
        <v/>
      </c>
      <c r="EI614" s="1403"/>
      <c r="EJ614" s="1403"/>
      <c r="EK614" s="1403"/>
      <c r="EL614" s="1404"/>
      <c r="EM614" s="1402" t="str">
        <f t="shared" si="20"/>
        <v/>
      </c>
      <c r="EN614" s="1403"/>
      <c r="EO614" s="1403"/>
      <c r="EP614" s="1403"/>
      <c r="EQ614" s="1404"/>
      <c r="ER614" s="1402" t="str">
        <f t="shared" si="21"/>
        <v/>
      </c>
      <c r="ES614" s="1403"/>
      <c r="ET614" s="1403"/>
      <c r="EU614" s="1403"/>
      <c r="EV614" s="1404"/>
      <c r="EW614" s="1402" t="str">
        <f t="shared" si="22"/>
        <v/>
      </c>
      <c r="EX614" s="1403"/>
      <c r="EY614" s="1403"/>
      <c r="EZ614" s="1403"/>
      <c r="FA614" s="1404"/>
    </row>
    <row r="615" spans="1:157" ht="13" customHeight="1">
      <c r="B615" t="s">
        <v>20</v>
      </c>
      <c r="N615" s="1381" t="s">
        <v>678</v>
      </c>
      <c r="O615" s="1381"/>
      <c r="U615" t="s">
        <v>20</v>
      </c>
      <c r="AG615" s="1381" t="s">
        <v>678</v>
      </c>
      <c r="AH615" s="1381"/>
      <c r="AU615" s="934"/>
      <c r="AV615" s="934"/>
      <c r="AW615" s="934"/>
      <c r="AX615" s="934"/>
      <c r="AY615" s="934"/>
      <c r="AZ615" s="3"/>
      <c r="BA615" s="3"/>
      <c r="BB615" s="3"/>
      <c r="BC615" s="3"/>
      <c r="BD615" s="3"/>
      <c r="BE615" s="1402">
        <f t="shared" si="1"/>
        <v>0</v>
      </c>
      <c r="BF615" s="1404"/>
      <c r="BG615" s="1525">
        <f t="shared" si="2"/>
        <v>0</v>
      </c>
      <c r="BH615" s="1526"/>
      <c r="BI615" s="1402">
        <f t="shared" si="3"/>
        <v>0</v>
      </c>
      <c r="BJ615" s="1404"/>
      <c r="BK615" s="1525">
        <f t="shared" si="4"/>
        <v>0</v>
      </c>
      <c r="BL615" s="1526"/>
      <c r="BM615" s="3"/>
      <c r="BN615" s="1527">
        <f t="shared" si="5"/>
        <v>0</v>
      </c>
      <c r="BO615" s="1528"/>
      <c r="BP615" s="1528"/>
      <c r="BQ615" s="1528"/>
      <c r="BR615" s="1529"/>
      <c r="BS615" s="1407">
        <f t="shared" si="6"/>
        <v>0</v>
      </c>
      <c r="BT615" s="1407"/>
      <c r="BU615" s="1407"/>
      <c r="BV615" s="1407"/>
      <c r="BW615" s="1407"/>
      <c r="BX615" s="1407">
        <f t="shared" si="7"/>
        <v>0</v>
      </c>
      <c r="BY615" s="1407"/>
      <c r="BZ615" s="1407"/>
      <c r="CA615" s="1407"/>
      <c r="CB615" s="1407"/>
      <c r="CC615" s="1407">
        <f t="shared" si="8"/>
        <v>0</v>
      </c>
      <c r="CD615" s="1407"/>
      <c r="CE615" s="1407"/>
      <c r="CF615" s="1407"/>
      <c r="CG615" s="1407"/>
      <c r="CH615" s="1407">
        <f t="shared" si="9"/>
        <v>0</v>
      </c>
      <c r="CI615" s="1407"/>
      <c r="CJ615" s="1407"/>
      <c r="CK615" s="1407"/>
      <c r="CL615" s="1407"/>
      <c r="CM615" s="1407">
        <f t="shared" si="10"/>
        <v>0</v>
      </c>
      <c r="CN615" s="1407"/>
      <c r="CO615" s="1407"/>
      <c r="CP615" s="1407"/>
      <c r="CQ615" s="1407"/>
      <c r="CR615" s="6"/>
      <c r="CS615" s="1406">
        <f t="shared" si="11"/>
        <v>0</v>
      </c>
      <c r="CT615" s="1406"/>
      <c r="CU615" s="1406"/>
      <c r="CV615" s="1406"/>
      <c r="CW615" s="1406"/>
      <c r="CX615" s="1406">
        <f t="shared" si="12"/>
        <v>0</v>
      </c>
      <c r="CY615" s="1406"/>
      <c r="CZ615" s="1406"/>
      <c r="DA615" s="1406"/>
      <c r="DB615" s="1406"/>
      <c r="DC615" s="1406">
        <f t="shared" si="13"/>
        <v>0</v>
      </c>
      <c r="DD615" s="1406"/>
      <c r="DE615" s="1406"/>
      <c r="DF615" s="1406"/>
      <c r="DG615" s="1406"/>
      <c r="DH615" s="1406">
        <f t="shared" si="14"/>
        <v>0</v>
      </c>
      <c r="DI615" s="1406"/>
      <c r="DJ615" s="1406"/>
      <c r="DK615" s="1406"/>
      <c r="DL615" s="1406"/>
      <c r="DM615" s="1406">
        <f t="shared" si="15"/>
        <v>0</v>
      </c>
      <c r="DN615" s="1406"/>
      <c r="DO615" s="1406"/>
      <c r="DP615" s="1406"/>
      <c r="DQ615" s="1406"/>
      <c r="DR615" s="1406">
        <f t="shared" si="16"/>
        <v>0</v>
      </c>
      <c r="DS615" s="1406"/>
      <c r="DT615" s="1406"/>
      <c r="DU615" s="1406"/>
      <c r="DV615" s="1406"/>
      <c r="DX615" s="1402" t="str">
        <f t="shared" si="17"/>
        <v/>
      </c>
      <c r="DY615" s="1403"/>
      <c r="DZ615" s="1403"/>
      <c r="EA615" s="1403"/>
      <c r="EB615" s="1404"/>
      <c r="EC615" s="1402" t="str">
        <f t="shared" si="18"/>
        <v/>
      </c>
      <c r="ED615" s="1403"/>
      <c r="EE615" s="1403"/>
      <c r="EF615" s="1403"/>
      <c r="EG615" s="1404"/>
      <c r="EH615" s="1402" t="str">
        <f t="shared" si="19"/>
        <v/>
      </c>
      <c r="EI615" s="1403"/>
      <c r="EJ615" s="1403"/>
      <c r="EK615" s="1403"/>
      <c r="EL615" s="1404"/>
      <c r="EM615" s="1402" t="str">
        <f t="shared" si="20"/>
        <v/>
      </c>
      <c r="EN615" s="1403"/>
      <c r="EO615" s="1403"/>
      <c r="EP615" s="1403"/>
      <c r="EQ615" s="1404"/>
      <c r="ER615" s="1402" t="str">
        <f t="shared" si="21"/>
        <v/>
      </c>
      <c r="ES615" s="1403"/>
      <c r="ET615" s="1403"/>
      <c r="EU615" s="1403"/>
      <c r="EV615" s="1404"/>
      <c r="EW615" s="1402" t="str">
        <f t="shared" si="22"/>
        <v/>
      </c>
      <c r="EX615" s="1403"/>
      <c r="EY615" s="1403"/>
      <c r="EZ615" s="1403"/>
      <c r="FA615" s="1404"/>
    </row>
    <row r="616" spans="1:157" ht="13" customHeight="1">
      <c r="AZ616" s="3"/>
      <c r="BA616" s="3"/>
      <c r="BB616" s="3"/>
      <c r="BC616" s="3"/>
      <c r="BD616" s="3"/>
      <c r="BE616" s="1402">
        <f t="shared" si="1"/>
        <v>0</v>
      </c>
      <c r="BF616" s="1404"/>
      <c r="BG616" s="1525">
        <f t="shared" si="2"/>
        <v>0</v>
      </c>
      <c r="BH616" s="1526"/>
      <c r="BI616" s="1402">
        <f t="shared" si="3"/>
        <v>0</v>
      </c>
      <c r="BJ616" s="1404"/>
      <c r="BK616" s="1525">
        <f t="shared" si="4"/>
        <v>0</v>
      </c>
      <c r="BL616" s="1526"/>
      <c r="BM616" s="3"/>
      <c r="BN616" s="1527">
        <f t="shared" si="5"/>
        <v>0</v>
      </c>
      <c r="BO616" s="1528"/>
      <c r="BP616" s="1528"/>
      <c r="BQ616" s="1528"/>
      <c r="BR616" s="1529"/>
      <c r="BS616" s="1407">
        <f t="shared" si="6"/>
        <v>0</v>
      </c>
      <c r="BT616" s="1407"/>
      <c r="BU616" s="1407"/>
      <c r="BV616" s="1407"/>
      <c r="BW616" s="1407"/>
      <c r="BX616" s="1407">
        <f t="shared" si="7"/>
        <v>0</v>
      </c>
      <c r="BY616" s="1407"/>
      <c r="BZ616" s="1407"/>
      <c r="CA616" s="1407"/>
      <c r="CB616" s="1407"/>
      <c r="CC616" s="1407">
        <f t="shared" si="8"/>
        <v>0</v>
      </c>
      <c r="CD616" s="1407"/>
      <c r="CE616" s="1407"/>
      <c r="CF616" s="1407"/>
      <c r="CG616" s="1407"/>
      <c r="CH616" s="1407">
        <f t="shared" si="9"/>
        <v>0</v>
      </c>
      <c r="CI616" s="1407"/>
      <c r="CJ616" s="1407"/>
      <c r="CK616" s="1407"/>
      <c r="CL616" s="1407"/>
      <c r="CM616" s="1407">
        <f t="shared" si="10"/>
        <v>0</v>
      </c>
      <c r="CN616" s="1407"/>
      <c r="CO616" s="1407"/>
      <c r="CP616" s="1407"/>
      <c r="CQ616" s="1407"/>
      <c r="CR616" s="6"/>
      <c r="CS616" s="1406">
        <f t="shared" si="11"/>
        <v>0</v>
      </c>
      <c r="CT616" s="1406"/>
      <c r="CU616" s="1406"/>
      <c r="CV616" s="1406"/>
      <c r="CW616" s="1406"/>
      <c r="CX616" s="1406">
        <f t="shared" si="12"/>
        <v>0</v>
      </c>
      <c r="CY616" s="1406"/>
      <c r="CZ616" s="1406"/>
      <c r="DA616" s="1406"/>
      <c r="DB616" s="1406"/>
      <c r="DC616" s="1406">
        <f t="shared" si="13"/>
        <v>0</v>
      </c>
      <c r="DD616" s="1406"/>
      <c r="DE616" s="1406"/>
      <c r="DF616" s="1406"/>
      <c r="DG616" s="1406"/>
      <c r="DH616" s="1406">
        <f t="shared" si="14"/>
        <v>0</v>
      </c>
      <c r="DI616" s="1406"/>
      <c r="DJ616" s="1406"/>
      <c r="DK616" s="1406"/>
      <c r="DL616" s="1406"/>
      <c r="DM616" s="1406">
        <f t="shared" si="15"/>
        <v>0</v>
      </c>
      <c r="DN616" s="1406"/>
      <c r="DO616" s="1406"/>
      <c r="DP616" s="1406"/>
      <c r="DQ616" s="1406"/>
      <c r="DR616" s="1406">
        <f t="shared" si="16"/>
        <v>0</v>
      </c>
      <c r="DS616" s="1406"/>
      <c r="DT616" s="1406"/>
      <c r="DU616" s="1406"/>
      <c r="DV616" s="1406"/>
      <c r="DX616" s="1402" t="str">
        <f t="shared" si="17"/>
        <v/>
      </c>
      <c r="DY616" s="1403"/>
      <c r="DZ616" s="1403"/>
      <c r="EA616" s="1403"/>
      <c r="EB616" s="1404"/>
      <c r="EC616" s="1402" t="str">
        <f t="shared" si="18"/>
        <v/>
      </c>
      <c r="ED616" s="1403"/>
      <c r="EE616" s="1403"/>
      <c r="EF616" s="1403"/>
      <c r="EG616" s="1404"/>
      <c r="EH616" s="1402" t="str">
        <f t="shared" si="19"/>
        <v/>
      </c>
      <c r="EI616" s="1403"/>
      <c r="EJ616" s="1403"/>
      <c r="EK616" s="1403"/>
      <c r="EL616" s="1404"/>
      <c r="EM616" s="1402" t="str">
        <f t="shared" si="20"/>
        <v/>
      </c>
      <c r="EN616" s="1403"/>
      <c r="EO616" s="1403"/>
      <c r="EP616" s="1403"/>
      <c r="EQ616" s="1404"/>
      <c r="ER616" s="1402" t="str">
        <f t="shared" si="21"/>
        <v/>
      </c>
      <c r="ES616" s="1403"/>
      <c r="ET616" s="1403"/>
      <c r="EU616" s="1403"/>
      <c r="EV616" s="1404"/>
      <c r="EW616" s="1402" t="str">
        <f t="shared" si="22"/>
        <v/>
      </c>
      <c r="EX616" s="1403"/>
      <c r="EY616" s="1403"/>
      <c r="EZ616" s="1403"/>
      <c r="FA616" s="1404"/>
    </row>
    <row r="617" spans="1:157" ht="13" customHeight="1">
      <c r="A617" s="1277" t="s">
        <v>553</v>
      </c>
      <c r="B617" s="1277"/>
      <c r="C617" s="1277"/>
      <c r="D617" s="1277"/>
      <c r="E617" s="1277"/>
      <c r="F617" s="1277"/>
      <c r="G617" s="1277"/>
      <c r="H617" s="1277"/>
      <c r="I617" s="1277"/>
      <c r="J617" s="1277"/>
      <c r="K617" s="1277"/>
      <c r="L617" s="1277"/>
      <c r="M617" s="1277"/>
      <c r="N617" s="1277"/>
      <c r="O617" s="1277"/>
      <c r="P617" s="1277"/>
      <c r="Q617" s="1277"/>
      <c r="R617" s="1277"/>
      <c r="S617" s="1277"/>
      <c r="T617" s="1277"/>
      <c r="U617" s="1277"/>
      <c r="V617" s="1277"/>
      <c r="W617" s="1277"/>
      <c r="X617" s="1277"/>
      <c r="Y617" s="1277"/>
      <c r="Z617" s="1277"/>
      <c r="AA617" s="1277"/>
      <c r="AB617" s="1277"/>
      <c r="AC617" s="1277"/>
      <c r="AD617" s="1277"/>
      <c r="AE617" s="1277"/>
      <c r="AF617" s="1277"/>
      <c r="AG617" s="1277"/>
      <c r="AH617" s="1277"/>
      <c r="AI617" s="1277"/>
      <c r="AJ617" s="1277"/>
      <c r="AK617" s="1277"/>
      <c r="AL617" s="1277"/>
      <c r="AM617" s="1277"/>
      <c r="AN617" s="1277"/>
      <c r="AO617" s="1277"/>
      <c r="AP617" s="1277"/>
      <c r="AQ617" s="1277"/>
      <c r="AR617" s="1277"/>
      <c r="AS617" s="1277"/>
      <c r="AT617" s="1277"/>
      <c r="AZ617" s="3"/>
      <c r="BA617" s="3"/>
      <c r="BB617" s="3"/>
      <c r="BC617" s="3"/>
      <c r="BD617" s="3"/>
      <c r="BE617" s="1402">
        <f t="shared" si="1"/>
        <v>0</v>
      </c>
      <c r="BF617" s="1404"/>
      <c r="BG617" s="1525">
        <f t="shared" si="2"/>
        <v>0</v>
      </c>
      <c r="BH617" s="1526"/>
      <c r="BI617" s="1402">
        <f t="shared" si="3"/>
        <v>0</v>
      </c>
      <c r="BJ617" s="1404"/>
      <c r="BK617" s="1525">
        <f t="shared" si="4"/>
        <v>0</v>
      </c>
      <c r="BL617" s="1526"/>
      <c r="BM617" s="3"/>
      <c r="BN617" s="1527">
        <f t="shared" si="5"/>
        <v>0</v>
      </c>
      <c r="BO617" s="1528"/>
      <c r="BP617" s="1528"/>
      <c r="BQ617" s="1528"/>
      <c r="BR617" s="1529"/>
      <c r="BS617" s="1407">
        <f t="shared" si="6"/>
        <v>0</v>
      </c>
      <c r="BT617" s="1407"/>
      <c r="BU617" s="1407"/>
      <c r="BV617" s="1407"/>
      <c r="BW617" s="1407"/>
      <c r="BX617" s="1407">
        <f t="shared" si="7"/>
        <v>0</v>
      </c>
      <c r="BY617" s="1407"/>
      <c r="BZ617" s="1407"/>
      <c r="CA617" s="1407"/>
      <c r="CB617" s="1407"/>
      <c r="CC617" s="1407">
        <f t="shared" si="8"/>
        <v>0</v>
      </c>
      <c r="CD617" s="1407"/>
      <c r="CE617" s="1407"/>
      <c r="CF617" s="1407"/>
      <c r="CG617" s="1407"/>
      <c r="CH617" s="1407">
        <f t="shared" si="9"/>
        <v>0</v>
      </c>
      <c r="CI617" s="1407"/>
      <c r="CJ617" s="1407"/>
      <c r="CK617" s="1407"/>
      <c r="CL617" s="1407"/>
      <c r="CM617" s="1407">
        <f t="shared" si="10"/>
        <v>0</v>
      </c>
      <c r="CN617" s="1407"/>
      <c r="CO617" s="1407"/>
      <c r="CP617" s="1407"/>
      <c r="CQ617" s="1407"/>
      <c r="CR617" s="6"/>
      <c r="CS617" s="1406">
        <f t="shared" si="11"/>
        <v>0</v>
      </c>
      <c r="CT617" s="1406"/>
      <c r="CU617" s="1406"/>
      <c r="CV617" s="1406"/>
      <c r="CW617" s="1406"/>
      <c r="CX617" s="1406">
        <f t="shared" si="12"/>
        <v>0</v>
      </c>
      <c r="CY617" s="1406"/>
      <c r="CZ617" s="1406"/>
      <c r="DA617" s="1406"/>
      <c r="DB617" s="1406"/>
      <c r="DC617" s="1406">
        <f t="shared" si="13"/>
        <v>0</v>
      </c>
      <c r="DD617" s="1406"/>
      <c r="DE617" s="1406"/>
      <c r="DF617" s="1406"/>
      <c r="DG617" s="1406"/>
      <c r="DH617" s="1406">
        <f t="shared" si="14"/>
        <v>0</v>
      </c>
      <c r="DI617" s="1406"/>
      <c r="DJ617" s="1406"/>
      <c r="DK617" s="1406"/>
      <c r="DL617" s="1406"/>
      <c r="DM617" s="1406">
        <f t="shared" si="15"/>
        <v>0</v>
      </c>
      <c r="DN617" s="1406"/>
      <c r="DO617" s="1406"/>
      <c r="DP617" s="1406"/>
      <c r="DQ617" s="1406"/>
      <c r="DR617" s="1406">
        <f t="shared" si="16"/>
        <v>0</v>
      </c>
      <c r="DS617" s="1406"/>
      <c r="DT617" s="1406"/>
      <c r="DU617" s="1406"/>
      <c r="DV617" s="1406"/>
      <c r="DX617" s="1402" t="str">
        <f t="shared" si="17"/>
        <v/>
      </c>
      <c r="DY617" s="1403"/>
      <c r="DZ617" s="1403"/>
      <c r="EA617" s="1403"/>
      <c r="EB617" s="1404"/>
      <c r="EC617" s="1402" t="str">
        <f t="shared" si="18"/>
        <v/>
      </c>
      <c r="ED617" s="1403"/>
      <c r="EE617" s="1403"/>
      <c r="EF617" s="1403"/>
      <c r="EG617" s="1404"/>
      <c r="EH617" s="1402" t="str">
        <f t="shared" si="19"/>
        <v/>
      </c>
      <c r="EI617" s="1403"/>
      <c r="EJ617" s="1403"/>
      <c r="EK617" s="1403"/>
      <c r="EL617" s="1404"/>
      <c r="EM617" s="1402" t="str">
        <f t="shared" si="20"/>
        <v/>
      </c>
      <c r="EN617" s="1403"/>
      <c r="EO617" s="1403"/>
      <c r="EP617" s="1403"/>
      <c r="EQ617" s="1404"/>
      <c r="ER617" s="1402" t="str">
        <f t="shared" si="21"/>
        <v/>
      </c>
      <c r="ES617" s="1403"/>
      <c r="ET617" s="1403"/>
      <c r="EU617" s="1403"/>
      <c r="EV617" s="1404"/>
      <c r="EW617" s="1402" t="str">
        <f t="shared" si="22"/>
        <v/>
      </c>
      <c r="EX617" s="1403"/>
      <c r="EY617" s="1403"/>
      <c r="EZ617" s="1403"/>
      <c r="FA617" s="1404"/>
    </row>
    <row r="618" spans="1:157" ht="13" customHeight="1">
      <c r="A618" s="1277"/>
      <c r="B618" s="1277"/>
      <c r="C618" s="1277"/>
      <c r="D618" s="1277"/>
      <c r="E618" s="1277"/>
      <c r="F618" s="1277"/>
      <c r="G618" s="1277"/>
      <c r="H618" s="1277"/>
      <c r="I618" s="1277"/>
      <c r="J618" s="1277"/>
      <c r="K618" s="1277"/>
      <c r="L618" s="1277"/>
      <c r="M618" s="1277"/>
      <c r="N618" s="1277"/>
      <c r="O618" s="1277"/>
      <c r="P618" s="1277"/>
      <c r="Q618" s="1277"/>
      <c r="R618" s="1277"/>
      <c r="S618" s="1277"/>
      <c r="T618" s="1277"/>
      <c r="U618" s="1277"/>
      <c r="V618" s="1277"/>
      <c r="W618" s="1277"/>
      <c r="X618" s="1277"/>
      <c r="Y618" s="1277"/>
      <c r="Z618" s="1277"/>
      <c r="AA618" s="1277"/>
      <c r="AB618" s="1277"/>
      <c r="AC618" s="1277"/>
      <c r="AD618" s="1277"/>
      <c r="AE618" s="1277"/>
      <c r="AF618" s="1277"/>
      <c r="AG618" s="1277"/>
      <c r="AH618" s="1277"/>
      <c r="AI618" s="1277"/>
      <c r="AJ618" s="1277"/>
      <c r="AK618" s="1277"/>
      <c r="AL618" s="1277"/>
      <c r="AM618" s="1277"/>
      <c r="AN618" s="1277"/>
      <c r="AO618" s="1277"/>
      <c r="AP618" s="1277"/>
      <c r="AQ618" s="1277"/>
      <c r="AR618" s="1277"/>
      <c r="AS618" s="1277"/>
      <c r="AT618" s="1277"/>
      <c r="AZ618" s="3"/>
      <c r="BA618" s="3"/>
      <c r="BB618" s="3"/>
      <c r="BC618" s="3"/>
      <c r="BD618" s="3"/>
      <c r="BE618" s="1402">
        <f t="shared" si="1"/>
        <v>0</v>
      </c>
      <c r="BF618" s="1404"/>
      <c r="BG618" s="1525">
        <f t="shared" si="2"/>
        <v>0</v>
      </c>
      <c r="BH618" s="1526"/>
      <c r="BI618" s="1402">
        <f t="shared" si="3"/>
        <v>0</v>
      </c>
      <c r="BJ618" s="1404"/>
      <c r="BK618" s="1525">
        <f t="shared" si="4"/>
        <v>0</v>
      </c>
      <c r="BL618" s="1526"/>
      <c r="BM618" s="3"/>
      <c r="BN618" s="1527">
        <f t="shared" si="5"/>
        <v>0</v>
      </c>
      <c r="BO618" s="1528"/>
      <c r="BP618" s="1528"/>
      <c r="BQ618" s="1528"/>
      <c r="BR618" s="1529"/>
      <c r="BS618" s="1407">
        <f t="shared" si="6"/>
        <v>0</v>
      </c>
      <c r="BT618" s="1407"/>
      <c r="BU618" s="1407"/>
      <c r="BV618" s="1407"/>
      <c r="BW618" s="1407"/>
      <c r="BX618" s="1407">
        <f t="shared" si="7"/>
        <v>0</v>
      </c>
      <c r="BY618" s="1407"/>
      <c r="BZ618" s="1407"/>
      <c r="CA618" s="1407"/>
      <c r="CB618" s="1407"/>
      <c r="CC618" s="1407">
        <f t="shared" si="8"/>
        <v>0</v>
      </c>
      <c r="CD618" s="1407"/>
      <c r="CE618" s="1407"/>
      <c r="CF618" s="1407"/>
      <c r="CG618" s="1407"/>
      <c r="CH618" s="1407">
        <f t="shared" si="9"/>
        <v>0</v>
      </c>
      <c r="CI618" s="1407"/>
      <c r="CJ618" s="1407"/>
      <c r="CK618" s="1407"/>
      <c r="CL618" s="1407"/>
      <c r="CM618" s="1407">
        <f t="shared" si="10"/>
        <v>0</v>
      </c>
      <c r="CN618" s="1407"/>
      <c r="CO618" s="1407"/>
      <c r="CP618" s="1407"/>
      <c r="CQ618" s="1407"/>
      <c r="CR618" s="6"/>
      <c r="CS618" s="1406">
        <f t="shared" si="11"/>
        <v>0</v>
      </c>
      <c r="CT618" s="1406"/>
      <c r="CU618" s="1406"/>
      <c r="CV618" s="1406"/>
      <c r="CW618" s="1406"/>
      <c r="CX618" s="1406">
        <f t="shared" si="12"/>
        <v>0</v>
      </c>
      <c r="CY618" s="1406"/>
      <c r="CZ618" s="1406"/>
      <c r="DA618" s="1406"/>
      <c r="DB618" s="1406"/>
      <c r="DC618" s="1406">
        <f t="shared" si="13"/>
        <v>0</v>
      </c>
      <c r="DD618" s="1406"/>
      <c r="DE618" s="1406"/>
      <c r="DF618" s="1406"/>
      <c r="DG618" s="1406"/>
      <c r="DH618" s="1406">
        <f t="shared" si="14"/>
        <v>0</v>
      </c>
      <c r="DI618" s="1406"/>
      <c r="DJ618" s="1406"/>
      <c r="DK618" s="1406"/>
      <c r="DL618" s="1406"/>
      <c r="DM618" s="1406">
        <f t="shared" si="15"/>
        <v>0</v>
      </c>
      <c r="DN618" s="1406"/>
      <c r="DO618" s="1406"/>
      <c r="DP618" s="1406"/>
      <c r="DQ618" s="1406"/>
      <c r="DR618" s="1406">
        <f t="shared" si="16"/>
        <v>0</v>
      </c>
      <c r="DS618" s="1406"/>
      <c r="DT618" s="1406"/>
      <c r="DU618" s="1406"/>
      <c r="DV618" s="1406"/>
      <c r="DX618" s="1402" t="str">
        <f t="shared" si="17"/>
        <v/>
      </c>
      <c r="DY618" s="1403"/>
      <c r="DZ618" s="1403"/>
      <c r="EA618" s="1403"/>
      <c r="EB618" s="1404"/>
      <c r="EC618" s="1402" t="str">
        <f t="shared" si="18"/>
        <v/>
      </c>
      <c r="ED618" s="1403"/>
      <c r="EE618" s="1403"/>
      <c r="EF618" s="1403"/>
      <c r="EG618" s="1404"/>
      <c r="EH618" s="1402" t="str">
        <f t="shared" si="19"/>
        <v/>
      </c>
      <c r="EI618" s="1403"/>
      <c r="EJ618" s="1403"/>
      <c r="EK618" s="1403"/>
      <c r="EL618" s="1404"/>
      <c r="EM618" s="1402" t="str">
        <f t="shared" si="20"/>
        <v/>
      </c>
      <c r="EN618" s="1403"/>
      <c r="EO618" s="1403"/>
      <c r="EP618" s="1403"/>
      <c r="EQ618" s="1404"/>
      <c r="ER618" s="1402" t="str">
        <f t="shared" si="21"/>
        <v/>
      </c>
      <c r="ES618" s="1403"/>
      <c r="ET618" s="1403"/>
      <c r="EU618" s="1403"/>
      <c r="EV618" s="1404"/>
      <c r="EW618" s="1402" t="str">
        <f t="shared" si="22"/>
        <v/>
      </c>
      <c r="EX618" s="1403"/>
      <c r="EY618" s="1403"/>
      <c r="EZ618" s="1403"/>
      <c r="FA618" s="1404"/>
    </row>
    <row r="619" spans="1:157" ht="13" customHeight="1">
      <c r="AZ619" s="3"/>
      <c r="BA619" s="3"/>
      <c r="BB619" s="3"/>
      <c r="BC619" s="3"/>
      <c r="BD619" s="3"/>
      <c r="BE619" s="1402">
        <f t="shared" si="1"/>
        <v>0</v>
      </c>
      <c r="BF619" s="1404"/>
      <c r="BG619" s="1525">
        <f t="shared" si="2"/>
        <v>0</v>
      </c>
      <c r="BH619" s="1526"/>
      <c r="BI619" s="1402">
        <f t="shared" si="3"/>
        <v>0</v>
      </c>
      <c r="BJ619" s="1404"/>
      <c r="BK619" s="1525">
        <f t="shared" si="4"/>
        <v>0</v>
      </c>
      <c r="BL619" s="1526"/>
      <c r="BM619" s="3"/>
      <c r="BN619" s="1527">
        <f t="shared" si="5"/>
        <v>0</v>
      </c>
      <c r="BO619" s="1528"/>
      <c r="BP619" s="1528"/>
      <c r="BQ619" s="1528"/>
      <c r="BR619" s="1529"/>
      <c r="BS619" s="1407">
        <f t="shared" si="6"/>
        <v>0</v>
      </c>
      <c r="BT619" s="1407"/>
      <c r="BU619" s="1407"/>
      <c r="BV619" s="1407"/>
      <c r="BW619" s="1407"/>
      <c r="BX619" s="1407">
        <f t="shared" si="7"/>
        <v>0</v>
      </c>
      <c r="BY619" s="1407"/>
      <c r="BZ619" s="1407"/>
      <c r="CA619" s="1407"/>
      <c r="CB619" s="1407"/>
      <c r="CC619" s="1407">
        <f t="shared" si="8"/>
        <v>0</v>
      </c>
      <c r="CD619" s="1407"/>
      <c r="CE619" s="1407"/>
      <c r="CF619" s="1407"/>
      <c r="CG619" s="1407"/>
      <c r="CH619" s="1407">
        <f t="shared" si="9"/>
        <v>0</v>
      </c>
      <c r="CI619" s="1407"/>
      <c r="CJ619" s="1407"/>
      <c r="CK619" s="1407"/>
      <c r="CL619" s="1407"/>
      <c r="CM619" s="1407">
        <f t="shared" si="10"/>
        <v>0</v>
      </c>
      <c r="CN619" s="1407"/>
      <c r="CO619" s="1407"/>
      <c r="CP619" s="1407"/>
      <c r="CQ619" s="1407"/>
      <c r="CR619" s="6"/>
      <c r="CS619" s="1406">
        <f t="shared" si="11"/>
        <v>0</v>
      </c>
      <c r="CT619" s="1406"/>
      <c r="CU619" s="1406"/>
      <c r="CV619" s="1406"/>
      <c r="CW619" s="1406"/>
      <c r="CX619" s="1406">
        <f t="shared" si="12"/>
        <v>0</v>
      </c>
      <c r="CY619" s="1406"/>
      <c r="CZ619" s="1406"/>
      <c r="DA619" s="1406"/>
      <c r="DB619" s="1406"/>
      <c r="DC619" s="1406">
        <f t="shared" si="13"/>
        <v>0</v>
      </c>
      <c r="DD619" s="1406"/>
      <c r="DE619" s="1406"/>
      <c r="DF619" s="1406"/>
      <c r="DG619" s="1406"/>
      <c r="DH619" s="1406">
        <f t="shared" si="14"/>
        <v>0</v>
      </c>
      <c r="DI619" s="1406"/>
      <c r="DJ619" s="1406"/>
      <c r="DK619" s="1406"/>
      <c r="DL619" s="1406"/>
      <c r="DM619" s="1406">
        <f t="shared" si="15"/>
        <v>0</v>
      </c>
      <c r="DN619" s="1406"/>
      <c r="DO619" s="1406"/>
      <c r="DP619" s="1406"/>
      <c r="DQ619" s="1406"/>
      <c r="DR619" s="1406">
        <f t="shared" si="16"/>
        <v>0</v>
      </c>
      <c r="DS619" s="1406"/>
      <c r="DT619" s="1406"/>
      <c r="DU619" s="1406"/>
      <c r="DV619" s="1406"/>
      <c r="DX619" s="1402" t="str">
        <f t="shared" si="17"/>
        <v/>
      </c>
      <c r="DY619" s="1403"/>
      <c r="DZ619" s="1403"/>
      <c r="EA619" s="1403"/>
      <c r="EB619" s="1404"/>
      <c r="EC619" s="1402" t="str">
        <f t="shared" si="18"/>
        <v/>
      </c>
      <c r="ED619" s="1403"/>
      <c r="EE619" s="1403"/>
      <c r="EF619" s="1403"/>
      <c r="EG619" s="1404"/>
      <c r="EH619" s="1402" t="str">
        <f t="shared" si="19"/>
        <v/>
      </c>
      <c r="EI619" s="1403"/>
      <c r="EJ619" s="1403"/>
      <c r="EK619" s="1403"/>
      <c r="EL619" s="1404"/>
      <c r="EM619" s="1402" t="str">
        <f t="shared" si="20"/>
        <v/>
      </c>
      <c r="EN619" s="1403"/>
      <c r="EO619" s="1403"/>
      <c r="EP619" s="1403"/>
      <c r="EQ619" s="1404"/>
      <c r="ER619" s="1402" t="str">
        <f t="shared" si="21"/>
        <v/>
      </c>
      <c r="ES619" s="1403"/>
      <c r="ET619" s="1403"/>
      <c r="EU619" s="1403"/>
      <c r="EV619" s="1404"/>
      <c r="EW619" s="1402" t="str">
        <f t="shared" si="22"/>
        <v/>
      </c>
      <c r="EX619" s="1403"/>
      <c r="EY619" s="1403"/>
      <c r="EZ619" s="1403"/>
      <c r="FA619" s="1404"/>
    </row>
    <row r="620" spans="1:157" ht="13" customHeight="1">
      <c r="A620" s="2" t="s">
        <v>320</v>
      </c>
      <c r="B620" s="2"/>
      <c r="C620" s="2" t="s">
        <v>21</v>
      </c>
      <c r="AZ620" s="3"/>
      <c r="BA620" s="3"/>
      <c r="BB620" s="3"/>
      <c r="BC620" s="3"/>
      <c r="BD620" s="3"/>
      <c r="BE620" s="1402">
        <f t="shared" si="1"/>
        <v>0</v>
      </c>
      <c r="BF620" s="1404"/>
      <c r="BG620" s="1525">
        <f t="shared" si="2"/>
        <v>0</v>
      </c>
      <c r="BH620" s="1526"/>
      <c r="BI620" s="1402">
        <f t="shared" si="3"/>
        <v>0</v>
      </c>
      <c r="BJ620" s="1404"/>
      <c r="BK620" s="1525">
        <f t="shared" si="4"/>
        <v>0</v>
      </c>
      <c r="BL620" s="1526"/>
      <c r="BM620" s="3"/>
      <c r="BN620" s="1527">
        <f t="shared" si="5"/>
        <v>0</v>
      </c>
      <c r="BO620" s="1528"/>
      <c r="BP620" s="1528"/>
      <c r="BQ620" s="1528"/>
      <c r="BR620" s="1529"/>
      <c r="BS620" s="1407">
        <f t="shared" si="6"/>
        <v>0</v>
      </c>
      <c r="BT620" s="1407"/>
      <c r="BU620" s="1407"/>
      <c r="BV620" s="1407"/>
      <c r="BW620" s="1407"/>
      <c r="BX620" s="1407">
        <f t="shared" si="7"/>
        <v>0</v>
      </c>
      <c r="BY620" s="1407"/>
      <c r="BZ620" s="1407"/>
      <c r="CA620" s="1407"/>
      <c r="CB620" s="1407"/>
      <c r="CC620" s="1407">
        <f t="shared" si="8"/>
        <v>0</v>
      </c>
      <c r="CD620" s="1407"/>
      <c r="CE620" s="1407"/>
      <c r="CF620" s="1407"/>
      <c r="CG620" s="1407"/>
      <c r="CH620" s="1407">
        <f t="shared" si="9"/>
        <v>0</v>
      </c>
      <c r="CI620" s="1407"/>
      <c r="CJ620" s="1407"/>
      <c r="CK620" s="1407"/>
      <c r="CL620" s="1407"/>
      <c r="CM620" s="1407">
        <f t="shared" si="10"/>
        <v>0</v>
      </c>
      <c r="CN620" s="1407"/>
      <c r="CO620" s="1407"/>
      <c r="CP620" s="1407"/>
      <c r="CQ620" s="1407"/>
      <c r="CR620" s="6"/>
      <c r="CS620" s="1406">
        <f t="shared" si="11"/>
        <v>0</v>
      </c>
      <c r="CT620" s="1406"/>
      <c r="CU620" s="1406"/>
      <c r="CV620" s="1406"/>
      <c r="CW620" s="1406"/>
      <c r="CX620" s="1406">
        <f t="shared" si="12"/>
        <v>0</v>
      </c>
      <c r="CY620" s="1406"/>
      <c r="CZ620" s="1406"/>
      <c r="DA620" s="1406"/>
      <c r="DB620" s="1406"/>
      <c r="DC620" s="1406">
        <f t="shared" si="13"/>
        <v>0</v>
      </c>
      <c r="DD620" s="1406"/>
      <c r="DE620" s="1406"/>
      <c r="DF620" s="1406"/>
      <c r="DG620" s="1406"/>
      <c r="DH620" s="1406">
        <f t="shared" si="14"/>
        <v>0</v>
      </c>
      <c r="DI620" s="1406"/>
      <c r="DJ620" s="1406"/>
      <c r="DK620" s="1406"/>
      <c r="DL620" s="1406"/>
      <c r="DM620" s="1406">
        <f t="shared" si="15"/>
        <v>0</v>
      </c>
      <c r="DN620" s="1406"/>
      <c r="DO620" s="1406"/>
      <c r="DP620" s="1406"/>
      <c r="DQ620" s="1406"/>
      <c r="DR620" s="1406">
        <f t="shared" si="16"/>
        <v>0</v>
      </c>
      <c r="DS620" s="1406"/>
      <c r="DT620" s="1406"/>
      <c r="DU620" s="1406"/>
      <c r="DV620" s="1406"/>
      <c r="DX620" s="1402" t="str">
        <f t="shared" si="17"/>
        <v/>
      </c>
      <c r="DY620" s="1403"/>
      <c r="DZ620" s="1403"/>
      <c r="EA620" s="1403"/>
      <c r="EB620" s="1404"/>
      <c r="EC620" s="1402" t="str">
        <f t="shared" si="18"/>
        <v/>
      </c>
      <c r="ED620" s="1403"/>
      <c r="EE620" s="1403"/>
      <c r="EF620" s="1403"/>
      <c r="EG620" s="1404"/>
      <c r="EH620" s="1402" t="str">
        <f t="shared" si="19"/>
        <v/>
      </c>
      <c r="EI620" s="1403"/>
      <c r="EJ620" s="1403"/>
      <c r="EK620" s="1403"/>
      <c r="EL620" s="1404"/>
      <c r="EM620" s="1402" t="str">
        <f t="shared" si="20"/>
        <v/>
      </c>
      <c r="EN620" s="1403"/>
      <c r="EO620" s="1403"/>
      <c r="EP620" s="1403"/>
      <c r="EQ620" s="1404"/>
      <c r="ER620" s="1402" t="str">
        <f t="shared" si="21"/>
        <v/>
      </c>
      <c r="ES620" s="1403"/>
      <c r="ET620" s="1403"/>
      <c r="EU620" s="1403"/>
      <c r="EV620" s="1404"/>
      <c r="EW620" s="1402" t="str">
        <f t="shared" si="22"/>
        <v/>
      </c>
      <c r="EX620" s="1403"/>
      <c r="EY620" s="1403"/>
      <c r="EZ620" s="1403"/>
      <c r="FA620" s="1404"/>
    </row>
    <row r="621" spans="1:157" ht="13" customHeight="1">
      <c r="A621" s="2"/>
      <c r="B621" s="2"/>
      <c r="C621" s="2"/>
      <c r="AZ621" s="3"/>
      <c r="BA621" s="3"/>
      <c r="BB621" s="3"/>
      <c r="BC621" s="3"/>
      <c r="BD621" s="3"/>
      <c r="BE621" s="1402">
        <f t="shared" si="1"/>
        <v>0</v>
      </c>
      <c r="BF621" s="1404"/>
      <c r="BG621" s="1525">
        <f t="shared" si="2"/>
        <v>0</v>
      </c>
      <c r="BH621" s="1526"/>
      <c r="BI621" s="1402">
        <f t="shared" si="3"/>
        <v>0</v>
      </c>
      <c r="BJ621" s="1404"/>
      <c r="BK621" s="1525">
        <f t="shared" si="4"/>
        <v>0</v>
      </c>
      <c r="BL621" s="1526"/>
      <c r="BM621" s="3"/>
      <c r="BN621" s="1527">
        <f t="shared" si="5"/>
        <v>0</v>
      </c>
      <c r="BO621" s="1528"/>
      <c r="BP621" s="1528"/>
      <c r="BQ621" s="1528"/>
      <c r="BR621" s="1529"/>
      <c r="BS621" s="1407">
        <f t="shared" si="6"/>
        <v>0</v>
      </c>
      <c r="BT621" s="1407"/>
      <c r="BU621" s="1407"/>
      <c r="BV621" s="1407"/>
      <c r="BW621" s="1407"/>
      <c r="BX621" s="1407">
        <f t="shared" si="7"/>
        <v>0</v>
      </c>
      <c r="BY621" s="1407"/>
      <c r="BZ621" s="1407"/>
      <c r="CA621" s="1407"/>
      <c r="CB621" s="1407"/>
      <c r="CC621" s="1407">
        <f t="shared" si="8"/>
        <v>0</v>
      </c>
      <c r="CD621" s="1407"/>
      <c r="CE621" s="1407"/>
      <c r="CF621" s="1407"/>
      <c r="CG621" s="1407"/>
      <c r="CH621" s="1407">
        <f t="shared" si="9"/>
        <v>0</v>
      </c>
      <c r="CI621" s="1407"/>
      <c r="CJ621" s="1407"/>
      <c r="CK621" s="1407"/>
      <c r="CL621" s="1407"/>
      <c r="CM621" s="1407">
        <f t="shared" si="10"/>
        <v>0</v>
      </c>
      <c r="CN621" s="1407"/>
      <c r="CO621" s="1407"/>
      <c r="CP621" s="1407"/>
      <c r="CQ621" s="1407"/>
      <c r="CR621" s="6"/>
      <c r="CS621" s="1406">
        <f t="shared" si="11"/>
        <v>0</v>
      </c>
      <c r="CT621" s="1406"/>
      <c r="CU621" s="1406"/>
      <c r="CV621" s="1406"/>
      <c r="CW621" s="1406"/>
      <c r="CX621" s="1406">
        <f t="shared" si="12"/>
        <v>0</v>
      </c>
      <c r="CY621" s="1406"/>
      <c r="CZ621" s="1406"/>
      <c r="DA621" s="1406"/>
      <c r="DB621" s="1406"/>
      <c r="DC621" s="1406">
        <f t="shared" si="13"/>
        <v>0</v>
      </c>
      <c r="DD621" s="1406"/>
      <c r="DE621" s="1406"/>
      <c r="DF621" s="1406"/>
      <c r="DG621" s="1406"/>
      <c r="DH621" s="1406">
        <f t="shared" si="14"/>
        <v>0</v>
      </c>
      <c r="DI621" s="1406"/>
      <c r="DJ621" s="1406"/>
      <c r="DK621" s="1406"/>
      <c r="DL621" s="1406"/>
      <c r="DM621" s="1406">
        <f t="shared" si="15"/>
        <v>0</v>
      </c>
      <c r="DN621" s="1406"/>
      <c r="DO621" s="1406"/>
      <c r="DP621" s="1406"/>
      <c r="DQ621" s="1406"/>
      <c r="DR621" s="1406">
        <f t="shared" si="16"/>
        <v>0</v>
      </c>
      <c r="DS621" s="1406"/>
      <c r="DT621" s="1406"/>
      <c r="DU621" s="1406"/>
      <c r="DV621" s="1406"/>
      <c r="DX621" s="1402" t="str">
        <f t="shared" si="17"/>
        <v/>
      </c>
      <c r="DY621" s="1403"/>
      <c r="DZ621" s="1403"/>
      <c r="EA621" s="1403"/>
      <c r="EB621" s="1404"/>
      <c r="EC621" s="1402" t="str">
        <f t="shared" si="18"/>
        <v/>
      </c>
      <c r="ED621" s="1403"/>
      <c r="EE621" s="1403"/>
      <c r="EF621" s="1403"/>
      <c r="EG621" s="1404"/>
      <c r="EH621" s="1402" t="str">
        <f t="shared" si="19"/>
        <v/>
      </c>
      <c r="EI621" s="1403"/>
      <c r="EJ621" s="1403"/>
      <c r="EK621" s="1403"/>
      <c r="EL621" s="1404"/>
      <c r="EM621" s="1402" t="str">
        <f t="shared" si="20"/>
        <v/>
      </c>
      <c r="EN621" s="1403"/>
      <c r="EO621" s="1403"/>
      <c r="EP621" s="1403"/>
      <c r="EQ621" s="1404"/>
      <c r="ER621" s="1402" t="str">
        <f t="shared" si="21"/>
        <v/>
      </c>
      <c r="ES621" s="1403"/>
      <c r="ET621" s="1403"/>
      <c r="EU621" s="1403"/>
      <c r="EV621" s="1404"/>
      <c r="EW621" s="1402" t="str">
        <f t="shared" si="22"/>
        <v/>
      </c>
      <c r="EX621" s="1403"/>
      <c r="EY621" s="1403"/>
      <c r="EZ621" s="1403"/>
      <c r="FA621" s="1404"/>
    </row>
    <row r="622" spans="1:157" ht="13" customHeight="1">
      <c r="C622" s="2" t="s">
        <v>2421</v>
      </c>
      <c r="AZ622" s="3"/>
      <c r="BA622" s="3"/>
      <c r="BB622" s="3"/>
      <c r="BC622" s="3"/>
      <c r="BD622" s="3"/>
      <c r="BE622" s="1402">
        <f t="shared" si="1"/>
        <v>0</v>
      </c>
      <c r="BF622" s="1404"/>
      <c r="BG622" s="1525">
        <f t="shared" si="2"/>
        <v>0</v>
      </c>
      <c r="BH622" s="1526"/>
      <c r="BI622" s="1402">
        <f t="shared" si="3"/>
        <v>0</v>
      </c>
      <c r="BJ622" s="1404"/>
      <c r="BK622" s="1525">
        <f t="shared" si="4"/>
        <v>0</v>
      </c>
      <c r="BL622" s="1526"/>
      <c r="BM622" s="3"/>
      <c r="BN622" s="1527">
        <f t="shared" si="5"/>
        <v>0</v>
      </c>
      <c r="BO622" s="1528"/>
      <c r="BP622" s="1528"/>
      <c r="BQ622" s="1528"/>
      <c r="BR622" s="1529"/>
      <c r="BS622" s="1407">
        <f t="shared" si="6"/>
        <v>0</v>
      </c>
      <c r="BT622" s="1407"/>
      <c r="BU622" s="1407"/>
      <c r="BV622" s="1407"/>
      <c r="BW622" s="1407"/>
      <c r="BX622" s="1407">
        <f t="shared" si="7"/>
        <v>0</v>
      </c>
      <c r="BY622" s="1407"/>
      <c r="BZ622" s="1407"/>
      <c r="CA622" s="1407"/>
      <c r="CB622" s="1407"/>
      <c r="CC622" s="1407">
        <f t="shared" si="8"/>
        <v>0</v>
      </c>
      <c r="CD622" s="1407"/>
      <c r="CE622" s="1407"/>
      <c r="CF622" s="1407"/>
      <c r="CG622" s="1407"/>
      <c r="CH622" s="1407">
        <f t="shared" si="9"/>
        <v>0</v>
      </c>
      <c r="CI622" s="1407"/>
      <c r="CJ622" s="1407"/>
      <c r="CK622" s="1407"/>
      <c r="CL622" s="1407"/>
      <c r="CM622" s="1407">
        <f t="shared" si="10"/>
        <v>0</v>
      </c>
      <c r="CN622" s="1407"/>
      <c r="CO622" s="1407"/>
      <c r="CP622" s="1407"/>
      <c r="CQ622" s="1407"/>
      <c r="CR622" s="6"/>
      <c r="CS622" s="1406">
        <f t="shared" si="11"/>
        <v>0</v>
      </c>
      <c r="CT622" s="1406"/>
      <c r="CU622" s="1406"/>
      <c r="CV622" s="1406"/>
      <c r="CW622" s="1406"/>
      <c r="CX622" s="1406">
        <f t="shared" si="12"/>
        <v>0</v>
      </c>
      <c r="CY622" s="1406"/>
      <c r="CZ622" s="1406"/>
      <c r="DA622" s="1406"/>
      <c r="DB622" s="1406"/>
      <c r="DC622" s="1406">
        <f t="shared" si="13"/>
        <v>0</v>
      </c>
      <c r="DD622" s="1406"/>
      <c r="DE622" s="1406"/>
      <c r="DF622" s="1406"/>
      <c r="DG622" s="1406"/>
      <c r="DH622" s="1406">
        <f t="shared" si="14"/>
        <v>0</v>
      </c>
      <c r="DI622" s="1406"/>
      <c r="DJ622" s="1406"/>
      <c r="DK622" s="1406"/>
      <c r="DL622" s="1406"/>
      <c r="DM622" s="1406">
        <f t="shared" si="15"/>
        <v>0</v>
      </c>
      <c r="DN622" s="1406"/>
      <c r="DO622" s="1406"/>
      <c r="DP622" s="1406"/>
      <c r="DQ622" s="1406"/>
      <c r="DR622" s="1406">
        <f t="shared" si="16"/>
        <v>0</v>
      </c>
      <c r="DS622" s="1406"/>
      <c r="DT622" s="1406"/>
      <c r="DU622" s="1406"/>
      <c r="DV622" s="1406"/>
      <c r="DX622" s="1402" t="str">
        <f t="shared" si="17"/>
        <v/>
      </c>
      <c r="DY622" s="1403"/>
      <c r="DZ622" s="1403"/>
      <c r="EA622" s="1403"/>
      <c r="EB622" s="1404"/>
      <c r="EC622" s="1402" t="str">
        <f t="shared" si="18"/>
        <v/>
      </c>
      <c r="ED622" s="1403"/>
      <c r="EE622" s="1403"/>
      <c r="EF622" s="1403"/>
      <c r="EG622" s="1404"/>
      <c r="EH622" s="1402" t="str">
        <f t="shared" si="19"/>
        <v/>
      </c>
      <c r="EI622" s="1403"/>
      <c r="EJ622" s="1403"/>
      <c r="EK622" s="1403"/>
      <c r="EL622" s="1404"/>
      <c r="EM622" s="1402" t="str">
        <f t="shared" si="20"/>
        <v/>
      </c>
      <c r="EN622" s="1403"/>
      <c r="EO622" s="1403"/>
      <c r="EP622" s="1403"/>
      <c r="EQ622" s="1404"/>
      <c r="ER622" s="1402" t="str">
        <f t="shared" si="21"/>
        <v/>
      </c>
      <c r="ES622" s="1403"/>
      <c r="ET622" s="1403"/>
      <c r="EU622" s="1403"/>
      <c r="EV622" s="1404"/>
      <c r="EW622" s="1402" t="str">
        <f t="shared" si="22"/>
        <v/>
      </c>
      <c r="EX622" s="1403"/>
      <c r="EY622" s="1403"/>
      <c r="EZ622" s="1403"/>
      <c r="FA622" s="1404"/>
    </row>
    <row r="623" spans="1:157" ht="13" customHeight="1">
      <c r="B623" s="546"/>
      <c r="C623" s="2"/>
      <c r="AU623" s="3"/>
      <c r="AZ623" s="3"/>
      <c r="BA623" s="3"/>
      <c r="BB623" s="3"/>
      <c r="BC623" s="3"/>
      <c r="BD623" s="3"/>
      <c r="BE623" s="1402">
        <f t="shared" si="1"/>
        <v>0</v>
      </c>
      <c r="BF623" s="1404"/>
      <c r="BG623" s="1525">
        <f t="shared" si="2"/>
        <v>0</v>
      </c>
      <c r="BH623" s="1526"/>
      <c r="BI623" s="1402">
        <f t="shared" si="3"/>
        <v>0</v>
      </c>
      <c r="BJ623" s="1404"/>
      <c r="BK623" s="1525">
        <f t="shared" si="4"/>
        <v>0</v>
      </c>
      <c r="BL623" s="1526"/>
      <c r="BM623" s="3"/>
      <c r="BN623" s="1527">
        <f t="shared" si="5"/>
        <v>0</v>
      </c>
      <c r="BO623" s="1528"/>
      <c r="BP623" s="1528"/>
      <c r="BQ623" s="1528"/>
      <c r="BR623" s="1529"/>
      <c r="BS623" s="1407">
        <f t="shared" si="6"/>
        <v>0</v>
      </c>
      <c r="BT623" s="1407"/>
      <c r="BU623" s="1407"/>
      <c r="BV623" s="1407"/>
      <c r="BW623" s="1407"/>
      <c r="BX623" s="1407">
        <f t="shared" si="7"/>
        <v>0</v>
      </c>
      <c r="BY623" s="1407"/>
      <c r="BZ623" s="1407"/>
      <c r="CA623" s="1407"/>
      <c r="CB623" s="1407"/>
      <c r="CC623" s="1407">
        <f t="shared" si="8"/>
        <v>0</v>
      </c>
      <c r="CD623" s="1407"/>
      <c r="CE623" s="1407"/>
      <c r="CF623" s="1407"/>
      <c r="CG623" s="1407"/>
      <c r="CH623" s="1407">
        <f t="shared" si="9"/>
        <v>0</v>
      </c>
      <c r="CI623" s="1407"/>
      <c r="CJ623" s="1407"/>
      <c r="CK623" s="1407"/>
      <c r="CL623" s="1407"/>
      <c r="CM623" s="1407">
        <f t="shared" si="10"/>
        <v>0</v>
      </c>
      <c r="CN623" s="1407"/>
      <c r="CO623" s="1407"/>
      <c r="CP623" s="1407"/>
      <c r="CQ623" s="1407"/>
      <c r="CR623" s="6"/>
      <c r="CS623" s="1406">
        <f t="shared" si="11"/>
        <v>0</v>
      </c>
      <c r="CT623" s="1406"/>
      <c r="CU623" s="1406"/>
      <c r="CV623" s="1406"/>
      <c r="CW623" s="1406"/>
      <c r="CX623" s="1406">
        <f t="shared" si="12"/>
        <v>0</v>
      </c>
      <c r="CY623" s="1406"/>
      <c r="CZ623" s="1406"/>
      <c r="DA623" s="1406"/>
      <c r="DB623" s="1406"/>
      <c r="DC623" s="1406">
        <f t="shared" si="13"/>
        <v>0</v>
      </c>
      <c r="DD623" s="1406"/>
      <c r="DE623" s="1406"/>
      <c r="DF623" s="1406"/>
      <c r="DG623" s="1406"/>
      <c r="DH623" s="1406">
        <f t="shared" si="14"/>
        <v>0</v>
      </c>
      <c r="DI623" s="1406"/>
      <c r="DJ623" s="1406"/>
      <c r="DK623" s="1406"/>
      <c r="DL623" s="1406"/>
      <c r="DM623" s="1406">
        <f t="shared" si="15"/>
        <v>0</v>
      </c>
      <c r="DN623" s="1406"/>
      <c r="DO623" s="1406"/>
      <c r="DP623" s="1406"/>
      <c r="DQ623" s="1406"/>
      <c r="DR623" s="1406">
        <f t="shared" si="16"/>
        <v>0</v>
      </c>
      <c r="DS623" s="1406"/>
      <c r="DT623" s="1406"/>
      <c r="DU623" s="1406"/>
      <c r="DV623" s="1406"/>
      <c r="DX623" s="1402" t="str">
        <f t="shared" si="17"/>
        <v/>
      </c>
      <c r="DY623" s="1403"/>
      <c r="DZ623" s="1403"/>
      <c r="EA623" s="1403"/>
      <c r="EB623" s="1404"/>
      <c r="EC623" s="1402" t="str">
        <f t="shared" si="18"/>
        <v/>
      </c>
      <c r="ED623" s="1403"/>
      <c r="EE623" s="1403"/>
      <c r="EF623" s="1403"/>
      <c r="EG623" s="1404"/>
      <c r="EH623" s="1402" t="str">
        <f t="shared" si="19"/>
        <v/>
      </c>
      <c r="EI623" s="1403"/>
      <c r="EJ623" s="1403"/>
      <c r="EK623" s="1403"/>
      <c r="EL623" s="1404"/>
      <c r="EM623" s="1402" t="str">
        <f t="shared" si="20"/>
        <v/>
      </c>
      <c r="EN623" s="1403"/>
      <c r="EO623" s="1403"/>
      <c r="EP623" s="1403"/>
      <c r="EQ623" s="1404"/>
      <c r="ER623" s="1402" t="str">
        <f t="shared" si="21"/>
        <v/>
      </c>
      <c r="ES623" s="1403"/>
      <c r="ET623" s="1403"/>
      <c r="EU623" s="1403"/>
      <c r="EV623" s="1404"/>
      <c r="EW623" s="1402" t="str">
        <f t="shared" si="22"/>
        <v/>
      </c>
      <c r="EX623" s="1403"/>
      <c r="EY623" s="1403"/>
      <c r="EZ623" s="1403"/>
      <c r="FA623" s="1404"/>
    </row>
    <row r="624" spans="1:157" ht="13" customHeight="1">
      <c r="B624" s="1832" t="s">
        <v>2423</v>
      </c>
      <c r="C624" s="1832"/>
      <c r="D624" s="1832"/>
      <c r="E624" s="1832"/>
      <c r="F624" s="1832"/>
      <c r="G624" s="1832"/>
      <c r="H624" s="1832"/>
      <c r="I624" s="1832"/>
      <c r="J624" s="1832"/>
      <c r="K624" s="1832"/>
      <c r="L624" s="1832"/>
      <c r="M624" s="1739" t="s">
        <v>2424</v>
      </c>
      <c r="N624" s="1739"/>
      <c r="O624" s="1739"/>
      <c r="P624" s="1739"/>
      <c r="Q624" s="1739" t="s">
        <v>2045</v>
      </c>
      <c r="R624" s="1739"/>
      <c r="S624" s="1739"/>
      <c r="T624" s="1739" t="s">
        <v>2043</v>
      </c>
      <c r="U624" s="1739"/>
      <c r="V624" s="1739"/>
      <c r="W624" s="1833" t="s">
        <v>462</v>
      </c>
      <c r="X624" s="1833"/>
      <c r="Y624" s="1833"/>
      <c r="Z624" s="1419" t="s">
        <v>2453</v>
      </c>
      <c r="AA624" s="1419"/>
      <c r="AB624" s="1420"/>
      <c r="AC624" s="1758" t="s">
        <v>1866</v>
      </c>
      <c r="AD624" s="1759"/>
      <c r="AE624" s="1760"/>
      <c r="AF624" s="1418" t="s">
        <v>2232</v>
      </c>
      <c r="AG624" s="1419"/>
      <c r="AH624" s="1419"/>
      <c r="AI624" s="1419"/>
      <c r="AJ624" s="1420"/>
      <c r="AK624" s="1740" t="s">
        <v>2233</v>
      </c>
      <c r="AL624" s="1741"/>
      <c r="AM624" s="1741"/>
      <c r="AN624" s="1742"/>
      <c r="AO624" s="1739" t="s">
        <v>463</v>
      </c>
      <c r="AP624" s="1739"/>
      <c r="AQ624" s="1739"/>
      <c r="AR624" s="1739"/>
      <c r="AS624" s="1739"/>
      <c r="AU624" s="3"/>
      <c r="AZ624" s="3"/>
      <c r="BA624" s="3"/>
      <c r="BB624" s="3"/>
      <c r="BC624" s="3"/>
      <c r="BD624" s="3"/>
      <c r="BE624" s="1402">
        <f t="shared" si="1"/>
        <v>0</v>
      </c>
      <c r="BF624" s="1404"/>
      <c r="BG624" s="1525">
        <f t="shared" si="2"/>
        <v>0</v>
      </c>
      <c r="BH624" s="1526"/>
      <c r="BI624" s="1402">
        <f t="shared" si="3"/>
        <v>0</v>
      </c>
      <c r="BJ624" s="1404"/>
      <c r="BK624" s="1525">
        <f t="shared" si="4"/>
        <v>0</v>
      </c>
      <c r="BL624" s="1526"/>
      <c r="BM624" s="3"/>
      <c r="BN624" s="1527">
        <f t="shared" si="5"/>
        <v>0</v>
      </c>
      <c r="BO624" s="1528"/>
      <c r="BP624" s="1528"/>
      <c r="BQ624" s="1528"/>
      <c r="BR624" s="1529"/>
      <c r="BS624" s="1407">
        <f t="shared" si="6"/>
        <v>0</v>
      </c>
      <c r="BT624" s="1407"/>
      <c r="BU624" s="1407"/>
      <c r="BV624" s="1407"/>
      <c r="BW624" s="1407"/>
      <c r="BX624" s="1407">
        <f t="shared" si="7"/>
        <v>0</v>
      </c>
      <c r="BY624" s="1407"/>
      <c r="BZ624" s="1407"/>
      <c r="CA624" s="1407"/>
      <c r="CB624" s="1407"/>
      <c r="CC624" s="1407">
        <f t="shared" si="8"/>
        <v>0</v>
      </c>
      <c r="CD624" s="1407"/>
      <c r="CE624" s="1407"/>
      <c r="CF624" s="1407"/>
      <c r="CG624" s="1407"/>
      <c r="CH624" s="1407">
        <f t="shared" si="9"/>
        <v>0</v>
      </c>
      <c r="CI624" s="1407"/>
      <c r="CJ624" s="1407"/>
      <c r="CK624" s="1407"/>
      <c r="CL624" s="1407"/>
      <c r="CM624" s="1407">
        <f t="shared" si="10"/>
        <v>0</v>
      </c>
      <c r="CN624" s="1407"/>
      <c r="CO624" s="1407"/>
      <c r="CP624" s="1407"/>
      <c r="CQ624" s="1407"/>
      <c r="CR624" s="6"/>
      <c r="CS624" s="1406">
        <f t="shared" si="11"/>
        <v>0</v>
      </c>
      <c r="CT624" s="1406"/>
      <c r="CU624" s="1406"/>
      <c r="CV624" s="1406"/>
      <c r="CW624" s="1406"/>
      <c r="CX624" s="1406">
        <f t="shared" si="12"/>
        <v>0</v>
      </c>
      <c r="CY624" s="1406"/>
      <c r="CZ624" s="1406"/>
      <c r="DA624" s="1406"/>
      <c r="DB624" s="1406"/>
      <c r="DC624" s="1406">
        <f t="shared" si="13"/>
        <v>0</v>
      </c>
      <c r="DD624" s="1406"/>
      <c r="DE624" s="1406"/>
      <c r="DF624" s="1406"/>
      <c r="DG624" s="1406"/>
      <c r="DH624" s="1406">
        <f t="shared" si="14"/>
        <v>0</v>
      </c>
      <c r="DI624" s="1406"/>
      <c r="DJ624" s="1406"/>
      <c r="DK624" s="1406"/>
      <c r="DL624" s="1406"/>
      <c r="DM624" s="1406">
        <f t="shared" si="15"/>
        <v>0</v>
      </c>
      <c r="DN624" s="1406"/>
      <c r="DO624" s="1406"/>
      <c r="DP624" s="1406"/>
      <c r="DQ624" s="1406"/>
      <c r="DR624" s="1406">
        <f t="shared" si="16"/>
        <v>0</v>
      </c>
      <c r="DS624" s="1406"/>
      <c r="DT624" s="1406"/>
      <c r="DU624" s="1406"/>
      <c r="DV624" s="1406"/>
      <c r="DX624" s="1402" t="str">
        <f t="shared" si="17"/>
        <v/>
      </c>
      <c r="DY624" s="1403"/>
      <c r="DZ624" s="1403"/>
      <c r="EA624" s="1403"/>
      <c r="EB624" s="1404"/>
      <c r="EC624" s="1402" t="str">
        <f t="shared" si="18"/>
        <v/>
      </c>
      <c r="ED624" s="1403"/>
      <c r="EE624" s="1403"/>
      <c r="EF624" s="1403"/>
      <c r="EG624" s="1404"/>
      <c r="EH624" s="1402" t="str">
        <f t="shared" si="19"/>
        <v/>
      </c>
      <c r="EI624" s="1403"/>
      <c r="EJ624" s="1403"/>
      <c r="EK624" s="1403"/>
      <c r="EL624" s="1404"/>
      <c r="EM624" s="1402" t="str">
        <f t="shared" si="20"/>
        <v/>
      </c>
      <c r="EN624" s="1403"/>
      <c r="EO624" s="1403"/>
      <c r="EP624" s="1403"/>
      <c r="EQ624" s="1404"/>
      <c r="ER624" s="1402" t="str">
        <f t="shared" si="21"/>
        <v/>
      </c>
      <c r="ES624" s="1403"/>
      <c r="ET624" s="1403"/>
      <c r="EU624" s="1403"/>
      <c r="EV624" s="1404"/>
      <c r="EW624" s="1402" t="str">
        <f t="shared" si="22"/>
        <v/>
      </c>
      <c r="EX624" s="1403"/>
      <c r="EY624" s="1403"/>
      <c r="EZ624" s="1403"/>
      <c r="FA624" s="1404"/>
    </row>
    <row r="625" spans="2:157" ht="13" customHeight="1">
      <c r="B625" s="1832"/>
      <c r="C625" s="1832"/>
      <c r="D625" s="1832"/>
      <c r="E625" s="1832"/>
      <c r="F625" s="1832"/>
      <c r="G625" s="1832"/>
      <c r="H625" s="1832"/>
      <c r="I625" s="1832"/>
      <c r="J625" s="1832"/>
      <c r="K625" s="1832"/>
      <c r="L625" s="1832"/>
      <c r="M625" s="1739"/>
      <c r="N625" s="1739"/>
      <c r="O625" s="1739"/>
      <c r="P625" s="1739"/>
      <c r="Q625" s="1739"/>
      <c r="R625" s="1739"/>
      <c r="S625" s="1739"/>
      <c r="T625" s="1739"/>
      <c r="U625" s="1739"/>
      <c r="V625" s="1739"/>
      <c r="W625" s="1833"/>
      <c r="X625" s="1833"/>
      <c r="Y625" s="1833"/>
      <c r="Z625" s="1422"/>
      <c r="AA625" s="1422"/>
      <c r="AB625" s="1423"/>
      <c r="AC625" s="1761"/>
      <c r="AD625" s="1762"/>
      <c r="AE625" s="1763"/>
      <c r="AF625" s="1421"/>
      <c r="AG625" s="1422"/>
      <c r="AH625" s="1422"/>
      <c r="AI625" s="1422"/>
      <c r="AJ625" s="1423"/>
      <c r="AK625" s="1743"/>
      <c r="AL625" s="1744"/>
      <c r="AM625" s="1744"/>
      <c r="AN625" s="1745"/>
      <c r="AO625" s="1739"/>
      <c r="AP625" s="1739"/>
      <c r="AQ625" s="1739"/>
      <c r="AR625" s="1739"/>
      <c r="AS625" s="1739"/>
      <c r="AU625" s="3"/>
      <c r="AZ625" s="3"/>
      <c r="BA625" s="3"/>
      <c r="BB625" s="3"/>
      <c r="BC625" s="3"/>
      <c r="BD625" s="3"/>
      <c r="BE625" s="1402">
        <f t="shared" si="1"/>
        <v>0</v>
      </c>
      <c r="BF625" s="1404"/>
      <c r="BG625" s="1525">
        <f t="shared" si="2"/>
        <v>0</v>
      </c>
      <c r="BH625" s="1526"/>
      <c r="BI625" s="1402">
        <f t="shared" si="3"/>
        <v>0</v>
      </c>
      <c r="BJ625" s="1404"/>
      <c r="BK625" s="1525">
        <f t="shared" si="4"/>
        <v>0</v>
      </c>
      <c r="BL625" s="1526"/>
      <c r="BM625" s="3"/>
      <c r="BN625" s="1527">
        <f t="shared" si="5"/>
        <v>0</v>
      </c>
      <c r="BO625" s="1528"/>
      <c r="BP625" s="1528"/>
      <c r="BQ625" s="1528"/>
      <c r="BR625" s="1529"/>
      <c r="BS625" s="1407">
        <f t="shared" si="6"/>
        <v>0</v>
      </c>
      <c r="BT625" s="1407"/>
      <c r="BU625" s="1407"/>
      <c r="BV625" s="1407"/>
      <c r="BW625" s="1407"/>
      <c r="BX625" s="1407">
        <f t="shared" si="7"/>
        <v>0</v>
      </c>
      <c r="BY625" s="1407"/>
      <c r="BZ625" s="1407"/>
      <c r="CA625" s="1407"/>
      <c r="CB625" s="1407"/>
      <c r="CC625" s="1407">
        <f t="shared" si="8"/>
        <v>0</v>
      </c>
      <c r="CD625" s="1407"/>
      <c r="CE625" s="1407"/>
      <c r="CF625" s="1407"/>
      <c r="CG625" s="1407"/>
      <c r="CH625" s="1407">
        <f t="shared" si="9"/>
        <v>0</v>
      </c>
      <c r="CI625" s="1407"/>
      <c r="CJ625" s="1407"/>
      <c r="CK625" s="1407"/>
      <c r="CL625" s="1407"/>
      <c r="CM625" s="1407">
        <f t="shared" si="10"/>
        <v>0</v>
      </c>
      <c r="CN625" s="1407"/>
      <c r="CO625" s="1407"/>
      <c r="CP625" s="1407"/>
      <c r="CQ625" s="1407"/>
      <c r="CR625" s="6"/>
      <c r="CS625" s="1406">
        <f t="shared" si="11"/>
        <v>0</v>
      </c>
      <c r="CT625" s="1406"/>
      <c r="CU625" s="1406"/>
      <c r="CV625" s="1406"/>
      <c r="CW625" s="1406"/>
      <c r="CX625" s="1406">
        <f t="shared" si="12"/>
        <v>0</v>
      </c>
      <c r="CY625" s="1406"/>
      <c r="CZ625" s="1406"/>
      <c r="DA625" s="1406"/>
      <c r="DB625" s="1406"/>
      <c r="DC625" s="1406">
        <f t="shared" si="13"/>
        <v>0</v>
      </c>
      <c r="DD625" s="1406"/>
      <c r="DE625" s="1406"/>
      <c r="DF625" s="1406"/>
      <c r="DG625" s="1406"/>
      <c r="DH625" s="1406">
        <f t="shared" si="14"/>
        <v>0</v>
      </c>
      <c r="DI625" s="1406"/>
      <c r="DJ625" s="1406"/>
      <c r="DK625" s="1406"/>
      <c r="DL625" s="1406"/>
      <c r="DM625" s="1406">
        <f t="shared" si="15"/>
        <v>0</v>
      </c>
      <c r="DN625" s="1406"/>
      <c r="DO625" s="1406"/>
      <c r="DP625" s="1406"/>
      <c r="DQ625" s="1406"/>
      <c r="DR625" s="1406">
        <f t="shared" si="16"/>
        <v>0</v>
      </c>
      <c r="DS625" s="1406"/>
      <c r="DT625" s="1406"/>
      <c r="DU625" s="1406"/>
      <c r="DV625" s="1406"/>
      <c r="DX625" s="1402" t="str">
        <f t="shared" si="17"/>
        <v/>
      </c>
      <c r="DY625" s="1403"/>
      <c r="DZ625" s="1403"/>
      <c r="EA625" s="1403"/>
      <c r="EB625" s="1404"/>
      <c r="EC625" s="1402" t="str">
        <f t="shared" si="18"/>
        <v/>
      </c>
      <c r="ED625" s="1403"/>
      <c r="EE625" s="1403"/>
      <c r="EF625" s="1403"/>
      <c r="EG625" s="1404"/>
      <c r="EH625" s="1402" t="str">
        <f t="shared" si="19"/>
        <v/>
      </c>
      <c r="EI625" s="1403"/>
      <c r="EJ625" s="1403"/>
      <c r="EK625" s="1403"/>
      <c r="EL625" s="1404"/>
      <c r="EM625" s="1402" t="str">
        <f t="shared" si="20"/>
        <v/>
      </c>
      <c r="EN625" s="1403"/>
      <c r="EO625" s="1403"/>
      <c r="EP625" s="1403"/>
      <c r="EQ625" s="1404"/>
      <c r="ER625" s="1402" t="str">
        <f t="shared" si="21"/>
        <v/>
      </c>
      <c r="ES625" s="1403"/>
      <c r="ET625" s="1403"/>
      <c r="EU625" s="1403"/>
      <c r="EV625" s="1404"/>
      <c r="EW625" s="1402" t="str">
        <f t="shared" si="22"/>
        <v/>
      </c>
      <c r="EX625" s="1403"/>
      <c r="EY625" s="1403"/>
      <c r="EZ625" s="1403"/>
      <c r="FA625" s="1404"/>
    </row>
    <row r="626" spans="2:157" ht="13" customHeight="1">
      <c r="B626" s="1832"/>
      <c r="C626" s="1832"/>
      <c r="D626" s="1832"/>
      <c r="E626" s="1832"/>
      <c r="F626" s="1832"/>
      <c r="G626" s="1832"/>
      <c r="H626" s="1832"/>
      <c r="I626" s="1832"/>
      <c r="J626" s="1832"/>
      <c r="K626" s="1832"/>
      <c r="L626" s="1832"/>
      <c r="M626" s="1739"/>
      <c r="N626" s="1739"/>
      <c r="O626" s="1739"/>
      <c r="P626" s="1739"/>
      <c r="Q626" s="1739"/>
      <c r="R626" s="1739"/>
      <c r="S626" s="1739"/>
      <c r="T626" s="1739"/>
      <c r="U626" s="1739"/>
      <c r="V626" s="1739"/>
      <c r="W626" s="1833"/>
      <c r="X626" s="1833"/>
      <c r="Y626" s="1833"/>
      <c r="Z626" s="1430"/>
      <c r="AA626" s="1430"/>
      <c r="AB626" s="1431"/>
      <c r="AC626" s="1764"/>
      <c r="AD626" s="1765"/>
      <c r="AE626" s="1766"/>
      <c r="AF626" s="1429"/>
      <c r="AG626" s="1430"/>
      <c r="AH626" s="1430"/>
      <c r="AI626" s="1430"/>
      <c r="AJ626" s="1431"/>
      <c r="AK626" s="1746"/>
      <c r="AL626" s="1747"/>
      <c r="AM626" s="1747"/>
      <c r="AN626" s="1748"/>
      <c r="AO626" s="1739"/>
      <c r="AP626" s="1739"/>
      <c r="AQ626" s="1739"/>
      <c r="AR626" s="1739"/>
      <c r="AS626" s="1739"/>
      <c r="AT626" s="3"/>
      <c r="AU626" s="3"/>
      <c r="AZ626" s="3"/>
      <c r="BA626" s="3"/>
      <c r="BB626" s="3"/>
      <c r="BC626" s="3"/>
      <c r="BD626" s="3"/>
      <c r="BE626" s="1402">
        <f t="shared" si="1"/>
        <v>0</v>
      </c>
      <c r="BF626" s="1404"/>
      <c r="BG626" s="1525">
        <f t="shared" si="2"/>
        <v>0</v>
      </c>
      <c r="BH626" s="1526"/>
      <c r="BI626" s="1402">
        <f t="shared" si="3"/>
        <v>0</v>
      </c>
      <c r="BJ626" s="1404"/>
      <c r="BK626" s="1525">
        <f t="shared" si="4"/>
        <v>0</v>
      </c>
      <c r="BL626" s="1526"/>
      <c r="BM626" s="3"/>
      <c r="BN626" s="1527">
        <f t="shared" si="5"/>
        <v>0</v>
      </c>
      <c r="BO626" s="1528"/>
      <c r="BP626" s="1528"/>
      <c r="BQ626" s="1528"/>
      <c r="BR626" s="1529"/>
      <c r="BS626" s="1407">
        <f t="shared" si="6"/>
        <v>0</v>
      </c>
      <c r="BT626" s="1407"/>
      <c r="BU626" s="1407"/>
      <c r="BV626" s="1407"/>
      <c r="BW626" s="1407"/>
      <c r="BX626" s="1407">
        <f t="shared" si="7"/>
        <v>0</v>
      </c>
      <c r="BY626" s="1407"/>
      <c r="BZ626" s="1407"/>
      <c r="CA626" s="1407"/>
      <c r="CB626" s="1407"/>
      <c r="CC626" s="1407">
        <f t="shared" si="8"/>
        <v>0</v>
      </c>
      <c r="CD626" s="1407"/>
      <c r="CE626" s="1407"/>
      <c r="CF626" s="1407"/>
      <c r="CG626" s="1407"/>
      <c r="CH626" s="1407">
        <f t="shared" si="9"/>
        <v>0</v>
      </c>
      <c r="CI626" s="1407"/>
      <c r="CJ626" s="1407"/>
      <c r="CK626" s="1407"/>
      <c r="CL626" s="1407"/>
      <c r="CM626" s="1407">
        <f t="shared" si="10"/>
        <v>0</v>
      </c>
      <c r="CN626" s="1407"/>
      <c r="CO626" s="1407"/>
      <c r="CP626" s="1407"/>
      <c r="CQ626" s="1407"/>
      <c r="CR626" s="6"/>
      <c r="CS626" s="1406">
        <f t="shared" si="11"/>
        <v>0</v>
      </c>
      <c r="CT626" s="1406"/>
      <c r="CU626" s="1406"/>
      <c r="CV626" s="1406"/>
      <c r="CW626" s="1406"/>
      <c r="CX626" s="1406">
        <f t="shared" si="12"/>
        <v>0</v>
      </c>
      <c r="CY626" s="1406"/>
      <c r="CZ626" s="1406"/>
      <c r="DA626" s="1406"/>
      <c r="DB626" s="1406"/>
      <c r="DC626" s="1406">
        <f t="shared" si="13"/>
        <v>0</v>
      </c>
      <c r="DD626" s="1406"/>
      <c r="DE626" s="1406"/>
      <c r="DF626" s="1406"/>
      <c r="DG626" s="1406"/>
      <c r="DH626" s="1406">
        <f t="shared" si="14"/>
        <v>0</v>
      </c>
      <c r="DI626" s="1406"/>
      <c r="DJ626" s="1406"/>
      <c r="DK626" s="1406"/>
      <c r="DL626" s="1406"/>
      <c r="DM626" s="1406">
        <f t="shared" si="15"/>
        <v>0</v>
      </c>
      <c r="DN626" s="1406"/>
      <c r="DO626" s="1406"/>
      <c r="DP626" s="1406"/>
      <c r="DQ626" s="1406"/>
      <c r="DR626" s="1406">
        <f t="shared" si="16"/>
        <v>0</v>
      </c>
      <c r="DS626" s="1406"/>
      <c r="DT626" s="1406"/>
      <c r="DU626" s="1406"/>
      <c r="DV626" s="1406"/>
      <c r="DX626" s="1402" t="str">
        <f t="shared" si="17"/>
        <v/>
      </c>
      <c r="DY626" s="1403"/>
      <c r="DZ626" s="1403"/>
      <c r="EA626" s="1403"/>
      <c r="EB626" s="1404"/>
      <c r="EC626" s="1402" t="str">
        <f t="shared" si="18"/>
        <v/>
      </c>
      <c r="ED626" s="1403"/>
      <c r="EE626" s="1403"/>
      <c r="EF626" s="1403"/>
      <c r="EG626" s="1404"/>
      <c r="EH626" s="1402" t="str">
        <f t="shared" si="19"/>
        <v/>
      </c>
      <c r="EI626" s="1403"/>
      <c r="EJ626" s="1403"/>
      <c r="EK626" s="1403"/>
      <c r="EL626" s="1404"/>
      <c r="EM626" s="1402" t="str">
        <f t="shared" si="20"/>
        <v/>
      </c>
      <c r="EN626" s="1403"/>
      <c r="EO626" s="1403"/>
      <c r="EP626" s="1403"/>
      <c r="EQ626" s="1404"/>
      <c r="ER626" s="1402" t="str">
        <f t="shared" si="21"/>
        <v/>
      </c>
      <c r="ES626" s="1403"/>
      <c r="ET626" s="1403"/>
      <c r="EU626" s="1403"/>
      <c r="EV626" s="1404"/>
      <c r="EW626" s="1402" t="str">
        <f t="shared" si="22"/>
        <v/>
      </c>
      <c r="EX626" s="1403"/>
      <c r="EY626" s="1403"/>
      <c r="EZ626" s="1403"/>
      <c r="FA626" s="1404"/>
    </row>
    <row r="627" spans="2:157" ht="13" customHeight="1">
      <c r="B627" s="51" t="s">
        <v>112</v>
      </c>
      <c r="C627" s="1593" t="str">
        <f>C554</f>
        <v>GreyStone[GHI] - Tax Exempt</v>
      </c>
      <c r="D627" s="1593"/>
      <c r="E627" s="1593"/>
      <c r="F627" s="1593"/>
      <c r="G627" s="1593"/>
      <c r="H627" s="1593"/>
      <c r="I627" s="1593"/>
      <c r="J627" s="1593"/>
      <c r="K627" s="1593"/>
      <c r="L627" s="1593"/>
      <c r="M627" s="1597" t="s">
        <v>2440</v>
      </c>
      <c r="N627" s="1597"/>
      <c r="O627" s="1597"/>
      <c r="P627" s="1597"/>
      <c r="Q627" s="1575">
        <f>17*12</f>
        <v>204</v>
      </c>
      <c r="R627" s="1575"/>
      <c r="S627" s="1600"/>
      <c r="T627" s="1599">
        <v>480</v>
      </c>
      <c r="U627" s="1575"/>
      <c r="V627" s="1600"/>
      <c r="W627" s="1594">
        <v>0.06</v>
      </c>
      <c r="X627" s="1595"/>
      <c r="Y627" s="1596"/>
      <c r="Z627" s="1539" t="s">
        <v>2452</v>
      </c>
      <c r="AA627" s="1540"/>
      <c r="AB627" s="1541"/>
      <c r="AC627" s="1472">
        <v>1</v>
      </c>
      <c r="AD627" s="1473"/>
      <c r="AE627" s="1474"/>
      <c r="AF627" s="1533">
        <v>529855.73590170057</v>
      </c>
      <c r="AG627" s="1534"/>
      <c r="AH627" s="1534"/>
      <c r="AI627" s="1534"/>
      <c r="AJ627" s="1535"/>
      <c r="AK627" s="1543"/>
      <c r="AL627" s="1544"/>
      <c r="AM627" s="1544"/>
      <c r="AN627" s="1545"/>
      <c r="AO627" s="1635">
        <v>8025000</v>
      </c>
      <c r="AP627" s="1635"/>
      <c r="AQ627" s="1635"/>
      <c r="AR627" s="1635"/>
      <c r="AS627" s="1635"/>
      <c r="AT627" s="3"/>
      <c r="AU627" s="3"/>
      <c r="AZ627" s="3"/>
      <c r="BA627" s="3"/>
      <c r="BB627" s="3"/>
      <c r="BC627" s="3"/>
      <c r="BD627" s="3"/>
      <c r="BE627" s="1402">
        <f t="shared" si="1"/>
        <v>0</v>
      </c>
      <c r="BF627" s="1404"/>
      <c r="BG627" s="1525">
        <f t="shared" si="2"/>
        <v>0</v>
      </c>
      <c r="BH627" s="1526"/>
      <c r="BI627" s="1402">
        <f t="shared" si="3"/>
        <v>0</v>
      </c>
      <c r="BJ627" s="1404"/>
      <c r="BK627" s="1525">
        <f t="shared" si="4"/>
        <v>0</v>
      </c>
      <c r="BL627" s="1526"/>
      <c r="BM627" s="3"/>
      <c r="BN627" s="1527">
        <f t="shared" si="5"/>
        <v>0</v>
      </c>
      <c r="BO627" s="1528"/>
      <c r="BP627" s="1528"/>
      <c r="BQ627" s="1528"/>
      <c r="BR627" s="1529"/>
      <c r="BS627" s="1407">
        <f t="shared" si="6"/>
        <v>0</v>
      </c>
      <c r="BT627" s="1407"/>
      <c r="BU627" s="1407"/>
      <c r="BV627" s="1407"/>
      <c r="BW627" s="1407"/>
      <c r="BX627" s="1407">
        <f t="shared" si="7"/>
        <v>0</v>
      </c>
      <c r="BY627" s="1407"/>
      <c r="BZ627" s="1407"/>
      <c r="CA627" s="1407"/>
      <c r="CB627" s="1407"/>
      <c r="CC627" s="1407">
        <f t="shared" si="8"/>
        <v>0</v>
      </c>
      <c r="CD627" s="1407"/>
      <c r="CE627" s="1407"/>
      <c r="CF627" s="1407"/>
      <c r="CG627" s="1407"/>
      <c r="CH627" s="1407">
        <f t="shared" si="9"/>
        <v>0</v>
      </c>
      <c r="CI627" s="1407"/>
      <c r="CJ627" s="1407"/>
      <c r="CK627" s="1407"/>
      <c r="CL627" s="1407"/>
      <c r="CM627" s="1407">
        <f t="shared" si="10"/>
        <v>0</v>
      </c>
      <c r="CN627" s="1407"/>
      <c r="CO627" s="1407"/>
      <c r="CP627" s="1407"/>
      <c r="CQ627" s="1407"/>
      <c r="CR627" s="6"/>
      <c r="CS627" s="1406">
        <f t="shared" si="11"/>
        <v>0</v>
      </c>
      <c r="CT627" s="1406"/>
      <c r="CU627" s="1406"/>
      <c r="CV627" s="1406"/>
      <c r="CW627" s="1406"/>
      <c r="CX627" s="1406">
        <f t="shared" si="12"/>
        <v>0</v>
      </c>
      <c r="CY627" s="1406"/>
      <c r="CZ627" s="1406"/>
      <c r="DA627" s="1406"/>
      <c r="DB627" s="1406"/>
      <c r="DC627" s="1406">
        <f t="shared" si="13"/>
        <v>0</v>
      </c>
      <c r="DD627" s="1406"/>
      <c r="DE627" s="1406"/>
      <c r="DF627" s="1406"/>
      <c r="DG627" s="1406"/>
      <c r="DH627" s="1406">
        <f t="shared" si="14"/>
        <v>0</v>
      </c>
      <c r="DI627" s="1406"/>
      <c r="DJ627" s="1406"/>
      <c r="DK627" s="1406"/>
      <c r="DL627" s="1406"/>
      <c r="DM627" s="1406">
        <f t="shared" si="15"/>
        <v>0</v>
      </c>
      <c r="DN627" s="1406"/>
      <c r="DO627" s="1406"/>
      <c r="DP627" s="1406"/>
      <c r="DQ627" s="1406"/>
      <c r="DR627" s="1406">
        <f t="shared" si="16"/>
        <v>0</v>
      </c>
      <c r="DS627" s="1406"/>
      <c r="DT627" s="1406"/>
      <c r="DU627" s="1406"/>
      <c r="DV627" s="1406"/>
      <c r="DX627" s="1402" t="str">
        <f t="shared" si="17"/>
        <v/>
      </c>
      <c r="DY627" s="1403"/>
      <c r="DZ627" s="1403"/>
      <c r="EA627" s="1403"/>
      <c r="EB627" s="1404"/>
      <c r="EC627" s="1402" t="str">
        <f t="shared" si="18"/>
        <v/>
      </c>
      <c r="ED627" s="1403"/>
      <c r="EE627" s="1403"/>
      <c r="EF627" s="1403"/>
      <c r="EG627" s="1404"/>
      <c r="EH627" s="1402" t="str">
        <f t="shared" si="19"/>
        <v/>
      </c>
      <c r="EI627" s="1403"/>
      <c r="EJ627" s="1403"/>
      <c r="EK627" s="1403"/>
      <c r="EL627" s="1404"/>
      <c r="EM627" s="1402" t="str">
        <f t="shared" si="20"/>
        <v/>
      </c>
      <c r="EN627" s="1403"/>
      <c r="EO627" s="1403"/>
      <c r="EP627" s="1403"/>
      <c r="EQ627" s="1404"/>
      <c r="ER627" s="1402" t="str">
        <f t="shared" si="21"/>
        <v/>
      </c>
      <c r="ES627" s="1403"/>
      <c r="ET627" s="1403"/>
      <c r="EU627" s="1403"/>
      <c r="EV627" s="1404"/>
      <c r="EW627" s="1402" t="str">
        <f t="shared" si="22"/>
        <v/>
      </c>
      <c r="EX627" s="1403"/>
      <c r="EY627" s="1403"/>
      <c r="EZ627" s="1403"/>
      <c r="FA627" s="1404"/>
    </row>
    <row r="628" spans="2:157" ht="13" customHeight="1">
      <c r="B628" s="52" t="s">
        <v>113</v>
      </c>
      <c r="C628" s="1593" t="s">
        <v>2684</v>
      </c>
      <c r="D628" s="1593"/>
      <c r="E628" s="1593"/>
      <c r="F628" s="1593"/>
      <c r="G628" s="1593"/>
      <c r="H628" s="1593"/>
      <c r="I628" s="1593"/>
      <c r="J628" s="1593"/>
      <c r="K628" s="1593"/>
      <c r="L628" s="1593"/>
      <c r="M628" s="1597" t="s">
        <v>2436</v>
      </c>
      <c r="N628" s="1597"/>
      <c r="O628" s="1597"/>
      <c r="P628" s="1597"/>
      <c r="Q628" s="1599">
        <f>17*12</f>
        <v>204</v>
      </c>
      <c r="R628" s="1575"/>
      <c r="S628" s="1600"/>
      <c r="T628" s="1599">
        <v>480</v>
      </c>
      <c r="U628" s="1575"/>
      <c r="V628" s="1600"/>
      <c r="W628" s="1594">
        <v>0.12</v>
      </c>
      <c r="X628" s="1595"/>
      <c r="Y628" s="1596"/>
      <c r="Z628" s="1539" t="s">
        <v>466</v>
      </c>
      <c r="AA628" s="1540"/>
      <c r="AB628" s="1541"/>
      <c r="AC628" s="1472">
        <v>2</v>
      </c>
      <c r="AD628" s="1473"/>
      <c r="AE628" s="1474"/>
      <c r="AF628" s="1533"/>
      <c r="AG628" s="1534"/>
      <c r="AH628" s="1534"/>
      <c r="AI628" s="1534"/>
      <c r="AJ628" s="1535"/>
      <c r="AK628" s="1543"/>
      <c r="AL628" s="1544"/>
      <c r="AM628" s="1544"/>
      <c r="AN628" s="1545"/>
      <c r="AO628" s="1536">
        <v>6800000</v>
      </c>
      <c r="AP628" s="1537"/>
      <c r="AQ628" s="1537"/>
      <c r="AR628" s="1537"/>
      <c r="AS628" s="1538"/>
      <c r="AT628" s="1192" t="str">
        <f>IF(AND(NOT(C627=""),C628="",NOT(C629="")),"!","")</f>
        <v/>
      </c>
      <c r="AU628" s="3"/>
      <c r="AZ628" s="3"/>
      <c r="BA628" s="3"/>
      <c r="BB628" s="3"/>
      <c r="BC628" s="3"/>
      <c r="BD628" s="3"/>
      <c r="BE628" s="1402">
        <f t="shared" si="1"/>
        <v>0</v>
      </c>
      <c r="BF628" s="1404"/>
      <c r="BG628" s="1525">
        <f t="shared" si="2"/>
        <v>0</v>
      </c>
      <c r="BH628" s="1526"/>
      <c r="BI628" s="1402">
        <f t="shared" si="3"/>
        <v>0</v>
      </c>
      <c r="BJ628" s="1404"/>
      <c r="BK628" s="1525">
        <f t="shared" si="4"/>
        <v>0</v>
      </c>
      <c r="BL628" s="1526"/>
      <c r="BM628" s="3"/>
      <c r="BN628" s="1527">
        <f t="shared" si="5"/>
        <v>0</v>
      </c>
      <c r="BO628" s="1528"/>
      <c r="BP628" s="1528"/>
      <c r="BQ628" s="1528"/>
      <c r="BR628" s="1529"/>
      <c r="BS628" s="1407">
        <f t="shared" si="6"/>
        <v>0</v>
      </c>
      <c r="BT628" s="1407"/>
      <c r="BU628" s="1407"/>
      <c r="BV628" s="1407"/>
      <c r="BW628" s="1407"/>
      <c r="BX628" s="1407">
        <f t="shared" si="7"/>
        <v>0</v>
      </c>
      <c r="BY628" s="1407"/>
      <c r="BZ628" s="1407"/>
      <c r="CA628" s="1407"/>
      <c r="CB628" s="1407"/>
      <c r="CC628" s="1407">
        <f t="shared" si="8"/>
        <v>0</v>
      </c>
      <c r="CD628" s="1407"/>
      <c r="CE628" s="1407"/>
      <c r="CF628" s="1407"/>
      <c r="CG628" s="1407"/>
      <c r="CH628" s="1407">
        <f t="shared" si="9"/>
        <v>0</v>
      </c>
      <c r="CI628" s="1407"/>
      <c r="CJ628" s="1407"/>
      <c r="CK628" s="1407"/>
      <c r="CL628" s="1407"/>
      <c r="CM628" s="1407">
        <f t="shared" si="10"/>
        <v>0</v>
      </c>
      <c r="CN628" s="1407"/>
      <c r="CO628" s="1407"/>
      <c r="CP628" s="1407"/>
      <c r="CQ628" s="1407"/>
      <c r="CR628" s="6"/>
      <c r="CS628" s="1406">
        <f t="shared" si="11"/>
        <v>0</v>
      </c>
      <c r="CT628" s="1406"/>
      <c r="CU628" s="1406"/>
      <c r="CV628" s="1406"/>
      <c r="CW628" s="1406"/>
      <c r="CX628" s="1406">
        <f t="shared" si="12"/>
        <v>0</v>
      </c>
      <c r="CY628" s="1406"/>
      <c r="CZ628" s="1406"/>
      <c r="DA628" s="1406"/>
      <c r="DB628" s="1406"/>
      <c r="DC628" s="1406">
        <f t="shared" si="13"/>
        <v>0</v>
      </c>
      <c r="DD628" s="1406"/>
      <c r="DE628" s="1406"/>
      <c r="DF628" s="1406"/>
      <c r="DG628" s="1406"/>
      <c r="DH628" s="1406">
        <f t="shared" si="14"/>
        <v>0</v>
      </c>
      <c r="DI628" s="1406"/>
      <c r="DJ628" s="1406"/>
      <c r="DK628" s="1406"/>
      <c r="DL628" s="1406"/>
      <c r="DM628" s="1406">
        <f t="shared" si="15"/>
        <v>0</v>
      </c>
      <c r="DN628" s="1406"/>
      <c r="DO628" s="1406"/>
      <c r="DP628" s="1406"/>
      <c r="DQ628" s="1406"/>
      <c r="DR628" s="1406">
        <f t="shared" si="16"/>
        <v>0</v>
      </c>
      <c r="DS628" s="1406"/>
      <c r="DT628" s="1406"/>
      <c r="DU628" s="1406"/>
      <c r="DV628" s="1406"/>
      <c r="DX628" s="1402" t="str">
        <f t="shared" si="17"/>
        <v/>
      </c>
      <c r="DY628" s="1403"/>
      <c r="DZ628" s="1403"/>
      <c r="EA628" s="1403"/>
      <c r="EB628" s="1404"/>
      <c r="EC628" s="1402" t="str">
        <f t="shared" si="18"/>
        <v/>
      </c>
      <c r="ED628" s="1403"/>
      <c r="EE628" s="1403"/>
      <c r="EF628" s="1403"/>
      <c r="EG628" s="1404"/>
      <c r="EH628" s="1402" t="str">
        <f t="shared" si="19"/>
        <v/>
      </c>
      <c r="EI628" s="1403"/>
      <c r="EJ628" s="1403"/>
      <c r="EK628" s="1403"/>
      <c r="EL628" s="1404"/>
      <c r="EM628" s="1402" t="str">
        <f t="shared" si="20"/>
        <v/>
      </c>
      <c r="EN628" s="1403"/>
      <c r="EO628" s="1403"/>
      <c r="EP628" s="1403"/>
      <c r="EQ628" s="1404"/>
      <c r="ER628" s="1402" t="str">
        <f t="shared" si="21"/>
        <v/>
      </c>
      <c r="ES628" s="1403"/>
      <c r="ET628" s="1403"/>
      <c r="EU628" s="1403"/>
      <c r="EV628" s="1404"/>
      <c r="EW628" s="1402" t="str">
        <f t="shared" si="22"/>
        <v/>
      </c>
      <c r="EX628" s="1403"/>
      <c r="EY628" s="1403"/>
      <c r="EZ628" s="1403"/>
      <c r="FA628" s="1404"/>
    </row>
    <row r="629" spans="2:157" ht="13" customHeight="1">
      <c r="B629" s="52" t="s">
        <v>119</v>
      </c>
      <c r="C629" s="1593" t="s">
        <v>2749</v>
      </c>
      <c r="D629" s="1593"/>
      <c r="E629" s="1593"/>
      <c r="F629" s="1593"/>
      <c r="G629" s="1593"/>
      <c r="H629" s="1593"/>
      <c r="I629" s="1593"/>
      <c r="J629" s="1593"/>
      <c r="K629" s="1593"/>
      <c r="L629" s="1593"/>
      <c r="M629" s="1597" t="s">
        <v>2437</v>
      </c>
      <c r="N629" s="1597"/>
      <c r="O629" s="1597"/>
      <c r="P629" s="1597"/>
      <c r="Q629" s="1599">
        <f>17*12</f>
        <v>204</v>
      </c>
      <c r="R629" s="1575"/>
      <c r="S629" s="1600"/>
      <c r="T629" s="1599"/>
      <c r="U629" s="1575"/>
      <c r="V629" s="1600"/>
      <c r="W629" s="1594">
        <v>5.5E-2</v>
      </c>
      <c r="X629" s="1595"/>
      <c r="Y629" s="1596"/>
      <c r="Z629" s="1539" t="s">
        <v>466</v>
      </c>
      <c r="AA629" s="1540"/>
      <c r="AB629" s="1541"/>
      <c r="AC629" s="1472">
        <v>3</v>
      </c>
      <c r="AD629" s="1473"/>
      <c r="AE629" s="1474"/>
      <c r="AF629" s="1533"/>
      <c r="AG629" s="1534"/>
      <c r="AH629" s="1534"/>
      <c r="AI629" s="1534"/>
      <c r="AJ629" s="1535"/>
      <c r="AK629" s="1543"/>
      <c r="AL629" s="1544"/>
      <c r="AM629" s="1544"/>
      <c r="AN629" s="1545"/>
      <c r="AO629" s="1536">
        <v>1500000</v>
      </c>
      <c r="AP629" s="1537"/>
      <c r="AQ629" s="1537"/>
      <c r="AR629" s="1537"/>
      <c r="AS629" s="1538"/>
      <c r="AT629" s="1192" t="str">
        <f t="shared" ref="AT629:AT638" si="23">IF(AND(NOT(C628=""),C629="",NOT(C630="")),"!","")</f>
        <v/>
      </c>
      <c r="AU629" s="3"/>
      <c r="AZ629" s="3"/>
      <c r="BA629" s="3"/>
      <c r="BB629" s="3"/>
      <c r="BC629" s="3"/>
      <c r="BD629" s="3"/>
      <c r="BE629" s="1402">
        <f t="shared" si="1"/>
        <v>0</v>
      </c>
      <c r="BF629" s="1404"/>
      <c r="BG629" s="1525">
        <f t="shared" si="2"/>
        <v>0</v>
      </c>
      <c r="BH629" s="1526"/>
      <c r="BI629" s="1402">
        <f t="shared" si="3"/>
        <v>0</v>
      </c>
      <c r="BJ629" s="1404"/>
      <c r="BK629" s="1525">
        <f t="shared" si="4"/>
        <v>0</v>
      </c>
      <c r="BL629" s="1526"/>
      <c r="BM629" s="3"/>
      <c r="BN629" s="1527">
        <f t="shared" si="5"/>
        <v>0</v>
      </c>
      <c r="BO629" s="1528"/>
      <c r="BP629" s="1528"/>
      <c r="BQ629" s="1528"/>
      <c r="BR629" s="1529"/>
      <c r="BS629" s="1407">
        <f t="shared" si="6"/>
        <v>0</v>
      </c>
      <c r="BT629" s="1407"/>
      <c r="BU629" s="1407"/>
      <c r="BV629" s="1407"/>
      <c r="BW629" s="1407"/>
      <c r="BX629" s="1407">
        <f t="shared" si="7"/>
        <v>0</v>
      </c>
      <c r="BY629" s="1407"/>
      <c r="BZ629" s="1407"/>
      <c r="CA629" s="1407"/>
      <c r="CB629" s="1407"/>
      <c r="CC629" s="1407">
        <f t="shared" si="8"/>
        <v>0</v>
      </c>
      <c r="CD629" s="1407"/>
      <c r="CE629" s="1407"/>
      <c r="CF629" s="1407"/>
      <c r="CG629" s="1407"/>
      <c r="CH629" s="1407">
        <f t="shared" si="9"/>
        <v>0</v>
      </c>
      <c r="CI629" s="1407"/>
      <c r="CJ629" s="1407"/>
      <c r="CK629" s="1407"/>
      <c r="CL629" s="1407"/>
      <c r="CM629" s="1407">
        <f t="shared" si="10"/>
        <v>0</v>
      </c>
      <c r="CN629" s="1407"/>
      <c r="CO629" s="1407"/>
      <c r="CP629" s="1407"/>
      <c r="CQ629" s="1407"/>
      <c r="CR629" s="6"/>
      <c r="CS629" s="1406">
        <f t="shared" si="11"/>
        <v>0</v>
      </c>
      <c r="CT629" s="1406"/>
      <c r="CU629" s="1406"/>
      <c r="CV629" s="1406"/>
      <c r="CW629" s="1406"/>
      <c r="CX629" s="1406">
        <f t="shared" si="12"/>
        <v>0</v>
      </c>
      <c r="CY629" s="1406"/>
      <c r="CZ629" s="1406"/>
      <c r="DA629" s="1406"/>
      <c r="DB629" s="1406"/>
      <c r="DC629" s="1406">
        <f t="shared" si="13"/>
        <v>0</v>
      </c>
      <c r="DD629" s="1406"/>
      <c r="DE629" s="1406"/>
      <c r="DF629" s="1406"/>
      <c r="DG629" s="1406"/>
      <c r="DH629" s="1406">
        <f t="shared" si="14"/>
        <v>0</v>
      </c>
      <c r="DI629" s="1406"/>
      <c r="DJ629" s="1406"/>
      <c r="DK629" s="1406"/>
      <c r="DL629" s="1406"/>
      <c r="DM629" s="1406">
        <f t="shared" si="15"/>
        <v>0</v>
      </c>
      <c r="DN629" s="1406"/>
      <c r="DO629" s="1406"/>
      <c r="DP629" s="1406"/>
      <c r="DQ629" s="1406"/>
      <c r="DR629" s="1406">
        <f t="shared" si="16"/>
        <v>0</v>
      </c>
      <c r="DS629" s="1406"/>
      <c r="DT629" s="1406"/>
      <c r="DU629" s="1406"/>
      <c r="DV629" s="1406"/>
      <c r="DX629" s="1402" t="str">
        <f t="shared" si="17"/>
        <v/>
      </c>
      <c r="DY629" s="1403"/>
      <c r="DZ629" s="1403"/>
      <c r="EA629" s="1403"/>
      <c r="EB629" s="1404"/>
      <c r="EC629" s="1402" t="str">
        <f t="shared" si="18"/>
        <v/>
      </c>
      <c r="ED629" s="1403"/>
      <c r="EE629" s="1403"/>
      <c r="EF629" s="1403"/>
      <c r="EG629" s="1404"/>
      <c r="EH629" s="1402" t="str">
        <f t="shared" si="19"/>
        <v/>
      </c>
      <c r="EI629" s="1403"/>
      <c r="EJ629" s="1403"/>
      <c r="EK629" s="1403"/>
      <c r="EL629" s="1404"/>
      <c r="EM629" s="1402" t="str">
        <f t="shared" si="20"/>
        <v/>
      </c>
      <c r="EN629" s="1403"/>
      <c r="EO629" s="1403"/>
      <c r="EP629" s="1403"/>
      <c r="EQ629" s="1404"/>
      <c r="ER629" s="1402" t="str">
        <f t="shared" si="21"/>
        <v/>
      </c>
      <c r="ES629" s="1403"/>
      <c r="ET629" s="1403"/>
      <c r="EU629" s="1403"/>
      <c r="EV629" s="1404"/>
      <c r="EW629" s="1402" t="str">
        <f t="shared" si="22"/>
        <v/>
      </c>
      <c r="EX629" s="1403"/>
      <c r="EY629" s="1403"/>
      <c r="EZ629" s="1403"/>
      <c r="FA629" s="1404"/>
    </row>
    <row r="630" spans="2:157" ht="13" customHeight="1">
      <c r="B630" s="52" t="s">
        <v>590</v>
      </c>
      <c r="C630" s="1592" t="s">
        <v>1852</v>
      </c>
      <c r="D630" s="1592"/>
      <c r="E630" s="1592"/>
      <c r="F630" s="1592"/>
      <c r="G630" s="1592"/>
      <c r="H630" s="1592"/>
      <c r="I630" s="1592"/>
      <c r="J630" s="1592"/>
      <c r="K630" s="1592"/>
      <c r="L630" s="1592"/>
      <c r="M630" s="1597" t="s">
        <v>2427</v>
      </c>
      <c r="N630" s="1597"/>
      <c r="O630" s="1597"/>
      <c r="P630" s="1597"/>
      <c r="Q630" s="1599">
        <f>17*12</f>
        <v>204</v>
      </c>
      <c r="R630" s="1575"/>
      <c r="S630" s="1600"/>
      <c r="T630" s="1599"/>
      <c r="U630" s="1575"/>
      <c r="V630" s="1600"/>
      <c r="W630" s="1594">
        <v>0</v>
      </c>
      <c r="X630" s="1595"/>
      <c r="Y630" s="1596"/>
      <c r="Z630" s="1539" t="s">
        <v>466</v>
      </c>
      <c r="AA630" s="1540"/>
      <c r="AB630" s="1541"/>
      <c r="AC630" s="1472"/>
      <c r="AD630" s="1473"/>
      <c r="AE630" s="1474"/>
      <c r="AF630" s="1533"/>
      <c r="AG630" s="1534"/>
      <c r="AH630" s="1534"/>
      <c r="AI630" s="1534"/>
      <c r="AJ630" s="1535"/>
      <c r="AK630" s="1543"/>
      <c r="AL630" s="1544"/>
      <c r="AM630" s="1544"/>
      <c r="AN630" s="1545"/>
      <c r="AO630" s="1536">
        <v>3799693</v>
      </c>
      <c r="AP630" s="1537"/>
      <c r="AQ630" s="1537"/>
      <c r="AR630" s="1537"/>
      <c r="AS630" s="1538"/>
      <c r="AT630" s="1192" t="str">
        <f t="shared" si="23"/>
        <v/>
      </c>
      <c r="AU630" s="3"/>
      <c r="AZ630" s="3"/>
      <c r="BA630" s="3"/>
      <c r="BB630" s="3"/>
      <c r="BC630" s="3"/>
      <c r="BD630" s="3"/>
      <c r="BE630" s="1402">
        <f t="shared" si="1"/>
        <v>0</v>
      </c>
      <c r="BF630" s="1404"/>
      <c r="BG630" s="1525">
        <f t="shared" si="2"/>
        <v>0</v>
      </c>
      <c r="BH630" s="1526"/>
      <c r="BI630" s="1402">
        <f t="shared" si="3"/>
        <v>0</v>
      </c>
      <c r="BJ630" s="1404"/>
      <c r="BK630" s="1525">
        <f t="shared" si="4"/>
        <v>0</v>
      </c>
      <c r="BL630" s="1526"/>
      <c r="BM630" s="3"/>
      <c r="BN630" s="1527">
        <f t="shared" si="5"/>
        <v>0</v>
      </c>
      <c r="BO630" s="1528"/>
      <c r="BP630" s="1528"/>
      <c r="BQ630" s="1528"/>
      <c r="BR630" s="1529"/>
      <c r="BS630" s="1407">
        <f t="shared" si="6"/>
        <v>0</v>
      </c>
      <c r="BT630" s="1407"/>
      <c r="BU630" s="1407"/>
      <c r="BV630" s="1407"/>
      <c r="BW630" s="1407"/>
      <c r="BX630" s="1407">
        <f t="shared" si="7"/>
        <v>0</v>
      </c>
      <c r="BY630" s="1407"/>
      <c r="BZ630" s="1407"/>
      <c r="CA630" s="1407"/>
      <c r="CB630" s="1407"/>
      <c r="CC630" s="1407">
        <f t="shared" si="8"/>
        <v>0</v>
      </c>
      <c r="CD630" s="1407"/>
      <c r="CE630" s="1407"/>
      <c r="CF630" s="1407"/>
      <c r="CG630" s="1407"/>
      <c r="CH630" s="1407">
        <f t="shared" si="9"/>
        <v>0</v>
      </c>
      <c r="CI630" s="1407"/>
      <c r="CJ630" s="1407"/>
      <c r="CK630" s="1407"/>
      <c r="CL630" s="1407"/>
      <c r="CM630" s="1407">
        <f t="shared" si="10"/>
        <v>0</v>
      </c>
      <c r="CN630" s="1407"/>
      <c r="CO630" s="1407"/>
      <c r="CP630" s="1407"/>
      <c r="CQ630" s="1407"/>
      <c r="CR630" s="6"/>
      <c r="CS630" s="1406">
        <f t="shared" si="11"/>
        <v>0</v>
      </c>
      <c r="CT630" s="1406"/>
      <c r="CU630" s="1406"/>
      <c r="CV630" s="1406"/>
      <c r="CW630" s="1406"/>
      <c r="CX630" s="1406">
        <f t="shared" si="12"/>
        <v>0</v>
      </c>
      <c r="CY630" s="1406"/>
      <c r="CZ630" s="1406"/>
      <c r="DA630" s="1406"/>
      <c r="DB630" s="1406"/>
      <c r="DC630" s="1406">
        <f t="shared" si="13"/>
        <v>0</v>
      </c>
      <c r="DD630" s="1406"/>
      <c r="DE630" s="1406"/>
      <c r="DF630" s="1406"/>
      <c r="DG630" s="1406"/>
      <c r="DH630" s="1406">
        <f t="shared" si="14"/>
        <v>0</v>
      </c>
      <c r="DI630" s="1406"/>
      <c r="DJ630" s="1406"/>
      <c r="DK630" s="1406"/>
      <c r="DL630" s="1406"/>
      <c r="DM630" s="1406">
        <f t="shared" si="15"/>
        <v>0</v>
      </c>
      <c r="DN630" s="1406"/>
      <c r="DO630" s="1406"/>
      <c r="DP630" s="1406"/>
      <c r="DQ630" s="1406"/>
      <c r="DR630" s="1406">
        <f t="shared" si="16"/>
        <v>0</v>
      </c>
      <c r="DS630" s="1406"/>
      <c r="DT630" s="1406"/>
      <c r="DU630" s="1406"/>
      <c r="DV630" s="1406"/>
      <c r="DX630" s="1402" t="str">
        <f t="shared" si="17"/>
        <v/>
      </c>
      <c r="DY630" s="1403"/>
      <c r="DZ630" s="1403"/>
      <c r="EA630" s="1403"/>
      <c r="EB630" s="1404"/>
      <c r="EC630" s="1402" t="str">
        <f t="shared" si="18"/>
        <v/>
      </c>
      <c r="ED630" s="1403"/>
      <c r="EE630" s="1403"/>
      <c r="EF630" s="1403"/>
      <c r="EG630" s="1404"/>
      <c r="EH630" s="1402" t="str">
        <f t="shared" si="19"/>
        <v/>
      </c>
      <c r="EI630" s="1403"/>
      <c r="EJ630" s="1403"/>
      <c r="EK630" s="1403"/>
      <c r="EL630" s="1404"/>
      <c r="EM630" s="1402" t="str">
        <f t="shared" si="20"/>
        <v/>
      </c>
      <c r="EN630" s="1403"/>
      <c r="EO630" s="1403"/>
      <c r="EP630" s="1403"/>
      <c r="EQ630" s="1404"/>
      <c r="ER630" s="1402" t="str">
        <f t="shared" si="21"/>
        <v/>
      </c>
      <c r="ES630" s="1403"/>
      <c r="ET630" s="1403"/>
      <c r="EU630" s="1403"/>
      <c r="EV630" s="1404"/>
      <c r="EW630" s="1402" t="str">
        <f t="shared" si="22"/>
        <v/>
      </c>
      <c r="EX630" s="1403"/>
      <c r="EY630" s="1403"/>
      <c r="EZ630" s="1403"/>
      <c r="FA630" s="1404"/>
    </row>
    <row r="631" spans="2:157" ht="13" customHeight="1">
      <c r="B631" s="52" t="s">
        <v>773</v>
      </c>
      <c r="C631" s="1592" t="s">
        <v>2751</v>
      </c>
      <c r="D631" s="1592"/>
      <c r="E631" s="1592"/>
      <c r="F631" s="1592"/>
      <c r="G631" s="1592"/>
      <c r="H631" s="1592"/>
      <c r="I631" s="1592"/>
      <c r="J631" s="1592"/>
      <c r="K631" s="1592"/>
      <c r="L631" s="1592"/>
      <c r="M631" s="1597" t="s">
        <v>2442</v>
      </c>
      <c r="N631" s="1597"/>
      <c r="O631" s="1597"/>
      <c r="P631" s="1597"/>
      <c r="Q631" s="1599"/>
      <c r="R631" s="1575"/>
      <c r="S631" s="1600"/>
      <c r="T631" s="1599"/>
      <c r="U631" s="1575"/>
      <c r="V631" s="1600"/>
      <c r="W631" s="1594"/>
      <c r="X631" s="1595"/>
      <c r="Y631" s="1596"/>
      <c r="Z631" s="1539" t="s">
        <v>1291</v>
      </c>
      <c r="AA631" s="1540"/>
      <c r="AB631" s="1541"/>
      <c r="AC631" s="1472"/>
      <c r="AD631" s="1473"/>
      <c r="AE631" s="1474"/>
      <c r="AF631" s="1533"/>
      <c r="AG631" s="1534"/>
      <c r="AH631" s="1534"/>
      <c r="AI631" s="1534"/>
      <c r="AJ631" s="1535"/>
      <c r="AK631" s="1543"/>
      <c r="AL631" s="1544"/>
      <c r="AM631" s="1544"/>
      <c r="AN631" s="1545"/>
      <c r="AO631" s="1536">
        <v>769292</v>
      </c>
      <c r="AP631" s="1537"/>
      <c r="AQ631" s="1537"/>
      <c r="AR631" s="1537"/>
      <c r="AS631" s="1538"/>
      <c r="AT631" s="1192" t="str">
        <f t="shared" si="23"/>
        <v/>
      </c>
      <c r="AU631" s="3"/>
      <c r="AZ631" s="3"/>
      <c r="BA631" s="3"/>
      <c r="BB631" s="3"/>
      <c r="BC631" s="3"/>
      <c r="BD631" s="3"/>
      <c r="BE631" s="1402">
        <f t="shared" si="1"/>
        <v>0</v>
      </c>
      <c r="BF631" s="1404"/>
      <c r="BG631" s="1525">
        <f t="shared" si="2"/>
        <v>0</v>
      </c>
      <c r="BH631" s="1526"/>
      <c r="BI631" s="1402">
        <f t="shared" si="3"/>
        <v>0</v>
      </c>
      <c r="BJ631" s="1404"/>
      <c r="BK631" s="1525">
        <f t="shared" si="4"/>
        <v>0</v>
      </c>
      <c r="BL631" s="1526"/>
      <c r="BM631" s="3"/>
      <c r="BN631" s="1527">
        <f t="shared" si="5"/>
        <v>0</v>
      </c>
      <c r="BO631" s="1528"/>
      <c r="BP631" s="1528"/>
      <c r="BQ631" s="1528"/>
      <c r="BR631" s="1529"/>
      <c r="BS631" s="1407">
        <f t="shared" si="6"/>
        <v>0</v>
      </c>
      <c r="BT631" s="1407"/>
      <c r="BU631" s="1407"/>
      <c r="BV631" s="1407"/>
      <c r="BW631" s="1407"/>
      <c r="BX631" s="1407">
        <f t="shared" si="7"/>
        <v>0</v>
      </c>
      <c r="BY631" s="1407"/>
      <c r="BZ631" s="1407"/>
      <c r="CA631" s="1407"/>
      <c r="CB631" s="1407"/>
      <c r="CC631" s="1407">
        <f t="shared" si="8"/>
        <v>0</v>
      </c>
      <c r="CD631" s="1407"/>
      <c r="CE631" s="1407"/>
      <c r="CF631" s="1407"/>
      <c r="CG631" s="1407"/>
      <c r="CH631" s="1407">
        <f t="shared" si="9"/>
        <v>0</v>
      </c>
      <c r="CI631" s="1407"/>
      <c r="CJ631" s="1407"/>
      <c r="CK631" s="1407"/>
      <c r="CL631" s="1407"/>
      <c r="CM631" s="1407">
        <f t="shared" si="10"/>
        <v>0</v>
      </c>
      <c r="CN631" s="1407"/>
      <c r="CO631" s="1407"/>
      <c r="CP631" s="1407"/>
      <c r="CQ631" s="1407"/>
      <c r="CR631" s="6"/>
      <c r="CS631" s="1406">
        <f t="shared" si="11"/>
        <v>0</v>
      </c>
      <c r="CT631" s="1406"/>
      <c r="CU631" s="1406"/>
      <c r="CV631" s="1406"/>
      <c r="CW631" s="1406"/>
      <c r="CX631" s="1406">
        <f t="shared" si="12"/>
        <v>0</v>
      </c>
      <c r="CY631" s="1406"/>
      <c r="CZ631" s="1406"/>
      <c r="DA631" s="1406"/>
      <c r="DB631" s="1406"/>
      <c r="DC631" s="1406">
        <f t="shared" si="13"/>
        <v>0</v>
      </c>
      <c r="DD631" s="1406"/>
      <c r="DE631" s="1406"/>
      <c r="DF631" s="1406"/>
      <c r="DG631" s="1406"/>
      <c r="DH631" s="1406">
        <f t="shared" si="14"/>
        <v>0</v>
      </c>
      <c r="DI631" s="1406"/>
      <c r="DJ631" s="1406"/>
      <c r="DK631" s="1406"/>
      <c r="DL631" s="1406"/>
      <c r="DM631" s="1406">
        <f t="shared" si="15"/>
        <v>0</v>
      </c>
      <c r="DN631" s="1406"/>
      <c r="DO631" s="1406"/>
      <c r="DP631" s="1406"/>
      <c r="DQ631" s="1406"/>
      <c r="DR631" s="1406">
        <f t="shared" si="16"/>
        <v>0</v>
      </c>
      <c r="DS631" s="1406"/>
      <c r="DT631" s="1406"/>
      <c r="DU631" s="1406"/>
      <c r="DV631" s="1406"/>
      <c r="DX631" s="1402" t="str">
        <f t="shared" si="17"/>
        <v/>
      </c>
      <c r="DY631" s="1403"/>
      <c r="DZ631" s="1403"/>
      <c r="EA631" s="1403"/>
      <c r="EB631" s="1404"/>
      <c r="EC631" s="1402" t="str">
        <f t="shared" si="18"/>
        <v/>
      </c>
      <c r="ED631" s="1403"/>
      <c r="EE631" s="1403"/>
      <c r="EF631" s="1403"/>
      <c r="EG631" s="1404"/>
      <c r="EH631" s="1402" t="str">
        <f t="shared" si="19"/>
        <v/>
      </c>
      <c r="EI631" s="1403"/>
      <c r="EJ631" s="1403"/>
      <c r="EK631" s="1403"/>
      <c r="EL631" s="1404"/>
      <c r="EM631" s="1402" t="str">
        <f t="shared" si="20"/>
        <v/>
      </c>
      <c r="EN631" s="1403"/>
      <c r="EO631" s="1403"/>
      <c r="EP631" s="1403"/>
      <c r="EQ631" s="1404"/>
      <c r="ER631" s="1402" t="str">
        <f t="shared" si="21"/>
        <v/>
      </c>
      <c r="ES631" s="1403"/>
      <c r="ET631" s="1403"/>
      <c r="EU631" s="1403"/>
      <c r="EV631" s="1404"/>
      <c r="EW631" s="1402" t="str">
        <f t="shared" si="22"/>
        <v/>
      </c>
      <c r="EX631" s="1403"/>
      <c r="EY631" s="1403"/>
      <c r="EZ631" s="1403"/>
      <c r="FA631" s="1404"/>
    </row>
    <row r="632" spans="2:157" ht="13" customHeight="1">
      <c r="B632" s="52" t="s">
        <v>593</v>
      </c>
      <c r="C632" s="1593" t="s">
        <v>2679</v>
      </c>
      <c r="D632" s="1592"/>
      <c r="E632" s="1592"/>
      <c r="F632" s="1592"/>
      <c r="G632" s="1592"/>
      <c r="H632" s="1592"/>
      <c r="I632" s="1592"/>
      <c r="J632" s="1592"/>
      <c r="K632" s="1592"/>
      <c r="L632" s="1592"/>
      <c r="M632" s="1597" t="s">
        <v>2447</v>
      </c>
      <c r="N632" s="1597"/>
      <c r="O632" s="1597"/>
      <c r="P632" s="1597"/>
      <c r="Q632" s="1599"/>
      <c r="R632" s="1575"/>
      <c r="S632" s="1600"/>
      <c r="T632" s="1599"/>
      <c r="U632" s="1575"/>
      <c r="V632" s="1600"/>
      <c r="W632" s="1594"/>
      <c r="X632" s="1595"/>
      <c r="Y632" s="1596"/>
      <c r="Z632" s="1539" t="s">
        <v>1291</v>
      </c>
      <c r="AA632" s="1540"/>
      <c r="AB632" s="1541"/>
      <c r="AC632" s="1472"/>
      <c r="AD632" s="1473"/>
      <c r="AE632" s="1474"/>
      <c r="AF632" s="1533"/>
      <c r="AG632" s="1534"/>
      <c r="AH632" s="1534"/>
      <c r="AI632" s="1534"/>
      <c r="AJ632" s="1535"/>
      <c r="AK632" s="1543"/>
      <c r="AL632" s="1544"/>
      <c r="AM632" s="1544"/>
      <c r="AN632" s="1545"/>
      <c r="AO632" s="1536">
        <v>7178084.354321247</v>
      </c>
      <c r="AP632" s="1537"/>
      <c r="AQ632" s="1537"/>
      <c r="AR632" s="1537"/>
      <c r="AS632" s="1538"/>
      <c r="AT632" s="1192" t="str">
        <f t="shared" si="23"/>
        <v/>
      </c>
      <c r="AU632" s="3"/>
      <c r="AZ632" s="3"/>
      <c r="BA632" s="3"/>
      <c r="BB632" s="3"/>
      <c r="BC632" s="3"/>
      <c r="BD632" s="3"/>
      <c r="BE632" s="3"/>
      <c r="BF632" s="3"/>
      <c r="BG632" s="1402">
        <f>SUM(BG597:BH631)</f>
        <v>68</v>
      </c>
      <c r="BH632" s="1404"/>
      <c r="BI632" s="3"/>
      <c r="BJ632" s="3"/>
      <c r="BK632" s="1402">
        <f>SUM(BK597:BL631)</f>
        <v>72</v>
      </c>
      <c r="BL632" s="1404"/>
      <c r="BM632" s="3"/>
      <c r="BN632" s="1402">
        <f>SUM(BN597:BR631)</f>
        <v>140</v>
      </c>
      <c r="BO632" s="1403"/>
      <c r="BP632" s="1403"/>
      <c r="BQ632" s="1403"/>
      <c r="BR632" s="1404"/>
      <c r="BS632" s="1405">
        <f>SUM(BS597:BW631)</f>
        <v>0</v>
      </c>
      <c r="BT632" s="1405"/>
      <c r="BU632" s="1405"/>
      <c r="BV632" s="1405"/>
      <c r="BW632" s="1405"/>
      <c r="BX632" s="1405">
        <f>SUM(BX597:CB631)</f>
        <v>0</v>
      </c>
      <c r="BY632" s="1405"/>
      <c r="BZ632" s="1405"/>
      <c r="CA632" s="1405"/>
      <c r="CB632" s="1405"/>
      <c r="CC632" s="1405">
        <f>SUM(CC597:CG631)</f>
        <v>0</v>
      </c>
      <c r="CD632" s="1405"/>
      <c r="CE632" s="1405"/>
      <c r="CF632" s="1405"/>
      <c r="CG632" s="1405"/>
      <c r="CH632" s="1405">
        <f>SUM(CH597:CL631)</f>
        <v>0</v>
      </c>
      <c r="CI632" s="1405"/>
      <c r="CJ632" s="1405"/>
      <c r="CK632" s="1405"/>
      <c r="CL632" s="1405"/>
      <c r="CM632" s="1405">
        <f>SUM(CM597:CQ631)</f>
        <v>0</v>
      </c>
      <c r="CN632" s="1405"/>
      <c r="CO632" s="1405"/>
      <c r="CP632" s="1405"/>
      <c r="CQ632" s="1405"/>
      <c r="CR632" s="385"/>
      <c r="CS632" s="1405">
        <f>SUM(CS597:CW631)</f>
        <v>72</v>
      </c>
      <c r="CT632" s="1405"/>
      <c r="CU632" s="1405"/>
      <c r="CV632" s="1405"/>
      <c r="CW632" s="1405"/>
      <c r="CX632" s="1405">
        <f>SUM(CX597:DB631)</f>
        <v>0</v>
      </c>
      <c r="CY632" s="1405"/>
      <c r="CZ632" s="1405"/>
      <c r="DA632" s="1405"/>
      <c r="DB632" s="1405"/>
      <c r="DC632" s="1405">
        <f>SUM(DC597:DG631)</f>
        <v>0</v>
      </c>
      <c r="DD632" s="1405"/>
      <c r="DE632" s="1405"/>
      <c r="DF632" s="1405"/>
      <c r="DG632" s="1405"/>
      <c r="DH632" s="1405">
        <f>SUM(DH597:DL631)</f>
        <v>0</v>
      </c>
      <c r="DI632" s="1405"/>
      <c r="DJ632" s="1405"/>
      <c r="DK632" s="1405"/>
      <c r="DL632" s="1405"/>
      <c r="DM632" s="1405">
        <f>SUM(DM597:DQ631)</f>
        <v>0</v>
      </c>
      <c r="DN632" s="1405"/>
      <c r="DO632" s="1405"/>
      <c r="DP632" s="1405"/>
      <c r="DQ632" s="1405"/>
      <c r="DR632" s="1405">
        <f>SUM(DR597:DV631)</f>
        <v>0</v>
      </c>
      <c r="DS632" s="1405"/>
      <c r="DT632" s="1405"/>
      <c r="DU632" s="1405"/>
      <c r="DV632" s="1405"/>
      <c r="DX632" s="1405">
        <f>SUM(DX597:EB631)</f>
        <v>3108</v>
      </c>
      <c r="DY632" s="1405"/>
      <c r="DZ632" s="1405"/>
      <c r="EA632" s="1405"/>
      <c r="EB632" s="1405"/>
      <c r="EC632" s="1405">
        <f>SUM(EC597:EG631)</f>
        <v>0</v>
      </c>
      <c r="ED632" s="1405"/>
      <c r="EE632" s="1405"/>
      <c r="EF632" s="1405"/>
      <c r="EG632" s="1405"/>
      <c r="EH632" s="1405">
        <f>SUM(EH597:EL631)</f>
        <v>0</v>
      </c>
      <c r="EI632" s="1405"/>
      <c r="EJ632" s="1405"/>
      <c r="EK632" s="1405"/>
      <c r="EL632" s="1405"/>
      <c r="EM632" s="1405">
        <f>SUM(EM597:EQ631)</f>
        <v>0</v>
      </c>
      <c r="EN632" s="1405"/>
      <c r="EO632" s="1405"/>
      <c r="EP632" s="1405"/>
      <c r="EQ632" s="1405"/>
      <c r="ER632" s="1405">
        <f>SUM(ER597:EV631)</f>
        <v>0</v>
      </c>
      <c r="ES632" s="1405"/>
      <c r="ET632" s="1405"/>
      <c r="EU632" s="1405"/>
      <c r="EV632" s="1405"/>
      <c r="EW632" s="1405">
        <f>SUM(EW597:FA631)</f>
        <v>0</v>
      </c>
      <c r="EX632" s="1405"/>
      <c r="EY632" s="1405"/>
      <c r="EZ632" s="1405"/>
      <c r="FA632" s="1405"/>
    </row>
    <row r="633" spans="2:157" ht="13" customHeight="1">
      <c r="B633" s="52" t="s">
        <v>464</v>
      </c>
      <c r="C633" s="1592" t="s">
        <v>2693</v>
      </c>
      <c r="D633" s="1592"/>
      <c r="E633" s="1592"/>
      <c r="F633" s="1592"/>
      <c r="G633" s="1592"/>
      <c r="H633" s="1592"/>
      <c r="I633" s="1592"/>
      <c r="J633" s="1592"/>
      <c r="K633" s="1592"/>
      <c r="L633" s="1592"/>
      <c r="M633" s="1597" t="s">
        <v>2430</v>
      </c>
      <c r="N633" s="1597"/>
      <c r="O633" s="1597"/>
      <c r="P633" s="1597"/>
      <c r="Q633" s="1599"/>
      <c r="R633" s="1575"/>
      <c r="S633" s="1600"/>
      <c r="T633" s="1599"/>
      <c r="U633" s="1575"/>
      <c r="V633" s="1600"/>
      <c r="W633" s="1594"/>
      <c r="X633" s="1595"/>
      <c r="Y633" s="1596"/>
      <c r="Z633" s="1539" t="s">
        <v>1291</v>
      </c>
      <c r="AA633" s="1540"/>
      <c r="AB633" s="1541"/>
      <c r="AC633" s="1472"/>
      <c r="AD633" s="1473"/>
      <c r="AE633" s="1474"/>
      <c r="AF633" s="1533"/>
      <c r="AG633" s="1534"/>
      <c r="AH633" s="1534"/>
      <c r="AI633" s="1534"/>
      <c r="AJ633" s="1535"/>
      <c r="AK633" s="1543"/>
      <c r="AL633" s="1544"/>
      <c r="AM633" s="1544"/>
      <c r="AN633" s="1545"/>
      <c r="AO633" s="1536">
        <v>100</v>
      </c>
      <c r="AP633" s="1537"/>
      <c r="AQ633" s="1537"/>
      <c r="AR633" s="1537"/>
      <c r="AS633" s="1538"/>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2053</v>
      </c>
      <c r="CM633" s="1402">
        <f>BN632+BS632+BX632+CC632+CH632+CM632</f>
        <v>140</v>
      </c>
      <c r="CN633" s="1403"/>
      <c r="CO633" s="1403"/>
      <c r="CP633" s="1403"/>
      <c r="CQ633" s="1404"/>
      <c r="CR633" s="385"/>
      <c r="CS633" s="3"/>
      <c r="CT633" s="3"/>
      <c r="CU633" s="3"/>
      <c r="CV633" s="3"/>
      <c r="CW633" s="3"/>
      <c r="CX633" s="3"/>
      <c r="CY633" s="3"/>
      <c r="CZ633" s="3"/>
      <c r="DA633" s="3"/>
      <c r="DB633" s="3"/>
      <c r="DC633" s="3"/>
      <c r="DD633" s="3"/>
      <c r="DE633" s="3"/>
      <c r="DF633" s="3"/>
    </row>
    <row r="634" spans="2:157" ht="13" customHeight="1">
      <c r="B634" s="52" t="s">
        <v>465</v>
      </c>
      <c r="C634" s="1593" t="s">
        <v>2752</v>
      </c>
      <c r="D634" s="1592"/>
      <c r="E634" s="1592"/>
      <c r="F634" s="1592"/>
      <c r="G634" s="1592"/>
      <c r="H634" s="1592"/>
      <c r="I634" s="1592"/>
      <c r="J634" s="1592"/>
      <c r="K634" s="1592"/>
      <c r="L634" s="1592"/>
      <c r="M634" s="1597" t="s">
        <v>1291</v>
      </c>
      <c r="N634" s="1597"/>
      <c r="O634" s="1597"/>
      <c r="P634" s="1597"/>
      <c r="Q634" s="1599"/>
      <c r="R634" s="1575"/>
      <c r="S634" s="1600"/>
      <c r="T634" s="1599"/>
      <c r="U634" s="1575"/>
      <c r="V634" s="1600"/>
      <c r="W634" s="1594"/>
      <c r="X634" s="1595"/>
      <c r="Y634" s="1596"/>
      <c r="Z634" s="1539" t="s">
        <v>1291</v>
      </c>
      <c r="AA634" s="1540"/>
      <c r="AB634" s="1541"/>
      <c r="AC634" s="1472"/>
      <c r="AD634" s="1473"/>
      <c r="AE634" s="1474"/>
      <c r="AF634" s="1533"/>
      <c r="AG634" s="1534"/>
      <c r="AH634" s="1534"/>
      <c r="AI634" s="1534"/>
      <c r="AJ634" s="1535"/>
      <c r="AK634" s="1543"/>
      <c r="AL634" s="1544"/>
      <c r="AM634" s="1544"/>
      <c r="AN634" s="1545"/>
      <c r="AO634" s="1536">
        <v>1100000</v>
      </c>
      <c r="AP634" s="1537"/>
      <c r="AQ634" s="1537"/>
      <c r="AR634" s="1537"/>
      <c r="AS634" s="1538"/>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140</v>
      </c>
      <c r="BS634" s="3"/>
      <c r="BT634" s="3"/>
      <c r="BU634" s="3"/>
      <c r="BV634" s="3"/>
      <c r="BW634" s="895">
        <f>BS632*1</f>
        <v>0</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140</v>
      </c>
      <c r="CT634" s="57" t="s">
        <v>2055</v>
      </c>
      <c r="CU634" s="3"/>
      <c r="CV634" s="3"/>
      <c r="CW634" s="3"/>
      <c r="CX634" s="3"/>
      <c r="CY634" s="3"/>
      <c r="CZ634" s="3"/>
      <c r="DA634" s="3"/>
      <c r="DB634" s="3"/>
      <c r="DC634" s="3"/>
      <c r="DD634" s="3"/>
      <c r="DE634" s="3"/>
      <c r="DF634" s="3"/>
    </row>
    <row r="635" spans="2:157" ht="13" customHeight="1">
      <c r="B635" s="52" t="s">
        <v>470</v>
      </c>
      <c r="C635" s="1592"/>
      <c r="D635" s="1592"/>
      <c r="E635" s="1592"/>
      <c r="F635" s="1592"/>
      <c r="G635" s="1592"/>
      <c r="H635" s="1592"/>
      <c r="I635" s="1592"/>
      <c r="J635" s="1592"/>
      <c r="K635" s="1592"/>
      <c r="L635" s="1592"/>
      <c r="M635" s="1597" t="s">
        <v>1291</v>
      </c>
      <c r="N635" s="1597"/>
      <c r="O635" s="1597"/>
      <c r="P635" s="1597"/>
      <c r="Q635" s="1599"/>
      <c r="R635" s="1575"/>
      <c r="S635" s="1600"/>
      <c r="T635" s="1599"/>
      <c r="U635" s="1575"/>
      <c r="V635" s="1600"/>
      <c r="W635" s="1594"/>
      <c r="X635" s="1595"/>
      <c r="Y635" s="1596"/>
      <c r="Z635" s="1539" t="s">
        <v>1291</v>
      </c>
      <c r="AA635" s="1540"/>
      <c r="AB635" s="1541"/>
      <c r="AC635" s="1472"/>
      <c r="AD635" s="1473"/>
      <c r="AE635" s="1474"/>
      <c r="AF635" s="1533"/>
      <c r="AG635" s="1534"/>
      <c r="AH635" s="1534"/>
      <c r="AI635" s="1534"/>
      <c r="AJ635" s="1535"/>
      <c r="AK635" s="1543"/>
      <c r="AL635" s="1544"/>
      <c r="AM635" s="1544"/>
      <c r="AN635" s="1545"/>
      <c r="AO635" s="1536"/>
      <c r="AP635" s="1537"/>
      <c r="AQ635" s="1537"/>
      <c r="AR635" s="1537"/>
      <c r="AS635" s="1538"/>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2">
        <f>DX597*(BN597/$BN$632)</f>
        <v>399.59999999999997</v>
      </c>
      <c r="DY635" s="1362"/>
      <c r="DZ635" s="1362"/>
      <c r="EA635" s="1362"/>
      <c r="EB635" s="1362"/>
      <c r="EC635" s="1362" t="e">
        <f t="shared" ref="EC635:EC657" si="24">EC597*(BS597/$BS$632)</f>
        <v>#VALUE!</v>
      </c>
      <c r="ED635" s="1362"/>
      <c r="EE635" s="1362"/>
      <c r="EF635" s="1362"/>
      <c r="EG635" s="1362"/>
      <c r="EH635" s="1362" t="e">
        <f t="shared" ref="EH635:EH657" si="25">EH597*(BX597/$BX$632)</f>
        <v>#VALUE!</v>
      </c>
      <c r="EI635" s="1362"/>
      <c r="EJ635" s="1362"/>
      <c r="EK635" s="1362"/>
      <c r="EL635" s="1362"/>
      <c r="EM635" s="1362" t="e">
        <f t="shared" ref="EM635:EM657" si="26">EM597*(CC597/$CC$632)</f>
        <v>#VALUE!</v>
      </c>
      <c r="EN635" s="1362"/>
      <c r="EO635" s="1362"/>
      <c r="EP635" s="1362"/>
      <c r="EQ635" s="1362"/>
      <c r="ER635" s="1362" t="e">
        <f t="shared" ref="ER635:ER657" si="27">ER597*(CH597/$CH$632)</f>
        <v>#VALUE!</v>
      </c>
      <c r="ES635" s="1362"/>
      <c r="ET635" s="1362"/>
      <c r="EU635" s="1362"/>
      <c r="EV635" s="1362"/>
      <c r="EW635" s="1362" t="e">
        <f t="shared" ref="EW635:EW657" si="28">EW597*(CM597/$CM$632)</f>
        <v>#VALUE!</v>
      </c>
      <c r="EX635" s="1362"/>
      <c r="EY635" s="1362"/>
      <c r="EZ635" s="1362"/>
      <c r="FA635" s="1362"/>
    </row>
    <row r="636" spans="2:157" ht="13" customHeight="1">
      <c r="B636" s="52" t="s">
        <v>655</v>
      </c>
      <c r="C636" s="1592"/>
      <c r="D636" s="1592"/>
      <c r="E636" s="1592"/>
      <c r="F636" s="1592"/>
      <c r="G636" s="1592"/>
      <c r="H636" s="1592"/>
      <c r="I636" s="1592"/>
      <c r="J636" s="1592"/>
      <c r="K636" s="1592"/>
      <c r="L636" s="1592"/>
      <c r="M636" s="1597" t="s">
        <v>1291</v>
      </c>
      <c r="N636" s="1597"/>
      <c r="O636" s="1597"/>
      <c r="P636" s="1597"/>
      <c r="Q636" s="1599"/>
      <c r="R636" s="1575"/>
      <c r="S636" s="1600"/>
      <c r="T636" s="1599"/>
      <c r="U636" s="1575"/>
      <c r="V636" s="1600"/>
      <c r="W636" s="1594"/>
      <c r="X636" s="1595"/>
      <c r="Y636" s="1596"/>
      <c r="Z636" s="1539" t="s">
        <v>1291</v>
      </c>
      <c r="AA636" s="1540"/>
      <c r="AB636" s="1541"/>
      <c r="AC636" s="1472"/>
      <c r="AD636" s="1473"/>
      <c r="AE636" s="1474"/>
      <c r="AF636" s="1533"/>
      <c r="AG636" s="1534"/>
      <c r="AH636" s="1534"/>
      <c r="AI636" s="1534"/>
      <c r="AJ636" s="1535"/>
      <c r="AK636" s="1543"/>
      <c r="AL636" s="1544"/>
      <c r="AM636" s="1544"/>
      <c r="AN636" s="1545"/>
      <c r="AO636" s="1536"/>
      <c r="AP636" s="1537"/>
      <c r="AQ636" s="1537"/>
      <c r="AR636" s="1537"/>
      <c r="AS636" s="1538"/>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62">
        <f t="shared" ref="DX636:DX657" si="29">DX598*(BN598/$BN$632)</f>
        <v>14.799999999999999</v>
      </c>
      <c r="DY636" s="1362"/>
      <c r="DZ636" s="1362"/>
      <c r="EA636" s="1362"/>
      <c r="EB636" s="1362"/>
      <c r="EC636" s="1362" t="e">
        <f t="shared" si="24"/>
        <v>#VALUE!</v>
      </c>
      <c r="ED636" s="1362"/>
      <c r="EE636" s="1362"/>
      <c r="EF636" s="1362"/>
      <c r="EG636" s="1362"/>
      <c r="EH636" s="1362" t="e">
        <f t="shared" si="25"/>
        <v>#VALUE!</v>
      </c>
      <c r="EI636" s="1362"/>
      <c r="EJ636" s="1362"/>
      <c r="EK636" s="1362"/>
      <c r="EL636" s="1362"/>
      <c r="EM636" s="1362" t="e">
        <f t="shared" si="26"/>
        <v>#VALUE!</v>
      </c>
      <c r="EN636" s="1362"/>
      <c r="EO636" s="1362"/>
      <c r="EP636" s="1362"/>
      <c r="EQ636" s="1362"/>
      <c r="ER636" s="1362" t="e">
        <f t="shared" si="27"/>
        <v>#VALUE!</v>
      </c>
      <c r="ES636" s="1362"/>
      <c r="ET636" s="1362"/>
      <c r="EU636" s="1362"/>
      <c r="EV636" s="1362"/>
      <c r="EW636" s="1362" t="e">
        <f t="shared" si="28"/>
        <v>#VALUE!</v>
      </c>
      <c r="EX636" s="1362"/>
      <c r="EY636" s="1362"/>
      <c r="EZ636" s="1362"/>
      <c r="FA636" s="1362"/>
    </row>
    <row r="637" spans="2:157" ht="13" customHeight="1">
      <c r="B637" s="52" t="s">
        <v>363</v>
      </c>
      <c r="C637" s="1592"/>
      <c r="D637" s="1592"/>
      <c r="E637" s="1592"/>
      <c r="F637" s="1592"/>
      <c r="G637" s="1592"/>
      <c r="H637" s="1592"/>
      <c r="I637" s="1592"/>
      <c r="J637" s="1592"/>
      <c r="K637" s="1592"/>
      <c r="L637" s="1592"/>
      <c r="M637" s="1597" t="s">
        <v>1291</v>
      </c>
      <c r="N637" s="1597"/>
      <c r="O637" s="1597"/>
      <c r="P637" s="1597"/>
      <c r="Q637" s="1599"/>
      <c r="R637" s="1575"/>
      <c r="S637" s="1600"/>
      <c r="T637" s="1599"/>
      <c r="U637" s="1575"/>
      <c r="V637" s="1600"/>
      <c r="W637" s="1594"/>
      <c r="X637" s="1595"/>
      <c r="Y637" s="1596"/>
      <c r="Z637" s="1539" t="s">
        <v>1291</v>
      </c>
      <c r="AA637" s="1540"/>
      <c r="AB637" s="1541"/>
      <c r="AC637" s="1472"/>
      <c r="AD637" s="1473"/>
      <c r="AE637" s="1474"/>
      <c r="AF637" s="1533"/>
      <c r="AG637" s="1534"/>
      <c r="AH637" s="1534"/>
      <c r="AI637" s="1534"/>
      <c r="AJ637" s="1535"/>
      <c r="AK637" s="1543"/>
      <c r="AL637" s="1544"/>
      <c r="AM637" s="1544"/>
      <c r="AN637" s="1545"/>
      <c r="AO637" s="1536"/>
      <c r="AP637" s="1537"/>
      <c r="AQ637" s="1537"/>
      <c r="AR637" s="1537"/>
      <c r="AS637" s="1538"/>
      <c r="AT637" s="1192" t="str">
        <f t="shared" si="23"/>
        <v/>
      </c>
      <c r="AV637" s="3"/>
      <c r="AW637" s="3"/>
      <c r="AX637" s="3"/>
      <c r="AY637" s="3"/>
      <c r="AZ637" s="34"/>
      <c r="BA637" s="3" t="s">
        <v>2452</v>
      </c>
      <c r="BB637" s="34"/>
      <c r="BC637" s="34"/>
      <c r="BD637" s="34"/>
      <c r="BE637" s="34"/>
      <c r="BF637" s="34"/>
      <c r="BG637" s="34"/>
      <c r="BH637" s="34"/>
      <c r="BI637" s="34"/>
      <c r="BJ637" s="34"/>
      <c r="BK637" s="34"/>
      <c r="BL637" s="34"/>
      <c r="BM637" s="34"/>
      <c r="BN637" s="1527">
        <f>IF(J773="SRO/Studio",O773,0)</f>
        <v>0</v>
      </c>
      <c r="BO637" s="1528"/>
      <c r="BP637" s="1528"/>
      <c r="BQ637" s="1528"/>
      <c r="BR637" s="1529"/>
      <c r="BS637" s="1407">
        <f>IF(J773="1 Bedroom",O773,0)</f>
        <v>1</v>
      </c>
      <c r="BT637" s="1407"/>
      <c r="BU637" s="1407"/>
      <c r="BV637" s="1407"/>
      <c r="BW637" s="1407"/>
      <c r="BX637" s="1407">
        <f>IF(J773="2 Bedrooms",O773,0)</f>
        <v>0</v>
      </c>
      <c r="BY637" s="1407"/>
      <c r="BZ637" s="1407"/>
      <c r="CA637" s="1407"/>
      <c r="CB637" s="1407"/>
      <c r="CC637" s="1407">
        <f>IF(J773="3 Bedrooms",O773,0)</f>
        <v>0</v>
      </c>
      <c r="CD637" s="1407"/>
      <c r="CE637" s="1407"/>
      <c r="CF637" s="1407"/>
      <c r="CG637" s="1407"/>
      <c r="CH637" s="1407">
        <f>IF(J773="4 Bedrooms",O773,0)</f>
        <v>0</v>
      </c>
      <c r="CI637" s="1407"/>
      <c r="CJ637" s="1407"/>
      <c r="CK637" s="1407"/>
      <c r="CL637" s="1407"/>
      <c r="CM637" s="1407">
        <f>IF(J773="5 Bedrooms",O773,0)</f>
        <v>0</v>
      </c>
      <c r="CN637" s="1407"/>
      <c r="CO637" s="1407"/>
      <c r="CP637" s="1407"/>
      <c r="CQ637" s="1407"/>
      <c r="CR637" s="6"/>
      <c r="CS637" s="3"/>
      <c r="CT637" s="3"/>
      <c r="CU637" s="3"/>
      <c r="CV637" s="3"/>
      <c r="CW637" s="3"/>
      <c r="CX637" s="3"/>
      <c r="CY637" s="3"/>
      <c r="CZ637" s="3"/>
      <c r="DA637" s="3"/>
      <c r="DB637" s="3"/>
      <c r="DC637" s="3"/>
      <c r="DD637" s="3"/>
      <c r="DE637" s="3"/>
      <c r="DF637" s="3"/>
      <c r="DX637" s="1362">
        <f t="shared" si="29"/>
        <v>610.5</v>
      </c>
      <c r="DY637" s="1362"/>
      <c r="DZ637" s="1362"/>
      <c r="EA637" s="1362"/>
      <c r="EB637" s="1362"/>
      <c r="EC637" s="1362" t="e">
        <f t="shared" si="24"/>
        <v>#VALUE!</v>
      </c>
      <c r="ED637" s="1362"/>
      <c r="EE637" s="1362"/>
      <c r="EF637" s="1362"/>
      <c r="EG637" s="1362"/>
      <c r="EH637" s="1362" t="e">
        <f t="shared" si="25"/>
        <v>#VALUE!</v>
      </c>
      <c r="EI637" s="1362"/>
      <c r="EJ637" s="1362"/>
      <c r="EK637" s="1362"/>
      <c r="EL637" s="1362"/>
      <c r="EM637" s="1362" t="e">
        <f t="shared" si="26"/>
        <v>#VALUE!</v>
      </c>
      <c r="EN637" s="1362"/>
      <c r="EO637" s="1362"/>
      <c r="EP637" s="1362"/>
      <c r="EQ637" s="1362"/>
      <c r="ER637" s="1362" t="e">
        <f t="shared" si="27"/>
        <v>#VALUE!</v>
      </c>
      <c r="ES637" s="1362"/>
      <c r="ET637" s="1362"/>
      <c r="EU637" s="1362"/>
      <c r="EV637" s="1362"/>
      <c r="EW637" s="1362" t="e">
        <f t="shared" si="28"/>
        <v>#VALUE!</v>
      </c>
      <c r="EX637" s="1362"/>
      <c r="EY637" s="1362"/>
      <c r="EZ637" s="1362"/>
      <c r="FA637" s="1362"/>
    </row>
    <row r="638" spans="2:157" ht="13" customHeight="1">
      <c r="B638" s="52" t="s">
        <v>364</v>
      </c>
      <c r="C638" s="1592"/>
      <c r="D638" s="1592"/>
      <c r="E638" s="1592"/>
      <c r="F638" s="1592"/>
      <c r="G638" s="1592"/>
      <c r="H638" s="1592"/>
      <c r="I638" s="1592"/>
      <c r="J638" s="1592"/>
      <c r="K638" s="1592"/>
      <c r="L638" s="1592"/>
      <c r="M638" s="1597" t="s">
        <v>1291</v>
      </c>
      <c r="N638" s="1597"/>
      <c r="O638" s="1597"/>
      <c r="P638" s="1597"/>
      <c r="Q638" s="1599"/>
      <c r="R638" s="1575"/>
      <c r="S638" s="1600"/>
      <c r="T638" s="1599"/>
      <c r="U638" s="1575"/>
      <c r="V638" s="1600"/>
      <c r="W638" s="1594"/>
      <c r="X638" s="1595"/>
      <c r="Y638" s="1596"/>
      <c r="Z638" s="1539" t="s">
        <v>1291</v>
      </c>
      <c r="AA638" s="1540"/>
      <c r="AB638" s="1541"/>
      <c r="AC638" s="1472"/>
      <c r="AD638" s="1473"/>
      <c r="AE638" s="1474"/>
      <c r="AF638" s="1533"/>
      <c r="AG638" s="1534"/>
      <c r="AH638" s="1534"/>
      <c r="AI638" s="1534"/>
      <c r="AJ638" s="1535"/>
      <c r="AK638" s="1543"/>
      <c r="AL638" s="1544"/>
      <c r="AM638" s="1544"/>
      <c r="AN638" s="1545"/>
      <c r="AO638" s="1536"/>
      <c r="AP638" s="1537"/>
      <c r="AQ638" s="1537"/>
      <c r="AR638" s="1537"/>
      <c r="AS638" s="1538"/>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527">
        <f>IF(J774="SRO/Studio",O774,0)</f>
        <v>0</v>
      </c>
      <c r="BO638" s="1528"/>
      <c r="BP638" s="1528"/>
      <c r="BQ638" s="1528"/>
      <c r="BR638" s="1529"/>
      <c r="BS638" s="1407">
        <f>IF(J774="1 Bedroom",O774,0)</f>
        <v>0</v>
      </c>
      <c r="BT638" s="1407"/>
      <c r="BU638" s="1407"/>
      <c r="BV638" s="1407"/>
      <c r="BW638" s="1407"/>
      <c r="BX638" s="1407">
        <f>IF(J774="2 Bedrooms",O774,0)</f>
        <v>0</v>
      </c>
      <c r="BY638" s="1407"/>
      <c r="BZ638" s="1407"/>
      <c r="CA638" s="1407"/>
      <c r="CB638" s="1407"/>
      <c r="CC638" s="1407">
        <f>IF(J774="3 Bedrooms",O774,0)</f>
        <v>0</v>
      </c>
      <c r="CD638" s="1407"/>
      <c r="CE638" s="1407"/>
      <c r="CF638" s="1407"/>
      <c r="CG638" s="1407"/>
      <c r="CH638" s="1407">
        <f>IF(J774="4 Bedrooms",O774,0)</f>
        <v>0</v>
      </c>
      <c r="CI638" s="1407"/>
      <c r="CJ638" s="1407"/>
      <c r="CK638" s="1407"/>
      <c r="CL638" s="1407"/>
      <c r="CM638" s="1407">
        <f>IF(J774="5 Bedrooms",O774,0)</f>
        <v>0</v>
      </c>
      <c r="CN638" s="1407"/>
      <c r="CO638" s="1407"/>
      <c r="CP638" s="1407"/>
      <c r="CQ638" s="1407"/>
      <c r="CR638" s="6"/>
      <c r="CS638" s="3"/>
      <c r="CT638" s="3"/>
      <c r="CU638" s="3"/>
      <c r="CV638" s="3"/>
      <c r="CW638" s="3"/>
      <c r="CX638" s="3"/>
      <c r="CY638" s="3"/>
      <c r="CZ638" s="3"/>
      <c r="DA638" s="3"/>
      <c r="DB638" s="3"/>
      <c r="DC638" s="3"/>
      <c r="DD638" s="3"/>
      <c r="DE638" s="3"/>
      <c r="DF638" s="3"/>
      <c r="DX638" s="1362" t="e">
        <f t="shared" si="29"/>
        <v>#VALUE!</v>
      </c>
      <c r="DY638" s="1362"/>
      <c r="DZ638" s="1362"/>
      <c r="EA638" s="1362"/>
      <c r="EB638" s="1362"/>
      <c r="EC638" s="1362" t="e">
        <f t="shared" si="24"/>
        <v>#VALUE!</v>
      </c>
      <c r="ED638" s="1362"/>
      <c r="EE638" s="1362"/>
      <c r="EF638" s="1362"/>
      <c r="EG638" s="1362"/>
      <c r="EH638" s="1362" t="e">
        <f t="shared" si="25"/>
        <v>#VALUE!</v>
      </c>
      <c r="EI638" s="1362"/>
      <c r="EJ638" s="1362"/>
      <c r="EK638" s="1362"/>
      <c r="EL638" s="1362"/>
      <c r="EM638" s="1362" t="e">
        <f t="shared" si="26"/>
        <v>#VALUE!</v>
      </c>
      <c r="EN638" s="1362"/>
      <c r="EO638" s="1362"/>
      <c r="EP638" s="1362"/>
      <c r="EQ638" s="1362"/>
      <c r="ER638" s="1362" t="e">
        <f t="shared" si="27"/>
        <v>#VALUE!</v>
      </c>
      <c r="ES638" s="1362"/>
      <c r="ET638" s="1362"/>
      <c r="EU638" s="1362"/>
      <c r="EV638" s="1362"/>
      <c r="EW638" s="1362" t="e">
        <f t="shared" si="28"/>
        <v>#VALUE!</v>
      </c>
      <c r="EX638" s="1362"/>
      <c r="EY638" s="1362"/>
      <c r="EZ638" s="1362"/>
      <c r="FA638" s="1362"/>
    </row>
    <row r="639" spans="2:157" ht="13" customHeight="1">
      <c r="B639" s="1611" t="s">
        <v>128</v>
      </c>
      <c r="C639" s="1612"/>
      <c r="D639" s="1612"/>
      <c r="E639" s="1612"/>
      <c r="F639" s="1612"/>
      <c r="G639" s="1612"/>
      <c r="H639" s="1612"/>
      <c r="I639" s="1612"/>
      <c r="J639" s="1612"/>
      <c r="K639" s="1612"/>
      <c r="L639" s="1612"/>
      <c r="M639" s="1612"/>
      <c r="N639" s="1612"/>
      <c r="O639" s="1612"/>
      <c r="P639" s="1612"/>
      <c r="Q639" s="1612"/>
      <c r="R639" s="1612"/>
      <c r="S639" s="1612"/>
      <c r="T639" s="1612"/>
      <c r="U639" s="1612"/>
      <c r="V639" s="1612"/>
      <c r="W639" s="1612"/>
      <c r="X639" s="1612"/>
      <c r="Y639" s="1612"/>
      <c r="Z639" s="1612"/>
      <c r="AA639" s="1612"/>
      <c r="AB639" s="1612"/>
      <c r="AC639" s="1612"/>
      <c r="AD639" s="1612"/>
      <c r="AE639" s="1612"/>
      <c r="AF639" s="1612"/>
      <c r="AG639" s="1612"/>
      <c r="AH639" s="1612"/>
      <c r="AI639" s="1612"/>
      <c r="AJ639" s="1612"/>
      <c r="AK639" s="1612"/>
      <c r="AL639" s="1612"/>
      <c r="AM639" s="1612"/>
      <c r="AN639" s="1613"/>
      <c r="AO639" s="1546">
        <f>SUM(AO627:AR638)</f>
        <v>29172169.354321249</v>
      </c>
      <c r="AP639" s="1547"/>
      <c r="AQ639" s="1547"/>
      <c r="AR639" s="1547"/>
      <c r="AS639" s="1548"/>
      <c r="AV639" s="3"/>
      <c r="AW639" s="3"/>
      <c r="AX639" s="3"/>
      <c r="AY639" s="3"/>
      <c r="AZ639" s="34"/>
      <c r="BA639" s="34"/>
      <c r="BB639" s="34"/>
      <c r="BC639" s="34"/>
      <c r="BD639" s="34"/>
      <c r="BE639" s="34"/>
      <c r="BF639" s="34"/>
      <c r="BG639" s="34"/>
      <c r="BH639" s="34"/>
      <c r="BI639" s="34"/>
      <c r="BJ639" s="34"/>
      <c r="BK639" s="34"/>
      <c r="BL639" s="34"/>
      <c r="BM639" s="34"/>
      <c r="BN639" s="1527">
        <f>IF(J775="SRO/Studio",O775,0)</f>
        <v>0</v>
      </c>
      <c r="BO639" s="1528"/>
      <c r="BP639" s="1528"/>
      <c r="BQ639" s="1528"/>
      <c r="BR639" s="1529"/>
      <c r="BS639" s="1407">
        <f>IF(J775="1 Bedroom",O775,0)</f>
        <v>0</v>
      </c>
      <c r="BT639" s="1407"/>
      <c r="BU639" s="1407"/>
      <c r="BV639" s="1407"/>
      <c r="BW639" s="1407"/>
      <c r="BX639" s="1407">
        <f>IF(J775="2 Bedrooms",O775,0)</f>
        <v>0</v>
      </c>
      <c r="BY639" s="1407"/>
      <c r="BZ639" s="1407"/>
      <c r="CA639" s="1407"/>
      <c r="CB639" s="1407"/>
      <c r="CC639" s="1407">
        <f>IF(J775="3 Bedrooms",O775,0)</f>
        <v>0</v>
      </c>
      <c r="CD639" s="1407"/>
      <c r="CE639" s="1407"/>
      <c r="CF639" s="1407"/>
      <c r="CG639" s="1407"/>
      <c r="CH639" s="1407">
        <f>IF(J775="4 Bedrooms",O775,0)</f>
        <v>0</v>
      </c>
      <c r="CI639" s="1407"/>
      <c r="CJ639" s="1407"/>
      <c r="CK639" s="1407"/>
      <c r="CL639" s="1407"/>
      <c r="CM639" s="1407">
        <f>IF(J775="5 Bedrooms",O775,0)</f>
        <v>0</v>
      </c>
      <c r="CN639" s="1407"/>
      <c r="CO639" s="1407"/>
      <c r="CP639" s="1407"/>
      <c r="CQ639" s="1407"/>
      <c r="CR639" s="1047"/>
      <c r="CV639" s="3"/>
      <c r="CW639" s="3"/>
      <c r="CX639" s="3"/>
      <c r="CY639" s="3"/>
      <c r="CZ639" s="3"/>
      <c r="DA639" s="3"/>
      <c r="DB639" s="3"/>
      <c r="DC639" s="3"/>
      <c r="DD639" s="3"/>
      <c r="DE639" s="3"/>
      <c r="DF639" s="3"/>
      <c r="DX639" s="1362" t="e">
        <f t="shared" si="29"/>
        <v>#VALUE!</v>
      </c>
      <c r="DY639" s="1362"/>
      <c r="DZ639" s="1362"/>
      <c r="EA639" s="1362"/>
      <c r="EB639" s="1362"/>
      <c r="EC639" s="1362" t="e">
        <f t="shared" si="24"/>
        <v>#VALUE!</v>
      </c>
      <c r="ED639" s="1362"/>
      <c r="EE639" s="1362"/>
      <c r="EF639" s="1362"/>
      <c r="EG639" s="1362"/>
      <c r="EH639" s="1362" t="e">
        <f t="shared" si="25"/>
        <v>#VALUE!</v>
      </c>
      <c r="EI639" s="1362"/>
      <c r="EJ639" s="1362"/>
      <c r="EK639" s="1362"/>
      <c r="EL639" s="1362"/>
      <c r="EM639" s="1362" t="e">
        <f t="shared" si="26"/>
        <v>#VALUE!</v>
      </c>
      <c r="EN639" s="1362"/>
      <c r="EO639" s="1362"/>
      <c r="EP639" s="1362"/>
      <c r="EQ639" s="1362"/>
      <c r="ER639" s="1362" t="e">
        <f t="shared" si="27"/>
        <v>#VALUE!</v>
      </c>
      <c r="ES639" s="1362"/>
      <c r="ET639" s="1362"/>
      <c r="EU639" s="1362"/>
      <c r="EV639" s="1362"/>
      <c r="EW639" s="1362" t="e">
        <f t="shared" si="28"/>
        <v>#VALUE!</v>
      </c>
      <c r="EX639" s="1362"/>
      <c r="EY639" s="1362"/>
      <c r="EZ639" s="1362"/>
      <c r="FA639" s="1362"/>
    </row>
    <row r="640" spans="2:157" ht="13" customHeight="1">
      <c r="B640" s="1611" t="s">
        <v>268</v>
      </c>
      <c r="C640" s="1612"/>
      <c r="D640" s="1612"/>
      <c r="E640" s="1612"/>
      <c r="F640" s="1612"/>
      <c r="G640" s="1612"/>
      <c r="H640" s="1612"/>
      <c r="I640" s="1612"/>
      <c r="J640" s="1612"/>
      <c r="K640" s="1612"/>
      <c r="L640" s="1612"/>
      <c r="M640" s="1612"/>
      <c r="N640" s="1612"/>
      <c r="O640" s="1612"/>
      <c r="P640" s="1612"/>
      <c r="Q640" s="1612"/>
      <c r="R640" s="1612"/>
      <c r="S640" s="1612"/>
      <c r="T640" s="1612"/>
      <c r="U640" s="1612"/>
      <c r="V640" s="1612"/>
      <c r="W640" s="1612"/>
      <c r="X640" s="1612"/>
      <c r="Y640" s="1612"/>
      <c r="Z640" s="1612"/>
      <c r="AA640" s="1612"/>
      <c r="AB640" s="1612"/>
      <c r="AC640" s="1612"/>
      <c r="AD640" s="1612"/>
      <c r="AE640" s="1612"/>
      <c r="AF640" s="1612"/>
      <c r="AG640" s="1612"/>
      <c r="AH640" s="1612"/>
      <c r="AI640" s="1612"/>
      <c r="AJ640" s="1612"/>
      <c r="AK640" s="1612"/>
      <c r="AL640" s="1612"/>
      <c r="AM640" s="1612"/>
      <c r="AN640" s="1613"/>
      <c r="AO640" s="1536">
        <f>'Sources and Uses Budget'!E105</f>
        <v>32730229.645678751</v>
      </c>
      <c r="AP640" s="1537"/>
      <c r="AQ640" s="1537"/>
      <c r="AR640" s="1537"/>
      <c r="AS640" s="1538"/>
      <c r="AV640" s="3"/>
      <c r="AW640" s="3"/>
      <c r="AX640" s="3"/>
      <c r="AY640" s="3"/>
      <c r="AZ640" s="34"/>
      <c r="BA640" s="34"/>
      <c r="BB640" s="34"/>
      <c r="BC640" s="34"/>
      <c r="BD640" s="34"/>
      <c r="BE640" s="34"/>
      <c r="BF640" s="34"/>
      <c r="BG640" s="34"/>
      <c r="BH640" s="34"/>
      <c r="BI640" s="34"/>
      <c r="BJ640" s="34"/>
      <c r="BK640" s="34"/>
      <c r="BL640" s="34"/>
      <c r="BM640" s="34"/>
      <c r="BN640" s="1527">
        <f>IF(J776="SRO/Studio",O776,0)</f>
        <v>0</v>
      </c>
      <c r="BO640" s="1528"/>
      <c r="BP640" s="1528"/>
      <c r="BQ640" s="1528"/>
      <c r="BR640" s="1529"/>
      <c r="BS640" s="1407">
        <f>IF(J776="1 Bedroom",O776,0)</f>
        <v>0</v>
      </c>
      <c r="BT640" s="1407"/>
      <c r="BU640" s="1407"/>
      <c r="BV640" s="1407"/>
      <c r="BW640" s="1407"/>
      <c r="BX640" s="1407">
        <f>IF(J776="2 Bedrooms",O776,0)</f>
        <v>0</v>
      </c>
      <c r="BY640" s="1407"/>
      <c r="BZ640" s="1407"/>
      <c r="CA640" s="1407"/>
      <c r="CB640" s="1407"/>
      <c r="CC640" s="1407">
        <f>IF(J776="3 Bedrooms",O776,0)</f>
        <v>0</v>
      </c>
      <c r="CD640" s="1407"/>
      <c r="CE640" s="1407"/>
      <c r="CF640" s="1407"/>
      <c r="CG640" s="1407"/>
      <c r="CH640" s="1407">
        <f>IF(J776="4 Bedrooms",O776,0)</f>
        <v>0</v>
      </c>
      <c r="CI640" s="1407"/>
      <c r="CJ640" s="1407"/>
      <c r="CK640" s="1407"/>
      <c r="CL640" s="1407"/>
      <c r="CM640" s="1407">
        <f>IF(J776="5 Bedrooms",O776,0)</f>
        <v>0</v>
      </c>
      <c r="CN640" s="1407"/>
      <c r="CO640" s="1407"/>
      <c r="CP640" s="1407"/>
      <c r="CQ640" s="1407"/>
      <c r="CV640" s="3"/>
      <c r="CW640" s="3"/>
      <c r="CX640" s="3"/>
      <c r="CY640" s="3"/>
      <c r="CZ640" s="3"/>
      <c r="DA640" s="3"/>
      <c r="DB640" s="3"/>
      <c r="DC640" s="3"/>
      <c r="DD640" s="3"/>
      <c r="DE640" s="3"/>
      <c r="DF640" s="3"/>
      <c r="DX640" s="1362" t="e">
        <f t="shared" si="29"/>
        <v>#VALUE!</v>
      </c>
      <c r="DY640" s="1362"/>
      <c r="DZ640" s="1362"/>
      <c r="EA640" s="1362"/>
      <c r="EB640" s="1362"/>
      <c r="EC640" s="1362" t="e">
        <f t="shared" si="24"/>
        <v>#VALUE!</v>
      </c>
      <c r="ED640" s="1362"/>
      <c r="EE640" s="1362"/>
      <c r="EF640" s="1362"/>
      <c r="EG640" s="1362"/>
      <c r="EH640" s="1362" t="e">
        <f t="shared" si="25"/>
        <v>#VALUE!</v>
      </c>
      <c r="EI640" s="1362"/>
      <c r="EJ640" s="1362"/>
      <c r="EK640" s="1362"/>
      <c r="EL640" s="1362"/>
      <c r="EM640" s="1362" t="e">
        <f t="shared" si="26"/>
        <v>#VALUE!</v>
      </c>
      <c r="EN640" s="1362"/>
      <c r="EO640" s="1362"/>
      <c r="EP640" s="1362"/>
      <c r="EQ640" s="1362"/>
      <c r="ER640" s="1362" t="e">
        <f t="shared" si="27"/>
        <v>#VALUE!</v>
      </c>
      <c r="ES640" s="1362"/>
      <c r="ET640" s="1362"/>
      <c r="EU640" s="1362"/>
      <c r="EV640" s="1362"/>
      <c r="EW640" s="1362" t="e">
        <f t="shared" si="28"/>
        <v>#VALUE!</v>
      </c>
      <c r="EX640" s="1362"/>
      <c r="EY640" s="1362"/>
      <c r="EZ640" s="1362"/>
      <c r="FA640" s="1362"/>
    </row>
    <row r="641" spans="1:157" ht="13" customHeight="1">
      <c r="B641" s="1601" t="s">
        <v>269</v>
      </c>
      <c r="C641" s="1602"/>
      <c r="D641" s="1602"/>
      <c r="E641" s="1602"/>
      <c r="F641" s="1602"/>
      <c r="G641" s="1602"/>
      <c r="H641" s="1602"/>
      <c r="I641" s="1602"/>
      <c r="J641" s="1602"/>
      <c r="K641" s="1602"/>
      <c r="L641" s="1602"/>
      <c r="M641" s="1602"/>
      <c r="N641" s="1602"/>
      <c r="O641" s="1602"/>
      <c r="P641" s="1602"/>
      <c r="Q641" s="1602"/>
      <c r="R641" s="1602"/>
      <c r="S641" s="1602"/>
      <c r="T641" s="1602"/>
      <c r="U641" s="1602"/>
      <c r="V641" s="1602"/>
      <c r="W641" s="1602"/>
      <c r="X641" s="1602"/>
      <c r="Y641" s="1602"/>
      <c r="Z641" s="1602"/>
      <c r="AA641" s="1602"/>
      <c r="AB641" s="1602"/>
      <c r="AC641" s="1602"/>
      <c r="AD641" s="1602"/>
      <c r="AE641" s="1602"/>
      <c r="AF641" s="1602"/>
      <c r="AG641" s="1602"/>
      <c r="AH641" s="1602"/>
      <c r="AI641" s="1602"/>
      <c r="AJ641" s="1602"/>
      <c r="AK641" s="1602"/>
      <c r="AL641" s="1602"/>
      <c r="AM641" s="1602"/>
      <c r="AN641" s="1603"/>
      <c r="AO641" s="1546">
        <f>AO639+AO640</f>
        <v>61902399</v>
      </c>
      <c r="AP641" s="1547"/>
      <c r="AQ641" s="1547"/>
      <c r="AR641" s="1547"/>
      <c r="AS641" s="1548"/>
      <c r="AV641" s="3"/>
      <c r="AW641" s="3"/>
      <c r="AX641" s="3"/>
      <c r="AY641" s="3"/>
      <c r="AZ641" s="34"/>
      <c r="BA641" s="34"/>
      <c r="BB641" s="34"/>
      <c r="BC641" s="34"/>
      <c r="BD641" s="34"/>
      <c r="BE641" s="34"/>
      <c r="BF641" s="34"/>
      <c r="BG641" s="34"/>
      <c r="BH641" s="34"/>
      <c r="BI641" s="34"/>
      <c r="BJ641" s="34"/>
      <c r="BK641" s="34"/>
      <c r="BL641" s="34"/>
      <c r="BM641" s="34"/>
      <c r="BN641" s="1525">
        <f>SUM(BN637:BR640)</f>
        <v>0</v>
      </c>
      <c r="BO641" s="1542"/>
      <c r="BP641" s="1542"/>
      <c r="BQ641" s="1542"/>
      <c r="BR641" s="1526"/>
      <c r="BS641" s="1530">
        <f>SUM(BS637:BW640)</f>
        <v>1</v>
      </c>
      <c r="BT641" s="1531"/>
      <c r="BU641" s="1531"/>
      <c r="BV641" s="1531"/>
      <c r="BW641" s="1532"/>
      <c r="BX641" s="1530">
        <f>SUM(BX637:CB640)</f>
        <v>0</v>
      </c>
      <c r="BY641" s="1531"/>
      <c r="BZ641" s="1531"/>
      <c r="CA641" s="1531"/>
      <c r="CB641" s="1532"/>
      <c r="CC641" s="1530">
        <f>SUM(CC637:CG640)</f>
        <v>0</v>
      </c>
      <c r="CD641" s="1531"/>
      <c r="CE641" s="1531"/>
      <c r="CF641" s="1531"/>
      <c r="CG641" s="1532"/>
      <c r="CH641" s="1530">
        <f>SUM(CH637:CL640)</f>
        <v>0</v>
      </c>
      <c r="CI641" s="1531"/>
      <c r="CJ641" s="1531"/>
      <c r="CK641" s="1531"/>
      <c r="CL641" s="1532"/>
      <c r="CM641" s="1530">
        <f>SUM(CM637:CQ640)</f>
        <v>0</v>
      </c>
      <c r="CN641" s="1531"/>
      <c r="CO641" s="1531"/>
      <c r="CP641" s="1531"/>
      <c r="CQ641" s="1532"/>
      <c r="CS641" s="895">
        <f>BN641+BS641+BX641+CC641+CH641+CM641</f>
        <v>1</v>
      </c>
      <c r="CT641" s="57" t="s">
        <v>2052</v>
      </c>
      <c r="CU641" s="3"/>
      <c r="CV641" s="3"/>
      <c r="CW641" s="3"/>
      <c r="CX641" s="3"/>
      <c r="CY641" s="3"/>
      <c r="CZ641" s="3"/>
      <c r="DA641" s="3"/>
      <c r="DB641" s="3"/>
      <c r="DC641" s="3"/>
      <c r="DD641" s="3"/>
      <c r="DE641" s="3"/>
      <c r="DF641" s="3"/>
      <c r="DX641" s="1362" t="e">
        <f t="shared" si="29"/>
        <v>#VALUE!</v>
      </c>
      <c r="DY641" s="1362"/>
      <c r="DZ641" s="1362"/>
      <c r="EA641" s="1362"/>
      <c r="EB641" s="1362"/>
      <c r="EC641" s="1362" t="e">
        <f t="shared" si="24"/>
        <v>#VALUE!</v>
      </c>
      <c r="ED641" s="1362"/>
      <c r="EE641" s="1362"/>
      <c r="EF641" s="1362"/>
      <c r="EG641" s="1362"/>
      <c r="EH641" s="1362" t="e">
        <f t="shared" si="25"/>
        <v>#VALUE!</v>
      </c>
      <c r="EI641" s="1362"/>
      <c r="EJ641" s="1362"/>
      <c r="EK641" s="1362"/>
      <c r="EL641" s="1362"/>
      <c r="EM641" s="1362" t="e">
        <f t="shared" si="26"/>
        <v>#VALUE!</v>
      </c>
      <c r="EN641" s="1362"/>
      <c r="EO641" s="1362"/>
      <c r="EP641" s="1362"/>
      <c r="EQ641" s="1362"/>
      <c r="ER641" s="1362" t="e">
        <f t="shared" si="27"/>
        <v>#VALUE!</v>
      </c>
      <c r="ES641" s="1362"/>
      <c r="ET641" s="1362"/>
      <c r="EU641" s="1362"/>
      <c r="EV641" s="1362"/>
      <c r="EW641" s="1362" t="e">
        <f t="shared" si="28"/>
        <v>#VALUE!</v>
      </c>
      <c r="EX641" s="1362"/>
      <c r="EY641" s="1362"/>
      <c r="EZ641" s="1362"/>
      <c r="FA641" s="1362"/>
    </row>
    <row r="642" spans="1:157" ht="13"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1</v>
      </c>
      <c r="BX642" s="3"/>
      <c r="BY642" s="3"/>
      <c r="BZ642" s="3"/>
      <c r="CA642" s="3"/>
      <c r="CB642" s="895">
        <f>BX641*2</f>
        <v>0</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1</v>
      </c>
      <c r="CT642" s="57" t="s">
        <v>2054</v>
      </c>
      <c r="CU642" s="3"/>
      <c r="CV642" s="3"/>
      <c r="CW642" s="3"/>
      <c r="CX642" s="3"/>
      <c r="CY642" s="3"/>
      <c r="CZ642" s="3"/>
      <c r="DA642" s="3"/>
      <c r="DB642" s="3"/>
      <c r="DC642" s="3"/>
      <c r="DD642" s="3"/>
      <c r="DE642" s="3"/>
      <c r="DF642" s="3"/>
      <c r="DX642" s="1362" t="e">
        <f t="shared" si="29"/>
        <v>#VALUE!</v>
      </c>
      <c r="DY642" s="1362"/>
      <c r="DZ642" s="1362"/>
      <c r="EA642" s="1362"/>
      <c r="EB642" s="1362"/>
      <c r="EC642" s="1362" t="e">
        <f t="shared" si="24"/>
        <v>#VALUE!</v>
      </c>
      <c r="ED642" s="1362"/>
      <c r="EE642" s="1362"/>
      <c r="EF642" s="1362"/>
      <c r="EG642" s="1362"/>
      <c r="EH642" s="1362" t="e">
        <f t="shared" si="25"/>
        <v>#VALUE!</v>
      </c>
      <c r="EI642" s="1362"/>
      <c r="EJ642" s="1362"/>
      <c r="EK642" s="1362"/>
      <c r="EL642" s="1362"/>
      <c r="EM642" s="1362" t="e">
        <f t="shared" si="26"/>
        <v>#VALUE!</v>
      </c>
      <c r="EN642" s="1362"/>
      <c r="EO642" s="1362"/>
      <c r="EP642" s="1362"/>
      <c r="EQ642" s="1362"/>
      <c r="ER642" s="1362" t="e">
        <f t="shared" si="27"/>
        <v>#VALUE!</v>
      </c>
      <c r="ES642" s="1362"/>
      <c r="ET642" s="1362"/>
      <c r="EU642" s="1362"/>
      <c r="EV642" s="1362"/>
      <c r="EW642" s="1362" t="e">
        <f t="shared" si="28"/>
        <v>#VALUE!</v>
      </c>
      <c r="EX642" s="1362"/>
      <c r="EY642" s="1362"/>
      <c r="EZ642" s="1362"/>
      <c r="FA642" s="1362"/>
    </row>
    <row r="643" spans="1:157" ht="13" customHeight="1">
      <c r="A643" s="55" t="s">
        <v>112</v>
      </c>
      <c r="B643" t="s">
        <v>472</v>
      </c>
      <c r="G643" s="1393" t="str">
        <f>C627</f>
        <v>GreyStone[GHI] - Tax Exempt</v>
      </c>
      <c r="H643" s="1393"/>
      <c r="I643" s="1393"/>
      <c r="J643" s="1393"/>
      <c r="K643" s="1393"/>
      <c r="L643" s="1393"/>
      <c r="M643" s="1393"/>
      <c r="N643" s="1393"/>
      <c r="O643" s="1393"/>
      <c r="P643" s="1393"/>
      <c r="Q643" s="1393"/>
      <c r="R643" s="1393"/>
      <c r="S643" s="8"/>
      <c r="T643" s="55" t="s">
        <v>113</v>
      </c>
      <c r="U643" t="s">
        <v>472</v>
      </c>
      <c r="Z643" s="1393" t="str">
        <f>C628</f>
        <v>GreyStone[GHII] - B-Bond</v>
      </c>
      <c r="AA643" s="1393"/>
      <c r="AB643" s="1393"/>
      <c r="AC643" s="1393"/>
      <c r="AD643" s="1393"/>
      <c r="AE643" s="1393"/>
      <c r="AF643" s="1393"/>
      <c r="AG643" s="1393"/>
      <c r="AH643" s="1393"/>
      <c r="AI643" s="1393"/>
      <c r="AJ643" s="1393"/>
      <c r="AK643" s="139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2" t="e">
        <f t="shared" si="29"/>
        <v>#VALUE!</v>
      </c>
      <c r="DY643" s="1362"/>
      <c r="DZ643" s="1362"/>
      <c r="EA643" s="1362"/>
      <c r="EB643" s="1362"/>
      <c r="EC643" s="1362" t="e">
        <f t="shared" si="24"/>
        <v>#VALUE!</v>
      </c>
      <c r="ED643" s="1362"/>
      <c r="EE643" s="1362"/>
      <c r="EF643" s="1362"/>
      <c r="EG643" s="1362"/>
      <c r="EH643" s="1362" t="e">
        <f t="shared" si="25"/>
        <v>#VALUE!</v>
      </c>
      <c r="EI643" s="1362"/>
      <c r="EJ643" s="1362"/>
      <c r="EK643" s="1362"/>
      <c r="EL643" s="1362"/>
      <c r="EM643" s="1362" t="e">
        <f t="shared" si="26"/>
        <v>#VALUE!</v>
      </c>
      <c r="EN643" s="1362"/>
      <c r="EO643" s="1362"/>
      <c r="EP643" s="1362"/>
      <c r="EQ643" s="1362"/>
      <c r="ER643" s="1362" t="e">
        <f t="shared" si="27"/>
        <v>#VALUE!</v>
      </c>
      <c r="ES643" s="1362"/>
      <c r="ET643" s="1362"/>
      <c r="EU643" s="1362"/>
      <c r="EV643" s="1362"/>
      <c r="EW643" s="1362" t="e">
        <f t="shared" si="28"/>
        <v>#VALUE!</v>
      </c>
      <c r="EX643" s="1362"/>
      <c r="EY643" s="1362"/>
      <c r="EZ643" s="1362"/>
      <c r="FA643" s="1362"/>
    </row>
    <row r="644" spans="1:157" ht="13" customHeight="1">
      <c r="A644" s="22"/>
      <c r="B644" t="s">
        <v>85</v>
      </c>
      <c r="G644" s="1385" t="s">
        <v>2686</v>
      </c>
      <c r="H644" s="1385"/>
      <c r="I644" s="1385"/>
      <c r="J644" s="1385"/>
      <c r="K644" s="1385"/>
      <c r="L644" s="1385"/>
      <c r="M644" s="1385"/>
      <c r="N644" s="1385"/>
      <c r="O644" s="1385"/>
      <c r="P644" s="1385"/>
      <c r="Q644" s="1385"/>
      <c r="R644" s="1385"/>
      <c r="S644" s="8"/>
      <c r="T644" s="22"/>
      <c r="U644" t="s">
        <v>85</v>
      </c>
      <c r="Z644" s="1385" t="s">
        <v>2686</v>
      </c>
      <c r="AA644" s="1385"/>
      <c r="AB644" s="1385"/>
      <c r="AC644" s="1385"/>
      <c r="AD644" s="1385"/>
      <c r="AE644" s="1385"/>
      <c r="AF644" s="1385"/>
      <c r="AG644" s="1385"/>
      <c r="AH644" s="1385"/>
      <c r="AI644" s="1385"/>
      <c r="AJ644" s="1385"/>
      <c r="AK644" s="1385"/>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2059</v>
      </c>
      <c r="CT644" s="3"/>
      <c r="CU644" s="3"/>
      <c r="CV644" s="3"/>
      <c r="CW644" s="3"/>
      <c r="CX644" s="3"/>
      <c r="CY644" s="3"/>
      <c r="CZ644" s="3"/>
      <c r="DA644" s="3"/>
      <c r="DB644" s="3"/>
      <c r="DC644" s="3"/>
      <c r="DD644" s="3"/>
      <c r="DE644" s="3"/>
      <c r="DF644" s="3"/>
      <c r="DX644" s="1362" t="e">
        <f t="shared" si="29"/>
        <v>#VALUE!</v>
      </c>
      <c r="DY644" s="1362"/>
      <c r="DZ644" s="1362"/>
      <c r="EA644" s="1362"/>
      <c r="EB644" s="1362"/>
      <c r="EC644" s="1362" t="e">
        <f t="shared" si="24"/>
        <v>#VALUE!</v>
      </c>
      <c r="ED644" s="1362"/>
      <c r="EE644" s="1362"/>
      <c r="EF644" s="1362"/>
      <c r="EG644" s="1362"/>
      <c r="EH644" s="1362" t="e">
        <f t="shared" si="25"/>
        <v>#VALUE!</v>
      </c>
      <c r="EI644" s="1362"/>
      <c r="EJ644" s="1362"/>
      <c r="EK644" s="1362"/>
      <c r="EL644" s="1362"/>
      <c r="EM644" s="1362" t="e">
        <f t="shared" si="26"/>
        <v>#VALUE!</v>
      </c>
      <c r="EN644" s="1362"/>
      <c r="EO644" s="1362"/>
      <c r="EP644" s="1362"/>
      <c r="EQ644" s="1362"/>
      <c r="ER644" s="1362" t="e">
        <f t="shared" si="27"/>
        <v>#VALUE!</v>
      </c>
      <c r="ES644" s="1362"/>
      <c r="ET644" s="1362"/>
      <c r="EU644" s="1362"/>
      <c r="EV644" s="1362"/>
      <c r="EW644" s="1362" t="e">
        <f t="shared" si="28"/>
        <v>#VALUE!</v>
      </c>
      <c r="EX644" s="1362"/>
      <c r="EY644" s="1362"/>
      <c r="EZ644" s="1362"/>
      <c r="FA644" s="1362"/>
    </row>
    <row r="645" spans="1:157" ht="13" customHeight="1">
      <c r="A645" s="22"/>
      <c r="B645" t="s">
        <v>589</v>
      </c>
      <c r="G645" s="1385" t="s">
        <v>2687</v>
      </c>
      <c r="H645" s="1385"/>
      <c r="I645" s="1385"/>
      <c r="J645" s="1385"/>
      <c r="K645" s="1385"/>
      <c r="L645" s="1385"/>
      <c r="M645" s="1385"/>
      <c r="N645" s="1385"/>
      <c r="O645" s="1385"/>
      <c r="P645" s="1385"/>
      <c r="Q645" s="1385"/>
      <c r="R645" s="1385"/>
      <c r="T645" s="22"/>
      <c r="U645" t="s">
        <v>589</v>
      </c>
      <c r="Z645" s="1395" t="s">
        <v>2687</v>
      </c>
      <c r="AA645" s="1395"/>
      <c r="AB645" s="1395"/>
      <c r="AC645" s="1395"/>
      <c r="AD645" s="1395"/>
      <c r="AE645" s="1395"/>
      <c r="AF645" s="1395"/>
      <c r="AG645" s="1395"/>
      <c r="AH645" s="1395"/>
      <c r="AI645" s="1395"/>
      <c r="AJ645" s="1395"/>
      <c r="AK645" s="1395"/>
      <c r="AV645" s="3"/>
      <c r="AW645" s="3"/>
      <c r="AX645" s="3"/>
      <c r="AY645" s="3"/>
      <c r="AZ645" s="3"/>
      <c r="BA645" s="3"/>
      <c r="BB645" s="3"/>
      <c r="BC645" s="3"/>
      <c r="BD645" s="3"/>
      <c r="BE645" s="3"/>
      <c r="BF645" s="3"/>
      <c r="BG645" s="3"/>
      <c r="BH645" s="3"/>
      <c r="BI645" s="3"/>
      <c r="BJ645" s="3"/>
      <c r="BK645" s="3"/>
      <c r="BL645" s="3"/>
      <c r="BM645" s="3"/>
      <c r="BN645" s="1527">
        <f t="shared" ref="BN645:BN654" si="30">IF(J787="SRO/Studio",O787,0)</f>
        <v>0</v>
      </c>
      <c r="BO645" s="1528"/>
      <c r="BP645" s="1528"/>
      <c r="BQ645" s="1528"/>
      <c r="BR645" s="1529"/>
      <c r="BS645" s="1407">
        <f t="shared" ref="BS645:BS654" si="31">IF(J787="1 Bedroom",O787,0)</f>
        <v>0</v>
      </c>
      <c r="BT645" s="1407"/>
      <c r="BU645" s="1407"/>
      <c r="BV645" s="1407"/>
      <c r="BW645" s="1407"/>
      <c r="BX645" s="1407">
        <f t="shared" ref="BX645:BX654" si="32">IF(J787="2 Bedrooms",O787,0)</f>
        <v>0</v>
      </c>
      <c r="BY645" s="1407"/>
      <c r="BZ645" s="1407"/>
      <c r="CA645" s="1407"/>
      <c r="CB645" s="1407"/>
      <c r="CC645" s="1407">
        <f t="shared" ref="CC645:CC654" si="33">IF(J787="3 Bedrooms",O787,0)</f>
        <v>0</v>
      </c>
      <c r="CD645" s="1407"/>
      <c r="CE645" s="1407"/>
      <c r="CF645" s="1407"/>
      <c r="CG645" s="1407"/>
      <c r="CH645" s="1407">
        <f t="shared" ref="CH645:CH654" si="34">IF(J787="4 Bedrooms",O787,0)</f>
        <v>0</v>
      </c>
      <c r="CI645" s="1407"/>
      <c r="CJ645" s="1407"/>
      <c r="CK645" s="1407"/>
      <c r="CL645" s="1407"/>
      <c r="CM645" s="1407">
        <f t="shared" ref="CM645:CM654" si="35">IF(J787="5 Bedrooms",O787,0)</f>
        <v>0</v>
      </c>
      <c r="CN645" s="1407"/>
      <c r="CO645" s="1407"/>
      <c r="CP645" s="1407"/>
      <c r="CQ645" s="1407"/>
      <c r="CR645" s="6"/>
      <c r="CS645" s="1527">
        <f t="shared" ref="CS645:CS654" si="36">IF(AND(BN645&gt;=1,AH787&gt;=0.1,AH787&lt;=1),O787,0)</f>
        <v>0</v>
      </c>
      <c r="CT645" s="1528"/>
      <c r="CU645" s="1528"/>
      <c r="CV645" s="1528"/>
      <c r="CW645" s="1529"/>
      <c r="CX645" s="1527">
        <f t="shared" ref="CX645:CX654" si="37">IF(AND(BS645&gt;=1,AH787&gt;=0.1,AH787&lt;=1),O787,0)</f>
        <v>0</v>
      </c>
      <c r="CY645" s="1528"/>
      <c r="CZ645" s="1528"/>
      <c r="DA645" s="1528"/>
      <c r="DB645" s="1529"/>
      <c r="DC645" s="1527">
        <f t="shared" ref="DC645:DC654" si="38">IF(AND(BX645&gt;=1,AH787&gt;=0.1,AH787&lt;=1),O787,0)</f>
        <v>0</v>
      </c>
      <c r="DD645" s="1528"/>
      <c r="DE645" s="1528"/>
      <c r="DF645" s="1528"/>
      <c r="DG645" s="1529"/>
      <c r="DH645" s="1527">
        <f t="shared" ref="DH645:DH654" si="39">IF(AND(CC645&gt;=1,AH787&gt;=0.1,AH787&lt;=1),O787,0)</f>
        <v>0</v>
      </c>
      <c r="DI645" s="1528"/>
      <c r="DJ645" s="1528"/>
      <c r="DK645" s="1528"/>
      <c r="DL645" s="1529"/>
      <c r="DM645" s="1527">
        <f t="shared" ref="DM645:DM654" si="40">IF(AND(CH645&gt;=1,AH787&gt;=0.1,AH787&lt;=1),O787,0)</f>
        <v>0</v>
      </c>
      <c r="DN645" s="1528"/>
      <c r="DO645" s="1528"/>
      <c r="DP645" s="1528"/>
      <c r="DQ645" s="1529"/>
      <c r="DR645" s="1527">
        <f t="shared" ref="DR645:DR654" si="41">IF(AND(CM645&gt;=1,AH787&gt;=0.1,AH787&lt;=1),O787,0)</f>
        <v>0</v>
      </c>
      <c r="DS645" s="1528"/>
      <c r="DT645" s="1528"/>
      <c r="DU645" s="1528"/>
      <c r="DV645" s="1529"/>
      <c r="DX645" s="1362" t="e">
        <f t="shared" si="29"/>
        <v>#VALUE!</v>
      </c>
      <c r="DY645" s="1362"/>
      <c r="DZ645" s="1362"/>
      <c r="EA645" s="1362"/>
      <c r="EB645" s="1362"/>
      <c r="EC645" s="1362" t="e">
        <f t="shared" si="24"/>
        <v>#VALUE!</v>
      </c>
      <c r="ED645" s="1362"/>
      <c r="EE645" s="1362"/>
      <c r="EF645" s="1362"/>
      <c r="EG645" s="1362"/>
      <c r="EH645" s="1362" t="e">
        <f t="shared" si="25"/>
        <v>#VALUE!</v>
      </c>
      <c r="EI645" s="1362"/>
      <c r="EJ645" s="1362"/>
      <c r="EK645" s="1362"/>
      <c r="EL645" s="1362"/>
      <c r="EM645" s="1362" t="e">
        <f t="shared" si="26"/>
        <v>#VALUE!</v>
      </c>
      <c r="EN645" s="1362"/>
      <c r="EO645" s="1362"/>
      <c r="EP645" s="1362"/>
      <c r="EQ645" s="1362"/>
      <c r="ER645" s="1362" t="e">
        <f t="shared" si="27"/>
        <v>#VALUE!</v>
      </c>
      <c r="ES645" s="1362"/>
      <c r="ET645" s="1362"/>
      <c r="EU645" s="1362"/>
      <c r="EV645" s="1362"/>
      <c r="EW645" s="1362" t="e">
        <f t="shared" si="28"/>
        <v>#VALUE!</v>
      </c>
      <c r="EX645" s="1362"/>
      <c r="EY645" s="1362"/>
      <c r="EZ645" s="1362"/>
      <c r="FA645" s="1362"/>
    </row>
    <row r="646" spans="1:157" ht="13" customHeight="1">
      <c r="A646" s="22"/>
      <c r="B646" t="s">
        <v>17</v>
      </c>
      <c r="G646" s="1385" t="s">
        <v>2688</v>
      </c>
      <c r="H646" s="1385"/>
      <c r="I646" s="1385"/>
      <c r="J646" s="1385"/>
      <c r="K646" s="1385"/>
      <c r="L646" s="1385"/>
      <c r="M646" s="1385"/>
      <c r="N646" s="1385"/>
      <c r="O646" s="1385"/>
      <c r="P646" s="1385"/>
      <c r="Q646" s="1385"/>
      <c r="R646" s="1385"/>
      <c r="S646" s="8"/>
      <c r="T646" s="22"/>
      <c r="U646" t="s">
        <v>17</v>
      </c>
      <c r="Z646" s="1395" t="s">
        <v>2688</v>
      </c>
      <c r="AA646" s="1395"/>
      <c r="AB646" s="1395"/>
      <c r="AC646" s="1395"/>
      <c r="AD646" s="1395"/>
      <c r="AE646" s="1395"/>
      <c r="AF646" s="1395"/>
      <c r="AG646" s="1395"/>
      <c r="AH646" s="1395"/>
      <c r="AI646" s="1395"/>
      <c r="AJ646" s="1395"/>
      <c r="AK646" s="1395"/>
      <c r="AZ646" s="3"/>
      <c r="BA646" s="3"/>
      <c r="BB646" s="3"/>
      <c r="BC646" s="3"/>
      <c r="BD646" s="3"/>
      <c r="BE646" s="3"/>
      <c r="BF646" s="3"/>
      <c r="BG646" s="3"/>
      <c r="BH646" s="3"/>
      <c r="BI646" s="3"/>
      <c r="BJ646" s="3"/>
      <c r="BK646" s="3"/>
      <c r="BL646" s="3"/>
      <c r="BM646" s="3"/>
      <c r="BN646" s="1527">
        <f t="shared" si="30"/>
        <v>0</v>
      </c>
      <c r="BO646" s="1528"/>
      <c r="BP646" s="1528"/>
      <c r="BQ646" s="1528"/>
      <c r="BR646" s="1529"/>
      <c r="BS646" s="1407">
        <f t="shared" si="31"/>
        <v>0</v>
      </c>
      <c r="BT646" s="1407"/>
      <c r="BU646" s="1407"/>
      <c r="BV646" s="1407"/>
      <c r="BW646" s="1407"/>
      <c r="BX646" s="1407">
        <f t="shared" si="32"/>
        <v>0</v>
      </c>
      <c r="BY646" s="1407"/>
      <c r="BZ646" s="1407"/>
      <c r="CA646" s="1407"/>
      <c r="CB646" s="1407"/>
      <c r="CC646" s="1407">
        <f t="shared" si="33"/>
        <v>0</v>
      </c>
      <c r="CD646" s="1407"/>
      <c r="CE646" s="1407"/>
      <c r="CF646" s="1407"/>
      <c r="CG646" s="1407"/>
      <c r="CH646" s="1407">
        <f t="shared" si="34"/>
        <v>0</v>
      </c>
      <c r="CI646" s="1407"/>
      <c r="CJ646" s="1407"/>
      <c r="CK646" s="1407"/>
      <c r="CL646" s="1407"/>
      <c r="CM646" s="1407">
        <f t="shared" si="35"/>
        <v>0</v>
      </c>
      <c r="CN646" s="1407"/>
      <c r="CO646" s="1407"/>
      <c r="CP646" s="1407"/>
      <c r="CQ646" s="1407"/>
      <c r="CR646" s="6"/>
      <c r="CS646" s="1527">
        <f t="shared" si="36"/>
        <v>0</v>
      </c>
      <c r="CT646" s="1528"/>
      <c r="CU646" s="1528"/>
      <c r="CV646" s="1528"/>
      <c r="CW646" s="1529"/>
      <c r="CX646" s="1527">
        <f t="shared" si="37"/>
        <v>0</v>
      </c>
      <c r="CY646" s="1528"/>
      <c r="CZ646" s="1528"/>
      <c r="DA646" s="1528"/>
      <c r="DB646" s="1529"/>
      <c r="DC646" s="1527">
        <f t="shared" si="38"/>
        <v>0</v>
      </c>
      <c r="DD646" s="1528"/>
      <c r="DE646" s="1528"/>
      <c r="DF646" s="1528"/>
      <c r="DG646" s="1529"/>
      <c r="DH646" s="1527">
        <f t="shared" si="39"/>
        <v>0</v>
      </c>
      <c r="DI646" s="1528"/>
      <c r="DJ646" s="1528"/>
      <c r="DK646" s="1528"/>
      <c r="DL646" s="1529"/>
      <c r="DM646" s="1527">
        <f t="shared" si="40"/>
        <v>0</v>
      </c>
      <c r="DN646" s="1528"/>
      <c r="DO646" s="1528"/>
      <c r="DP646" s="1528"/>
      <c r="DQ646" s="1529"/>
      <c r="DR646" s="1527">
        <f t="shared" si="41"/>
        <v>0</v>
      </c>
      <c r="DS646" s="1528"/>
      <c r="DT646" s="1528"/>
      <c r="DU646" s="1528"/>
      <c r="DV646" s="1529"/>
      <c r="DX646" s="1362" t="e">
        <f t="shared" si="29"/>
        <v>#VALUE!</v>
      </c>
      <c r="DY646" s="1362"/>
      <c r="DZ646" s="1362"/>
      <c r="EA646" s="1362"/>
      <c r="EB646" s="1362"/>
      <c r="EC646" s="1362" t="e">
        <f t="shared" si="24"/>
        <v>#VALUE!</v>
      </c>
      <c r="ED646" s="1362"/>
      <c r="EE646" s="1362"/>
      <c r="EF646" s="1362"/>
      <c r="EG646" s="1362"/>
      <c r="EH646" s="1362" t="e">
        <f t="shared" si="25"/>
        <v>#VALUE!</v>
      </c>
      <c r="EI646" s="1362"/>
      <c r="EJ646" s="1362"/>
      <c r="EK646" s="1362"/>
      <c r="EL646" s="1362"/>
      <c r="EM646" s="1362" t="e">
        <f t="shared" si="26"/>
        <v>#VALUE!</v>
      </c>
      <c r="EN646" s="1362"/>
      <c r="EO646" s="1362"/>
      <c r="EP646" s="1362"/>
      <c r="EQ646" s="1362"/>
      <c r="ER646" s="1362" t="e">
        <f t="shared" si="27"/>
        <v>#VALUE!</v>
      </c>
      <c r="ES646" s="1362"/>
      <c r="ET646" s="1362"/>
      <c r="EU646" s="1362"/>
      <c r="EV646" s="1362"/>
      <c r="EW646" s="1362" t="e">
        <f t="shared" si="28"/>
        <v>#VALUE!</v>
      </c>
      <c r="EX646" s="1362"/>
      <c r="EY646" s="1362"/>
      <c r="EZ646" s="1362"/>
      <c r="FA646" s="1362"/>
    </row>
    <row r="647" spans="1:157" ht="13" customHeight="1">
      <c r="A647" s="22"/>
      <c r="B647" t="s">
        <v>317</v>
      </c>
      <c r="G647" s="1394" t="s">
        <v>2689</v>
      </c>
      <c r="H647" s="1394"/>
      <c r="I647" s="1394"/>
      <c r="J647" s="1394"/>
      <c r="K647" s="1394"/>
      <c r="L647" s="1394"/>
      <c r="O647" s="33" t="s">
        <v>207</v>
      </c>
      <c r="P647" s="1386"/>
      <c r="Q647" s="1386"/>
      <c r="R647" s="1386"/>
      <c r="S647" s="10"/>
      <c r="T647" s="22"/>
      <c r="U647" t="s">
        <v>317</v>
      </c>
      <c r="Z647" s="1394" t="s">
        <v>2689</v>
      </c>
      <c r="AA647" s="1394"/>
      <c r="AB647" s="1394"/>
      <c r="AC647" s="1394"/>
      <c r="AD647" s="1394"/>
      <c r="AE647" s="1394"/>
      <c r="AH647" s="33" t="s">
        <v>207</v>
      </c>
      <c r="AI647" s="1386"/>
      <c r="AJ647" s="1386"/>
      <c r="AK647" s="1386"/>
      <c r="AZ647" s="34"/>
      <c r="BA647" s="34"/>
      <c r="BB647" s="34"/>
      <c r="BC647" s="34"/>
      <c r="BD647" s="34"/>
      <c r="BE647" s="34"/>
      <c r="BF647" s="34"/>
      <c r="BG647" s="34"/>
      <c r="BH647" s="34"/>
      <c r="BI647" s="34"/>
      <c r="BJ647" s="34"/>
      <c r="BK647" s="34"/>
      <c r="BL647" s="34"/>
      <c r="BM647" s="34"/>
      <c r="BN647" s="1527">
        <f t="shared" si="30"/>
        <v>0</v>
      </c>
      <c r="BO647" s="1528"/>
      <c r="BP647" s="1528"/>
      <c r="BQ647" s="1528"/>
      <c r="BR647" s="1529"/>
      <c r="BS647" s="1407">
        <f t="shared" si="31"/>
        <v>0</v>
      </c>
      <c r="BT647" s="1407"/>
      <c r="BU647" s="1407"/>
      <c r="BV647" s="1407"/>
      <c r="BW647" s="1407"/>
      <c r="BX647" s="1407">
        <f t="shared" si="32"/>
        <v>0</v>
      </c>
      <c r="BY647" s="1407"/>
      <c r="BZ647" s="1407"/>
      <c r="CA647" s="1407"/>
      <c r="CB647" s="1407"/>
      <c r="CC647" s="1407">
        <f t="shared" si="33"/>
        <v>0</v>
      </c>
      <c r="CD647" s="1407"/>
      <c r="CE647" s="1407"/>
      <c r="CF647" s="1407"/>
      <c r="CG647" s="1407"/>
      <c r="CH647" s="1407">
        <f t="shared" si="34"/>
        <v>0</v>
      </c>
      <c r="CI647" s="1407"/>
      <c r="CJ647" s="1407"/>
      <c r="CK647" s="1407"/>
      <c r="CL647" s="1407"/>
      <c r="CM647" s="1407">
        <f t="shared" si="35"/>
        <v>0</v>
      </c>
      <c r="CN647" s="1407"/>
      <c r="CO647" s="1407"/>
      <c r="CP647" s="1407"/>
      <c r="CQ647" s="1407"/>
      <c r="CR647" s="6"/>
      <c r="CS647" s="1527">
        <f t="shared" si="36"/>
        <v>0</v>
      </c>
      <c r="CT647" s="1528"/>
      <c r="CU647" s="1528"/>
      <c r="CV647" s="1528"/>
      <c r="CW647" s="1529"/>
      <c r="CX647" s="1527">
        <f t="shared" si="37"/>
        <v>0</v>
      </c>
      <c r="CY647" s="1528"/>
      <c r="CZ647" s="1528"/>
      <c r="DA647" s="1528"/>
      <c r="DB647" s="1529"/>
      <c r="DC647" s="1527">
        <f t="shared" si="38"/>
        <v>0</v>
      </c>
      <c r="DD647" s="1528"/>
      <c r="DE647" s="1528"/>
      <c r="DF647" s="1528"/>
      <c r="DG647" s="1529"/>
      <c r="DH647" s="1527">
        <f t="shared" si="39"/>
        <v>0</v>
      </c>
      <c r="DI647" s="1528"/>
      <c r="DJ647" s="1528"/>
      <c r="DK647" s="1528"/>
      <c r="DL647" s="1529"/>
      <c r="DM647" s="1527">
        <f t="shared" si="40"/>
        <v>0</v>
      </c>
      <c r="DN647" s="1528"/>
      <c r="DO647" s="1528"/>
      <c r="DP647" s="1528"/>
      <c r="DQ647" s="1529"/>
      <c r="DR647" s="1527">
        <f t="shared" si="41"/>
        <v>0</v>
      </c>
      <c r="DS647" s="1528"/>
      <c r="DT647" s="1528"/>
      <c r="DU647" s="1528"/>
      <c r="DV647" s="1529"/>
      <c r="DX647" s="1362" t="e">
        <f t="shared" si="29"/>
        <v>#VALUE!</v>
      </c>
      <c r="DY647" s="1362"/>
      <c r="DZ647" s="1362"/>
      <c r="EA647" s="1362"/>
      <c r="EB647" s="1362"/>
      <c r="EC647" s="1362" t="e">
        <f t="shared" si="24"/>
        <v>#VALUE!</v>
      </c>
      <c r="ED647" s="1362"/>
      <c r="EE647" s="1362"/>
      <c r="EF647" s="1362"/>
      <c r="EG647" s="1362"/>
      <c r="EH647" s="1362" t="e">
        <f t="shared" si="25"/>
        <v>#VALUE!</v>
      </c>
      <c r="EI647" s="1362"/>
      <c r="EJ647" s="1362"/>
      <c r="EK647" s="1362"/>
      <c r="EL647" s="1362"/>
      <c r="EM647" s="1362" t="e">
        <f t="shared" si="26"/>
        <v>#VALUE!</v>
      </c>
      <c r="EN647" s="1362"/>
      <c r="EO647" s="1362"/>
      <c r="EP647" s="1362"/>
      <c r="EQ647" s="1362"/>
      <c r="ER647" s="1362" t="e">
        <f t="shared" si="27"/>
        <v>#VALUE!</v>
      </c>
      <c r="ES647" s="1362"/>
      <c r="ET647" s="1362"/>
      <c r="EU647" s="1362"/>
      <c r="EV647" s="1362"/>
      <c r="EW647" s="1362" t="e">
        <f t="shared" si="28"/>
        <v>#VALUE!</v>
      </c>
      <c r="EX647" s="1362"/>
      <c r="EY647" s="1362"/>
      <c r="EZ647" s="1362"/>
      <c r="FA647" s="1362"/>
    </row>
    <row r="648" spans="1:157" ht="13" customHeight="1">
      <c r="A648" s="22"/>
      <c r="B648" t="s">
        <v>18</v>
      </c>
      <c r="H648" s="1385" t="str">
        <f>M554</f>
        <v>Loan, Tax-Exempt</v>
      </c>
      <c r="I648" s="1385"/>
      <c r="J648" s="1385"/>
      <c r="K648" s="1385"/>
      <c r="L648" s="1385"/>
      <c r="M648" s="1385"/>
      <c r="N648" s="1385"/>
      <c r="O648" s="1385"/>
      <c r="P648" s="1385"/>
      <c r="Q648" s="1385"/>
      <c r="R648" s="1385"/>
      <c r="S648" s="8"/>
      <c r="T648" s="22"/>
      <c r="U648" t="s">
        <v>18</v>
      </c>
      <c r="AA648" s="1385" t="s">
        <v>2707</v>
      </c>
      <c r="AB648" s="1385"/>
      <c r="AC648" s="1385"/>
      <c r="AD648" s="1385"/>
      <c r="AE648" s="1385"/>
      <c r="AF648" s="1385"/>
      <c r="AG648" s="1385"/>
      <c r="AH648" s="1385"/>
      <c r="AI648" s="1385"/>
      <c r="AJ648" s="1385"/>
      <c r="AK648" s="1385"/>
      <c r="AZ648" s="34"/>
      <c r="BA648" s="34"/>
      <c r="BB648" s="34"/>
      <c r="BC648" s="34"/>
      <c r="BD648" s="34"/>
      <c r="BE648" s="34"/>
      <c r="BF648" s="34"/>
      <c r="BG648" s="34"/>
      <c r="BH648" s="34"/>
      <c r="BI648" s="34"/>
      <c r="BJ648" s="34"/>
      <c r="BK648" s="34"/>
      <c r="BL648" s="34"/>
      <c r="BM648" s="34"/>
      <c r="BN648" s="1527">
        <f t="shared" si="30"/>
        <v>0</v>
      </c>
      <c r="BO648" s="1528"/>
      <c r="BP648" s="1528"/>
      <c r="BQ648" s="1528"/>
      <c r="BR648" s="1529"/>
      <c r="BS648" s="1407">
        <f t="shared" si="31"/>
        <v>0</v>
      </c>
      <c r="BT648" s="1407"/>
      <c r="BU648" s="1407"/>
      <c r="BV648" s="1407"/>
      <c r="BW648" s="1407"/>
      <c r="BX648" s="1407">
        <f t="shared" si="32"/>
        <v>0</v>
      </c>
      <c r="BY648" s="1407"/>
      <c r="BZ648" s="1407"/>
      <c r="CA648" s="1407"/>
      <c r="CB648" s="1407"/>
      <c r="CC648" s="1407">
        <f t="shared" si="33"/>
        <v>0</v>
      </c>
      <c r="CD648" s="1407"/>
      <c r="CE648" s="1407"/>
      <c r="CF648" s="1407"/>
      <c r="CG648" s="1407"/>
      <c r="CH648" s="1407">
        <f t="shared" si="34"/>
        <v>0</v>
      </c>
      <c r="CI648" s="1407"/>
      <c r="CJ648" s="1407"/>
      <c r="CK648" s="1407"/>
      <c r="CL648" s="1407"/>
      <c r="CM648" s="1407">
        <f t="shared" si="35"/>
        <v>0</v>
      </c>
      <c r="CN648" s="1407"/>
      <c r="CO648" s="1407"/>
      <c r="CP648" s="1407"/>
      <c r="CQ648" s="1407"/>
      <c r="CR648" s="6"/>
      <c r="CS648" s="1527">
        <f t="shared" si="36"/>
        <v>0</v>
      </c>
      <c r="CT648" s="1528"/>
      <c r="CU648" s="1528"/>
      <c r="CV648" s="1528"/>
      <c r="CW648" s="1529"/>
      <c r="CX648" s="1527">
        <f t="shared" si="37"/>
        <v>0</v>
      </c>
      <c r="CY648" s="1528"/>
      <c r="CZ648" s="1528"/>
      <c r="DA648" s="1528"/>
      <c r="DB648" s="1529"/>
      <c r="DC648" s="1527">
        <f t="shared" si="38"/>
        <v>0</v>
      </c>
      <c r="DD648" s="1528"/>
      <c r="DE648" s="1528"/>
      <c r="DF648" s="1528"/>
      <c r="DG648" s="1529"/>
      <c r="DH648" s="1527">
        <f t="shared" si="39"/>
        <v>0</v>
      </c>
      <c r="DI648" s="1528"/>
      <c r="DJ648" s="1528"/>
      <c r="DK648" s="1528"/>
      <c r="DL648" s="1529"/>
      <c r="DM648" s="1527">
        <f t="shared" si="40"/>
        <v>0</v>
      </c>
      <c r="DN648" s="1528"/>
      <c r="DO648" s="1528"/>
      <c r="DP648" s="1528"/>
      <c r="DQ648" s="1529"/>
      <c r="DR648" s="1527">
        <f t="shared" si="41"/>
        <v>0</v>
      </c>
      <c r="DS648" s="1528"/>
      <c r="DT648" s="1528"/>
      <c r="DU648" s="1528"/>
      <c r="DV648" s="1529"/>
      <c r="DX648" s="1362" t="e">
        <f t="shared" si="29"/>
        <v>#VALUE!</v>
      </c>
      <c r="DY648" s="1362"/>
      <c r="DZ648" s="1362"/>
      <c r="EA648" s="1362"/>
      <c r="EB648" s="1362"/>
      <c r="EC648" s="1362" t="e">
        <f t="shared" si="24"/>
        <v>#VALUE!</v>
      </c>
      <c r="ED648" s="1362"/>
      <c r="EE648" s="1362"/>
      <c r="EF648" s="1362"/>
      <c r="EG648" s="1362"/>
      <c r="EH648" s="1362" t="e">
        <f t="shared" si="25"/>
        <v>#VALUE!</v>
      </c>
      <c r="EI648" s="1362"/>
      <c r="EJ648" s="1362"/>
      <c r="EK648" s="1362"/>
      <c r="EL648" s="1362"/>
      <c r="EM648" s="1362" t="e">
        <f t="shared" si="26"/>
        <v>#VALUE!</v>
      </c>
      <c r="EN648" s="1362"/>
      <c r="EO648" s="1362"/>
      <c r="EP648" s="1362"/>
      <c r="EQ648" s="1362"/>
      <c r="ER648" s="1362" t="e">
        <f t="shared" si="27"/>
        <v>#VALUE!</v>
      </c>
      <c r="ES648" s="1362"/>
      <c r="ET648" s="1362"/>
      <c r="EU648" s="1362"/>
      <c r="EV648" s="1362"/>
      <c r="EW648" s="1362" t="e">
        <f t="shared" si="28"/>
        <v>#VALUE!</v>
      </c>
      <c r="EX648" s="1362"/>
      <c r="EY648" s="1362"/>
      <c r="EZ648" s="1362"/>
      <c r="FA648" s="1362"/>
    </row>
    <row r="649" spans="1:157" ht="13" customHeight="1">
      <c r="A649" s="22"/>
      <c r="B649" t="s">
        <v>20</v>
      </c>
      <c r="N649" s="1381" t="s">
        <v>554</v>
      </c>
      <c r="O649" s="1381"/>
      <c r="T649" s="22"/>
      <c r="U649" t="s">
        <v>20</v>
      </c>
      <c r="AG649" s="1381" t="s">
        <v>554</v>
      </c>
      <c r="AH649" s="1381"/>
      <c r="AZ649" s="34"/>
      <c r="BA649" s="34"/>
      <c r="BB649" s="34"/>
      <c r="BC649" s="34"/>
      <c r="BD649" s="34"/>
      <c r="BE649" s="34"/>
      <c r="BF649" s="34"/>
      <c r="BG649" s="34"/>
      <c r="BH649" s="34"/>
      <c r="BI649" s="34"/>
      <c r="BJ649" s="34"/>
      <c r="BK649" s="34"/>
      <c r="BL649" s="34"/>
      <c r="BM649" s="34"/>
      <c r="BN649" s="1527">
        <f t="shared" si="30"/>
        <v>0</v>
      </c>
      <c r="BO649" s="1528"/>
      <c r="BP649" s="1528"/>
      <c r="BQ649" s="1528"/>
      <c r="BR649" s="1529"/>
      <c r="BS649" s="1407">
        <f t="shared" si="31"/>
        <v>0</v>
      </c>
      <c r="BT649" s="1407"/>
      <c r="BU649" s="1407"/>
      <c r="BV649" s="1407"/>
      <c r="BW649" s="1407"/>
      <c r="BX649" s="1407">
        <f t="shared" si="32"/>
        <v>0</v>
      </c>
      <c r="BY649" s="1407"/>
      <c r="BZ649" s="1407"/>
      <c r="CA649" s="1407"/>
      <c r="CB649" s="1407"/>
      <c r="CC649" s="1407">
        <f t="shared" si="33"/>
        <v>0</v>
      </c>
      <c r="CD649" s="1407"/>
      <c r="CE649" s="1407"/>
      <c r="CF649" s="1407"/>
      <c r="CG649" s="1407"/>
      <c r="CH649" s="1407">
        <f t="shared" si="34"/>
        <v>0</v>
      </c>
      <c r="CI649" s="1407"/>
      <c r="CJ649" s="1407"/>
      <c r="CK649" s="1407"/>
      <c r="CL649" s="1407"/>
      <c r="CM649" s="1407">
        <f t="shared" si="35"/>
        <v>0</v>
      </c>
      <c r="CN649" s="1407"/>
      <c r="CO649" s="1407"/>
      <c r="CP649" s="1407"/>
      <c r="CQ649" s="1407"/>
      <c r="CR649" s="6"/>
      <c r="CS649" s="1527">
        <f t="shared" si="36"/>
        <v>0</v>
      </c>
      <c r="CT649" s="1528"/>
      <c r="CU649" s="1528"/>
      <c r="CV649" s="1528"/>
      <c r="CW649" s="1529"/>
      <c r="CX649" s="1527">
        <f t="shared" si="37"/>
        <v>0</v>
      </c>
      <c r="CY649" s="1528"/>
      <c r="CZ649" s="1528"/>
      <c r="DA649" s="1528"/>
      <c r="DB649" s="1529"/>
      <c r="DC649" s="1527">
        <f t="shared" si="38"/>
        <v>0</v>
      </c>
      <c r="DD649" s="1528"/>
      <c r="DE649" s="1528"/>
      <c r="DF649" s="1528"/>
      <c r="DG649" s="1529"/>
      <c r="DH649" s="1527">
        <f t="shared" si="39"/>
        <v>0</v>
      </c>
      <c r="DI649" s="1528"/>
      <c r="DJ649" s="1528"/>
      <c r="DK649" s="1528"/>
      <c r="DL649" s="1529"/>
      <c r="DM649" s="1527">
        <f t="shared" si="40"/>
        <v>0</v>
      </c>
      <c r="DN649" s="1528"/>
      <c r="DO649" s="1528"/>
      <c r="DP649" s="1528"/>
      <c r="DQ649" s="1529"/>
      <c r="DR649" s="1527">
        <f t="shared" si="41"/>
        <v>0</v>
      </c>
      <c r="DS649" s="1528"/>
      <c r="DT649" s="1528"/>
      <c r="DU649" s="1528"/>
      <c r="DV649" s="1529"/>
      <c r="DX649" s="1362" t="e">
        <f t="shared" si="29"/>
        <v>#VALUE!</v>
      </c>
      <c r="DY649" s="1362"/>
      <c r="DZ649" s="1362"/>
      <c r="EA649" s="1362"/>
      <c r="EB649" s="1362"/>
      <c r="EC649" s="1362" t="e">
        <f t="shared" si="24"/>
        <v>#VALUE!</v>
      </c>
      <c r="ED649" s="1362"/>
      <c r="EE649" s="1362"/>
      <c r="EF649" s="1362"/>
      <c r="EG649" s="1362"/>
      <c r="EH649" s="1362" t="e">
        <f t="shared" si="25"/>
        <v>#VALUE!</v>
      </c>
      <c r="EI649" s="1362"/>
      <c r="EJ649" s="1362"/>
      <c r="EK649" s="1362"/>
      <c r="EL649" s="1362"/>
      <c r="EM649" s="1362" t="e">
        <f t="shared" si="26"/>
        <v>#VALUE!</v>
      </c>
      <c r="EN649" s="1362"/>
      <c r="EO649" s="1362"/>
      <c r="EP649" s="1362"/>
      <c r="EQ649" s="1362"/>
      <c r="ER649" s="1362" t="e">
        <f t="shared" si="27"/>
        <v>#VALUE!</v>
      </c>
      <c r="ES649" s="1362"/>
      <c r="ET649" s="1362"/>
      <c r="EU649" s="1362"/>
      <c r="EV649" s="1362"/>
      <c r="EW649" s="1362" t="e">
        <f t="shared" si="28"/>
        <v>#VALUE!</v>
      </c>
      <c r="EX649" s="1362"/>
      <c r="EY649" s="1362"/>
      <c r="EZ649" s="1362"/>
      <c r="FA649" s="1362"/>
    </row>
    <row r="650" spans="1:157" ht="13" customHeight="1">
      <c r="A650" s="22"/>
      <c r="T650" s="22"/>
      <c r="AZ650" s="34"/>
      <c r="BA650" s="34"/>
      <c r="BB650" s="34"/>
      <c r="BC650" s="34"/>
      <c r="BD650" s="34"/>
      <c r="BE650" s="34"/>
      <c r="BF650" s="34"/>
      <c r="BG650" s="34"/>
      <c r="BH650" s="34"/>
      <c r="BI650" s="34"/>
      <c r="BJ650" s="34"/>
      <c r="BK650" s="34"/>
      <c r="BL650" s="34"/>
      <c r="BM650" s="34"/>
      <c r="BN650" s="1527">
        <f t="shared" si="30"/>
        <v>0</v>
      </c>
      <c r="BO650" s="1528"/>
      <c r="BP650" s="1528"/>
      <c r="BQ650" s="1528"/>
      <c r="BR650" s="1529"/>
      <c r="BS650" s="1407">
        <f t="shared" si="31"/>
        <v>0</v>
      </c>
      <c r="BT650" s="1407"/>
      <c r="BU650" s="1407"/>
      <c r="BV650" s="1407"/>
      <c r="BW650" s="1407"/>
      <c r="BX650" s="1407">
        <f t="shared" si="32"/>
        <v>0</v>
      </c>
      <c r="BY650" s="1407"/>
      <c r="BZ650" s="1407"/>
      <c r="CA650" s="1407"/>
      <c r="CB650" s="1407"/>
      <c r="CC650" s="1407">
        <f t="shared" si="33"/>
        <v>0</v>
      </c>
      <c r="CD650" s="1407"/>
      <c r="CE650" s="1407"/>
      <c r="CF650" s="1407"/>
      <c r="CG650" s="1407"/>
      <c r="CH650" s="1407">
        <f t="shared" si="34"/>
        <v>0</v>
      </c>
      <c r="CI650" s="1407"/>
      <c r="CJ650" s="1407"/>
      <c r="CK650" s="1407"/>
      <c r="CL650" s="1407"/>
      <c r="CM650" s="1407">
        <f t="shared" si="35"/>
        <v>0</v>
      </c>
      <c r="CN650" s="1407"/>
      <c r="CO650" s="1407"/>
      <c r="CP650" s="1407"/>
      <c r="CQ650" s="1407"/>
      <c r="CR650" s="6"/>
      <c r="CS650" s="1527">
        <f t="shared" si="36"/>
        <v>0</v>
      </c>
      <c r="CT650" s="1528"/>
      <c r="CU650" s="1528"/>
      <c r="CV650" s="1528"/>
      <c r="CW650" s="1529"/>
      <c r="CX650" s="1527">
        <f t="shared" si="37"/>
        <v>0</v>
      </c>
      <c r="CY650" s="1528"/>
      <c r="CZ650" s="1528"/>
      <c r="DA650" s="1528"/>
      <c r="DB650" s="1529"/>
      <c r="DC650" s="1527">
        <f t="shared" si="38"/>
        <v>0</v>
      </c>
      <c r="DD650" s="1528"/>
      <c r="DE650" s="1528"/>
      <c r="DF650" s="1528"/>
      <c r="DG650" s="1529"/>
      <c r="DH650" s="1527">
        <f t="shared" si="39"/>
        <v>0</v>
      </c>
      <c r="DI650" s="1528"/>
      <c r="DJ650" s="1528"/>
      <c r="DK650" s="1528"/>
      <c r="DL650" s="1529"/>
      <c r="DM650" s="1527">
        <f t="shared" si="40"/>
        <v>0</v>
      </c>
      <c r="DN650" s="1528"/>
      <c r="DO650" s="1528"/>
      <c r="DP650" s="1528"/>
      <c r="DQ650" s="1529"/>
      <c r="DR650" s="1527">
        <f t="shared" si="41"/>
        <v>0</v>
      </c>
      <c r="DS650" s="1528"/>
      <c r="DT650" s="1528"/>
      <c r="DU650" s="1528"/>
      <c r="DV650" s="1529"/>
      <c r="DX650" s="1362" t="e">
        <f t="shared" si="29"/>
        <v>#VALUE!</v>
      </c>
      <c r="DY650" s="1362"/>
      <c r="DZ650" s="1362"/>
      <c r="EA650" s="1362"/>
      <c r="EB650" s="1362"/>
      <c r="EC650" s="1362" t="e">
        <f t="shared" si="24"/>
        <v>#VALUE!</v>
      </c>
      <c r="ED650" s="1362"/>
      <c r="EE650" s="1362"/>
      <c r="EF650" s="1362"/>
      <c r="EG650" s="1362"/>
      <c r="EH650" s="1362" t="e">
        <f t="shared" si="25"/>
        <v>#VALUE!</v>
      </c>
      <c r="EI650" s="1362"/>
      <c r="EJ650" s="1362"/>
      <c r="EK650" s="1362"/>
      <c r="EL650" s="1362"/>
      <c r="EM650" s="1362" t="e">
        <f t="shared" si="26"/>
        <v>#VALUE!</v>
      </c>
      <c r="EN650" s="1362"/>
      <c r="EO650" s="1362"/>
      <c r="EP650" s="1362"/>
      <c r="EQ650" s="1362"/>
      <c r="ER650" s="1362" t="e">
        <f t="shared" si="27"/>
        <v>#VALUE!</v>
      </c>
      <c r="ES650" s="1362"/>
      <c r="ET650" s="1362"/>
      <c r="EU650" s="1362"/>
      <c r="EV650" s="1362"/>
      <c r="EW650" s="1362" t="e">
        <f t="shared" si="28"/>
        <v>#VALUE!</v>
      </c>
      <c r="EX650" s="1362"/>
      <c r="EY650" s="1362"/>
      <c r="EZ650" s="1362"/>
      <c r="FA650" s="1362"/>
    </row>
    <row r="651" spans="1:157" ht="13" customHeight="1">
      <c r="A651" s="55" t="s">
        <v>119</v>
      </c>
      <c r="B651" t="s">
        <v>472</v>
      </c>
      <c r="G651" s="1393" t="str">
        <f>C629</f>
        <v>Seller Carryback</v>
      </c>
      <c r="H651" s="1393"/>
      <c r="I651" s="1393"/>
      <c r="J651" s="1393"/>
      <c r="K651" s="1393"/>
      <c r="L651" s="1393"/>
      <c r="M651" s="1393"/>
      <c r="N651" s="1393"/>
      <c r="O651" s="1393"/>
      <c r="P651" s="1393"/>
      <c r="Q651" s="1393"/>
      <c r="R651" s="1393"/>
      <c r="T651" s="55" t="s">
        <v>590</v>
      </c>
      <c r="U651" t="s">
        <v>472</v>
      </c>
      <c r="Z651" s="1393" t="str">
        <f>C630</f>
        <v>Deferred Developer Fee</v>
      </c>
      <c r="AA651" s="1393"/>
      <c r="AB651" s="1393"/>
      <c r="AC651" s="1393"/>
      <c r="AD651" s="1393"/>
      <c r="AE651" s="1393"/>
      <c r="AF651" s="1393"/>
      <c r="AG651" s="1393"/>
      <c r="AH651" s="1393"/>
      <c r="AI651" s="1393"/>
      <c r="AJ651" s="1393"/>
      <c r="AK651" s="1393"/>
      <c r="AZ651" s="34"/>
      <c r="BA651" s="34"/>
      <c r="BB651" s="34"/>
      <c r="BC651" s="34"/>
      <c r="BD651" s="34"/>
      <c r="BE651" s="34"/>
      <c r="BF651" s="34"/>
      <c r="BG651" s="34"/>
      <c r="BH651" s="34"/>
      <c r="BI651" s="34"/>
      <c r="BJ651" s="34"/>
      <c r="BK651" s="34"/>
      <c r="BL651" s="34"/>
      <c r="BM651" s="34"/>
      <c r="BN651" s="1527">
        <f t="shared" si="30"/>
        <v>0</v>
      </c>
      <c r="BO651" s="1528"/>
      <c r="BP651" s="1528"/>
      <c r="BQ651" s="1528"/>
      <c r="BR651" s="1529"/>
      <c r="BS651" s="1407">
        <f t="shared" si="31"/>
        <v>0</v>
      </c>
      <c r="BT651" s="1407"/>
      <c r="BU651" s="1407"/>
      <c r="BV651" s="1407"/>
      <c r="BW651" s="1407"/>
      <c r="BX651" s="1407">
        <f t="shared" si="32"/>
        <v>0</v>
      </c>
      <c r="BY651" s="1407"/>
      <c r="BZ651" s="1407"/>
      <c r="CA651" s="1407"/>
      <c r="CB651" s="1407"/>
      <c r="CC651" s="1407">
        <f t="shared" si="33"/>
        <v>0</v>
      </c>
      <c r="CD651" s="1407"/>
      <c r="CE651" s="1407"/>
      <c r="CF651" s="1407"/>
      <c r="CG651" s="1407"/>
      <c r="CH651" s="1407">
        <f t="shared" si="34"/>
        <v>0</v>
      </c>
      <c r="CI651" s="1407"/>
      <c r="CJ651" s="1407"/>
      <c r="CK651" s="1407"/>
      <c r="CL651" s="1407"/>
      <c r="CM651" s="1407">
        <f t="shared" si="35"/>
        <v>0</v>
      </c>
      <c r="CN651" s="1407"/>
      <c r="CO651" s="1407"/>
      <c r="CP651" s="1407"/>
      <c r="CQ651" s="1407"/>
      <c r="CR651" s="6"/>
      <c r="CS651" s="1527">
        <f t="shared" si="36"/>
        <v>0</v>
      </c>
      <c r="CT651" s="1528"/>
      <c r="CU651" s="1528"/>
      <c r="CV651" s="1528"/>
      <c r="CW651" s="1529"/>
      <c r="CX651" s="1527">
        <f t="shared" si="37"/>
        <v>0</v>
      </c>
      <c r="CY651" s="1528"/>
      <c r="CZ651" s="1528"/>
      <c r="DA651" s="1528"/>
      <c r="DB651" s="1529"/>
      <c r="DC651" s="1527">
        <f t="shared" si="38"/>
        <v>0</v>
      </c>
      <c r="DD651" s="1528"/>
      <c r="DE651" s="1528"/>
      <c r="DF651" s="1528"/>
      <c r="DG651" s="1529"/>
      <c r="DH651" s="1527">
        <f t="shared" si="39"/>
        <v>0</v>
      </c>
      <c r="DI651" s="1528"/>
      <c r="DJ651" s="1528"/>
      <c r="DK651" s="1528"/>
      <c r="DL651" s="1529"/>
      <c r="DM651" s="1527">
        <f t="shared" si="40"/>
        <v>0</v>
      </c>
      <c r="DN651" s="1528"/>
      <c r="DO651" s="1528"/>
      <c r="DP651" s="1528"/>
      <c r="DQ651" s="1529"/>
      <c r="DR651" s="1527">
        <f t="shared" si="41"/>
        <v>0</v>
      </c>
      <c r="DS651" s="1528"/>
      <c r="DT651" s="1528"/>
      <c r="DU651" s="1528"/>
      <c r="DV651" s="1529"/>
      <c r="DX651" s="1362" t="e">
        <f t="shared" si="29"/>
        <v>#VALUE!</v>
      </c>
      <c r="DY651" s="1362"/>
      <c r="DZ651" s="1362"/>
      <c r="EA651" s="1362"/>
      <c r="EB651" s="1362"/>
      <c r="EC651" s="1362" t="e">
        <f t="shared" si="24"/>
        <v>#VALUE!</v>
      </c>
      <c r="ED651" s="1362"/>
      <c r="EE651" s="1362"/>
      <c r="EF651" s="1362"/>
      <c r="EG651" s="1362"/>
      <c r="EH651" s="1362" t="e">
        <f t="shared" si="25"/>
        <v>#VALUE!</v>
      </c>
      <c r="EI651" s="1362"/>
      <c r="EJ651" s="1362"/>
      <c r="EK651" s="1362"/>
      <c r="EL651" s="1362"/>
      <c r="EM651" s="1362" t="e">
        <f t="shared" si="26"/>
        <v>#VALUE!</v>
      </c>
      <c r="EN651" s="1362"/>
      <c r="EO651" s="1362"/>
      <c r="EP651" s="1362"/>
      <c r="EQ651" s="1362"/>
      <c r="ER651" s="1362" t="e">
        <f t="shared" si="27"/>
        <v>#VALUE!</v>
      </c>
      <c r="ES651" s="1362"/>
      <c r="ET651" s="1362"/>
      <c r="EU651" s="1362"/>
      <c r="EV651" s="1362"/>
      <c r="EW651" s="1362" t="e">
        <f t="shared" si="28"/>
        <v>#VALUE!</v>
      </c>
      <c r="EX651" s="1362"/>
      <c r="EY651" s="1362"/>
      <c r="EZ651" s="1362"/>
      <c r="FA651" s="1362"/>
    </row>
    <row r="652" spans="1:157" ht="13" customHeight="1">
      <c r="A652" s="22"/>
      <c r="B652" t="s">
        <v>85</v>
      </c>
      <c r="G652" s="1385" t="s">
        <v>2676</v>
      </c>
      <c r="H652" s="1385"/>
      <c r="I652" s="1385"/>
      <c r="J652" s="1385"/>
      <c r="K652" s="1385"/>
      <c r="L652" s="1385"/>
      <c r="M652" s="1385"/>
      <c r="N652" s="1385"/>
      <c r="O652" s="1385"/>
      <c r="P652" s="1385"/>
      <c r="Q652" s="1385"/>
      <c r="R652" s="1385"/>
      <c r="T652" s="22"/>
      <c r="U652" t="s">
        <v>85</v>
      </c>
      <c r="Z652" s="1385" t="s">
        <v>2703</v>
      </c>
      <c r="AA652" s="1385"/>
      <c r="AB652" s="1385"/>
      <c r="AC652" s="1385"/>
      <c r="AD652" s="1385"/>
      <c r="AE652" s="1385"/>
      <c r="AF652" s="1385"/>
      <c r="AG652" s="1385"/>
      <c r="AH652" s="1385"/>
      <c r="AI652" s="1385"/>
      <c r="AJ652" s="1385"/>
      <c r="AK652" s="1385"/>
      <c r="AZ652" s="34"/>
      <c r="BA652" s="34"/>
      <c r="BB652" s="34"/>
      <c r="BC652" s="34"/>
      <c r="BD652" s="34"/>
      <c r="BE652" s="34"/>
      <c r="BF652" s="34"/>
      <c r="BG652" s="34"/>
      <c r="BH652" s="34"/>
      <c r="BI652" s="34"/>
      <c r="BJ652" s="34"/>
      <c r="BK652" s="34"/>
      <c r="BL652" s="34"/>
      <c r="BM652" s="34"/>
      <c r="BN652" s="1527">
        <f t="shared" si="30"/>
        <v>0</v>
      </c>
      <c r="BO652" s="1528"/>
      <c r="BP652" s="1528"/>
      <c r="BQ652" s="1528"/>
      <c r="BR652" s="1529"/>
      <c r="BS652" s="1407">
        <f t="shared" si="31"/>
        <v>0</v>
      </c>
      <c r="BT652" s="1407"/>
      <c r="BU652" s="1407"/>
      <c r="BV652" s="1407"/>
      <c r="BW652" s="1407"/>
      <c r="BX652" s="1407">
        <f t="shared" si="32"/>
        <v>0</v>
      </c>
      <c r="BY652" s="1407"/>
      <c r="BZ652" s="1407"/>
      <c r="CA652" s="1407"/>
      <c r="CB652" s="1407"/>
      <c r="CC652" s="1407">
        <f t="shared" si="33"/>
        <v>0</v>
      </c>
      <c r="CD652" s="1407"/>
      <c r="CE652" s="1407"/>
      <c r="CF652" s="1407"/>
      <c r="CG652" s="1407"/>
      <c r="CH652" s="1407">
        <f t="shared" si="34"/>
        <v>0</v>
      </c>
      <c r="CI652" s="1407"/>
      <c r="CJ652" s="1407"/>
      <c r="CK652" s="1407"/>
      <c r="CL652" s="1407"/>
      <c r="CM652" s="1407">
        <f t="shared" si="35"/>
        <v>0</v>
      </c>
      <c r="CN652" s="1407"/>
      <c r="CO652" s="1407"/>
      <c r="CP652" s="1407"/>
      <c r="CQ652" s="1407"/>
      <c r="CR652" s="6"/>
      <c r="CS652" s="1527">
        <f t="shared" si="36"/>
        <v>0</v>
      </c>
      <c r="CT652" s="1528"/>
      <c r="CU652" s="1528"/>
      <c r="CV652" s="1528"/>
      <c r="CW652" s="1529"/>
      <c r="CX652" s="1527">
        <f t="shared" si="37"/>
        <v>0</v>
      </c>
      <c r="CY652" s="1528"/>
      <c r="CZ652" s="1528"/>
      <c r="DA652" s="1528"/>
      <c r="DB652" s="1529"/>
      <c r="DC652" s="1527">
        <f t="shared" si="38"/>
        <v>0</v>
      </c>
      <c r="DD652" s="1528"/>
      <c r="DE652" s="1528"/>
      <c r="DF652" s="1528"/>
      <c r="DG652" s="1529"/>
      <c r="DH652" s="1527">
        <f t="shared" si="39"/>
        <v>0</v>
      </c>
      <c r="DI652" s="1528"/>
      <c r="DJ652" s="1528"/>
      <c r="DK652" s="1528"/>
      <c r="DL652" s="1529"/>
      <c r="DM652" s="1527">
        <f t="shared" si="40"/>
        <v>0</v>
      </c>
      <c r="DN652" s="1528"/>
      <c r="DO652" s="1528"/>
      <c r="DP652" s="1528"/>
      <c r="DQ652" s="1529"/>
      <c r="DR652" s="1527">
        <f t="shared" si="41"/>
        <v>0</v>
      </c>
      <c r="DS652" s="1528"/>
      <c r="DT652" s="1528"/>
      <c r="DU652" s="1528"/>
      <c r="DV652" s="1529"/>
      <c r="DX652" s="1362" t="e">
        <f t="shared" si="29"/>
        <v>#VALUE!</v>
      </c>
      <c r="DY652" s="1362"/>
      <c r="DZ652" s="1362"/>
      <c r="EA652" s="1362"/>
      <c r="EB652" s="1362"/>
      <c r="EC652" s="1362" t="e">
        <f t="shared" si="24"/>
        <v>#VALUE!</v>
      </c>
      <c r="ED652" s="1362"/>
      <c r="EE652" s="1362"/>
      <c r="EF652" s="1362"/>
      <c r="EG652" s="1362"/>
      <c r="EH652" s="1362" t="e">
        <f t="shared" si="25"/>
        <v>#VALUE!</v>
      </c>
      <c r="EI652" s="1362"/>
      <c r="EJ652" s="1362"/>
      <c r="EK652" s="1362"/>
      <c r="EL652" s="1362"/>
      <c r="EM652" s="1362" t="e">
        <f t="shared" si="26"/>
        <v>#VALUE!</v>
      </c>
      <c r="EN652" s="1362"/>
      <c r="EO652" s="1362"/>
      <c r="EP652" s="1362"/>
      <c r="EQ652" s="1362"/>
      <c r="ER652" s="1362" t="e">
        <f t="shared" si="27"/>
        <v>#VALUE!</v>
      </c>
      <c r="ES652" s="1362"/>
      <c r="ET652" s="1362"/>
      <c r="EU652" s="1362"/>
      <c r="EV652" s="1362"/>
      <c r="EW652" s="1362" t="e">
        <f t="shared" si="28"/>
        <v>#VALUE!</v>
      </c>
      <c r="EX652" s="1362"/>
      <c r="EY652" s="1362"/>
      <c r="EZ652" s="1362"/>
      <c r="FA652" s="1362"/>
    </row>
    <row r="653" spans="1:157" ht="13" customHeight="1">
      <c r="A653" s="22"/>
      <c r="B653" t="s">
        <v>589</v>
      </c>
      <c r="G653" s="1395" t="s">
        <v>2691</v>
      </c>
      <c r="H653" s="1395"/>
      <c r="I653" s="1395"/>
      <c r="J653" s="1395"/>
      <c r="K653" s="1395"/>
      <c r="L653" s="1395"/>
      <c r="M653" s="1395"/>
      <c r="N653" s="1395"/>
      <c r="O653" s="1395"/>
      <c r="P653" s="1395"/>
      <c r="Q653" s="1395"/>
      <c r="R653" s="1395"/>
      <c r="T653" s="22"/>
      <c r="U653" t="s">
        <v>589</v>
      </c>
      <c r="Z653" s="1395" t="s">
        <v>2653</v>
      </c>
      <c r="AA653" s="1395"/>
      <c r="AB653" s="1395"/>
      <c r="AC653" s="1395"/>
      <c r="AD653" s="1395"/>
      <c r="AE653" s="1395"/>
      <c r="AF653" s="1395"/>
      <c r="AG653" s="1395"/>
      <c r="AH653" s="1395"/>
      <c r="AI653" s="1395"/>
      <c r="AJ653" s="1395"/>
      <c r="AK653" s="1395"/>
      <c r="AZ653" s="34"/>
      <c r="BA653" s="34"/>
      <c r="BB653" s="34"/>
      <c r="BC653" s="34"/>
      <c r="BD653" s="34"/>
      <c r="BE653" s="34"/>
      <c r="BF653" s="34"/>
      <c r="BG653" s="34"/>
      <c r="BH653" s="34"/>
      <c r="BI653" s="34"/>
      <c r="BJ653" s="34"/>
      <c r="BK653" s="34"/>
      <c r="BL653" s="34"/>
      <c r="BM653" s="34"/>
      <c r="BN653" s="1527">
        <f t="shared" si="30"/>
        <v>0</v>
      </c>
      <c r="BO653" s="1528"/>
      <c r="BP653" s="1528"/>
      <c r="BQ653" s="1528"/>
      <c r="BR653" s="1529"/>
      <c r="BS653" s="1407">
        <f t="shared" si="31"/>
        <v>0</v>
      </c>
      <c r="BT653" s="1407"/>
      <c r="BU653" s="1407"/>
      <c r="BV653" s="1407"/>
      <c r="BW653" s="1407"/>
      <c r="BX653" s="1407">
        <f t="shared" si="32"/>
        <v>0</v>
      </c>
      <c r="BY653" s="1407"/>
      <c r="BZ653" s="1407"/>
      <c r="CA653" s="1407"/>
      <c r="CB653" s="1407"/>
      <c r="CC653" s="1407">
        <f t="shared" si="33"/>
        <v>0</v>
      </c>
      <c r="CD653" s="1407"/>
      <c r="CE653" s="1407"/>
      <c r="CF653" s="1407"/>
      <c r="CG653" s="1407"/>
      <c r="CH653" s="1407">
        <f t="shared" si="34"/>
        <v>0</v>
      </c>
      <c r="CI653" s="1407"/>
      <c r="CJ653" s="1407"/>
      <c r="CK653" s="1407"/>
      <c r="CL653" s="1407"/>
      <c r="CM653" s="1407">
        <f t="shared" si="35"/>
        <v>0</v>
      </c>
      <c r="CN653" s="1407"/>
      <c r="CO653" s="1407"/>
      <c r="CP653" s="1407"/>
      <c r="CQ653" s="1407"/>
      <c r="CR653" s="6"/>
      <c r="CS653" s="1527">
        <f t="shared" si="36"/>
        <v>0</v>
      </c>
      <c r="CT653" s="1528"/>
      <c r="CU653" s="1528"/>
      <c r="CV653" s="1528"/>
      <c r="CW653" s="1529"/>
      <c r="CX653" s="1527">
        <f t="shared" si="37"/>
        <v>0</v>
      </c>
      <c r="CY653" s="1528"/>
      <c r="CZ653" s="1528"/>
      <c r="DA653" s="1528"/>
      <c r="DB653" s="1529"/>
      <c r="DC653" s="1527">
        <f t="shared" si="38"/>
        <v>0</v>
      </c>
      <c r="DD653" s="1528"/>
      <c r="DE653" s="1528"/>
      <c r="DF653" s="1528"/>
      <c r="DG653" s="1529"/>
      <c r="DH653" s="1527">
        <f t="shared" si="39"/>
        <v>0</v>
      </c>
      <c r="DI653" s="1528"/>
      <c r="DJ653" s="1528"/>
      <c r="DK653" s="1528"/>
      <c r="DL653" s="1529"/>
      <c r="DM653" s="1527">
        <f t="shared" si="40"/>
        <v>0</v>
      </c>
      <c r="DN653" s="1528"/>
      <c r="DO653" s="1528"/>
      <c r="DP653" s="1528"/>
      <c r="DQ653" s="1529"/>
      <c r="DR653" s="1527">
        <f t="shared" si="41"/>
        <v>0</v>
      </c>
      <c r="DS653" s="1528"/>
      <c r="DT653" s="1528"/>
      <c r="DU653" s="1528"/>
      <c r="DV653" s="1529"/>
      <c r="DX653" s="1362" t="e">
        <f t="shared" si="29"/>
        <v>#VALUE!</v>
      </c>
      <c r="DY653" s="1362"/>
      <c r="DZ653" s="1362"/>
      <c r="EA653" s="1362"/>
      <c r="EB653" s="1362"/>
      <c r="EC653" s="1362" t="e">
        <f t="shared" si="24"/>
        <v>#VALUE!</v>
      </c>
      <c r="ED653" s="1362"/>
      <c r="EE653" s="1362"/>
      <c r="EF653" s="1362"/>
      <c r="EG653" s="1362"/>
      <c r="EH653" s="1362" t="e">
        <f t="shared" si="25"/>
        <v>#VALUE!</v>
      </c>
      <c r="EI653" s="1362"/>
      <c r="EJ653" s="1362"/>
      <c r="EK653" s="1362"/>
      <c r="EL653" s="1362"/>
      <c r="EM653" s="1362" t="e">
        <f t="shared" si="26"/>
        <v>#VALUE!</v>
      </c>
      <c r="EN653" s="1362"/>
      <c r="EO653" s="1362"/>
      <c r="EP653" s="1362"/>
      <c r="EQ653" s="1362"/>
      <c r="ER653" s="1362" t="e">
        <f t="shared" si="27"/>
        <v>#VALUE!</v>
      </c>
      <c r="ES653" s="1362"/>
      <c r="ET653" s="1362"/>
      <c r="EU653" s="1362"/>
      <c r="EV653" s="1362"/>
      <c r="EW653" s="1362" t="e">
        <f t="shared" si="28"/>
        <v>#VALUE!</v>
      </c>
      <c r="EX653" s="1362"/>
      <c r="EY653" s="1362"/>
      <c r="EZ653" s="1362"/>
      <c r="FA653" s="1362"/>
    </row>
    <row r="654" spans="1:157" ht="13" customHeight="1">
      <c r="A654" s="22"/>
      <c r="B654" t="s">
        <v>17</v>
      </c>
      <c r="G654" s="1395" t="s">
        <v>2675</v>
      </c>
      <c r="H654" s="1395"/>
      <c r="I654" s="1395"/>
      <c r="J654" s="1395"/>
      <c r="K654" s="1395"/>
      <c r="L654" s="1395"/>
      <c r="M654" s="1395"/>
      <c r="N654" s="1395"/>
      <c r="O654" s="1395"/>
      <c r="P654" s="1395"/>
      <c r="Q654" s="1395"/>
      <c r="R654" s="1395"/>
      <c r="T654" s="22"/>
      <c r="U654" t="s">
        <v>17</v>
      </c>
      <c r="Z654" s="1395" t="s">
        <v>2641</v>
      </c>
      <c r="AA654" s="1395"/>
      <c r="AB654" s="1395"/>
      <c r="AC654" s="1395"/>
      <c r="AD654" s="1395"/>
      <c r="AE654" s="1395"/>
      <c r="AF654" s="1395"/>
      <c r="AG654" s="1395"/>
      <c r="AH654" s="1395"/>
      <c r="AI654" s="1395"/>
      <c r="AJ654" s="1395"/>
      <c r="AK654" s="1395"/>
      <c r="AZ654" s="34"/>
      <c r="BA654" s="34"/>
      <c r="BB654" s="34"/>
      <c r="BC654" s="34"/>
      <c r="BD654" s="34"/>
      <c r="BE654" s="34"/>
      <c r="BF654" s="34"/>
      <c r="BG654" s="34"/>
      <c r="BH654" s="34"/>
      <c r="BI654" s="34"/>
      <c r="BJ654" s="34"/>
      <c r="BK654" s="34"/>
      <c r="BL654" s="34"/>
      <c r="BM654" s="34"/>
      <c r="BN654" s="1527">
        <f t="shared" si="30"/>
        <v>0</v>
      </c>
      <c r="BO654" s="1528"/>
      <c r="BP654" s="1528"/>
      <c r="BQ654" s="1528"/>
      <c r="BR654" s="1529"/>
      <c r="BS654" s="1407">
        <f t="shared" si="31"/>
        <v>0</v>
      </c>
      <c r="BT654" s="1407"/>
      <c r="BU654" s="1407"/>
      <c r="BV654" s="1407"/>
      <c r="BW654" s="1407"/>
      <c r="BX654" s="1407">
        <f t="shared" si="32"/>
        <v>0</v>
      </c>
      <c r="BY654" s="1407"/>
      <c r="BZ654" s="1407"/>
      <c r="CA654" s="1407"/>
      <c r="CB654" s="1407"/>
      <c r="CC654" s="1407">
        <f t="shared" si="33"/>
        <v>0</v>
      </c>
      <c r="CD654" s="1407"/>
      <c r="CE654" s="1407"/>
      <c r="CF654" s="1407"/>
      <c r="CG654" s="1407"/>
      <c r="CH654" s="1407">
        <f t="shared" si="34"/>
        <v>0</v>
      </c>
      <c r="CI654" s="1407"/>
      <c r="CJ654" s="1407"/>
      <c r="CK654" s="1407"/>
      <c r="CL654" s="1407"/>
      <c r="CM654" s="1407">
        <f t="shared" si="35"/>
        <v>0</v>
      </c>
      <c r="CN654" s="1407"/>
      <c r="CO654" s="1407"/>
      <c r="CP654" s="1407"/>
      <c r="CQ654" s="1407"/>
      <c r="CR654" s="6"/>
      <c r="CS654" s="1527">
        <f t="shared" si="36"/>
        <v>0</v>
      </c>
      <c r="CT654" s="1528"/>
      <c r="CU654" s="1528"/>
      <c r="CV654" s="1528"/>
      <c r="CW654" s="1529"/>
      <c r="CX654" s="1527">
        <f t="shared" si="37"/>
        <v>0</v>
      </c>
      <c r="CY654" s="1528"/>
      <c r="CZ654" s="1528"/>
      <c r="DA654" s="1528"/>
      <c r="DB654" s="1529"/>
      <c r="DC654" s="1527">
        <f t="shared" si="38"/>
        <v>0</v>
      </c>
      <c r="DD654" s="1528"/>
      <c r="DE654" s="1528"/>
      <c r="DF654" s="1528"/>
      <c r="DG654" s="1529"/>
      <c r="DH654" s="1527">
        <f t="shared" si="39"/>
        <v>0</v>
      </c>
      <c r="DI654" s="1528"/>
      <c r="DJ654" s="1528"/>
      <c r="DK654" s="1528"/>
      <c r="DL654" s="1529"/>
      <c r="DM654" s="1527">
        <f t="shared" si="40"/>
        <v>0</v>
      </c>
      <c r="DN654" s="1528"/>
      <c r="DO654" s="1528"/>
      <c r="DP654" s="1528"/>
      <c r="DQ654" s="1529"/>
      <c r="DR654" s="1527">
        <f t="shared" si="41"/>
        <v>0</v>
      </c>
      <c r="DS654" s="1528"/>
      <c r="DT654" s="1528"/>
      <c r="DU654" s="1528"/>
      <c r="DV654" s="1529"/>
      <c r="DX654" s="1362" t="e">
        <f t="shared" si="29"/>
        <v>#VALUE!</v>
      </c>
      <c r="DY654" s="1362"/>
      <c r="DZ654" s="1362"/>
      <c r="EA654" s="1362"/>
      <c r="EB654" s="1362"/>
      <c r="EC654" s="1362" t="e">
        <f t="shared" si="24"/>
        <v>#VALUE!</v>
      </c>
      <c r="ED654" s="1362"/>
      <c r="EE654" s="1362"/>
      <c r="EF654" s="1362"/>
      <c r="EG654" s="1362"/>
      <c r="EH654" s="1362" t="e">
        <f t="shared" si="25"/>
        <v>#VALUE!</v>
      </c>
      <c r="EI654" s="1362"/>
      <c r="EJ654" s="1362"/>
      <c r="EK654" s="1362"/>
      <c r="EL654" s="1362"/>
      <c r="EM654" s="1362" t="e">
        <f t="shared" si="26"/>
        <v>#VALUE!</v>
      </c>
      <c r="EN654" s="1362"/>
      <c r="EO654" s="1362"/>
      <c r="EP654" s="1362"/>
      <c r="EQ654" s="1362"/>
      <c r="ER654" s="1362" t="e">
        <f t="shared" si="27"/>
        <v>#VALUE!</v>
      </c>
      <c r="ES654" s="1362"/>
      <c r="ET654" s="1362"/>
      <c r="EU654" s="1362"/>
      <c r="EV654" s="1362"/>
      <c r="EW654" s="1362" t="e">
        <f t="shared" si="28"/>
        <v>#VALUE!</v>
      </c>
      <c r="EX654" s="1362"/>
      <c r="EY654" s="1362"/>
      <c r="EZ654" s="1362"/>
      <c r="FA654" s="1362"/>
    </row>
    <row r="655" spans="1:157" ht="13" customHeight="1">
      <c r="A655" s="22"/>
      <c r="B655" t="s">
        <v>317</v>
      </c>
      <c r="G655" s="1394" t="s">
        <v>2692</v>
      </c>
      <c r="H655" s="1394"/>
      <c r="I655" s="1394"/>
      <c r="J655" s="1394"/>
      <c r="K655" s="1394"/>
      <c r="L655" s="1394"/>
      <c r="O655" s="33" t="s">
        <v>207</v>
      </c>
      <c r="P655" s="1386"/>
      <c r="Q655" s="1386"/>
      <c r="R655" s="1386"/>
      <c r="T655" s="22"/>
      <c r="U655" t="s">
        <v>317</v>
      </c>
      <c r="Z655" s="1394" t="s">
        <v>2648</v>
      </c>
      <c r="AA655" s="1394"/>
      <c r="AB655" s="1394"/>
      <c r="AC655" s="1394"/>
      <c r="AD655" s="1394"/>
      <c r="AE655" s="1394"/>
      <c r="AH655" s="33" t="s">
        <v>207</v>
      </c>
      <c r="AI655" s="1386"/>
      <c r="AJ655" s="1386"/>
      <c r="AK655" s="1386"/>
      <c r="AZ655" s="34"/>
      <c r="BA655" s="34"/>
      <c r="BB655" s="34"/>
      <c r="BC655" s="34"/>
      <c r="BD655" s="34"/>
      <c r="BE655" s="34"/>
      <c r="BF655" s="34"/>
      <c r="BG655" s="34"/>
      <c r="BH655" s="34"/>
      <c r="BI655" s="34"/>
      <c r="BJ655" s="34"/>
      <c r="BK655" s="34"/>
      <c r="BL655" s="34"/>
      <c r="BM655" s="34"/>
      <c r="BN655" s="1525">
        <f>SUM(BN645:BR654)</f>
        <v>0</v>
      </c>
      <c r="BO655" s="1542"/>
      <c r="BP655" s="1542"/>
      <c r="BQ655" s="1542"/>
      <c r="BR655" s="1526"/>
      <c r="BS655" s="1530">
        <f>SUM(BS645:BW654)</f>
        <v>0</v>
      </c>
      <c r="BT655" s="1531"/>
      <c r="BU655" s="1531"/>
      <c r="BV655" s="1531"/>
      <c r="BW655" s="1532"/>
      <c r="BX655" s="1530">
        <f>SUM(BX645:CB654)</f>
        <v>0</v>
      </c>
      <c r="BY655" s="1531"/>
      <c r="BZ655" s="1531"/>
      <c r="CA655" s="1531"/>
      <c r="CB655" s="1532"/>
      <c r="CC655" s="1530">
        <f>SUM(CC645:CG654)</f>
        <v>0</v>
      </c>
      <c r="CD655" s="1531"/>
      <c r="CE655" s="1531"/>
      <c r="CF655" s="1531"/>
      <c r="CG655" s="1532"/>
      <c r="CH655" s="1530">
        <f>SUM(CH645:CL654)</f>
        <v>0</v>
      </c>
      <c r="CI655" s="1531"/>
      <c r="CJ655" s="1531"/>
      <c r="CK655" s="1531"/>
      <c r="CL655" s="1532"/>
      <c r="CM655" s="1530">
        <f>SUM(CM645:CQ654)</f>
        <v>0</v>
      </c>
      <c r="CN655" s="1531"/>
      <c r="CO655" s="1531"/>
      <c r="CP655" s="1531"/>
      <c r="CQ655" s="1532"/>
      <c r="CR655" s="1047"/>
      <c r="CS655" s="1685">
        <f>SUM(CS645:CW654)</f>
        <v>0</v>
      </c>
      <c r="CT655" s="1685"/>
      <c r="CU655" s="1685"/>
      <c r="CV655" s="1685"/>
      <c r="CW655" s="1685"/>
      <c r="CX655" s="1685">
        <f>SUM(CX645:DB654)</f>
        <v>0</v>
      </c>
      <c r="CY655" s="1685"/>
      <c r="CZ655" s="1685"/>
      <c r="DA655" s="1685"/>
      <c r="DB655" s="1685"/>
      <c r="DC655" s="1685">
        <f>SUM(DC645:DG654)</f>
        <v>0</v>
      </c>
      <c r="DD655" s="1685"/>
      <c r="DE655" s="1685"/>
      <c r="DF655" s="1685"/>
      <c r="DG655" s="1685"/>
      <c r="DH655" s="1685">
        <f>SUM(DH645:DL654)</f>
        <v>0</v>
      </c>
      <c r="DI655" s="1685"/>
      <c r="DJ655" s="1685"/>
      <c r="DK655" s="1685"/>
      <c r="DL655" s="1685"/>
      <c r="DM655" s="1685">
        <f>SUM(DM645:DQ654)</f>
        <v>0</v>
      </c>
      <c r="DN655" s="1685"/>
      <c r="DO655" s="1685"/>
      <c r="DP655" s="1685"/>
      <c r="DQ655" s="1685"/>
      <c r="DR655" s="1685">
        <f>SUM(DR645:DV654)</f>
        <v>0</v>
      </c>
      <c r="DS655" s="1685"/>
      <c r="DT655" s="1685"/>
      <c r="DU655" s="1685"/>
      <c r="DV655" s="1685"/>
      <c r="DX655" s="1362" t="e">
        <f t="shared" si="29"/>
        <v>#VALUE!</v>
      </c>
      <c r="DY655" s="1362"/>
      <c r="DZ655" s="1362"/>
      <c r="EA655" s="1362"/>
      <c r="EB655" s="1362"/>
      <c r="EC655" s="1362" t="e">
        <f t="shared" si="24"/>
        <v>#VALUE!</v>
      </c>
      <c r="ED655" s="1362"/>
      <c r="EE655" s="1362"/>
      <c r="EF655" s="1362"/>
      <c r="EG655" s="1362"/>
      <c r="EH655" s="1362" t="e">
        <f t="shared" si="25"/>
        <v>#VALUE!</v>
      </c>
      <c r="EI655" s="1362"/>
      <c r="EJ655" s="1362"/>
      <c r="EK655" s="1362"/>
      <c r="EL655" s="1362"/>
      <c r="EM655" s="1362" t="e">
        <f t="shared" si="26"/>
        <v>#VALUE!</v>
      </c>
      <c r="EN655" s="1362"/>
      <c r="EO655" s="1362"/>
      <c r="EP655" s="1362"/>
      <c r="EQ655" s="1362"/>
      <c r="ER655" s="1362" t="e">
        <f t="shared" si="27"/>
        <v>#VALUE!</v>
      </c>
      <c r="ES655" s="1362"/>
      <c r="ET655" s="1362"/>
      <c r="EU655" s="1362"/>
      <c r="EV655" s="1362"/>
      <c r="EW655" s="1362" t="e">
        <f t="shared" si="28"/>
        <v>#VALUE!</v>
      </c>
      <c r="EX655" s="1362"/>
      <c r="EY655" s="1362"/>
      <c r="EZ655" s="1362"/>
      <c r="FA655" s="1362"/>
    </row>
    <row r="656" spans="1:157" ht="13" customHeight="1">
      <c r="A656" s="22"/>
      <c r="B656" t="s">
        <v>18</v>
      </c>
      <c r="H656" s="1396" t="s">
        <v>2750</v>
      </c>
      <c r="I656" s="1385"/>
      <c r="J656" s="1385"/>
      <c r="K656" s="1385"/>
      <c r="L656" s="1385"/>
      <c r="M656" s="1385"/>
      <c r="N656" s="1385"/>
      <c r="O656" s="1385"/>
      <c r="P656" s="1385"/>
      <c r="Q656" s="1385"/>
      <c r="R656" s="1385"/>
      <c r="T656" s="22"/>
      <c r="U656" t="s">
        <v>18</v>
      </c>
      <c r="AA656" s="1396" t="s">
        <v>2427</v>
      </c>
      <c r="AB656" s="1385"/>
      <c r="AC656" s="1385"/>
      <c r="AD656" s="1385"/>
      <c r="AE656" s="1385"/>
      <c r="AF656" s="1385"/>
      <c r="AG656" s="1385"/>
      <c r="AH656" s="1385"/>
      <c r="AI656" s="1385"/>
      <c r="AJ656" s="1385"/>
      <c r="AK656" s="1385"/>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62" t="e">
        <f t="shared" si="29"/>
        <v>#VALUE!</v>
      </c>
      <c r="DY656" s="1362"/>
      <c r="DZ656" s="1362"/>
      <c r="EA656" s="1362"/>
      <c r="EB656" s="1362"/>
      <c r="EC656" s="1362" t="e">
        <f t="shared" si="24"/>
        <v>#VALUE!</v>
      </c>
      <c r="ED656" s="1362"/>
      <c r="EE656" s="1362"/>
      <c r="EF656" s="1362"/>
      <c r="EG656" s="1362"/>
      <c r="EH656" s="1362" t="e">
        <f t="shared" si="25"/>
        <v>#VALUE!</v>
      </c>
      <c r="EI656" s="1362"/>
      <c r="EJ656" s="1362"/>
      <c r="EK656" s="1362"/>
      <c r="EL656" s="1362"/>
      <c r="EM656" s="1362" t="e">
        <f t="shared" si="26"/>
        <v>#VALUE!</v>
      </c>
      <c r="EN656" s="1362"/>
      <c r="EO656" s="1362"/>
      <c r="EP656" s="1362"/>
      <c r="EQ656" s="1362"/>
      <c r="ER656" s="1362" t="e">
        <f t="shared" si="27"/>
        <v>#VALUE!</v>
      </c>
      <c r="ES656" s="1362"/>
      <c r="ET656" s="1362"/>
      <c r="EU656" s="1362"/>
      <c r="EV656" s="1362"/>
      <c r="EW656" s="1362" t="e">
        <f t="shared" si="28"/>
        <v>#VALUE!</v>
      </c>
      <c r="EX656" s="1362"/>
      <c r="EY656" s="1362"/>
      <c r="EZ656" s="1362"/>
      <c r="FA656" s="1362"/>
    </row>
    <row r="657" spans="1:157" ht="13" customHeight="1">
      <c r="A657" s="22"/>
      <c r="B657" t="s">
        <v>20</v>
      </c>
      <c r="N657" s="1381" t="s">
        <v>554</v>
      </c>
      <c r="O657" s="1381"/>
      <c r="T657" s="22"/>
      <c r="U657" t="s">
        <v>20</v>
      </c>
      <c r="AG657" s="1381" t="s">
        <v>554</v>
      </c>
      <c r="AH657" s="1381"/>
      <c r="AZ657" s="34"/>
      <c r="BA657" s="34"/>
      <c r="BB657" s="34"/>
      <c r="BC657" s="34"/>
      <c r="BD657" s="34"/>
      <c r="BE657" s="34"/>
      <c r="BF657" s="34"/>
      <c r="BG657" s="34"/>
      <c r="BH657" s="34"/>
      <c r="BI657" s="34"/>
      <c r="BJ657" s="34"/>
      <c r="BK657" s="34"/>
      <c r="BL657" s="34"/>
      <c r="BM657" s="34"/>
      <c r="CR657" s="3"/>
      <c r="CS657" s="895">
        <f>BN655+BS655+BX655+CC655+CH655+CM655</f>
        <v>0</v>
      </c>
      <c r="CT657" s="57" t="s">
        <v>2051</v>
      </c>
      <c r="CU657" s="3"/>
      <c r="CV657" s="3"/>
      <c r="CW657" s="3"/>
      <c r="CX657" s="3"/>
      <c r="CY657" s="3"/>
      <c r="CZ657" s="3"/>
      <c r="DA657" s="3"/>
      <c r="DB657" s="3"/>
      <c r="DC657" s="3"/>
      <c r="DD657" s="3"/>
      <c r="DE657" s="3"/>
      <c r="DF657" s="3"/>
      <c r="DQ657" s="56" t="s">
        <v>2060</v>
      </c>
      <c r="DR657" s="1362">
        <f>SUM(CS655:DV655)</f>
        <v>0</v>
      </c>
      <c r="DS657" s="1362"/>
      <c r="DT657" s="1362"/>
      <c r="DU657" s="1362"/>
      <c r="DV657" s="1362"/>
      <c r="DX657" s="1362" t="e">
        <f t="shared" si="29"/>
        <v>#VALUE!</v>
      </c>
      <c r="DY657" s="1362"/>
      <c r="DZ657" s="1362"/>
      <c r="EA657" s="1362"/>
      <c r="EB657" s="1362"/>
      <c r="EC657" s="1362" t="e">
        <f t="shared" si="24"/>
        <v>#VALUE!</v>
      </c>
      <c r="ED657" s="1362"/>
      <c r="EE657" s="1362"/>
      <c r="EF657" s="1362"/>
      <c r="EG657" s="1362"/>
      <c r="EH657" s="1362" t="e">
        <f t="shared" si="25"/>
        <v>#VALUE!</v>
      </c>
      <c r="EI657" s="1362"/>
      <c r="EJ657" s="1362"/>
      <c r="EK657" s="1362"/>
      <c r="EL657" s="1362"/>
      <c r="EM657" s="1362" t="e">
        <f t="shared" si="26"/>
        <v>#VALUE!</v>
      </c>
      <c r="EN657" s="1362"/>
      <c r="EO657" s="1362"/>
      <c r="EP657" s="1362"/>
      <c r="EQ657" s="1362"/>
      <c r="ER657" s="1362" t="e">
        <f t="shared" si="27"/>
        <v>#VALUE!</v>
      </c>
      <c r="ES657" s="1362"/>
      <c r="ET657" s="1362"/>
      <c r="EU657" s="1362"/>
      <c r="EV657" s="1362"/>
      <c r="EW657" s="1362" t="e">
        <f t="shared" si="28"/>
        <v>#VALUE!</v>
      </c>
      <c r="EX657" s="1362"/>
      <c r="EY657" s="1362"/>
      <c r="EZ657" s="1362"/>
      <c r="FA657" s="1362"/>
    </row>
    <row r="658" spans="1:157" ht="13"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1744</v>
      </c>
      <c r="CU658" s="3"/>
      <c r="CV658" s="3"/>
      <c r="CW658" s="3"/>
      <c r="CX658" s="3"/>
      <c r="CY658" s="3"/>
      <c r="CZ658" s="3"/>
      <c r="DA658" s="3"/>
      <c r="DB658" s="3"/>
      <c r="DC658" s="3"/>
      <c r="DD658" s="3"/>
      <c r="DE658" s="3"/>
      <c r="DF658" s="3"/>
      <c r="DX658" s="1362" t="e">
        <f t="shared" ref="DX658:DX667" si="42">DX620*(BN620/$BN$632)</f>
        <v>#VALUE!</v>
      </c>
      <c r="DY658" s="1362"/>
      <c r="DZ658" s="1362"/>
      <c r="EA658" s="1362"/>
      <c r="EB658" s="1362"/>
      <c r="EC658" s="1362" t="e">
        <f t="shared" ref="EC658:EC667" si="43">EC620*(BS620/$BS$632)</f>
        <v>#VALUE!</v>
      </c>
      <c r="ED658" s="1362"/>
      <c r="EE658" s="1362"/>
      <c r="EF658" s="1362"/>
      <c r="EG658" s="1362"/>
      <c r="EH658" s="1362" t="e">
        <f t="shared" ref="EH658:EH667" si="44">EH620*(BX620/$BX$632)</f>
        <v>#VALUE!</v>
      </c>
      <c r="EI658" s="1362"/>
      <c r="EJ658" s="1362"/>
      <c r="EK658" s="1362"/>
      <c r="EL658" s="1362"/>
      <c r="EM658" s="1362" t="e">
        <f t="shared" ref="EM658:EM667" si="45">EM620*(CC620/$CC$632)</f>
        <v>#VALUE!</v>
      </c>
      <c r="EN658" s="1362"/>
      <c r="EO658" s="1362"/>
      <c r="EP658" s="1362"/>
      <c r="EQ658" s="1362"/>
      <c r="ER658" s="1362" t="e">
        <f t="shared" ref="ER658:ER667" si="46">ER620*(CH620/$CH$632)</f>
        <v>#VALUE!</v>
      </c>
      <c r="ES658" s="1362"/>
      <c r="ET658" s="1362"/>
      <c r="EU658" s="1362"/>
      <c r="EV658" s="1362"/>
      <c r="EW658" s="1362" t="e">
        <f t="shared" ref="EW658:EW667" si="47">EW620*(CM620/$CM$632)</f>
        <v>#VALUE!</v>
      </c>
      <c r="EX658" s="1362"/>
      <c r="EY658" s="1362"/>
      <c r="EZ658" s="1362"/>
      <c r="FA658" s="1362"/>
    </row>
    <row r="659" spans="1:157" ht="13" customHeight="1">
      <c r="A659" s="55" t="s">
        <v>773</v>
      </c>
      <c r="B659" t="s">
        <v>472</v>
      </c>
      <c r="G659" s="1393" t="str">
        <f>C631</f>
        <v>Income from Operations</v>
      </c>
      <c r="H659" s="1393"/>
      <c r="I659" s="1393"/>
      <c r="J659" s="1393"/>
      <c r="K659" s="1393"/>
      <c r="L659" s="1393"/>
      <c r="M659" s="1393"/>
      <c r="N659" s="1393"/>
      <c r="O659" s="1393"/>
      <c r="P659" s="1393"/>
      <c r="Q659" s="1393"/>
      <c r="R659" s="1393"/>
      <c r="T659" s="55" t="s">
        <v>593</v>
      </c>
      <c r="U659" t="s">
        <v>472</v>
      </c>
      <c r="Z659" s="1393" t="str">
        <f>C632</f>
        <v>Property Donation</v>
      </c>
      <c r="AA659" s="1393"/>
      <c r="AB659" s="1393"/>
      <c r="AC659" s="1393"/>
      <c r="AD659" s="1393"/>
      <c r="AE659" s="1393"/>
      <c r="AF659" s="1393"/>
      <c r="AG659" s="1393"/>
      <c r="AH659" s="1393"/>
      <c r="AI659" s="1393"/>
      <c r="AJ659" s="1393"/>
      <c r="AK659" s="1393"/>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62" t="e">
        <f t="shared" si="42"/>
        <v>#VALUE!</v>
      </c>
      <c r="DY659" s="1362"/>
      <c r="DZ659" s="1362"/>
      <c r="EA659" s="1362"/>
      <c r="EB659" s="1362"/>
      <c r="EC659" s="1362" t="e">
        <f t="shared" si="43"/>
        <v>#VALUE!</v>
      </c>
      <c r="ED659" s="1362"/>
      <c r="EE659" s="1362"/>
      <c r="EF659" s="1362"/>
      <c r="EG659" s="1362"/>
      <c r="EH659" s="1362" t="e">
        <f t="shared" si="44"/>
        <v>#VALUE!</v>
      </c>
      <c r="EI659" s="1362"/>
      <c r="EJ659" s="1362"/>
      <c r="EK659" s="1362"/>
      <c r="EL659" s="1362"/>
      <c r="EM659" s="1362" t="e">
        <f t="shared" si="45"/>
        <v>#VALUE!</v>
      </c>
      <c r="EN659" s="1362"/>
      <c r="EO659" s="1362"/>
      <c r="EP659" s="1362"/>
      <c r="EQ659" s="1362"/>
      <c r="ER659" s="1362" t="e">
        <f t="shared" si="46"/>
        <v>#VALUE!</v>
      </c>
      <c r="ES659" s="1362"/>
      <c r="ET659" s="1362"/>
      <c r="EU659" s="1362"/>
      <c r="EV659" s="1362"/>
      <c r="EW659" s="1362" t="e">
        <f t="shared" si="47"/>
        <v>#VALUE!</v>
      </c>
      <c r="EX659" s="1362"/>
      <c r="EY659" s="1362"/>
      <c r="EZ659" s="1362"/>
      <c r="FA659" s="1362"/>
    </row>
    <row r="660" spans="1:157" ht="13" customHeight="1">
      <c r="A660" s="22"/>
      <c r="B660" t="s">
        <v>85</v>
      </c>
      <c r="G660" s="1385" t="s">
        <v>2703</v>
      </c>
      <c r="H660" s="1385"/>
      <c r="I660" s="1385"/>
      <c r="J660" s="1385"/>
      <c r="K660" s="1385"/>
      <c r="L660" s="1385"/>
      <c r="M660" s="1385"/>
      <c r="N660" s="1385"/>
      <c r="O660" s="1385"/>
      <c r="P660" s="1385"/>
      <c r="Q660" s="1385"/>
      <c r="R660" s="1385"/>
      <c r="T660" s="22"/>
      <c r="U660" t="s">
        <v>85</v>
      </c>
      <c r="Z660" s="1385" t="s">
        <v>2676</v>
      </c>
      <c r="AA660" s="1385"/>
      <c r="AB660" s="1385"/>
      <c r="AC660" s="1385"/>
      <c r="AD660" s="1385"/>
      <c r="AE660" s="1385"/>
      <c r="AF660" s="1385"/>
      <c r="AG660" s="1385"/>
      <c r="AH660" s="1385"/>
      <c r="AI660" s="1385"/>
      <c r="AJ660" s="1385"/>
      <c r="AK660" s="1385"/>
      <c r="AZ660" s="34"/>
      <c r="BA660" s="34"/>
      <c r="BB660" s="34"/>
      <c r="BC660" s="34"/>
      <c r="BD660" s="34"/>
      <c r="BE660" s="34"/>
      <c r="BF660" s="34"/>
      <c r="BG660" s="34"/>
      <c r="BH660" s="34"/>
      <c r="BI660" s="34"/>
      <c r="BJ660" s="34"/>
      <c r="BK660" s="34"/>
      <c r="BL660" s="34"/>
      <c r="BM660" s="34"/>
      <c r="BN660" s="1530">
        <f>BN632+BN641+BN655</f>
        <v>140</v>
      </c>
      <c r="BO660" s="1531"/>
      <c r="BP660" s="1531"/>
      <c r="BQ660" s="1531"/>
      <c r="BR660" s="1532"/>
      <c r="BS660" s="1530">
        <f>BS632+BS641+BS655</f>
        <v>1</v>
      </c>
      <c r="BT660" s="1531"/>
      <c r="BU660" s="1531"/>
      <c r="BV660" s="1531"/>
      <c r="BW660" s="1532"/>
      <c r="BX660" s="1530">
        <f>BX632+BX641+BX655</f>
        <v>0</v>
      </c>
      <c r="BY660" s="1531"/>
      <c r="BZ660" s="1531"/>
      <c r="CA660" s="1531"/>
      <c r="CB660" s="1532"/>
      <c r="CC660" s="1530">
        <f>CC632+CC641+CC655</f>
        <v>0</v>
      </c>
      <c r="CD660" s="1531"/>
      <c r="CE660" s="1531"/>
      <c r="CF660" s="1531"/>
      <c r="CG660" s="1532"/>
      <c r="CH660" s="1530">
        <f>CH632+CH641+CH655</f>
        <v>0</v>
      </c>
      <c r="CI660" s="1531"/>
      <c r="CJ660" s="1531"/>
      <c r="CK660" s="1531"/>
      <c r="CL660" s="1532"/>
      <c r="CM660" s="1402">
        <f>CM655+CM641+CM632</f>
        <v>0</v>
      </c>
      <c r="CN660" s="1403"/>
      <c r="CO660" s="1403"/>
      <c r="CP660" s="1403"/>
      <c r="CQ660" s="1404"/>
      <c r="CR660" s="3"/>
      <c r="CS660" s="895">
        <f>CS634+CS658</f>
        <v>140</v>
      </c>
      <c r="CT660" s="57" t="s">
        <v>2056</v>
      </c>
      <c r="CU660" s="3"/>
      <c r="CV660" s="3"/>
      <c r="CW660" s="3"/>
      <c r="CX660" s="3"/>
      <c r="CY660" s="3"/>
      <c r="CZ660" s="3"/>
      <c r="DA660" s="3"/>
      <c r="DB660" s="3"/>
      <c r="DC660" s="3"/>
      <c r="DD660" s="3"/>
      <c r="DE660" s="3"/>
      <c r="DF660" s="3"/>
      <c r="DX660" s="1362" t="e">
        <f t="shared" si="42"/>
        <v>#VALUE!</v>
      </c>
      <c r="DY660" s="1362"/>
      <c r="DZ660" s="1362"/>
      <c r="EA660" s="1362"/>
      <c r="EB660" s="1362"/>
      <c r="EC660" s="1362" t="e">
        <f t="shared" si="43"/>
        <v>#VALUE!</v>
      </c>
      <c r="ED660" s="1362"/>
      <c r="EE660" s="1362"/>
      <c r="EF660" s="1362"/>
      <c r="EG660" s="1362"/>
      <c r="EH660" s="1362" t="e">
        <f t="shared" si="44"/>
        <v>#VALUE!</v>
      </c>
      <c r="EI660" s="1362"/>
      <c r="EJ660" s="1362"/>
      <c r="EK660" s="1362"/>
      <c r="EL660" s="1362"/>
      <c r="EM660" s="1362" t="e">
        <f t="shared" si="45"/>
        <v>#VALUE!</v>
      </c>
      <c r="EN660" s="1362"/>
      <c r="EO660" s="1362"/>
      <c r="EP660" s="1362"/>
      <c r="EQ660" s="1362"/>
      <c r="ER660" s="1362" t="e">
        <f t="shared" si="46"/>
        <v>#VALUE!</v>
      </c>
      <c r="ES660" s="1362"/>
      <c r="ET660" s="1362"/>
      <c r="EU660" s="1362"/>
      <c r="EV660" s="1362"/>
      <c r="EW660" s="1362" t="e">
        <f t="shared" si="47"/>
        <v>#VALUE!</v>
      </c>
      <c r="EX660" s="1362"/>
      <c r="EY660" s="1362"/>
      <c r="EZ660" s="1362"/>
      <c r="FA660" s="1362"/>
    </row>
    <row r="661" spans="1:157" ht="13" customHeight="1">
      <c r="A661" s="22"/>
      <c r="B661" t="s">
        <v>589</v>
      </c>
      <c r="G661" s="1385" t="s">
        <v>2653</v>
      </c>
      <c r="H661" s="1385"/>
      <c r="I661" s="1385"/>
      <c r="J661" s="1385"/>
      <c r="K661" s="1385"/>
      <c r="L661" s="1385"/>
      <c r="M661" s="1385"/>
      <c r="N661" s="1385"/>
      <c r="O661" s="1385"/>
      <c r="P661" s="1385"/>
      <c r="Q661" s="1385"/>
      <c r="R661" s="1385"/>
      <c r="T661" s="22"/>
      <c r="U661" t="s">
        <v>589</v>
      </c>
      <c r="Z661" s="1395" t="s">
        <v>2691</v>
      </c>
      <c r="AA661" s="1395"/>
      <c r="AB661" s="1395"/>
      <c r="AC661" s="1395"/>
      <c r="AD661" s="1395"/>
      <c r="AE661" s="1395"/>
      <c r="AF661" s="1395"/>
      <c r="AG661" s="1395"/>
      <c r="AH661" s="1395"/>
      <c r="AI661" s="1395"/>
      <c r="AJ661" s="1395"/>
      <c r="AK661" s="1395"/>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62" t="e">
        <f t="shared" si="42"/>
        <v>#VALUE!</v>
      </c>
      <c r="DY661" s="1362"/>
      <c r="DZ661" s="1362"/>
      <c r="EA661" s="1362"/>
      <c r="EB661" s="1362"/>
      <c r="EC661" s="1362" t="e">
        <f t="shared" si="43"/>
        <v>#VALUE!</v>
      </c>
      <c r="ED661" s="1362"/>
      <c r="EE661" s="1362"/>
      <c r="EF661" s="1362"/>
      <c r="EG661" s="1362"/>
      <c r="EH661" s="1362" t="e">
        <f t="shared" si="44"/>
        <v>#VALUE!</v>
      </c>
      <c r="EI661" s="1362"/>
      <c r="EJ661" s="1362"/>
      <c r="EK661" s="1362"/>
      <c r="EL661" s="1362"/>
      <c r="EM661" s="1362" t="e">
        <f t="shared" si="45"/>
        <v>#VALUE!</v>
      </c>
      <c r="EN661" s="1362"/>
      <c r="EO661" s="1362"/>
      <c r="EP661" s="1362"/>
      <c r="EQ661" s="1362"/>
      <c r="ER661" s="1362" t="e">
        <f t="shared" si="46"/>
        <v>#VALUE!</v>
      </c>
      <c r="ES661" s="1362"/>
      <c r="ET661" s="1362"/>
      <c r="EU661" s="1362"/>
      <c r="EV661" s="1362"/>
      <c r="EW661" s="1362" t="e">
        <f t="shared" si="47"/>
        <v>#VALUE!</v>
      </c>
      <c r="EX661" s="1362"/>
      <c r="EY661" s="1362"/>
      <c r="EZ661" s="1362"/>
      <c r="FA661" s="1362"/>
    </row>
    <row r="662" spans="1:157" ht="13" customHeight="1">
      <c r="A662" s="22"/>
      <c r="B662" t="s">
        <v>17</v>
      </c>
      <c r="G662" s="1385" t="s">
        <v>2641</v>
      </c>
      <c r="H662" s="1385"/>
      <c r="I662" s="1385"/>
      <c r="J662" s="1385"/>
      <c r="K662" s="1385"/>
      <c r="L662" s="1385"/>
      <c r="M662" s="1385"/>
      <c r="N662" s="1385"/>
      <c r="O662" s="1385"/>
      <c r="P662" s="1385"/>
      <c r="Q662" s="1385"/>
      <c r="R662" s="1385"/>
      <c r="T662" s="22"/>
      <c r="U662" t="s">
        <v>17</v>
      </c>
      <c r="Z662" s="1395" t="s">
        <v>2675</v>
      </c>
      <c r="AA662" s="1395"/>
      <c r="AB662" s="1395"/>
      <c r="AC662" s="1395"/>
      <c r="AD662" s="1395"/>
      <c r="AE662" s="1395"/>
      <c r="AF662" s="1395"/>
      <c r="AG662" s="1395"/>
      <c r="AH662" s="1395"/>
      <c r="AI662" s="1395"/>
      <c r="AJ662" s="1395"/>
      <c r="AK662" s="139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2" t="e">
        <f t="shared" si="42"/>
        <v>#VALUE!</v>
      </c>
      <c r="DY662" s="1362"/>
      <c r="DZ662" s="1362"/>
      <c r="EA662" s="1362"/>
      <c r="EB662" s="1362"/>
      <c r="EC662" s="1362" t="e">
        <f t="shared" si="43"/>
        <v>#VALUE!</v>
      </c>
      <c r="ED662" s="1362"/>
      <c r="EE662" s="1362"/>
      <c r="EF662" s="1362"/>
      <c r="EG662" s="1362"/>
      <c r="EH662" s="1362" t="e">
        <f t="shared" si="44"/>
        <v>#VALUE!</v>
      </c>
      <c r="EI662" s="1362"/>
      <c r="EJ662" s="1362"/>
      <c r="EK662" s="1362"/>
      <c r="EL662" s="1362"/>
      <c r="EM662" s="1362" t="e">
        <f t="shared" si="45"/>
        <v>#VALUE!</v>
      </c>
      <c r="EN662" s="1362"/>
      <c r="EO662" s="1362"/>
      <c r="EP662" s="1362"/>
      <c r="EQ662" s="1362"/>
      <c r="ER662" s="1362" t="e">
        <f t="shared" si="46"/>
        <v>#VALUE!</v>
      </c>
      <c r="ES662" s="1362"/>
      <c r="ET662" s="1362"/>
      <c r="EU662" s="1362"/>
      <c r="EV662" s="1362"/>
      <c r="EW662" s="1362" t="e">
        <f t="shared" si="47"/>
        <v>#VALUE!</v>
      </c>
      <c r="EX662" s="1362"/>
      <c r="EY662" s="1362"/>
      <c r="EZ662" s="1362"/>
      <c r="FA662" s="1362"/>
    </row>
    <row r="663" spans="1:157" ht="13" customHeight="1">
      <c r="A663" s="22"/>
      <c r="B663" t="s">
        <v>317</v>
      </c>
      <c r="G663" s="1394" t="s">
        <v>2648</v>
      </c>
      <c r="H663" s="1394"/>
      <c r="I663" s="1394"/>
      <c r="J663" s="1394"/>
      <c r="K663" s="1394"/>
      <c r="L663" s="1394"/>
      <c r="O663" s="33" t="s">
        <v>207</v>
      </c>
      <c r="P663" s="1386"/>
      <c r="Q663" s="1386"/>
      <c r="R663" s="1386"/>
      <c r="T663" s="22"/>
      <c r="U663" t="s">
        <v>317</v>
      </c>
      <c r="Z663" s="1394" t="s">
        <v>2692</v>
      </c>
      <c r="AA663" s="1394"/>
      <c r="AB663" s="1394"/>
      <c r="AC663" s="1394"/>
      <c r="AD663" s="1394"/>
      <c r="AE663" s="1394"/>
      <c r="AH663" s="33" t="s">
        <v>207</v>
      </c>
      <c r="AI663" s="1386"/>
      <c r="AJ663" s="1386"/>
      <c r="AK663" s="138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2" t="e">
        <f t="shared" si="42"/>
        <v>#VALUE!</v>
      </c>
      <c r="DY663" s="1362"/>
      <c r="DZ663" s="1362"/>
      <c r="EA663" s="1362"/>
      <c r="EB663" s="1362"/>
      <c r="EC663" s="1362" t="e">
        <f t="shared" si="43"/>
        <v>#VALUE!</v>
      </c>
      <c r="ED663" s="1362"/>
      <c r="EE663" s="1362"/>
      <c r="EF663" s="1362"/>
      <c r="EG663" s="1362"/>
      <c r="EH663" s="1362" t="e">
        <f t="shared" si="44"/>
        <v>#VALUE!</v>
      </c>
      <c r="EI663" s="1362"/>
      <c r="EJ663" s="1362"/>
      <c r="EK663" s="1362"/>
      <c r="EL663" s="1362"/>
      <c r="EM663" s="1362" t="e">
        <f t="shared" si="45"/>
        <v>#VALUE!</v>
      </c>
      <c r="EN663" s="1362"/>
      <c r="EO663" s="1362"/>
      <c r="EP663" s="1362"/>
      <c r="EQ663" s="1362"/>
      <c r="ER663" s="1362" t="e">
        <f t="shared" si="46"/>
        <v>#VALUE!</v>
      </c>
      <c r="ES663" s="1362"/>
      <c r="ET663" s="1362"/>
      <c r="EU663" s="1362"/>
      <c r="EV663" s="1362"/>
      <c r="EW663" s="1362" t="e">
        <f t="shared" si="47"/>
        <v>#VALUE!</v>
      </c>
      <c r="EX663" s="1362"/>
      <c r="EY663" s="1362"/>
      <c r="EZ663" s="1362"/>
      <c r="FA663" s="1362"/>
    </row>
    <row r="664" spans="1:157" ht="13" customHeight="1">
      <c r="A664" s="22"/>
      <c r="B664" t="s">
        <v>18</v>
      </c>
      <c r="H664" s="1396" t="s">
        <v>2751</v>
      </c>
      <c r="I664" s="1385"/>
      <c r="J664" s="1385"/>
      <c r="K664" s="1385"/>
      <c r="L664" s="1385"/>
      <c r="M664" s="1385"/>
      <c r="N664" s="1385"/>
      <c r="O664" s="1385"/>
      <c r="P664" s="1385"/>
      <c r="Q664" s="1385"/>
      <c r="R664" s="1385"/>
      <c r="T664" s="22"/>
      <c r="U664" t="s">
        <v>18</v>
      </c>
      <c r="AA664" s="1385" t="s">
        <v>2447</v>
      </c>
      <c r="AB664" s="1385"/>
      <c r="AC664" s="1385"/>
      <c r="AD664" s="1385"/>
      <c r="AE664" s="1385"/>
      <c r="AF664" s="1385"/>
      <c r="AG664" s="1385"/>
      <c r="AH664" s="1385"/>
      <c r="AI664" s="1385"/>
      <c r="AJ664" s="1385"/>
      <c r="AK664" s="1385"/>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2" t="e">
        <f t="shared" si="42"/>
        <v>#VALUE!</v>
      </c>
      <c r="DY664" s="1362"/>
      <c r="DZ664" s="1362"/>
      <c r="EA664" s="1362"/>
      <c r="EB664" s="1362"/>
      <c r="EC664" s="1362" t="e">
        <f t="shared" si="43"/>
        <v>#VALUE!</v>
      </c>
      <c r="ED664" s="1362"/>
      <c r="EE664" s="1362"/>
      <c r="EF664" s="1362"/>
      <c r="EG664" s="1362"/>
      <c r="EH664" s="1362" t="e">
        <f t="shared" si="44"/>
        <v>#VALUE!</v>
      </c>
      <c r="EI664" s="1362"/>
      <c r="EJ664" s="1362"/>
      <c r="EK664" s="1362"/>
      <c r="EL664" s="1362"/>
      <c r="EM664" s="1362" t="e">
        <f t="shared" si="45"/>
        <v>#VALUE!</v>
      </c>
      <c r="EN664" s="1362"/>
      <c r="EO664" s="1362"/>
      <c r="EP664" s="1362"/>
      <c r="EQ664" s="1362"/>
      <c r="ER664" s="1362" t="e">
        <f t="shared" si="46"/>
        <v>#VALUE!</v>
      </c>
      <c r="ES664" s="1362"/>
      <c r="ET664" s="1362"/>
      <c r="EU664" s="1362"/>
      <c r="EV664" s="1362"/>
      <c r="EW664" s="1362" t="e">
        <f t="shared" si="47"/>
        <v>#VALUE!</v>
      </c>
      <c r="EX664" s="1362"/>
      <c r="EY664" s="1362"/>
      <c r="EZ664" s="1362"/>
      <c r="FA664" s="1362"/>
    </row>
    <row r="665" spans="1:157" ht="13" customHeight="1">
      <c r="A665" s="22"/>
      <c r="B665" t="s">
        <v>20</v>
      </c>
      <c r="N665" s="1381" t="s">
        <v>554</v>
      </c>
      <c r="O665" s="1381"/>
      <c r="T665" s="22"/>
      <c r="U665" t="s">
        <v>20</v>
      </c>
      <c r="AG665" s="1381" t="s">
        <v>554</v>
      </c>
      <c r="AH665" s="138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2" t="e">
        <f t="shared" si="42"/>
        <v>#VALUE!</v>
      </c>
      <c r="DY665" s="1362"/>
      <c r="DZ665" s="1362"/>
      <c r="EA665" s="1362"/>
      <c r="EB665" s="1362"/>
      <c r="EC665" s="1362" t="e">
        <f t="shared" si="43"/>
        <v>#VALUE!</v>
      </c>
      <c r="ED665" s="1362"/>
      <c r="EE665" s="1362"/>
      <c r="EF665" s="1362"/>
      <c r="EG665" s="1362"/>
      <c r="EH665" s="1362" t="e">
        <f t="shared" si="44"/>
        <v>#VALUE!</v>
      </c>
      <c r="EI665" s="1362"/>
      <c r="EJ665" s="1362"/>
      <c r="EK665" s="1362"/>
      <c r="EL665" s="1362"/>
      <c r="EM665" s="1362" t="e">
        <f t="shared" si="45"/>
        <v>#VALUE!</v>
      </c>
      <c r="EN665" s="1362"/>
      <c r="EO665" s="1362"/>
      <c r="EP665" s="1362"/>
      <c r="EQ665" s="1362"/>
      <c r="ER665" s="1362" t="e">
        <f t="shared" si="46"/>
        <v>#VALUE!</v>
      </c>
      <c r="ES665" s="1362"/>
      <c r="ET665" s="1362"/>
      <c r="EU665" s="1362"/>
      <c r="EV665" s="1362"/>
      <c r="EW665" s="1362" t="e">
        <f t="shared" si="47"/>
        <v>#VALUE!</v>
      </c>
      <c r="EX665" s="1362"/>
      <c r="EY665" s="1362"/>
      <c r="EZ665" s="1362"/>
      <c r="FA665" s="1362"/>
    </row>
    <row r="666" spans="1:157" ht="13"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1741</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2" t="e">
        <f t="shared" si="42"/>
        <v>#VALUE!</v>
      </c>
      <c r="DY666" s="1362"/>
      <c r="DZ666" s="1362"/>
      <c r="EA666" s="1362"/>
      <c r="EB666" s="1362"/>
      <c r="EC666" s="1362" t="e">
        <f t="shared" si="43"/>
        <v>#VALUE!</v>
      </c>
      <c r="ED666" s="1362"/>
      <c r="EE666" s="1362"/>
      <c r="EF666" s="1362"/>
      <c r="EG666" s="1362"/>
      <c r="EH666" s="1362" t="e">
        <f t="shared" si="44"/>
        <v>#VALUE!</v>
      </c>
      <c r="EI666" s="1362"/>
      <c r="EJ666" s="1362"/>
      <c r="EK666" s="1362"/>
      <c r="EL666" s="1362"/>
      <c r="EM666" s="1362" t="e">
        <f t="shared" si="45"/>
        <v>#VALUE!</v>
      </c>
      <c r="EN666" s="1362"/>
      <c r="EO666" s="1362"/>
      <c r="EP666" s="1362"/>
      <c r="EQ666" s="1362"/>
      <c r="ER666" s="1362" t="e">
        <f t="shared" si="46"/>
        <v>#VALUE!</v>
      </c>
      <c r="ES666" s="1362"/>
      <c r="ET666" s="1362"/>
      <c r="EU666" s="1362"/>
      <c r="EV666" s="1362"/>
      <c r="EW666" s="1362" t="e">
        <f t="shared" si="47"/>
        <v>#VALUE!</v>
      </c>
      <c r="EX666" s="1362"/>
      <c r="EY666" s="1362"/>
      <c r="EZ666" s="1362"/>
      <c r="FA666" s="1362"/>
    </row>
    <row r="667" spans="1:157" ht="13" customHeight="1">
      <c r="A667" s="55" t="s">
        <v>464</v>
      </c>
      <c r="B667" t="s">
        <v>472</v>
      </c>
      <c r="G667" s="1393" t="str">
        <f>C633</f>
        <v>GP Equity</v>
      </c>
      <c r="H667" s="1393"/>
      <c r="I667" s="1393"/>
      <c r="J667" s="1393"/>
      <c r="K667" s="1393"/>
      <c r="L667" s="1393"/>
      <c r="M667" s="1393"/>
      <c r="N667" s="1393"/>
      <c r="O667" s="1393"/>
      <c r="P667" s="1393"/>
      <c r="Q667" s="1393"/>
      <c r="R667" s="1393"/>
      <c r="T667" s="55" t="s">
        <v>465</v>
      </c>
      <c r="U667" t="s">
        <v>472</v>
      </c>
      <c r="Z667" s="1393" t="str">
        <f>C634</f>
        <v>Philanthropic Loan</v>
      </c>
      <c r="AA667" s="1393"/>
      <c r="AB667" s="1393"/>
      <c r="AC667" s="1393"/>
      <c r="AD667" s="1393"/>
      <c r="AE667" s="1393"/>
      <c r="AF667" s="1393"/>
      <c r="AG667" s="1393"/>
      <c r="AH667" s="1393"/>
      <c r="AI667" s="1393"/>
      <c r="AJ667" s="1393"/>
      <c r="AK667" s="1393"/>
      <c r="AZ667" s="3"/>
      <c r="BA667" s="118">
        <f t="shared" ref="BA667:BA699" si="48">IF($G718=0,"N/A",VLOOKUP($T$189,TC_Rent,(MATCH($B718,bedrooms,FALSE))))</f>
        <v>2590</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2" t="e">
        <f t="shared" si="42"/>
        <v>#VALUE!</v>
      </c>
      <c r="DY667" s="1362"/>
      <c r="DZ667" s="1362"/>
      <c r="EA667" s="1362"/>
      <c r="EB667" s="1362"/>
      <c r="EC667" s="1362" t="e">
        <f t="shared" si="43"/>
        <v>#VALUE!</v>
      </c>
      <c r="ED667" s="1362"/>
      <c r="EE667" s="1362"/>
      <c r="EF667" s="1362"/>
      <c r="EG667" s="1362"/>
      <c r="EH667" s="1362" t="e">
        <f t="shared" si="44"/>
        <v>#VALUE!</v>
      </c>
      <c r="EI667" s="1362"/>
      <c r="EJ667" s="1362"/>
      <c r="EK667" s="1362"/>
      <c r="EL667" s="1362"/>
      <c r="EM667" s="1362" t="e">
        <f t="shared" si="45"/>
        <v>#VALUE!</v>
      </c>
      <c r="EN667" s="1362"/>
      <c r="EO667" s="1362"/>
      <c r="EP667" s="1362"/>
      <c r="EQ667" s="1362"/>
      <c r="ER667" s="1362" t="e">
        <f t="shared" si="46"/>
        <v>#VALUE!</v>
      </c>
      <c r="ES667" s="1362"/>
      <c r="ET667" s="1362"/>
      <c r="EU667" s="1362"/>
      <c r="EV667" s="1362"/>
      <c r="EW667" s="1362" t="e">
        <f t="shared" si="47"/>
        <v>#VALUE!</v>
      </c>
      <c r="EX667" s="1362"/>
      <c r="EY667" s="1362"/>
      <c r="EZ667" s="1362"/>
      <c r="FA667" s="1362"/>
    </row>
    <row r="668" spans="1:157" ht="13" customHeight="1">
      <c r="A668" s="22"/>
      <c r="B668" t="s">
        <v>85</v>
      </c>
      <c r="G668" s="1385" t="s">
        <v>2703</v>
      </c>
      <c r="H668" s="1385"/>
      <c r="I668" s="1385"/>
      <c r="J668" s="1385"/>
      <c r="K668" s="1385"/>
      <c r="L668" s="1385"/>
      <c r="M668" s="1385"/>
      <c r="N668" s="1385"/>
      <c r="O668" s="1385"/>
      <c r="P668" s="1385"/>
      <c r="Q668" s="1385"/>
      <c r="R668" s="1385"/>
      <c r="T668" s="22"/>
      <c r="U668" t="s">
        <v>85</v>
      </c>
      <c r="Z668" s="1385" t="s">
        <v>2703</v>
      </c>
      <c r="AA668" s="1385"/>
      <c r="AB668" s="1385"/>
      <c r="AC668" s="1385"/>
      <c r="AD668" s="1385"/>
      <c r="AE668" s="1385"/>
      <c r="AF668" s="1385"/>
      <c r="AG668" s="1385"/>
      <c r="AH668" s="1385"/>
      <c r="AI668" s="1385"/>
      <c r="AJ668" s="1385"/>
      <c r="AK668" s="1385"/>
      <c r="AZ668" s="3"/>
      <c r="BA668" s="118">
        <f t="shared" si="48"/>
        <v>2590</v>
      </c>
      <c r="BB668" s="3"/>
      <c r="BC668" s="3"/>
      <c r="BD668" s="3"/>
      <c r="BE668" s="3"/>
      <c r="BF668" s="218"/>
      <c r="BG668" s="315">
        <f t="shared" ref="BG668:BG700" si="49">G718</f>
        <v>72</v>
      </c>
      <c r="BH668" s="319">
        <f t="shared" ref="BH668:BH702" si="50">IF($BG$703=0,0,BG668/$BG$703)</f>
        <v>0.51428571428571423</v>
      </c>
      <c r="BI668" s="320">
        <f t="shared" ref="BI668:BI691" si="51">IF(BH668=0,"",BH668*AC718)</f>
        <v>0.15428571428571428</v>
      </c>
      <c r="BJ668" s="3"/>
      <c r="BK668" s="3"/>
      <c r="BL668" s="3"/>
      <c r="BM668" s="3"/>
      <c r="BN668" s="3"/>
      <c r="BO668" s="3"/>
      <c r="BT668" s="315">
        <f t="shared" ref="BT668:BT700" si="52">G718</f>
        <v>72</v>
      </c>
      <c r="BU668" s="319">
        <f t="shared" ref="BU668:BU702" si="53">IF($BT$703=0,0,BT668/$BT$703)</f>
        <v>0.51428571428571423</v>
      </c>
      <c r="BV668" s="320">
        <f t="shared" ref="BV668:BV700" si="54">IF(BU668=0,"",BU668*AH718)</f>
        <v>0.15428571428571428</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2" t="e">
        <f>DX630*(BN630/$BN$632)</f>
        <v>#VALUE!</v>
      </c>
      <c r="DY668" s="1362"/>
      <c r="DZ668" s="1362"/>
      <c r="EA668" s="1362"/>
      <c r="EB668" s="1362"/>
      <c r="EC668" s="1362" t="e">
        <f>EC630*(BS630/$BS$632)</f>
        <v>#VALUE!</v>
      </c>
      <c r="ED668" s="1362"/>
      <c r="EE668" s="1362"/>
      <c r="EF668" s="1362"/>
      <c r="EG668" s="1362"/>
      <c r="EH668" s="1362" t="e">
        <f>EH630*(BX630/$BX$632)</f>
        <v>#VALUE!</v>
      </c>
      <c r="EI668" s="1362"/>
      <c r="EJ668" s="1362"/>
      <c r="EK668" s="1362"/>
      <c r="EL668" s="1362"/>
      <c r="EM668" s="1362" t="e">
        <f>EM630*(CC630/$CC$632)</f>
        <v>#VALUE!</v>
      </c>
      <c r="EN668" s="1362"/>
      <c r="EO668" s="1362"/>
      <c r="EP668" s="1362"/>
      <c r="EQ668" s="1362"/>
      <c r="ER668" s="1362" t="e">
        <f>ER630*(CH630/$CH$632)</f>
        <v>#VALUE!</v>
      </c>
      <c r="ES668" s="1362"/>
      <c r="ET668" s="1362"/>
      <c r="EU668" s="1362"/>
      <c r="EV668" s="1362"/>
      <c r="EW668" s="1362" t="e">
        <f>EW630*(CM630/$CM$632)</f>
        <v>#VALUE!</v>
      </c>
      <c r="EX668" s="1362"/>
      <c r="EY668" s="1362"/>
      <c r="EZ668" s="1362"/>
      <c r="FA668" s="1362"/>
    </row>
    <row r="669" spans="1:157" ht="13" customHeight="1">
      <c r="A669" s="22"/>
      <c r="B669" t="s">
        <v>589</v>
      </c>
      <c r="G669" s="1385" t="s">
        <v>2653</v>
      </c>
      <c r="H669" s="1385"/>
      <c r="I669" s="1385"/>
      <c r="J669" s="1385"/>
      <c r="K669" s="1385"/>
      <c r="L669" s="1385"/>
      <c r="M669" s="1385"/>
      <c r="N669" s="1385"/>
      <c r="O669" s="1385"/>
      <c r="P669" s="1385"/>
      <c r="Q669" s="1385"/>
      <c r="R669" s="1385"/>
      <c r="T669" s="22"/>
      <c r="U669" t="s">
        <v>589</v>
      </c>
      <c r="Z669" s="1395" t="s">
        <v>2653</v>
      </c>
      <c r="AA669" s="1395"/>
      <c r="AB669" s="1395"/>
      <c r="AC669" s="1395"/>
      <c r="AD669" s="1395"/>
      <c r="AE669" s="1395"/>
      <c r="AF669" s="1395"/>
      <c r="AG669" s="1395"/>
      <c r="AH669" s="1395"/>
      <c r="AI669" s="1395"/>
      <c r="AJ669" s="1395"/>
      <c r="AK669" s="1395"/>
      <c r="AZ669" s="3"/>
      <c r="BA669" s="118">
        <f t="shared" si="48"/>
        <v>2590</v>
      </c>
      <c r="BB669" s="3"/>
      <c r="BC669" s="3"/>
      <c r="BD669" s="3"/>
      <c r="BE669" s="3"/>
      <c r="BF669" s="218"/>
      <c r="BG669" s="316">
        <f t="shared" si="49"/>
        <v>2</v>
      </c>
      <c r="BH669" s="319">
        <f t="shared" si="50"/>
        <v>1.4285714285714285E-2</v>
      </c>
      <c r="BI669" s="320">
        <f t="shared" si="51"/>
        <v>5.7142857142857143E-3</v>
      </c>
      <c r="BJ669" s="3"/>
      <c r="BK669" s="3"/>
      <c r="BL669" s="3"/>
      <c r="BM669" s="3"/>
      <c r="BN669" s="3"/>
      <c r="BO669" s="3"/>
      <c r="BT669" s="316">
        <f t="shared" si="52"/>
        <v>2</v>
      </c>
      <c r="BU669" s="319">
        <f t="shared" si="53"/>
        <v>1.4285714285714285E-2</v>
      </c>
      <c r="BV669" s="320">
        <f t="shared" si="54"/>
        <v>5.7142857142857143E-3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2" t="e">
        <f>DX631*(BN631/$BN$632)</f>
        <v>#VALUE!</v>
      </c>
      <c r="DY669" s="1362"/>
      <c r="DZ669" s="1362"/>
      <c r="EA669" s="1362"/>
      <c r="EB669" s="1362"/>
      <c r="EC669" s="1362" t="e">
        <f>EC631*(BS631/$BS$632)</f>
        <v>#VALUE!</v>
      </c>
      <c r="ED669" s="1362"/>
      <c r="EE669" s="1362"/>
      <c r="EF669" s="1362"/>
      <c r="EG669" s="1362"/>
      <c r="EH669" s="1362" t="e">
        <f>EH631*(BX631/$BX$632)</f>
        <v>#VALUE!</v>
      </c>
      <c r="EI669" s="1362"/>
      <c r="EJ669" s="1362"/>
      <c r="EK669" s="1362"/>
      <c r="EL669" s="1362"/>
      <c r="EM669" s="1362" t="e">
        <f>EM631*(CC631/$CC$632)</f>
        <v>#VALUE!</v>
      </c>
      <c r="EN669" s="1362"/>
      <c r="EO669" s="1362"/>
      <c r="EP669" s="1362"/>
      <c r="EQ669" s="1362"/>
      <c r="ER669" s="1362" t="e">
        <f>ER631*(CH631/$CH$632)</f>
        <v>#VALUE!</v>
      </c>
      <c r="ES669" s="1362"/>
      <c r="ET669" s="1362"/>
      <c r="EU669" s="1362"/>
      <c r="EV669" s="1362"/>
      <c r="EW669" s="1362" t="e">
        <f>EW631*(CM631/$CM$632)</f>
        <v>#VALUE!</v>
      </c>
      <c r="EX669" s="1362"/>
      <c r="EY669" s="1362"/>
      <c r="EZ669" s="1362"/>
      <c r="FA669" s="1362"/>
    </row>
    <row r="670" spans="1:157" ht="13" customHeight="1">
      <c r="A670" s="22"/>
      <c r="B670" t="s">
        <v>17</v>
      </c>
      <c r="G670" s="1385" t="s">
        <v>2641</v>
      </c>
      <c r="H670" s="1385"/>
      <c r="I670" s="1385"/>
      <c r="J670" s="1385"/>
      <c r="K670" s="1385"/>
      <c r="L670" s="1385"/>
      <c r="M670" s="1385"/>
      <c r="N670" s="1385"/>
      <c r="O670" s="1385"/>
      <c r="P670" s="1385"/>
      <c r="Q670" s="1385"/>
      <c r="R670" s="1385"/>
      <c r="T670" s="22"/>
      <c r="U670" t="s">
        <v>17</v>
      </c>
      <c r="Z670" s="1395" t="s">
        <v>2641</v>
      </c>
      <c r="AA670" s="1395"/>
      <c r="AB670" s="1395"/>
      <c r="AC670" s="1395"/>
      <c r="AD670" s="1395"/>
      <c r="AE670" s="1395"/>
      <c r="AF670" s="1395"/>
      <c r="AG670" s="1395"/>
      <c r="AH670" s="1395"/>
      <c r="AI670" s="1395"/>
      <c r="AJ670" s="1395"/>
      <c r="AK670" s="1395"/>
      <c r="AZ670" s="3"/>
      <c r="BA670" s="118" t="str">
        <f t="shared" si="48"/>
        <v>N/A</v>
      </c>
      <c r="BB670" s="3"/>
      <c r="BC670" s="3"/>
      <c r="BD670" s="3"/>
      <c r="BE670" s="3"/>
      <c r="BF670" s="218"/>
      <c r="BG670" s="316">
        <f t="shared" si="49"/>
        <v>66</v>
      </c>
      <c r="BH670" s="319">
        <f t="shared" si="50"/>
        <v>0.47142857142857142</v>
      </c>
      <c r="BI670" s="320">
        <f t="shared" si="51"/>
        <v>0.23571428571428571</v>
      </c>
      <c r="BJ670" s="3"/>
      <c r="BK670" s="3"/>
      <c r="BL670" s="3"/>
      <c r="BM670" s="3"/>
      <c r="BN670" s="3"/>
      <c r="BO670" s="3"/>
      <c r="BT670" s="316">
        <f t="shared" si="52"/>
        <v>66</v>
      </c>
      <c r="BU670" s="319">
        <f t="shared" si="53"/>
        <v>0.47142857142857142</v>
      </c>
      <c r="BV670" s="320">
        <f t="shared" si="54"/>
        <v>0.23571428571428571</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2">
        <f>SUMIF(DX635:EB669,"&gt;0")</f>
        <v>1024.9000000000001</v>
      </c>
      <c r="DY670" s="1362"/>
      <c r="DZ670" s="1362"/>
      <c r="EA670" s="1362"/>
      <c r="EB670" s="1362"/>
      <c r="EC670" s="1362">
        <f>SUMIF(EC635:EG669,"&gt;0")</f>
        <v>0</v>
      </c>
      <c r="ED670" s="1362"/>
      <c r="EE670" s="1362"/>
      <c r="EF670" s="1362"/>
      <c r="EG670" s="1362"/>
      <c r="EH670" s="1362">
        <f>SUMIF(EH635:EL669,"&gt;0")</f>
        <v>0</v>
      </c>
      <c r="EI670" s="1362"/>
      <c r="EJ670" s="1362"/>
      <c r="EK670" s="1362"/>
      <c r="EL670" s="1362"/>
      <c r="EM670" s="1362">
        <f>SUMIF(EM635:EQ669,"&gt;0")</f>
        <v>0</v>
      </c>
      <c r="EN670" s="1362"/>
      <c r="EO670" s="1362"/>
      <c r="EP670" s="1362"/>
      <c r="EQ670" s="1362"/>
      <c r="ER670" s="1362">
        <f>SUMIF(ER635:EV669,"&gt;0")</f>
        <v>0</v>
      </c>
      <c r="ES670" s="1362"/>
      <c r="ET670" s="1362"/>
      <c r="EU670" s="1362"/>
      <c r="EV670" s="1362"/>
      <c r="EW670" s="1362">
        <f>SUMIF(EW635:FA669,"&gt;0")</f>
        <v>0</v>
      </c>
      <c r="EX670" s="1362"/>
      <c r="EY670" s="1362"/>
      <c r="EZ670" s="1362"/>
      <c r="FA670" s="1362"/>
    </row>
    <row r="671" spans="1:157" ht="13" customHeight="1">
      <c r="A671" s="22"/>
      <c r="B671" t="s">
        <v>317</v>
      </c>
      <c r="G671" s="1394" t="s">
        <v>2648</v>
      </c>
      <c r="H671" s="1394"/>
      <c r="I671" s="1394"/>
      <c r="J671" s="1394"/>
      <c r="K671" s="1394"/>
      <c r="L671" s="1394"/>
      <c r="O671" s="33" t="s">
        <v>207</v>
      </c>
      <c r="P671" s="1386"/>
      <c r="Q671" s="1386"/>
      <c r="R671" s="1386"/>
      <c r="T671" s="22"/>
      <c r="U671" t="s">
        <v>317</v>
      </c>
      <c r="Z671" s="1394" t="s">
        <v>2648</v>
      </c>
      <c r="AA671" s="1394"/>
      <c r="AB671" s="1394"/>
      <c r="AC671" s="1394"/>
      <c r="AD671" s="1394"/>
      <c r="AE671" s="1394"/>
      <c r="AH671" s="33" t="s">
        <v>207</v>
      </c>
      <c r="AI671" s="1386"/>
      <c r="AJ671" s="1386"/>
      <c r="AK671" s="1386"/>
      <c r="AZ671" s="3"/>
      <c r="BA671" s="118" t="str">
        <f t="shared" si="48"/>
        <v>N/A</v>
      </c>
      <c r="BB671" s="3"/>
      <c r="BC671" s="3"/>
      <c r="BD671" s="3"/>
      <c r="BE671" s="3"/>
      <c r="BF671" s="218"/>
      <c r="BG671" s="316">
        <f t="shared" si="49"/>
        <v>0</v>
      </c>
      <c r="BH671" s="319">
        <f t="shared" si="50"/>
        <v>0</v>
      </c>
      <c r="BI671" s="320" t="str">
        <f t="shared" si="51"/>
        <v/>
      </c>
      <c r="BJ671" s="3"/>
      <c r="BK671" s="3"/>
      <c r="BL671" s="3"/>
      <c r="BM671" s="3"/>
      <c r="BN671" s="3"/>
      <c r="BO671" s="3"/>
      <c r="BT671" s="316">
        <f t="shared" si="52"/>
        <v>0</v>
      </c>
      <c r="BU671" s="319">
        <f t="shared" si="53"/>
        <v>0</v>
      </c>
      <c r="BV671" s="320" t="str">
        <f t="shared" si="54"/>
        <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96" t="s">
        <v>2693</v>
      </c>
      <c r="I672" s="1385"/>
      <c r="J672" s="1385"/>
      <c r="K672" s="1385"/>
      <c r="L672" s="1385"/>
      <c r="M672" s="1385"/>
      <c r="N672" s="1385"/>
      <c r="O672" s="1385"/>
      <c r="P672" s="1385"/>
      <c r="Q672" s="1385"/>
      <c r="R672" s="1385"/>
      <c r="T672" s="22"/>
      <c r="U672" t="s">
        <v>18</v>
      </c>
      <c r="AA672" s="1396" t="s">
        <v>2752</v>
      </c>
      <c r="AB672" s="1385"/>
      <c r="AC672" s="1385"/>
      <c r="AD672" s="1385"/>
      <c r="AE672" s="1385"/>
      <c r="AF672" s="1385"/>
      <c r="AG672" s="1385"/>
      <c r="AH672" s="1385"/>
      <c r="AI672" s="1385"/>
      <c r="AJ672" s="1385"/>
      <c r="AK672" s="1385"/>
      <c r="AZ672" s="3"/>
      <c r="BA672" s="118" t="str">
        <f t="shared" si="48"/>
        <v>N/A</v>
      </c>
      <c r="BB672" s="3"/>
      <c r="BC672" s="3"/>
      <c r="BD672" s="3"/>
      <c r="BE672" s="3"/>
      <c r="BF672" s="218"/>
      <c r="BG672" s="316">
        <f t="shared" si="49"/>
        <v>0</v>
      </c>
      <c r="BH672" s="319">
        <f t="shared" si="50"/>
        <v>0</v>
      </c>
      <c r="BI672" s="320" t="str">
        <f t="shared" si="51"/>
        <v/>
      </c>
      <c r="BJ672" s="3"/>
      <c r="BK672" s="3"/>
      <c r="BL672" s="3"/>
      <c r="BM672" s="3"/>
      <c r="BN672" s="3"/>
      <c r="BO672" s="3"/>
      <c r="BT672" s="316">
        <f t="shared" si="52"/>
        <v>0</v>
      </c>
      <c r="BU672" s="319">
        <f t="shared" si="53"/>
        <v>0</v>
      </c>
      <c r="BV672" s="320" t="str">
        <f t="shared" si="54"/>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2"/>
      <c r="B673" t="s">
        <v>20</v>
      </c>
      <c r="N673" s="1381" t="s">
        <v>554</v>
      </c>
      <c r="O673" s="1381"/>
      <c r="T673" s="22"/>
      <c r="U673" t="s">
        <v>20</v>
      </c>
      <c r="AG673" s="1381" t="s">
        <v>554</v>
      </c>
      <c r="AH673" s="1381"/>
      <c r="AZ673" s="3"/>
      <c r="BA673" s="118" t="str">
        <f t="shared" si="48"/>
        <v>N/A</v>
      </c>
      <c r="BB673" s="3"/>
      <c r="BC673" s="3"/>
      <c r="BD673" s="3"/>
      <c r="BE673" s="3"/>
      <c r="BF673" s="218"/>
      <c r="BG673" s="316">
        <f t="shared" si="49"/>
        <v>0</v>
      </c>
      <c r="BH673" s="319">
        <f t="shared" si="50"/>
        <v>0</v>
      </c>
      <c r="BI673" s="320" t="str">
        <f t="shared" si="51"/>
        <v/>
      </c>
      <c r="BJ673" s="3"/>
      <c r="BK673" s="3"/>
      <c r="BL673" s="3"/>
      <c r="BM673" s="3"/>
      <c r="BN673" s="3"/>
      <c r="BO673" s="3"/>
      <c r="BT673" s="316">
        <f t="shared" si="52"/>
        <v>0</v>
      </c>
      <c r="BU673" s="319">
        <f t="shared" si="53"/>
        <v>0</v>
      </c>
      <c r="BV673" s="320" t="str">
        <f t="shared" si="54"/>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2"/>
      <c r="T674" s="22"/>
      <c r="AZ674" s="3"/>
      <c r="BA674" s="118" t="str">
        <f t="shared" si="48"/>
        <v>N/A</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55" t="s">
        <v>470</v>
      </c>
      <c r="B675" t="s">
        <v>472</v>
      </c>
      <c r="G675" s="1393">
        <f>C635</f>
        <v>0</v>
      </c>
      <c r="H675" s="1393"/>
      <c r="I675" s="1393"/>
      <c r="J675" s="1393"/>
      <c r="K675" s="1393"/>
      <c r="L675" s="1393"/>
      <c r="M675" s="1393"/>
      <c r="N675" s="1393"/>
      <c r="O675" s="1393"/>
      <c r="P675" s="1393"/>
      <c r="Q675" s="1393"/>
      <c r="R675" s="1393"/>
      <c r="T675" s="55" t="s">
        <v>655</v>
      </c>
      <c r="U675" t="s">
        <v>472</v>
      </c>
      <c r="Z675" s="1393">
        <f>C636</f>
        <v>0</v>
      </c>
      <c r="AA675" s="1393"/>
      <c r="AB675" s="1393"/>
      <c r="AC675" s="1393"/>
      <c r="AD675" s="1393"/>
      <c r="AE675" s="1393"/>
      <c r="AF675" s="1393"/>
      <c r="AG675" s="1393"/>
      <c r="AH675" s="1393"/>
      <c r="AI675" s="1393"/>
      <c r="AJ675" s="1393"/>
      <c r="AK675" s="1393"/>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2"/>
      <c r="B676" t="s">
        <v>85</v>
      </c>
      <c r="G676" s="1385"/>
      <c r="H676" s="1385"/>
      <c r="I676" s="1385"/>
      <c r="J676" s="1385"/>
      <c r="K676" s="1385"/>
      <c r="L676" s="1385"/>
      <c r="M676" s="1385"/>
      <c r="N676" s="1385"/>
      <c r="O676" s="1385"/>
      <c r="P676" s="1385"/>
      <c r="Q676" s="1385"/>
      <c r="R676" s="1385"/>
      <c r="T676" s="22"/>
      <c r="U676" t="s">
        <v>85</v>
      </c>
      <c r="Z676" s="1385"/>
      <c r="AA676" s="1385"/>
      <c r="AB676" s="1385"/>
      <c r="AC676" s="1385"/>
      <c r="AD676" s="1385"/>
      <c r="AE676" s="1385"/>
      <c r="AF676" s="1385"/>
      <c r="AG676" s="1385"/>
      <c r="AH676" s="1385"/>
      <c r="AI676" s="1385"/>
      <c r="AJ676" s="1385"/>
      <c r="AK676" s="1385"/>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2"/>
      <c r="B677" t="s">
        <v>589</v>
      </c>
      <c r="G677" s="1385"/>
      <c r="H677" s="1385"/>
      <c r="I677" s="1385"/>
      <c r="J677" s="1385"/>
      <c r="K677" s="1385"/>
      <c r="L677" s="1385"/>
      <c r="M677" s="1385"/>
      <c r="N677" s="1385"/>
      <c r="O677" s="1385"/>
      <c r="P677" s="1385"/>
      <c r="Q677" s="1385"/>
      <c r="R677" s="1385"/>
      <c r="T677" s="22"/>
      <c r="U677" t="s">
        <v>589</v>
      </c>
      <c r="Z677" s="1395"/>
      <c r="AA677" s="1395"/>
      <c r="AB677" s="1395"/>
      <c r="AC677" s="1395"/>
      <c r="AD677" s="1395"/>
      <c r="AE677" s="1395"/>
      <c r="AF677" s="1395"/>
      <c r="AG677" s="1395"/>
      <c r="AH677" s="1395"/>
      <c r="AI677" s="1395"/>
      <c r="AJ677" s="1395"/>
      <c r="AK677" s="1395"/>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2"/>
      <c r="B678" t="s">
        <v>17</v>
      </c>
      <c r="G678" s="1385"/>
      <c r="H678" s="1385"/>
      <c r="I678" s="1385"/>
      <c r="J678" s="1385"/>
      <c r="K678" s="1385"/>
      <c r="L678" s="1385"/>
      <c r="M678" s="1385"/>
      <c r="N678" s="1385"/>
      <c r="O678" s="1385"/>
      <c r="P678" s="1385"/>
      <c r="Q678" s="1385"/>
      <c r="R678" s="1385"/>
      <c r="T678" s="22"/>
      <c r="U678" t="s">
        <v>17</v>
      </c>
      <c r="Z678" s="1395"/>
      <c r="AA678" s="1395"/>
      <c r="AB678" s="1395"/>
      <c r="AC678" s="1395"/>
      <c r="AD678" s="1395"/>
      <c r="AE678" s="1395"/>
      <c r="AF678" s="1395"/>
      <c r="AG678" s="1395"/>
      <c r="AH678" s="1395"/>
      <c r="AI678" s="1395"/>
      <c r="AJ678" s="1395"/>
      <c r="AK678" s="1395"/>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2"/>
      <c r="B679" t="s">
        <v>317</v>
      </c>
      <c r="G679" s="1394"/>
      <c r="H679" s="1394"/>
      <c r="I679" s="1394"/>
      <c r="J679" s="1394"/>
      <c r="K679" s="1394"/>
      <c r="L679" s="1394"/>
      <c r="O679" s="33" t="s">
        <v>207</v>
      </c>
      <c r="P679" s="1386"/>
      <c r="Q679" s="1386"/>
      <c r="R679" s="1386"/>
      <c r="T679" s="22"/>
      <c r="U679" t="s">
        <v>317</v>
      </c>
      <c r="Z679" s="1394"/>
      <c r="AA679" s="1394"/>
      <c r="AB679" s="1394"/>
      <c r="AC679" s="1394"/>
      <c r="AD679" s="1394"/>
      <c r="AE679" s="1394"/>
      <c r="AH679" s="33" t="s">
        <v>207</v>
      </c>
      <c r="AI679" s="1386"/>
      <c r="AJ679" s="1386"/>
      <c r="AK679" s="1386"/>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2"/>
      <c r="B680" t="s">
        <v>18</v>
      </c>
      <c r="H680" s="1385"/>
      <c r="I680" s="1385"/>
      <c r="J680" s="1385"/>
      <c r="K680" s="1385"/>
      <c r="L680" s="1385"/>
      <c r="M680" s="1385"/>
      <c r="N680" s="1385"/>
      <c r="O680" s="1385"/>
      <c r="P680" s="1385"/>
      <c r="Q680" s="1385"/>
      <c r="R680" s="1385"/>
      <c r="T680" s="22"/>
      <c r="U680" t="s">
        <v>18</v>
      </c>
      <c r="AA680" s="1385"/>
      <c r="AB680" s="1385"/>
      <c r="AC680" s="1385"/>
      <c r="AD680" s="1385"/>
      <c r="AE680" s="1385"/>
      <c r="AF680" s="1385"/>
      <c r="AG680" s="1385"/>
      <c r="AH680" s="1385"/>
      <c r="AI680" s="1385"/>
      <c r="AJ680" s="1385"/>
      <c r="AK680" s="1385"/>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2"/>
      <c r="B681" t="s">
        <v>20</v>
      </c>
      <c r="N681" s="1381" t="s">
        <v>678</v>
      </c>
      <c r="O681" s="1381"/>
      <c r="T681" s="22"/>
      <c r="U681" t="s">
        <v>20</v>
      </c>
      <c r="AG681" s="1381" t="s">
        <v>678</v>
      </c>
      <c r="AH681" s="1381"/>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55" t="s">
        <v>363</v>
      </c>
      <c r="B683" t="s">
        <v>472</v>
      </c>
      <c r="G683" s="1393">
        <f>C637</f>
        <v>0</v>
      </c>
      <c r="H683" s="1393"/>
      <c r="I683" s="1393"/>
      <c r="J683" s="1393"/>
      <c r="K683" s="1393"/>
      <c r="L683" s="1393"/>
      <c r="M683" s="1393"/>
      <c r="N683" s="1393"/>
      <c r="O683" s="1393"/>
      <c r="P683" s="1393"/>
      <c r="Q683" s="1393"/>
      <c r="R683" s="1393"/>
      <c r="T683" s="55" t="s">
        <v>364</v>
      </c>
      <c r="U683" t="s">
        <v>472</v>
      </c>
      <c r="Z683" s="1393">
        <f>C638</f>
        <v>0</v>
      </c>
      <c r="AA683" s="1393"/>
      <c r="AB683" s="1393"/>
      <c r="AC683" s="1393"/>
      <c r="AD683" s="1393"/>
      <c r="AE683" s="1393"/>
      <c r="AF683" s="1393"/>
      <c r="AG683" s="1393"/>
      <c r="AH683" s="1393"/>
      <c r="AI683" s="1393"/>
      <c r="AJ683" s="1393"/>
      <c r="AK683" s="1393"/>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85</v>
      </c>
      <c r="G684" s="1385"/>
      <c r="H684" s="1385"/>
      <c r="I684" s="1385"/>
      <c r="J684" s="1385"/>
      <c r="K684" s="1385"/>
      <c r="L684" s="1385"/>
      <c r="M684" s="1385"/>
      <c r="N684" s="1385"/>
      <c r="O684" s="1385"/>
      <c r="P684" s="1385"/>
      <c r="Q684" s="1385"/>
      <c r="R684" s="1385"/>
      <c r="T684" s="22"/>
      <c r="U684" t="s">
        <v>85</v>
      </c>
      <c r="Z684" s="1385"/>
      <c r="AA684" s="1385"/>
      <c r="AB684" s="1385"/>
      <c r="AC684" s="1385"/>
      <c r="AD684" s="1385"/>
      <c r="AE684" s="1385"/>
      <c r="AF684" s="1385"/>
      <c r="AG684" s="1385"/>
      <c r="AH684" s="1385"/>
      <c r="AI684" s="1385"/>
      <c r="AJ684" s="1385"/>
      <c r="AK684" s="1385"/>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589</v>
      </c>
      <c r="G685" s="1385"/>
      <c r="H685" s="1385"/>
      <c r="I685" s="1385"/>
      <c r="J685" s="1385"/>
      <c r="K685" s="1385"/>
      <c r="L685" s="1385"/>
      <c r="M685" s="1385"/>
      <c r="N685" s="1385"/>
      <c r="O685" s="1385"/>
      <c r="P685" s="1385"/>
      <c r="Q685" s="1385"/>
      <c r="R685" s="1385"/>
      <c r="U685" t="s">
        <v>589</v>
      </c>
      <c r="Z685" s="1395"/>
      <c r="AA685" s="1395"/>
      <c r="AB685" s="1395"/>
      <c r="AC685" s="1395"/>
      <c r="AD685" s="1395"/>
      <c r="AE685" s="1395"/>
      <c r="AF685" s="1395"/>
      <c r="AG685" s="1395"/>
      <c r="AH685" s="1395"/>
      <c r="AI685" s="1395"/>
      <c r="AJ685" s="1395"/>
      <c r="AK685" s="1395"/>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17</v>
      </c>
      <c r="G686" s="1385"/>
      <c r="H686" s="1385"/>
      <c r="I686" s="1385"/>
      <c r="J686" s="1385"/>
      <c r="K686" s="1385"/>
      <c r="L686" s="1385"/>
      <c r="M686" s="1385"/>
      <c r="N686" s="1385"/>
      <c r="O686" s="1385"/>
      <c r="P686" s="1385"/>
      <c r="Q686" s="1385"/>
      <c r="R686" s="1385"/>
      <c r="U686" t="s">
        <v>17</v>
      </c>
      <c r="Z686" s="1395"/>
      <c r="AA686" s="1395"/>
      <c r="AB686" s="1395"/>
      <c r="AC686" s="1395"/>
      <c r="AD686" s="1395"/>
      <c r="AE686" s="1395"/>
      <c r="AF686" s="1395"/>
      <c r="AG686" s="1395"/>
      <c r="AH686" s="1395"/>
      <c r="AI686" s="1395"/>
      <c r="AJ686" s="1395"/>
      <c r="AK686" s="1395"/>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317</v>
      </c>
      <c r="G687" s="1394"/>
      <c r="H687" s="1394"/>
      <c r="I687" s="1394"/>
      <c r="J687" s="1394"/>
      <c r="K687" s="1394"/>
      <c r="L687" s="1394"/>
      <c r="O687" s="33" t="s">
        <v>207</v>
      </c>
      <c r="P687" s="1386"/>
      <c r="Q687" s="1386"/>
      <c r="R687" s="1386"/>
      <c r="U687" t="s">
        <v>317</v>
      </c>
      <c r="Z687" s="1394"/>
      <c r="AA687" s="1394"/>
      <c r="AB687" s="1394"/>
      <c r="AC687" s="1394"/>
      <c r="AD687" s="1394"/>
      <c r="AE687" s="1394"/>
      <c r="AH687" s="33" t="s">
        <v>207</v>
      </c>
      <c r="AI687" s="1386"/>
      <c r="AJ687" s="1386"/>
      <c r="AK687" s="1386"/>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18</v>
      </c>
      <c r="H688" s="1385"/>
      <c r="I688" s="1385"/>
      <c r="J688" s="1385"/>
      <c r="K688" s="1385"/>
      <c r="L688" s="1385"/>
      <c r="M688" s="1385"/>
      <c r="N688" s="1385"/>
      <c r="O688" s="1385"/>
      <c r="P688" s="1385"/>
      <c r="Q688" s="1385"/>
      <c r="R688" s="1385"/>
      <c r="U688" t="s">
        <v>18</v>
      </c>
      <c r="AA688" s="1385"/>
      <c r="AB688" s="1385"/>
      <c r="AC688" s="1385"/>
      <c r="AD688" s="1385"/>
      <c r="AE688" s="1385"/>
      <c r="AF688" s="1385"/>
      <c r="AG688" s="1385"/>
      <c r="AH688" s="1385"/>
      <c r="AI688" s="1385"/>
      <c r="AJ688" s="1385"/>
      <c r="AK688" s="1385"/>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20</v>
      </c>
      <c r="N689" s="1381" t="s">
        <v>678</v>
      </c>
      <c r="O689" s="1381"/>
      <c r="U689" t="s">
        <v>20</v>
      </c>
      <c r="AG689" s="1381" t="s">
        <v>678</v>
      </c>
      <c r="AH689" s="1381"/>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35"/>
      <c r="C693" s="135"/>
      <c r="E693" s="136" t="s">
        <v>437</v>
      </c>
      <c r="F693" s="135"/>
      <c r="G693" s="135"/>
      <c r="H693" s="135"/>
      <c r="AE693" s="1381" t="s">
        <v>554</v>
      </c>
      <c r="AF693" s="1381"/>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35"/>
      <c r="C694" s="135"/>
      <c r="D694" s="136" t="s">
        <v>440</v>
      </c>
      <c r="E694" s="135"/>
      <c r="F694" s="135"/>
      <c r="G694" s="135"/>
      <c r="H694" s="135"/>
      <c r="AE694" s="1381" t="s">
        <v>554</v>
      </c>
      <c r="AF694" s="1381"/>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35"/>
      <c r="C695" s="135"/>
      <c r="D695" s="136" t="s">
        <v>940</v>
      </c>
      <c r="E695" s="135"/>
      <c r="F695" s="135"/>
      <c r="G695" s="135"/>
      <c r="H695" s="135"/>
      <c r="AE695" s="1557">
        <v>45405</v>
      </c>
      <c r="AF695" s="1557"/>
      <c r="AG695" s="1557"/>
      <c r="AH695" s="1557"/>
      <c r="AI695" s="1557"/>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35"/>
      <c r="C696" s="135"/>
      <c r="D696" s="343" t="s">
        <v>1003</v>
      </c>
      <c r="E696" s="135"/>
      <c r="F696" s="135"/>
      <c r="G696" s="135"/>
      <c r="H696" s="135"/>
      <c r="AE696" s="1398">
        <v>45511</v>
      </c>
      <c r="AF696" s="1398"/>
      <c r="AG696" s="1398"/>
      <c r="AH696" s="1398"/>
      <c r="AI696" s="1398"/>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35"/>
      <c r="C698" s="135"/>
      <c r="D698" s="136" t="s">
        <v>826</v>
      </c>
      <c r="E698" s="135"/>
      <c r="F698" s="135"/>
      <c r="G698" s="135"/>
      <c r="H698" s="135"/>
      <c r="AE698" s="1557">
        <v>45695</v>
      </c>
      <c r="AF698" s="1557"/>
      <c r="AG698" s="1557"/>
      <c r="AH698" s="1557"/>
      <c r="AI698" s="1557"/>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35"/>
      <c r="C699" s="135"/>
      <c r="D699" s="136" t="s">
        <v>438</v>
      </c>
      <c r="E699" s="135"/>
      <c r="F699" s="135"/>
      <c r="G699" s="135"/>
      <c r="H699" s="135"/>
      <c r="AE699" s="1605">
        <f>AM554/SUM('Sources and Uses Budget'!S107,'Sources and Uses Budget'!C4,'Sources and Uses Budget'!C5,'Sources and Uses Budget'!T107)</f>
        <v>0.51002963397909462</v>
      </c>
      <c r="AF699" s="1605"/>
      <c r="AG699" s="1605"/>
      <c r="AH699" s="1605"/>
      <c r="AI699" s="1605"/>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35"/>
      <c r="C700" s="135"/>
      <c r="D700" s="136" t="s">
        <v>439</v>
      </c>
      <c r="E700" s="135"/>
      <c r="F700" s="135"/>
      <c r="G700" s="135"/>
      <c r="H700" s="135"/>
      <c r="W700" s="1393" t="str">
        <f>H335</f>
        <v>California Muncipal Financial Authority</v>
      </c>
      <c r="X700" s="1393"/>
      <c r="Y700" s="1393"/>
      <c r="Z700" s="1393"/>
      <c r="AA700" s="1393"/>
      <c r="AB700" s="1393"/>
      <c r="AC700" s="1393"/>
      <c r="AD700" s="1393"/>
      <c r="AE700" s="1393"/>
      <c r="AF700" s="1393"/>
      <c r="AG700" s="1393"/>
      <c r="AH700" s="1393"/>
      <c r="AI700" s="1393"/>
      <c r="AJ700" s="1393"/>
      <c r="AK700" s="1393"/>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35"/>
      <c r="C701" s="135"/>
      <c r="D701" s="136"/>
      <c r="E701" s="135"/>
      <c r="F701" s="135"/>
      <c r="G701" s="135"/>
      <c r="H701" s="135"/>
      <c r="AZ701" s="34"/>
      <c r="BA701" s="118" t="str">
        <f>IF($G752=0,"N/A",VLOOKUP($T$189,TC_Rent,(MATCH($B752,bedrooms,FALSE))))</f>
        <v>N/A</v>
      </c>
      <c r="BB701" s="34"/>
      <c r="BC701" s="34"/>
      <c r="BD701" s="34"/>
      <c r="BE701" s="34"/>
      <c r="BF701" s="34"/>
      <c r="BG701" s="316">
        <f>G751</f>
        <v>0</v>
      </c>
      <c r="BH701" s="319">
        <f t="shared" si="50"/>
        <v>0</v>
      </c>
      <c r="BI701" s="320" t="str">
        <f>IF(BH701=0,"",BH701*AC762)</f>
        <v/>
      </c>
      <c r="BJ701" s="3"/>
      <c r="BK701" s="34"/>
      <c r="BL701" s="34"/>
      <c r="BM701" s="34"/>
      <c r="BN701" s="34"/>
      <c r="BO701" s="34"/>
      <c r="BT701" s="316">
        <f>G751</f>
        <v>0</v>
      </c>
      <c r="BU701" s="319">
        <f t="shared" si="53"/>
        <v>0</v>
      </c>
      <c r="BV701" s="320" t="str">
        <f>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35"/>
      <c r="C702" s="135"/>
      <c r="D702" s="136" t="s">
        <v>441</v>
      </c>
      <c r="E702" s="135"/>
      <c r="F702" s="135"/>
      <c r="G702" s="135"/>
      <c r="H702" s="135"/>
      <c r="AE702" s="1381" t="s">
        <v>678</v>
      </c>
      <c r="AF702" s="1381"/>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35"/>
      <c r="C703" s="135"/>
      <c r="D703" s="136" t="s">
        <v>445</v>
      </c>
      <c r="E703" s="135"/>
      <c r="F703" s="135"/>
      <c r="G703" s="135"/>
      <c r="H703" s="135"/>
      <c r="W703" s="1385"/>
      <c r="X703" s="1385"/>
      <c r="Y703" s="1385"/>
      <c r="Z703" s="1385"/>
      <c r="AA703" s="1385"/>
      <c r="AB703" s="1385"/>
      <c r="AC703" s="1385"/>
      <c r="AD703" s="1385"/>
      <c r="AE703" s="1385"/>
      <c r="AF703" s="1385"/>
      <c r="AG703" s="1385"/>
      <c r="AH703" s="1385"/>
      <c r="AI703" s="1385"/>
      <c r="AJ703" s="1385"/>
      <c r="AK703" s="1385"/>
      <c r="AZ703" s="34"/>
      <c r="BA703" s="34"/>
      <c r="BB703" s="34"/>
      <c r="BC703" s="34"/>
      <c r="BD703" s="34"/>
      <c r="BE703" s="3"/>
      <c r="BF703" s="312" t="s">
        <v>915</v>
      </c>
      <c r="BG703" s="321">
        <f>SUM(BG668:BG702)</f>
        <v>140</v>
      </c>
      <c r="BH703" s="322">
        <f>SUM(BH668:BH702)</f>
        <v>0.99999999999999989</v>
      </c>
      <c r="BI703" s="322">
        <f>SUM(BI668:BI702)</f>
        <v>0.39571428571428569</v>
      </c>
      <c r="BN703" s="3"/>
      <c r="BO703" s="3"/>
      <c r="BT703" s="893">
        <f>SUM(BT668:BT702)</f>
        <v>140</v>
      </c>
      <c r="BU703" s="322">
        <f>SUM(BU668:BU702)</f>
        <v>0.99999999999999989</v>
      </c>
      <c r="BV703" s="322">
        <f>SUM(BV668:BV702)</f>
        <v>0.39571428571428569</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35"/>
      <c r="C704" s="135"/>
      <c r="D704" s="136" t="s">
        <v>87</v>
      </c>
      <c r="E704" s="135"/>
      <c r="F704" s="135"/>
      <c r="G704" s="135"/>
      <c r="H704" s="135"/>
      <c r="J704" s="1385"/>
      <c r="K704" s="1385"/>
      <c r="L704" s="1385"/>
      <c r="M704" s="1385"/>
      <c r="N704" s="1385"/>
      <c r="O704" s="1385"/>
      <c r="P704" s="1385"/>
      <c r="Q704" s="1385"/>
      <c r="R704" s="1385"/>
      <c r="S704" s="1385"/>
      <c r="T704" s="1385"/>
      <c r="U704" s="1385"/>
      <c r="V704" s="1385"/>
      <c r="W704" s="1385"/>
      <c r="X704" s="1385"/>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35"/>
      <c r="C705" s="135"/>
      <c r="D705" s="136" t="s">
        <v>88</v>
      </c>
      <c r="J705" s="1394"/>
      <c r="K705" s="1394"/>
      <c r="L705" s="1394"/>
      <c r="M705" s="1394"/>
      <c r="N705" s="1394"/>
      <c r="O705" s="1394"/>
      <c r="P705" s="4" t="s">
        <v>207</v>
      </c>
      <c r="Q705" s="4"/>
      <c r="R705" s="1386"/>
      <c r="S705" s="1386"/>
      <c r="T705" s="1386"/>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35"/>
      <c r="C706" s="135"/>
      <c r="D706" s="136" t="s">
        <v>446</v>
      </c>
      <c r="W706" s="1385" t="s">
        <v>308</v>
      </c>
      <c r="X706" s="1385"/>
      <c r="Y706" s="1385"/>
      <c r="Z706" s="1385"/>
      <c r="AA706" s="1385"/>
      <c r="AB706" s="1385"/>
      <c r="AC706" s="1385"/>
      <c r="AD706" s="1385"/>
      <c r="AE706" s="1385"/>
      <c r="AF706" s="1385"/>
      <c r="AG706" s="1385"/>
      <c r="AH706" s="1385"/>
      <c r="AI706" s="1385"/>
      <c r="AJ706" s="1385"/>
      <c r="AK706" s="1385"/>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35"/>
      <c r="C707" s="135"/>
      <c r="D707" s="136"/>
      <c r="E707" s="1385" t="s">
        <v>335</v>
      </c>
      <c r="F707" s="1385"/>
      <c r="G707" s="1385"/>
      <c r="H707" s="1385"/>
      <c r="I707" s="1385"/>
      <c r="J707" s="1385"/>
      <c r="K707" s="1385"/>
      <c r="L707" s="1385"/>
      <c r="M707" s="1385"/>
      <c r="N707" s="1385"/>
      <c r="O707" s="1385"/>
      <c r="P707" s="1385"/>
      <c r="Q707" s="1385"/>
      <c r="R707" s="1385"/>
      <c r="S707" s="1385"/>
      <c r="T707" s="1385"/>
      <c r="U707" s="1385"/>
      <c r="V707" s="1385"/>
      <c r="W707" s="1385"/>
      <c r="X707" s="1385"/>
      <c r="Y707" s="1385"/>
      <c r="Z707" s="1385"/>
      <c r="AA707" s="1385"/>
      <c r="AB707" s="1385"/>
      <c r="AC707" s="1385"/>
      <c r="AD707" s="1385"/>
      <c r="AE707" s="1385"/>
      <c r="AF707" s="1385"/>
      <c r="AG707" s="1385"/>
      <c r="AH707" s="1385"/>
      <c r="AI707" s="1385"/>
      <c r="AJ707" s="1385"/>
      <c r="AK707" s="1385"/>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77" t="s">
        <v>95</v>
      </c>
      <c r="B709" s="1277"/>
      <c r="C709" s="1277"/>
      <c r="D709" s="1277"/>
      <c r="E709" s="1277"/>
      <c r="F709" s="1277"/>
      <c r="G709" s="1277"/>
      <c r="H709" s="1277"/>
      <c r="I709" s="1277"/>
      <c r="J709" s="1277"/>
      <c r="K709" s="1277"/>
      <c r="L709" s="1277"/>
      <c r="M709" s="1277"/>
      <c r="N709" s="1277"/>
      <c r="O709" s="1277"/>
      <c r="P709" s="1277"/>
      <c r="Q709" s="1277"/>
      <c r="R709" s="1277"/>
      <c r="S709" s="1277"/>
      <c r="T709" s="1277"/>
      <c r="U709" s="1277"/>
      <c r="V709" s="1277"/>
      <c r="W709" s="1277"/>
      <c r="X709" s="1277"/>
      <c r="Y709" s="1277"/>
      <c r="Z709" s="1277"/>
      <c r="AA709" s="1277"/>
      <c r="AB709" s="1277"/>
      <c r="AC709" s="1277"/>
      <c r="AD709" s="1277"/>
      <c r="AE709" s="1277"/>
      <c r="AF709" s="1277"/>
      <c r="AG709" s="1277"/>
      <c r="AH709" s="1277"/>
      <c r="AI709" s="1277"/>
      <c r="AJ709" s="1277"/>
      <c r="AK709" s="1277"/>
      <c r="AL709" s="1277"/>
      <c r="AM709" s="1277"/>
      <c r="AN709" s="1277"/>
      <c r="AO709" s="1277"/>
      <c r="AP709" s="1277"/>
      <c r="AQ709" s="1277"/>
      <c r="AR709" s="1277"/>
      <c r="AS709" s="1277"/>
      <c r="AT709" s="1277"/>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77"/>
      <c r="B710" s="1277"/>
      <c r="C710" s="1277"/>
      <c r="D710" s="1277"/>
      <c r="E710" s="1277"/>
      <c r="F710" s="1277"/>
      <c r="G710" s="1277"/>
      <c r="H710" s="1277"/>
      <c r="I710" s="1277"/>
      <c r="J710" s="1277"/>
      <c r="K710" s="1277"/>
      <c r="L710" s="1277"/>
      <c r="M710" s="1277"/>
      <c r="N710" s="1277"/>
      <c r="O710" s="1277"/>
      <c r="P710" s="1277"/>
      <c r="Q710" s="1277"/>
      <c r="R710" s="1277"/>
      <c r="S710" s="1277"/>
      <c r="T710" s="1277"/>
      <c r="U710" s="1277"/>
      <c r="V710" s="1277"/>
      <c r="W710" s="1277"/>
      <c r="X710" s="1277"/>
      <c r="Y710" s="1277"/>
      <c r="Z710" s="1277"/>
      <c r="AA710" s="1277"/>
      <c r="AB710" s="1277"/>
      <c r="AC710" s="1277"/>
      <c r="AD710" s="1277"/>
      <c r="AE710" s="1277"/>
      <c r="AF710" s="1277"/>
      <c r="AG710" s="1277"/>
      <c r="AH710" s="1277"/>
      <c r="AI710" s="1277"/>
      <c r="AJ710" s="1277"/>
      <c r="AK710" s="1277"/>
      <c r="AL710" s="1277"/>
      <c r="AM710" s="1277"/>
      <c r="AN710" s="1277"/>
      <c r="AO710" s="1277"/>
      <c r="AP710" s="1277"/>
      <c r="AQ710" s="1277"/>
      <c r="AR710" s="1277"/>
      <c r="AS710" s="1277"/>
      <c r="AT710" s="1277"/>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77"/>
      <c r="B711" s="1277"/>
      <c r="C711" s="1277"/>
      <c r="D711" s="1277"/>
      <c r="E711" s="1277"/>
      <c r="F711" s="1277"/>
      <c r="G711" s="1277"/>
      <c r="H711" s="1277"/>
      <c r="I711" s="1277"/>
      <c r="J711" s="1277"/>
      <c r="K711" s="1277"/>
      <c r="L711" s="1277"/>
      <c r="M711" s="1277"/>
      <c r="N711" s="1277"/>
      <c r="O711" s="1277"/>
      <c r="P711" s="1277"/>
      <c r="Q711" s="1277"/>
      <c r="R711" s="1277"/>
      <c r="S711" s="1277"/>
      <c r="T711" s="1277"/>
      <c r="U711" s="1277"/>
      <c r="V711" s="1277"/>
      <c r="W711" s="1277"/>
      <c r="X711" s="1277"/>
      <c r="Y711" s="1277"/>
      <c r="Z711" s="1277"/>
      <c r="AA711" s="1277"/>
      <c r="AB711" s="1277"/>
      <c r="AC711" s="1277"/>
      <c r="AD711" s="1277"/>
      <c r="AE711" s="1277"/>
      <c r="AF711" s="1277"/>
      <c r="AG711" s="1277"/>
      <c r="AH711" s="1277"/>
      <c r="AI711" s="1277"/>
      <c r="AJ711" s="1277"/>
      <c r="AK711" s="1277"/>
      <c r="AL711" s="1277"/>
      <c r="AM711" s="1277"/>
      <c r="AN711" s="1277"/>
      <c r="AO711" s="1277"/>
      <c r="AP711" s="1277"/>
      <c r="AQ711" s="1277"/>
      <c r="AR711" s="1277"/>
      <c r="AS711" s="1277"/>
      <c r="AT711" s="1277"/>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97" t="s">
        <v>390</v>
      </c>
      <c r="C714" s="1370"/>
      <c r="D714" s="1370"/>
      <c r="E714" s="1370"/>
      <c r="F714" s="1371"/>
      <c r="G714" s="1397" t="s">
        <v>286</v>
      </c>
      <c r="H714" s="1370"/>
      <c r="I714" s="1370"/>
      <c r="J714" s="1371"/>
      <c r="K714" s="1387" t="s">
        <v>1869</v>
      </c>
      <c r="L714" s="1388"/>
      <c r="M714" s="1388"/>
      <c r="N714" s="1389"/>
      <c r="O714" s="1397" t="s">
        <v>456</v>
      </c>
      <c r="P714" s="1370"/>
      <c r="Q714" s="1370"/>
      <c r="R714" s="1370"/>
      <c r="S714" s="1371"/>
      <c r="T714" s="1369" t="s">
        <v>2253</v>
      </c>
      <c r="U714" s="1370"/>
      <c r="V714" s="1370"/>
      <c r="W714" s="1371"/>
      <c r="X714" s="1369" t="s">
        <v>2255</v>
      </c>
      <c r="Y714" s="1370"/>
      <c r="Z714" s="1370"/>
      <c r="AA714" s="1370"/>
      <c r="AB714" s="1371"/>
      <c r="AC714" s="1369" t="s">
        <v>2254</v>
      </c>
      <c r="AD714" s="1370"/>
      <c r="AE714" s="1370"/>
      <c r="AF714" s="1370"/>
      <c r="AG714" s="1371"/>
      <c r="AH714" s="1369" t="s">
        <v>2256</v>
      </c>
      <c r="AI714" s="1370"/>
      <c r="AJ714" s="1371"/>
      <c r="AK714" s="1369" t="s">
        <v>2290</v>
      </c>
      <c r="AL714" s="1370"/>
      <c r="AM714" s="1370"/>
      <c r="AN714" s="1370"/>
      <c r="AO714" s="1371"/>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72"/>
      <c r="C715" s="1373"/>
      <c r="D715" s="1373"/>
      <c r="E715" s="1373"/>
      <c r="F715" s="1374"/>
      <c r="G715" s="1372"/>
      <c r="H715" s="1373"/>
      <c r="I715" s="1373"/>
      <c r="J715" s="1374"/>
      <c r="K715" s="1390"/>
      <c r="L715" s="1391"/>
      <c r="M715" s="1391"/>
      <c r="N715" s="1392"/>
      <c r="O715" s="1372"/>
      <c r="P715" s="1373"/>
      <c r="Q715" s="1373"/>
      <c r="R715" s="1373"/>
      <c r="S715" s="1374"/>
      <c r="T715" s="1372"/>
      <c r="U715" s="1373"/>
      <c r="V715" s="1373"/>
      <c r="W715" s="1374"/>
      <c r="X715" s="1372"/>
      <c r="Y715" s="1373"/>
      <c r="Z715" s="1373"/>
      <c r="AA715" s="1373"/>
      <c r="AB715" s="1374"/>
      <c r="AC715" s="1372"/>
      <c r="AD715" s="1373"/>
      <c r="AE715" s="1373"/>
      <c r="AF715" s="1373"/>
      <c r="AG715" s="1374"/>
      <c r="AH715" s="1372"/>
      <c r="AI715" s="1373"/>
      <c r="AJ715" s="1374"/>
      <c r="AK715" s="1372"/>
      <c r="AL715" s="1373"/>
      <c r="AM715" s="1373"/>
      <c r="AN715" s="1373"/>
      <c r="AO715" s="1374"/>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72"/>
      <c r="C716" s="1373"/>
      <c r="D716" s="1373"/>
      <c r="E716" s="1373"/>
      <c r="F716" s="1374"/>
      <c r="G716" s="1372"/>
      <c r="H716" s="1373"/>
      <c r="I716" s="1373"/>
      <c r="J716" s="1374"/>
      <c r="K716" s="1390"/>
      <c r="L716" s="1391"/>
      <c r="M716" s="1391"/>
      <c r="N716" s="1392"/>
      <c r="O716" s="1372"/>
      <c r="P716" s="1373"/>
      <c r="Q716" s="1373"/>
      <c r="R716" s="1373"/>
      <c r="S716" s="1374"/>
      <c r="T716" s="1372"/>
      <c r="U716" s="1373"/>
      <c r="V716" s="1373"/>
      <c r="W716" s="1374"/>
      <c r="X716" s="1372"/>
      <c r="Y716" s="1373"/>
      <c r="Z716" s="1373"/>
      <c r="AA716" s="1373"/>
      <c r="AB716" s="1374"/>
      <c r="AC716" s="1372"/>
      <c r="AD716" s="1373"/>
      <c r="AE716" s="1373"/>
      <c r="AF716" s="1373"/>
      <c r="AG716" s="1374"/>
      <c r="AH716" s="1372"/>
      <c r="AI716" s="1373"/>
      <c r="AJ716" s="1374"/>
      <c r="AK716" s="1372"/>
      <c r="AL716" s="1373"/>
      <c r="AM716" s="1373"/>
      <c r="AN716" s="1373"/>
      <c r="AO716" s="1374"/>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4"/>
      <c r="B717" s="1375"/>
      <c r="C717" s="1376"/>
      <c r="D717" s="1376"/>
      <c r="E717" s="1376"/>
      <c r="F717" s="1377"/>
      <c r="G717" s="1375"/>
      <c r="H717" s="1376"/>
      <c r="I717" s="1376"/>
      <c r="J717" s="1377"/>
      <c r="K717" s="1390"/>
      <c r="L717" s="1391"/>
      <c r="M717" s="1391"/>
      <c r="N717" s="1392"/>
      <c r="O717" s="1375"/>
      <c r="P717" s="1376"/>
      <c r="Q717" s="1376"/>
      <c r="R717" s="1376"/>
      <c r="S717" s="1377"/>
      <c r="T717" s="1375"/>
      <c r="U717" s="1376"/>
      <c r="V717" s="1376"/>
      <c r="W717" s="1377"/>
      <c r="X717" s="1375"/>
      <c r="Y717" s="1376"/>
      <c r="Z717" s="1376"/>
      <c r="AA717" s="1376"/>
      <c r="AB717" s="1377"/>
      <c r="AC717" s="1375"/>
      <c r="AD717" s="1376"/>
      <c r="AE717" s="1376"/>
      <c r="AF717" s="1376"/>
      <c r="AG717" s="1377"/>
      <c r="AH717" s="1375"/>
      <c r="AI717" s="1376"/>
      <c r="AJ717" s="1377"/>
      <c r="AK717" s="1375"/>
      <c r="AL717" s="1376"/>
      <c r="AM717" s="1376"/>
      <c r="AN717" s="1376"/>
      <c r="AO717" s="1377"/>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4"/>
      <c r="B718" s="1359" t="s">
        <v>325</v>
      </c>
      <c r="C718" s="1360"/>
      <c r="D718" s="1360"/>
      <c r="E718" s="1360"/>
      <c r="F718" s="1361"/>
      <c r="G718" s="1366">
        <v>72</v>
      </c>
      <c r="H718" s="1367"/>
      <c r="I718" s="1367"/>
      <c r="J718" s="1368"/>
      <c r="K718" s="1382">
        <v>240</v>
      </c>
      <c r="L718" s="1383"/>
      <c r="M718" s="1383"/>
      <c r="N718" s="1384"/>
      <c r="O718" s="1378">
        <v>777</v>
      </c>
      <c r="P718" s="1379"/>
      <c r="Q718" s="1379"/>
      <c r="R718" s="1379"/>
      <c r="S718" s="1380"/>
      <c r="T718" s="1378">
        <v>0</v>
      </c>
      <c r="U718" s="1379"/>
      <c r="V718" s="1379"/>
      <c r="W718" s="1380"/>
      <c r="X718" s="1363">
        <f t="shared" ref="X718:X741" si="56">O718+T718</f>
        <v>777</v>
      </c>
      <c r="Y718" s="1364"/>
      <c r="Z718" s="1364"/>
      <c r="AA718" s="1364"/>
      <c r="AB718" s="1365"/>
      <c r="AC718" s="1399">
        <v>0.3</v>
      </c>
      <c r="AD718" s="1400"/>
      <c r="AE718" s="1400"/>
      <c r="AF718" s="1400"/>
      <c r="AG718" s="1401"/>
      <c r="AH718" s="1356">
        <f t="shared" ref="AH718:AH751" si="57">IF($AC718&gt;0,($X718/$BA667), "")</f>
        <v>0.3</v>
      </c>
      <c r="AI718" s="1357"/>
      <c r="AJ718" s="1358"/>
      <c r="AK718" s="1359" t="s">
        <v>2419</v>
      </c>
      <c r="AL718" s="1360"/>
      <c r="AM718" s="1360"/>
      <c r="AN718" s="1360"/>
      <c r="AO718" s="1361"/>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4"/>
      <c r="B719" s="1359" t="s">
        <v>325</v>
      </c>
      <c r="C719" s="1360"/>
      <c r="D719" s="1360"/>
      <c r="E719" s="1360"/>
      <c r="F719" s="1361"/>
      <c r="G719" s="1366">
        <v>2</v>
      </c>
      <c r="H719" s="1367"/>
      <c r="I719" s="1367"/>
      <c r="J719" s="1368"/>
      <c r="K719" s="1382">
        <v>240</v>
      </c>
      <c r="L719" s="1383"/>
      <c r="M719" s="1383"/>
      <c r="N719" s="1384"/>
      <c r="O719" s="1378">
        <v>1036</v>
      </c>
      <c r="P719" s="1379"/>
      <c r="Q719" s="1379"/>
      <c r="R719" s="1379"/>
      <c r="S719" s="1380"/>
      <c r="T719" s="1378">
        <v>0</v>
      </c>
      <c r="U719" s="1379"/>
      <c r="V719" s="1379"/>
      <c r="W719" s="1380"/>
      <c r="X719" s="1363">
        <f t="shared" si="56"/>
        <v>1036</v>
      </c>
      <c r="Y719" s="1364"/>
      <c r="Z719" s="1364"/>
      <c r="AA719" s="1364"/>
      <c r="AB719" s="1365"/>
      <c r="AC719" s="1399">
        <v>0.4</v>
      </c>
      <c r="AD719" s="1400"/>
      <c r="AE719" s="1400"/>
      <c r="AF719" s="1400"/>
      <c r="AG719" s="1401"/>
      <c r="AH719" s="1356">
        <f t="shared" si="57"/>
        <v>0.4</v>
      </c>
      <c r="AI719" s="1357"/>
      <c r="AJ719" s="1358"/>
      <c r="AK719" s="1359" t="s">
        <v>600</v>
      </c>
      <c r="AL719" s="1360"/>
      <c r="AM719" s="1360"/>
      <c r="AN719" s="1360"/>
      <c r="AO719" s="1361"/>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4"/>
      <c r="B720" s="1359" t="s">
        <v>325</v>
      </c>
      <c r="C720" s="1360"/>
      <c r="D720" s="1360"/>
      <c r="E720" s="1360"/>
      <c r="F720" s="1361"/>
      <c r="G720" s="1366">
        <v>66</v>
      </c>
      <c r="H720" s="1367"/>
      <c r="I720" s="1367"/>
      <c r="J720" s="1368"/>
      <c r="K720" s="1382">
        <v>240</v>
      </c>
      <c r="L720" s="1383"/>
      <c r="M720" s="1383"/>
      <c r="N720" s="1384"/>
      <c r="O720" s="1378">
        <v>1295</v>
      </c>
      <c r="P720" s="1379"/>
      <c r="Q720" s="1379"/>
      <c r="R720" s="1379"/>
      <c r="S720" s="1380"/>
      <c r="T720" s="1378">
        <v>0</v>
      </c>
      <c r="U720" s="1379"/>
      <c r="V720" s="1379"/>
      <c r="W720" s="1380"/>
      <c r="X720" s="1363">
        <f t="shared" si="56"/>
        <v>1295</v>
      </c>
      <c r="Y720" s="1364"/>
      <c r="Z720" s="1364"/>
      <c r="AA720" s="1364"/>
      <c r="AB720" s="1365"/>
      <c r="AC720" s="1399">
        <v>0.5</v>
      </c>
      <c r="AD720" s="1400"/>
      <c r="AE720" s="1400"/>
      <c r="AF720" s="1400"/>
      <c r="AG720" s="1401"/>
      <c r="AH720" s="1356">
        <f t="shared" si="57"/>
        <v>0.5</v>
      </c>
      <c r="AI720" s="1357"/>
      <c r="AJ720" s="1358"/>
      <c r="AK720" s="1359" t="s">
        <v>600</v>
      </c>
      <c r="AL720" s="1360"/>
      <c r="AM720" s="1360"/>
      <c r="AN720" s="1360"/>
      <c r="AO720" s="1361"/>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59"/>
      <c r="C721" s="1360"/>
      <c r="D721" s="1360"/>
      <c r="E721" s="1360"/>
      <c r="F721" s="1361"/>
      <c r="G721" s="1366"/>
      <c r="H721" s="1367"/>
      <c r="I721" s="1367"/>
      <c r="J721" s="1368"/>
      <c r="K721" s="1382"/>
      <c r="L721" s="1383"/>
      <c r="M721" s="1383"/>
      <c r="N721" s="1384"/>
      <c r="O721" s="1378"/>
      <c r="P721" s="1379"/>
      <c r="Q721" s="1379"/>
      <c r="R721" s="1379"/>
      <c r="S721" s="1380"/>
      <c r="T721" s="1378"/>
      <c r="U721" s="1379"/>
      <c r="V721" s="1379"/>
      <c r="W721" s="1380"/>
      <c r="X721" s="1363">
        <f t="shared" si="56"/>
        <v>0</v>
      </c>
      <c r="Y721" s="1364"/>
      <c r="Z721" s="1364"/>
      <c r="AA721" s="1364"/>
      <c r="AB721" s="1365"/>
      <c r="AC721" s="1399"/>
      <c r="AD721" s="1400"/>
      <c r="AE721" s="1400"/>
      <c r="AF721" s="1400"/>
      <c r="AG721" s="1401"/>
      <c r="AH721" s="1356" t="str">
        <f t="shared" si="57"/>
        <v/>
      </c>
      <c r="AI721" s="1357"/>
      <c r="AJ721" s="1358"/>
      <c r="AK721" s="1359" t="s">
        <v>600</v>
      </c>
      <c r="AL721" s="1360"/>
      <c r="AM721" s="1360"/>
      <c r="AN721" s="1360"/>
      <c r="AO721" s="1361"/>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59"/>
      <c r="C722" s="1360"/>
      <c r="D722" s="1360"/>
      <c r="E722" s="1360"/>
      <c r="F722" s="1361"/>
      <c r="G722" s="1366"/>
      <c r="H722" s="1367"/>
      <c r="I722" s="1367"/>
      <c r="J722" s="1368"/>
      <c r="K722" s="1382"/>
      <c r="L722" s="1383"/>
      <c r="M722" s="1383"/>
      <c r="N722" s="1384"/>
      <c r="O722" s="1378"/>
      <c r="P722" s="1379"/>
      <c r="Q722" s="1379"/>
      <c r="R722" s="1379"/>
      <c r="S722" s="1380"/>
      <c r="T722" s="1378"/>
      <c r="U722" s="1379"/>
      <c r="V722" s="1379"/>
      <c r="W722" s="1380"/>
      <c r="X722" s="1363">
        <f t="shared" si="56"/>
        <v>0</v>
      </c>
      <c r="Y722" s="1364"/>
      <c r="Z722" s="1364"/>
      <c r="AA722" s="1364"/>
      <c r="AB722" s="1365"/>
      <c r="AC722" s="1399"/>
      <c r="AD722" s="1400"/>
      <c r="AE722" s="1400"/>
      <c r="AF722" s="1400"/>
      <c r="AG722" s="1401"/>
      <c r="AH722" s="1356" t="str">
        <f t="shared" si="57"/>
        <v/>
      </c>
      <c r="AI722" s="1357"/>
      <c r="AJ722" s="1358"/>
      <c r="AK722" s="1359" t="s">
        <v>600</v>
      </c>
      <c r="AL722" s="1360"/>
      <c r="AM722" s="1360"/>
      <c r="AN722" s="1360"/>
      <c r="AO722" s="1361"/>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59"/>
      <c r="C723" s="1360"/>
      <c r="D723" s="1360"/>
      <c r="E723" s="1360"/>
      <c r="F723" s="1361"/>
      <c r="G723" s="1366"/>
      <c r="H723" s="1367"/>
      <c r="I723" s="1367"/>
      <c r="J723" s="1368"/>
      <c r="K723" s="1382"/>
      <c r="L723" s="1383"/>
      <c r="M723" s="1383"/>
      <c r="N723" s="1384"/>
      <c r="O723" s="1378"/>
      <c r="P723" s="1379"/>
      <c r="Q723" s="1379"/>
      <c r="R723" s="1379"/>
      <c r="S723" s="1380"/>
      <c r="T723" s="1378"/>
      <c r="U723" s="1379"/>
      <c r="V723" s="1379"/>
      <c r="W723" s="1380"/>
      <c r="X723" s="1363">
        <f t="shared" si="56"/>
        <v>0</v>
      </c>
      <c r="Y723" s="1364"/>
      <c r="Z723" s="1364"/>
      <c r="AA723" s="1364"/>
      <c r="AB723" s="1365"/>
      <c r="AC723" s="1399"/>
      <c r="AD723" s="1400"/>
      <c r="AE723" s="1400"/>
      <c r="AF723" s="1400"/>
      <c r="AG723" s="1401"/>
      <c r="AH723" s="1356" t="str">
        <f t="shared" si="57"/>
        <v/>
      </c>
      <c r="AI723" s="1357"/>
      <c r="AJ723" s="1358"/>
      <c r="AK723" s="1359" t="s">
        <v>600</v>
      </c>
      <c r="AL723" s="1360"/>
      <c r="AM723" s="1360"/>
      <c r="AN723" s="1360"/>
      <c r="AO723" s="1361"/>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59"/>
      <c r="C724" s="1360"/>
      <c r="D724" s="1360"/>
      <c r="E724" s="1360"/>
      <c r="F724" s="1361"/>
      <c r="G724" s="1366"/>
      <c r="H724" s="1367"/>
      <c r="I724" s="1367"/>
      <c r="J724" s="1368"/>
      <c r="K724" s="1382"/>
      <c r="L724" s="1383"/>
      <c r="M724" s="1383"/>
      <c r="N724" s="1384"/>
      <c r="O724" s="1378"/>
      <c r="P724" s="1379"/>
      <c r="Q724" s="1379"/>
      <c r="R724" s="1379"/>
      <c r="S724" s="1380"/>
      <c r="T724" s="1378"/>
      <c r="U724" s="1379"/>
      <c r="V724" s="1379"/>
      <c r="W724" s="1380"/>
      <c r="X724" s="1363">
        <f t="shared" si="56"/>
        <v>0</v>
      </c>
      <c r="Y724" s="1364"/>
      <c r="Z724" s="1364"/>
      <c r="AA724" s="1364"/>
      <c r="AB724" s="1365"/>
      <c r="AC724" s="1399"/>
      <c r="AD724" s="1400"/>
      <c r="AE724" s="1400"/>
      <c r="AF724" s="1400"/>
      <c r="AG724" s="1401"/>
      <c r="AH724" s="1356" t="str">
        <f t="shared" si="57"/>
        <v/>
      </c>
      <c r="AI724" s="1357"/>
      <c r="AJ724" s="1358"/>
      <c r="AK724" s="1359" t="s">
        <v>600</v>
      </c>
      <c r="AL724" s="1360"/>
      <c r="AM724" s="1360"/>
      <c r="AN724" s="1360"/>
      <c r="AO724" s="1361"/>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59"/>
      <c r="C725" s="1360"/>
      <c r="D725" s="1360"/>
      <c r="E725" s="1360"/>
      <c r="F725" s="1361"/>
      <c r="G725" s="1366"/>
      <c r="H725" s="1367"/>
      <c r="I725" s="1367"/>
      <c r="J725" s="1368"/>
      <c r="K725" s="1382"/>
      <c r="L725" s="1383"/>
      <c r="M725" s="1383"/>
      <c r="N725" s="1384"/>
      <c r="O725" s="1378"/>
      <c r="P725" s="1379"/>
      <c r="Q725" s="1379"/>
      <c r="R725" s="1379"/>
      <c r="S725" s="1380"/>
      <c r="T725" s="1378"/>
      <c r="U725" s="1379"/>
      <c r="V725" s="1379"/>
      <c r="W725" s="1380"/>
      <c r="X725" s="1363">
        <f t="shared" si="56"/>
        <v>0</v>
      </c>
      <c r="Y725" s="1364"/>
      <c r="Z725" s="1364"/>
      <c r="AA725" s="1364"/>
      <c r="AB725" s="1365"/>
      <c r="AC725" s="1399"/>
      <c r="AD725" s="1400"/>
      <c r="AE725" s="1400"/>
      <c r="AF725" s="1400"/>
      <c r="AG725" s="1401"/>
      <c r="AH725" s="1356" t="str">
        <f t="shared" si="57"/>
        <v/>
      </c>
      <c r="AI725" s="1357"/>
      <c r="AJ725" s="1358"/>
      <c r="AK725" s="1359" t="s">
        <v>600</v>
      </c>
      <c r="AL725" s="1360"/>
      <c r="AM725" s="1360"/>
      <c r="AN725" s="1360"/>
      <c r="AO725" s="1361"/>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59"/>
      <c r="C726" s="1360"/>
      <c r="D726" s="1360"/>
      <c r="E726" s="1360"/>
      <c r="F726" s="1361"/>
      <c r="G726" s="1366"/>
      <c r="H726" s="1367"/>
      <c r="I726" s="1367"/>
      <c r="J726" s="1368"/>
      <c r="K726" s="1382"/>
      <c r="L726" s="1383"/>
      <c r="M726" s="1383"/>
      <c r="N726" s="1384"/>
      <c r="O726" s="1378"/>
      <c r="P726" s="1379"/>
      <c r="Q726" s="1379"/>
      <c r="R726" s="1379"/>
      <c r="S726" s="1380"/>
      <c r="T726" s="1378"/>
      <c r="U726" s="1379"/>
      <c r="V726" s="1379"/>
      <c r="W726" s="1380"/>
      <c r="X726" s="1363">
        <f t="shared" si="56"/>
        <v>0</v>
      </c>
      <c r="Y726" s="1364"/>
      <c r="Z726" s="1364"/>
      <c r="AA726" s="1364"/>
      <c r="AB726" s="1365"/>
      <c r="AC726" s="1399"/>
      <c r="AD726" s="1400"/>
      <c r="AE726" s="1400"/>
      <c r="AF726" s="1400"/>
      <c r="AG726" s="1401"/>
      <c r="AH726" s="1356" t="str">
        <f t="shared" si="57"/>
        <v/>
      </c>
      <c r="AI726" s="1357"/>
      <c r="AJ726" s="1358"/>
      <c r="AK726" s="1359" t="s">
        <v>600</v>
      </c>
      <c r="AL726" s="1360"/>
      <c r="AM726" s="1360"/>
      <c r="AN726" s="1360"/>
      <c r="AO726" s="1361"/>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4"/>
      <c r="B727" s="1359"/>
      <c r="C727" s="1360"/>
      <c r="D727" s="1360"/>
      <c r="E727" s="1360"/>
      <c r="F727" s="1361"/>
      <c r="G727" s="1366"/>
      <c r="H727" s="1367"/>
      <c r="I727" s="1367"/>
      <c r="J727" s="1368"/>
      <c r="K727" s="1382"/>
      <c r="L727" s="1383"/>
      <c r="M727" s="1383"/>
      <c r="N727" s="1384"/>
      <c r="O727" s="1378"/>
      <c r="P727" s="1379"/>
      <c r="Q727" s="1379"/>
      <c r="R727" s="1379"/>
      <c r="S727" s="1380"/>
      <c r="T727" s="1378"/>
      <c r="U727" s="1379"/>
      <c r="V727" s="1379"/>
      <c r="W727" s="1380"/>
      <c r="X727" s="1363">
        <f t="shared" si="56"/>
        <v>0</v>
      </c>
      <c r="Y727" s="1364"/>
      <c r="Z727" s="1364"/>
      <c r="AA727" s="1364"/>
      <c r="AB727" s="1365"/>
      <c r="AC727" s="1399"/>
      <c r="AD727" s="1400"/>
      <c r="AE727" s="1400"/>
      <c r="AF727" s="1400"/>
      <c r="AG727" s="1401"/>
      <c r="AH727" s="1356" t="str">
        <f t="shared" si="57"/>
        <v/>
      </c>
      <c r="AI727" s="1357"/>
      <c r="AJ727" s="1358"/>
      <c r="AK727" s="1359" t="s">
        <v>600</v>
      </c>
      <c r="AL727" s="1360"/>
      <c r="AM727" s="1360"/>
      <c r="AN727" s="1360"/>
      <c r="AO727" s="1361"/>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4"/>
      <c r="B728" s="1359"/>
      <c r="C728" s="1360"/>
      <c r="D728" s="1360"/>
      <c r="E728" s="1360"/>
      <c r="F728" s="1361"/>
      <c r="G728" s="1366"/>
      <c r="H728" s="1367"/>
      <c r="I728" s="1367"/>
      <c r="J728" s="1368"/>
      <c r="K728" s="1382"/>
      <c r="L728" s="1383"/>
      <c r="M728" s="1383"/>
      <c r="N728" s="1384"/>
      <c r="O728" s="1378"/>
      <c r="P728" s="1379"/>
      <c r="Q728" s="1379"/>
      <c r="R728" s="1379"/>
      <c r="S728" s="1380"/>
      <c r="T728" s="1378"/>
      <c r="U728" s="1379"/>
      <c r="V728" s="1379"/>
      <c r="W728" s="1380"/>
      <c r="X728" s="1363">
        <f t="shared" si="56"/>
        <v>0</v>
      </c>
      <c r="Y728" s="1364"/>
      <c r="Z728" s="1364"/>
      <c r="AA728" s="1364"/>
      <c r="AB728" s="1365"/>
      <c r="AC728" s="1399"/>
      <c r="AD728" s="1400"/>
      <c r="AE728" s="1400"/>
      <c r="AF728" s="1400"/>
      <c r="AG728" s="1401"/>
      <c r="AH728" s="1356" t="str">
        <f t="shared" si="57"/>
        <v/>
      </c>
      <c r="AI728" s="1357"/>
      <c r="AJ728" s="1358"/>
      <c r="AK728" s="1359" t="s">
        <v>600</v>
      </c>
      <c r="AL728" s="1360"/>
      <c r="AM728" s="1360"/>
      <c r="AN728" s="1360"/>
      <c r="AO728" s="1361"/>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4"/>
      <c r="B729" s="1359"/>
      <c r="C729" s="1360"/>
      <c r="D729" s="1360"/>
      <c r="E729" s="1360"/>
      <c r="F729" s="1361"/>
      <c r="G729" s="1366"/>
      <c r="H729" s="1367"/>
      <c r="I729" s="1367"/>
      <c r="J729" s="1368"/>
      <c r="K729" s="1382"/>
      <c r="L729" s="1383"/>
      <c r="M729" s="1383"/>
      <c r="N729" s="1384"/>
      <c r="O729" s="1378"/>
      <c r="P729" s="1379"/>
      <c r="Q729" s="1379"/>
      <c r="R729" s="1379"/>
      <c r="S729" s="1380"/>
      <c r="T729" s="1378"/>
      <c r="U729" s="1379"/>
      <c r="V729" s="1379"/>
      <c r="W729" s="1380"/>
      <c r="X729" s="1363">
        <f t="shared" si="56"/>
        <v>0</v>
      </c>
      <c r="Y729" s="1364"/>
      <c r="Z729" s="1364"/>
      <c r="AA729" s="1364"/>
      <c r="AB729" s="1365"/>
      <c r="AC729" s="1399"/>
      <c r="AD729" s="1400"/>
      <c r="AE729" s="1400"/>
      <c r="AF729" s="1400"/>
      <c r="AG729" s="1401"/>
      <c r="AH729" s="1356" t="str">
        <f t="shared" si="57"/>
        <v/>
      </c>
      <c r="AI729" s="1357"/>
      <c r="AJ729" s="1358"/>
      <c r="AK729" s="1359" t="s">
        <v>600</v>
      </c>
      <c r="AL729" s="1360"/>
      <c r="AM729" s="1360"/>
      <c r="AN729" s="1360"/>
      <c r="AO729" s="1361"/>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59"/>
      <c r="C730" s="1360"/>
      <c r="D730" s="1360"/>
      <c r="E730" s="1360"/>
      <c r="F730" s="1361"/>
      <c r="G730" s="1366"/>
      <c r="H730" s="1367"/>
      <c r="I730" s="1367"/>
      <c r="J730" s="1368"/>
      <c r="K730" s="1382"/>
      <c r="L730" s="1383"/>
      <c r="M730" s="1383"/>
      <c r="N730" s="1384"/>
      <c r="O730" s="1378"/>
      <c r="P730" s="1379"/>
      <c r="Q730" s="1379"/>
      <c r="R730" s="1379"/>
      <c r="S730" s="1380"/>
      <c r="T730" s="1378"/>
      <c r="U730" s="1379"/>
      <c r="V730" s="1379"/>
      <c r="W730" s="1380"/>
      <c r="X730" s="1363">
        <f t="shared" si="56"/>
        <v>0</v>
      </c>
      <c r="Y730" s="1364"/>
      <c r="Z730" s="1364"/>
      <c r="AA730" s="1364"/>
      <c r="AB730" s="1365"/>
      <c r="AC730" s="1399"/>
      <c r="AD730" s="1400"/>
      <c r="AE730" s="1400"/>
      <c r="AF730" s="1400"/>
      <c r="AG730" s="1401"/>
      <c r="AH730" s="1356" t="str">
        <f t="shared" si="57"/>
        <v/>
      </c>
      <c r="AI730" s="1357"/>
      <c r="AJ730" s="1358"/>
      <c r="AK730" s="1359" t="s">
        <v>600</v>
      </c>
      <c r="AL730" s="1360"/>
      <c r="AM730" s="1360"/>
      <c r="AN730" s="1360"/>
      <c r="AO730" s="1361"/>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59"/>
      <c r="C731" s="1360"/>
      <c r="D731" s="1360"/>
      <c r="E731" s="1360"/>
      <c r="F731" s="1361"/>
      <c r="G731" s="1366"/>
      <c r="H731" s="1367"/>
      <c r="I731" s="1367"/>
      <c r="J731" s="1368"/>
      <c r="K731" s="1382"/>
      <c r="L731" s="1383"/>
      <c r="M731" s="1383"/>
      <c r="N731" s="1384"/>
      <c r="O731" s="1378"/>
      <c r="P731" s="1379"/>
      <c r="Q731" s="1379"/>
      <c r="R731" s="1379"/>
      <c r="S731" s="1380"/>
      <c r="T731" s="1378"/>
      <c r="U731" s="1379"/>
      <c r="V731" s="1379"/>
      <c r="W731" s="1380"/>
      <c r="X731" s="1363">
        <f t="shared" si="56"/>
        <v>0</v>
      </c>
      <c r="Y731" s="1364"/>
      <c r="Z731" s="1364"/>
      <c r="AA731" s="1364"/>
      <c r="AB731" s="1365"/>
      <c r="AC731" s="1399"/>
      <c r="AD731" s="1400"/>
      <c r="AE731" s="1400"/>
      <c r="AF731" s="1400"/>
      <c r="AG731" s="1401"/>
      <c r="AH731" s="1356" t="str">
        <f t="shared" si="57"/>
        <v/>
      </c>
      <c r="AI731" s="1357"/>
      <c r="AJ731" s="1358"/>
      <c r="AK731" s="1359" t="s">
        <v>600</v>
      </c>
      <c r="AL731" s="1360"/>
      <c r="AM731" s="1360"/>
      <c r="AN731" s="1360"/>
      <c r="AO731" s="1361"/>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59"/>
      <c r="C732" s="1360"/>
      <c r="D732" s="1360"/>
      <c r="E732" s="1360"/>
      <c r="F732" s="1361"/>
      <c r="G732" s="1366"/>
      <c r="H732" s="1367"/>
      <c r="I732" s="1367"/>
      <c r="J732" s="1368"/>
      <c r="K732" s="1382"/>
      <c r="L732" s="1383"/>
      <c r="M732" s="1383"/>
      <c r="N732" s="1384"/>
      <c r="O732" s="1378"/>
      <c r="P732" s="1379"/>
      <c r="Q732" s="1379"/>
      <c r="R732" s="1379"/>
      <c r="S732" s="1380"/>
      <c r="T732" s="1378"/>
      <c r="U732" s="1379"/>
      <c r="V732" s="1379"/>
      <c r="W732" s="1380"/>
      <c r="X732" s="1363">
        <f t="shared" si="56"/>
        <v>0</v>
      </c>
      <c r="Y732" s="1364"/>
      <c r="Z732" s="1364"/>
      <c r="AA732" s="1364"/>
      <c r="AB732" s="1365"/>
      <c r="AC732" s="1399"/>
      <c r="AD732" s="1400"/>
      <c r="AE732" s="1400"/>
      <c r="AF732" s="1400"/>
      <c r="AG732" s="1401"/>
      <c r="AH732" s="1356" t="str">
        <f t="shared" si="57"/>
        <v/>
      </c>
      <c r="AI732" s="1357"/>
      <c r="AJ732" s="1358"/>
      <c r="AK732" s="1359" t="s">
        <v>600</v>
      </c>
      <c r="AL732" s="1360"/>
      <c r="AM732" s="1360"/>
      <c r="AN732" s="1360"/>
      <c r="AO732" s="1361"/>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59"/>
      <c r="C733" s="1360"/>
      <c r="D733" s="1360"/>
      <c r="E733" s="1360"/>
      <c r="F733" s="1361"/>
      <c r="G733" s="1366"/>
      <c r="H733" s="1367"/>
      <c r="I733" s="1367"/>
      <c r="J733" s="1368"/>
      <c r="K733" s="1382"/>
      <c r="L733" s="1383"/>
      <c r="M733" s="1383"/>
      <c r="N733" s="1384"/>
      <c r="O733" s="1378"/>
      <c r="P733" s="1379"/>
      <c r="Q733" s="1379"/>
      <c r="R733" s="1379"/>
      <c r="S733" s="1380"/>
      <c r="T733" s="1378"/>
      <c r="U733" s="1379"/>
      <c r="V733" s="1379"/>
      <c r="W733" s="1380"/>
      <c r="X733" s="1363">
        <f t="shared" si="56"/>
        <v>0</v>
      </c>
      <c r="Y733" s="1364"/>
      <c r="Z733" s="1364"/>
      <c r="AA733" s="1364"/>
      <c r="AB733" s="1365"/>
      <c r="AC733" s="1399"/>
      <c r="AD733" s="1400"/>
      <c r="AE733" s="1400"/>
      <c r="AF733" s="1400"/>
      <c r="AG733" s="1401"/>
      <c r="AH733" s="1356" t="str">
        <f t="shared" si="57"/>
        <v/>
      </c>
      <c r="AI733" s="1357"/>
      <c r="AJ733" s="1358"/>
      <c r="AK733" s="1359" t="s">
        <v>600</v>
      </c>
      <c r="AL733" s="1360"/>
      <c r="AM733" s="1360"/>
      <c r="AN733" s="1360"/>
      <c r="AO733" s="1361"/>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59"/>
      <c r="C734" s="1360"/>
      <c r="D734" s="1360"/>
      <c r="E734" s="1360"/>
      <c r="F734" s="1361"/>
      <c r="G734" s="1366"/>
      <c r="H734" s="1367"/>
      <c r="I734" s="1367"/>
      <c r="J734" s="1368"/>
      <c r="K734" s="1382"/>
      <c r="L734" s="1383"/>
      <c r="M734" s="1383"/>
      <c r="N734" s="1384"/>
      <c r="O734" s="1378"/>
      <c r="P734" s="1379"/>
      <c r="Q734" s="1379"/>
      <c r="R734" s="1379"/>
      <c r="S734" s="1380"/>
      <c r="T734" s="1378"/>
      <c r="U734" s="1379"/>
      <c r="V734" s="1379"/>
      <c r="W734" s="1380"/>
      <c r="X734" s="1363">
        <f t="shared" si="56"/>
        <v>0</v>
      </c>
      <c r="Y734" s="1364"/>
      <c r="Z734" s="1364"/>
      <c r="AA734" s="1364"/>
      <c r="AB734" s="1365"/>
      <c r="AC734" s="1399"/>
      <c r="AD734" s="1400"/>
      <c r="AE734" s="1400"/>
      <c r="AF734" s="1400"/>
      <c r="AG734" s="1401"/>
      <c r="AH734" s="1356" t="str">
        <f t="shared" si="57"/>
        <v/>
      </c>
      <c r="AI734" s="1357"/>
      <c r="AJ734" s="1358"/>
      <c r="AK734" s="1359" t="s">
        <v>600</v>
      </c>
      <c r="AL734" s="1360"/>
      <c r="AM734" s="1360"/>
      <c r="AN734" s="1360"/>
      <c r="AO734" s="1361"/>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59"/>
      <c r="C735" s="1360"/>
      <c r="D735" s="1360"/>
      <c r="E735" s="1360"/>
      <c r="F735" s="1361"/>
      <c r="G735" s="1366"/>
      <c r="H735" s="1367"/>
      <c r="I735" s="1367"/>
      <c r="J735" s="1368"/>
      <c r="K735" s="1382"/>
      <c r="L735" s="1383"/>
      <c r="M735" s="1383"/>
      <c r="N735" s="1384"/>
      <c r="O735" s="1378"/>
      <c r="P735" s="1379"/>
      <c r="Q735" s="1379"/>
      <c r="R735" s="1379"/>
      <c r="S735" s="1380"/>
      <c r="T735" s="1378"/>
      <c r="U735" s="1379"/>
      <c r="V735" s="1379"/>
      <c r="W735" s="1380"/>
      <c r="X735" s="1363">
        <f t="shared" si="56"/>
        <v>0</v>
      </c>
      <c r="Y735" s="1364"/>
      <c r="Z735" s="1364"/>
      <c r="AA735" s="1364"/>
      <c r="AB735" s="1365"/>
      <c r="AC735" s="1399"/>
      <c r="AD735" s="1400"/>
      <c r="AE735" s="1400"/>
      <c r="AF735" s="1400"/>
      <c r="AG735" s="1401"/>
      <c r="AH735" s="1356" t="str">
        <f t="shared" si="57"/>
        <v/>
      </c>
      <c r="AI735" s="1357"/>
      <c r="AJ735" s="1358"/>
      <c r="AK735" s="1359" t="s">
        <v>600</v>
      </c>
      <c r="AL735" s="1360"/>
      <c r="AM735" s="1360"/>
      <c r="AN735" s="1360"/>
      <c r="AO735" s="1361"/>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59"/>
      <c r="C736" s="1360"/>
      <c r="D736" s="1360"/>
      <c r="E736" s="1360"/>
      <c r="F736" s="1361"/>
      <c r="G736" s="1366"/>
      <c r="H736" s="1367"/>
      <c r="I736" s="1367"/>
      <c r="J736" s="1368"/>
      <c r="K736" s="1382"/>
      <c r="L736" s="1383"/>
      <c r="M736" s="1383"/>
      <c r="N736" s="1384"/>
      <c r="O736" s="1378"/>
      <c r="P736" s="1379"/>
      <c r="Q736" s="1379"/>
      <c r="R736" s="1379"/>
      <c r="S736" s="1380"/>
      <c r="T736" s="1378"/>
      <c r="U736" s="1379"/>
      <c r="V736" s="1379"/>
      <c r="W736" s="1380"/>
      <c r="X736" s="1363">
        <f t="shared" si="56"/>
        <v>0</v>
      </c>
      <c r="Y736" s="1364"/>
      <c r="Z736" s="1364"/>
      <c r="AA736" s="1364"/>
      <c r="AB736" s="1365"/>
      <c r="AC736" s="1399"/>
      <c r="AD736" s="1400"/>
      <c r="AE736" s="1400"/>
      <c r="AF736" s="1400"/>
      <c r="AG736" s="1401"/>
      <c r="AH736" s="1356" t="str">
        <f t="shared" si="57"/>
        <v/>
      </c>
      <c r="AI736" s="1357"/>
      <c r="AJ736" s="1358"/>
      <c r="AK736" s="1359" t="s">
        <v>600</v>
      </c>
      <c r="AL736" s="1360"/>
      <c r="AM736" s="1360"/>
      <c r="AN736" s="1360"/>
      <c r="AO736" s="1361"/>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59"/>
      <c r="C737" s="1360"/>
      <c r="D737" s="1360"/>
      <c r="E737" s="1360"/>
      <c r="F737" s="1361"/>
      <c r="G737" s="1366"/>
      <c r="H737" s="1367"/>
      <c r="I737" s="1367"/>
      <c r="J737" s="1368"/>
      <c r="K737" s="1382"/>
      <c r="L737" s="1383"/>
      <c r="M737" s="1383"/>
      <c r="N737" s="1384"/>
      <c r="O737" s="1378"/>
      <c r="P737" s="1379"/>
      <c r="Q737" s="1379"/>
      <c r="R737" s="1379"/>
      <c r="S737" s="1380"/>
      <c r="T737" s="1378"/>
      <c r="U737" s="1379"/>
      <c r="V737" s="1379"/>
      <c r="W737" s="1380"/>
      <c r="X737" s="1363">
        <f t="shared" si="56"/>
        <v>0</v>
      </c>
      <c r="Y737" s="1364"/>
      <c r="Z737" s="1364"/>
      <c r="AA737" s="1364"/>
      <c r="AB737" s="1365"/>
      <c r="AC737" s="1399"/>
      <c r="AD737" s="1400"/>
      <c r="AE737" s="1400"/>
      <c r="AF737" s="1400"/>
      <c r="AG737" s="1401"/>
      <c r="AH737" s="1356" t="str">
        <f t="shared" si="57"/>
        <v/>
      </c>
      <c r="AI737" s="1357"/>
      <c r="AJ737" s="1358"/>
      <c r="AK737" s="1359" t="s">
        <v>600</v>
      </c>
      <c r="AL737" s="1360"/>
      <c r="AM737" s="1360"/>
      <c r="AN737" s="1360"/>
      <c r="AO737" s="1361"/>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59"/>
      <c r="C738" s="1360"/>
      <c r="D738" s="1360"/>
      <c r="E738" s="1360"/>
      <c r="F738" s="1361"/>
      <c r="G738" s="1366"/>
      <c r="H738" s="1367"/>
      <c r="I738" s="1367"/>
      <c r="J738" s="1368"/>
      <c r="K738" s="1382"/>
      <c r="L738" s="1383"/>
      <c r="M738" s="1383"/>
      <c r="N738" s="1384"/>
      <c r="O738" s="1378"/>
      <c r="P738" s="1379"/>
      <c r="Q738" s="1379"/>
      <c r="R738" s="1379"/>
      <c r="S738" s="1380"/>
      <c r="T738" s="1378"/>
      <c r="U738" s="1379"/>
      <c r="V738" s="1379"/>
      <c r="W738" s="1380"/>
      <c r="X738" s="1363">
        <f t="shared" si="56"/>
        <v>0</v>
      </c>
      <c r="Y738" s="1364"/>
      <c r="Z738" s="1364"/>
      <c r="AA738" s="1364"/>
      <c r="AB738" s="1365"/>
      <c r="AC738" s="1399"/>
      <c r="AD738" s="1400"/>
      <c r="AE738" s="1400"/>
      <c r="AF738" s="1400"/>
      <c r="AG738" s="1401"/>
      <c r="AH738" s="1356" t="str">
        <f t="shared" si="57"/>
        <v/>
      </c>
      <c r="AI738" s="1357"/>
      <c r="AJ738" s="1358"/>
      <c r="AK738" s="1359" t="s">
        <v>600</v>
      </c>
      <c r="AL738" s="1360"/>
      <c r="AM738" s="1360"/>
      <c r="AN738" s="1360"/>
      <c r="AO738" s="1361"/>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59"/>
      <c r="C739" s="1360"/>
      <c r="D739" s="1360"/>
      <c r="E739" s="1360"/>
      <c r="F739" s="1361"/>
      <c r="G739" s="1366"/>
      <c r="H739" s="1367"/>
      <c r="I739" s="1367"/>
      <c r="J739" s="1368"/>
      <c r="K739" s="1382"/>
      <c r="L739" s="1383"/>
      <c r="M739" s="1383"/>
      <c r="N739" s="1384"/>
      <c r="O739" s="1378"/>
      <c r="P739" s="1379"/>
      <c r="Q739" s="1379"/>
      <c r="R739" s="1379"/>
      <c r="S739" s="1380"/>
      <c r="T739" s="1378"/>
      <c r="U739" s="1379"/>
      <c r="V739" s="1379"/>
      <c r="W739" s="1380"/>
      <c r="X739" s="1363">
        <f t="shared" si="56"/>
        <v>0</v>
      </c>
      <c r="Y739" s="1364"/>
      <c r="Z739" s="1364"/>
      <c r="AA739" s="1364"/>
      <c r="AB739" s="1365"/>
      <c r="AC739" s="1399"/>
      <c r="AD739" s="1400"/>
      <c r="AE739" s="1400"/>
      <c r="AF739" s="1400"/>
      <c r="AG739" s="1401"/>
      <c r="AH739" s="1356" t="str">
        <f t="shared" si="57"/>
        <v/>
      </c>
      <c r="AI739" s="1357"/>
      <c r="AJ739" s="1358"/>
      <c r="AK739" s="1359" t="s">
        <v>600</v>
      </c>
      <c r="AL739" s="1360"/>
      <c r="AM739" s="1360"/>
      <c r="AN739" s="1360"/>
      <c r="AO739" s="1361"/>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59"/>
      <c r="C740" s="1360"/>
      <c r="D740" s="1360"/>
      <c r="E740" s="1360"/>
      <c r="F740" s="1361"/>
      <c r="G740" s="1366"/>
      <c r="H740" s="1367"/>
      <c r="I740" s="1367"/>
      <c r="J740" s="1368"/>
      <c r="K740" s="1382"/>
      <c r="L740" s="1383"/>
      <c r="M740" s="1383"/>
      <c r="N740" s="1384"/>
      <c r="O740" s="1378"/>
      <c r="P740" s="1379"/>
      <c r="Q740" s="1379"/>
      <c r="R740" s="1379"/>
      <c r="S740" s="1380"/>
      <c r="T740" s="1378"/>
      <c r="U740" s="1379"/>
      <c r="V740" s="1379"/>
      <c r="W740" s="1380"/>
      <c r="X740" s="1363">
        <f t="shared" si="56"/>
        <v>0</v>
      </c>
      <c r="Y740" s="1364"/>
      <c r="Z740" s="1364"/>
      <c r="AA740" s="1364"/>
      <c r="AB740" s="1365"/>
      <c r="AC740" s="1399"/>
      <c r="AD740" s="1400"/>
      <c r="AE740" s="1400"/>
      <c r="AF740" s="1400"/>
      <c r="AG740" s="1401"/>
      <c r="AH740" s="1356" t="str">
        <f t="shared" si="57"/>
        <v/>
      </c>
      <c r="AI740" s="1357"/>
      <c r="AJ740" s="1358"/>
      <c r="AK740" s="1359" t="s">
        <v>600</v>
      </c>
      <c r="AL740" s="1360"/>
      <c r="AM740" s="1360"/>
      <c r="AN740" s="1360"/>
      <c r="AO740" s="1361"/>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59"/>
      <c r="C741" s="1360"/>
      <c r="D741" s="1360"/>
      <c r="E741" s="1360"/>
      <c r="F741" s="1361"/>
      <c r="G741" s="1366"/>
      <c r="H741" s="1367"/>
      <c r="I741" s="1367"/>
      <c r="J741" s="1368"/>
      <c r="K741" s="1382"/>
      <c r="L741" s="1383"/>
      <c r="M741" s="1383"/>
      <c r="N741" s="1384"/>
      <c r="O741" s="1378"/>
      <c r="P741" s="1379"/>
      <c r="Q741" s="1379"/>
      <c r="R741" s="1379"/>
      <c r="S741" s="1380"/>
      <c r="T741" s="1378"/>
      <c r="U741" s="1379"/>
      <c r="V741" s="1379"/>
      <c r="W741" s="1380"/>
      <c r="X741" s="1363">
        <f t="shared" si="56"/>
        <v>0</v>
      </c>
      <c r="Y741" s="1364"/>
      <c r="Z741" s="1364"/>
      <c r="AA741" s="1364"/>
      <c r="AB741" s="1365"/>
      <c r="AC741" s="1399"/>
      <c r="AD741" s="1400"/>
      <c r="AE741" s="1400"/>
      <c r="AF741" s="1400"/>
      <c r="AG741" s="1401"/>
      <c r="AH741" s="1356" t="str">
        <f t="shared" si="57"/>
        <v/>
      </c>
      <c r="AI741" s="1357"/>
      <c r="AJ741" s="1358"/>
      <c r="AK741" s="1359" t="s">
        <v>600</v>
      </c>
      <c r="AL741" s="1360"/>
      <c r="AM741" s="1360"/>
      <c r="AN741" s="1360"/>
      <c r="AO741" s="1361"/>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59"/>
      <c r="C742" s="1360"/>
      <c r="D742" s="1360"/>
      <c r="E742" s="1360"/>
      <c r="F742" s="1361"/>
      <c r="G742" s="1366"/>
      <c r="H742" s="1367"/>
      <c r="I742" s="1367"/>
      <c r="J742" s="1368"/>
      <c r="K742" s="1382"/>
      <c r="L742" s="1383"/>
      <c r="M742" s="1383"/>
      <c r="N742" s="1384"/>
      <c r="O742" s="1378"/>
      <c r="P742" s="1379"/>
      <c r="Q742" s="1379"/>
      <c r="R742" s="1379"/>
      <c r="S742" s="1380"/>
      <c r="T742" s="1378"/>
      <c r="U742" s="1379"/>
      <c r="V742" s="1379"/>
      <c r="W742" s="1380"/>
      <c r="X742" s="1363">
        <f t="shared" ref="X742:X751" si="58">O742+T742</f>
        <v>0</v>
      </c>
      <c r="Y742" s="1364"/>
      <c r="Z742" s="1364"/>
      <c r="AA742" s="1364"/>
      <c r="AB742" s="1365"/>
      <c r="AC742" s="1399"/>
      <c r="AD742" s="1400"/>
      <c r="AE742" s="1400"/>
      <c r="AF742" s="1400"/>
      <c r="AG742" s="1401"/>
      <c r="AH742" s="1356" t="str">
        <f t="shared" si="57"/>
        <v/>
      </c>
      <c r="AI742" s="1357"/>
      <c r="AJ742" s="1358"/>
      <c r="AK742" s="1359" t="s">
        <v>600</v>
      </c>
      <c r="AL742" s="1360"/>
      <c r="AM742" s="1360"/>
      <c r="AN742" s="1360"/>
      <c r="AO742" s="1361"/>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59"/>
      <c r="C743" s="1360"/>
      <c r="D743" s="1360"/>
      <c r="E743" s="1360"/>
      <c r="F743" s="1361"/>
      <c r="G743" s="1366"/>
      <c r="H743" s="1367"/>
      <c r="I743" s="1367"/>
      <c r="J743" s="1368"/>
      <c r="K743" s="1382"/>
      <c r="L743" s="1383"/>
      <c r="M743" s="1383"/>
      <c r="N743" s="1384"/>
      <c r="O743" s="1378"/>
      <c r="P743" s="1379"/>
      <c r="Q743" s="1379"/>
      <c r="R743" s="1379"/>
      <c r="S743" s="1380"/>
      <c r="T743" s="1378"/>
      <c r="U743" s="1379"/>
      <c r="V743" s="1379"/>
      <c r="W743" s="1380"/>
      <c r="X743" s="1363">
        <f t="shared" si="58"/>
        <v>0</v>
      </c>
      <c r="Y743" s="1364"/>
      <c r="Z743" s="1364"/>
      <c r="AA743" s="1364"/>
      <c r="AB743" s="1365"/>
      <c r="AC743" s="1399"/>
      <c r="AD743" s="1400"/>
      <c r="AE743" s="1400"/>
      <c r="AF743" s="1400"/>
      <c r="AG743" s="1401"/>
      <c r="AH743" s="1356" t="str">
        <f t="shared" si="57"/>
        <v/>
      </c>
      <c r="AI743" s="1357"/>
      <c r="AJ743" s="1358"/>
      <c r="AK743" s="1359" t="s">
        <v>600</v>
      </c>
      <c r="AL743" s="1360"/>
      <c r="AM743" s="1360"/>
      <c r="AN743" s="1360"/>
      <c r="AO743" s="1361"/>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59"/>
      <c r="C744" s="1360"/>
      <c r="D744" s="1360"/>
      <c r="E744" s="1360"/>
      <c r="F744" s="1361"/>
      <c r="G744" s="1366"/>
      <c r="H744" s="1367"/>
      <c r="I744" s="1367"/>
      <c r="J744" s="1368"/>
      <c r="K744" s="1382"/>
      <c r="L744" s="1383"/>
      <c r="M744" s="1383"/>
      <c r="N744" s="1384"/>
      <c r="O744" s="1378"/>
      <c r="P744" s="1379"/>
      <c r="Q744" s="1379"/>
      <c r="R744" s="1379"/>
      <c r="S744" s="1380"/>
      <c r="T744" s="1378"/>
      <c r="U744" s="1379"/>
      <c r="V744" s="1379"/>
      <c r="W744" s="1380"/>
      <c r="X744" s="1363">
        <f t="shared" si="58"/>
        <v>0</v>
      </c>
      <c r="Y744" s="1364"/>
      <c r="Z744" s="1364"/>
      <c r="AA744" s="1364"/>
      <c r="AB744" s="1365"/>
      <c r="AC744" s="1399"/>
      <c r="AD744" s="1400"/>
      <c r="AE744" s="1400"/>
      <c r="AF744" s="1400"/>
      <c r="AG744" s="1401"/>
      <c r="AH744" s="1356" t="str">
        <f t="shared" si="57"/>
        <v/>
      </c>
      <c r="AI744" s="1357"/>
      <c r="AJ744" s="1358"/>
      <c r="AK744" s="1359" t="s">
        <v>600</v>
      </c>
      <c r="AL744" s="1360"/>
      <c r="AM744" s="1360"/>
      <c r="AN744" s="1360"/>
      <c r="AO744" s="1361"/>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59"/>
      <c r="C745" s="1360"/>
      <c r="D745" s="1360"/>
      <c r="E745" s="1360"/>
      <c r="F745" s="1361"/>
      <c r="G745" s="1366"/>
      <c r="H745" s="1367"/>
      <c r="I745" s="1367"/>
      <c r="J745" s="1368"/>
      <c r="K745" s="1382"/>
      <c r="L745" s="1383"/>
      <c r="M745" s="1383"/>
      <c r="N745" s="1384"/>
      <c r="O745" s="1378"/>
      <c r="P745" s="1379"/>
      <c r="Q745" s="1379"/>
      <c r="R745" s="1379"/>
      <c r="S745" s="1380"/>
      <c r="T745" s="1378"/>
      <c r="U745" s="1379"/>
      <c r="V745" s="1379"/>
      <c r="W745" s="1380"/>
      <c r="X745" s="1363">
        <f t="shared" si="58"/>
        <v>0</v>
      </c>
      <c r="Y745" s="1364"/>
      <c r="Z745" s="1364"/>
      <c r="AA745" s="1364"/>
      <c r="AB745" s="1365"/>
      <c r="AC745" s="1399"/>
      <c r="AD745" s="1400"/>
      <c r="AE745" s="1400"/>
      <c r="AF745" s="1400"/>
      <c r="AG745" s="1401"/>
      <c r="AH745" s="1356" t="str">
        <f t="shared" si="57"/>
        <v/>
      </c>
      <c r="AI745" s="1357"/>
      <c r="AJ745" s="1358"/>
      <c r="AK745" s="1359" t="s">
        <v>600</v>
      </c>
      <c r="AL745" s="1360"/>
      <c r="AM745" s="1360"/>
      <c r="AN745" s="1360"/>
      <c r="AO745" s="1361"/>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59"/>
      <c r="C746" s="1360"/>
      <c r="D746" s="1360"/>
      <c r="E746" s="1360"/>
      <c r="F746" s="1361"/>
      <c r="G746" s="1366"/>
      <c r="H746" s="1367"/>
      <c r="I746" s="1367"/>
      <c r="J746" s="1368"/>
      <c r="K746" s="1382"/>
      <c r="L746" s="1383"/>
      <c r="M746" s="1383"/>
      <c r="N746" s="1384"/>
      <c r="O746" s="1378"/>
      <c r="P746" s="1379"/>
      <c r="Q746" s="1379"/>
      <c r="R746" s="1379"/>
      <c r="S746" s="1380"/>
      <c r="T746" s="1378"/>
      <c r="U746" s="1379"/>
      <c r="V746" s="1379"/>
      <c r="W746" s="1380"/>
      <c r="X746" s="1363">
        <f t="shared" si="58"/>
        <v>0</v>
      </c>
      <c r="Y746" s="1364"/>
      <c r="Z746" s="1364"/>
      <c r="AA746" s="1364"/>
      <c r="AB746" s="1365"/>
      <c r="AC746" s="1399"/>
      <c r="AD746" s="1400"/>
      <c r="AE746" s="1400"/>
      <c r="AF746" s="1400"/>
      <c r="AG746" s="1401"/>
      <c r="AH746" s="1356" t="str">
        <f t="shared" si="57"/>
        <v/>
      </c>
      <c r="AI746" s="1357"/>
      <c r="AJ746" s="1358"/>
      <c r="AK746" s="1359" t="s">
        <v>600</v>
      </c>
      <c r="AL746" s="1360"/>
      <c r="AM746" s="1360"/>
      <c r="AN746" s="1360"/>
      <c r="AO746" s="1361"/>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 customHeight="1">
      <c r="B747" s="1359"/>
      <c r="C747" s="1360"/>
      <c r="D747" s="1360"/>
      <c r="E747" s="1360"/>
      <c r="F747" s="1361"/>
      <c r="G747" s="1366"/>
      <c r="H747" s="1367"/>
      <c r="I747" s="1367"/>
      <c r="J747" s="1368"/>
      <c r="K747" s="1382"/>
      <c r="L747" s="1383"/>
      <c r="M747" s="1383"/>
      <c r="N747" s="1384"/>
      <c r="O747" s="1378"/>
      <c r="P747" s="1379"/>
      <c r="Q747" s="1379"/>
      <c r="R747" s="1379"/>
      <c r="S747" s="1380"/>
      <c r="T747" s="1378"/>
      <c r="U747" s="1379"/>
      <c r="V747" s="1379"/>
      <c r="W747" s="1380"/>
      <c r="X747" s="1363">
        <f t="shared" si="58"/>
        <v>0</v>
      </c>
      <c r="Y747" s="1364"/>
      <c r="Z747" s="1364"/>
      <c r="AA747" s="1364"/>
      <c r="AB747" s="1365"/>
      <c r="AC747" s="1399"/>
      <c r="AD747" s="1400"/>
      <c r="AE747" s="1400"/>
      <c r="AF747" s="1400"/>
      <c r="AG747" s="1401"/>
      <c r="AH747" s="1356" t="str">
        <f t="shared" si="57"/>
        <v/>
      </c>
      <c r="AI747" s="1357"/>
      <c r="AJ747" s="1358"/>
      <c r="AK747" s="1359" t="s">
        <v>600</v>
      </c>
      <c r="AL747" s="1360"/>
      <c r="AM747" s="1360"/>
      <c r="AN747" s="1360"/>
      <c r="AO747" s="1361"/>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59"/>
      <c r="C748" s="1360"/>
      <c r="D748" s="1360"/>
      <c r="E748" s="1360"/>
      <c r="F748" s="1361"/>
      <c r="G748" s="1366"/>
      <c r="H748" s="1367"/>
      <c r="I748" s="1367"/>
      <c r="J748" s="1368"/>
      <c r="K748" s="1382"/>
      <c r="L748" s="1383"/>
      <c r="M748" s="1383"/>
      <c r="N748" s="1384"/>
      <c r="O748" s="1378"/>
      <c r="P748" s="1379"/>
      <c r="Q748" s="1379"/>
      <c r="R748" s="1379"/>
      <c r="S748" s="1380"/>
      <c r="T748" s="1378"/>
      <c r="U748" s="1379"/>
      <c r="V748" s="1379"/>
      <c r="W748" s="1380"/>
      <c r="X748" s="1363">
        <f t="shared" si="58"/>
        <v>0</v>
      </c>
      <c r="Y748" s="1364"/>
      <c r="Z748" s="1364"/>
      <c r="AA748" s="1364"/>
      <c r="AB748" s="1365"/>
      <c r="AC748" s="1399"/>
      <c r="AD748" s="1400"/>
      <c r="AE748" s="1400"/>
      <c r="AF748" s="1400"/>
      <c r="AG748" s="1401"/>
      <c r="AH748" s="1356" t="str">
        <f t="shared" si="57"/>
        <v/>
      </c>
      <c r="AI748" s="1357"/>
      <c r="AJ748" s="1358"/>
      <c r="AK748" s="1359" t="s">
        <v>600</v>
      </c>
      <c r="AL748" s="1360"/>
      <c r="AM748" s="1360"/>
      <c r="AN748" s="1360"/>
      <c r="AO748" s="1361"/>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59"/>
      <c r="C749" s="1360"/>
      <c r="D749" s="1360"/>
      <c r="E749" s="1360"/>
      <c r="F749" s="1361"/>
      <c r="G749" s="1366"/>
      <c r="H749" s="1367"/>
      <c r="I749" s="1367"/>
      <c r="J749" s="1368"/>
      <c r="K749" s="1382"/>
      <c r="L749" s="1383"/>
      <c r="M749" s="1383"/>
      <c r="N749" s="1384"/>
      <c r="O749" s="1378"/>
      <c r="P749" s="1379"/>
      <c r="Q749" s="1379"/>
      <c r="R749" s="1379"/>
      <c r="S749" s="1380"/>
      <c r="T749" s="1378"/>
      <c r="U749" s="1379"/>
      <c r="V749" s="1379"/>
      <c r="W749" s="1380"/>
      <c r="X749" s="1363">
        <f t="shared" si="58"/>
        <v>0</v>
      </c>
      <c r="Y749" s="1364"/>
      <c r="Z749" s="1364"/>
      <c r="AA749" s="1364"/>
      <c r="AB749" s="1365"/>
      <c r="AC749" s="1399"/>
      <c r="AD749" s="1400"/>
      <c r="AE749" s="1400"/>
      <c r="AF749" s="1400"/>
      <c r="AG749" s="1401"/>
      <c r="AH749" s="1356" t="str">
        <f t="shared" si="57"/>
        <v/>
      </c>
      <c r="AI749" s="1357"/>
      <c r="AJ749" s="1358"/>
      <c r="AK749" s="1359" t="s">
        <v>600</v>
      </c>
      <c r="AL749" s="1360"/>
      <c r="AM749" s="1360"/>
      <c r="AN749" s="1360"/>
      <c r="AO749" s="1361"/>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59"/>
      <c r="C750" s="1360"/>
      <c r="D750" s="1360"/>
      <c r="E750" s="1360"/>
      <c r="F750" s="1361"/>
      <c r="G750" s="1366"/>
      <c r="H750" s="1367"/>
      <c r="I750" s="1367"/>
      <c r="J750" s="1368"/>
      <c r="K750" s="1382"/>
      <c r="L750" s="1383"/>
      <c r="M750" s="1383"/>
      <c r="N750" s="1384"/>
      <c r="O750" s="1378"/>
      <c r="P750" s="1379"/>
      <c r="Q750" s="1379"/>
      <c r="R750" s="1379"/>
      <c r="S750" s="1380"/>
      <c r="T750" s="1378"/>
      <c r="U750" s="1379"/>
      <c r="V750" s="1379"/>
      <c r="W750" s="1380"/>
      <c r="X750" s="1363">
        <f t="shared" si="58"/>
        <v>0</v>
      </c>
      <c r="Y750" s="1364"/>
      <c r="Z750" s="1364"/>
      <c r="AA750" s="1364"/>
      <c r="AB750" s="1365"/>
      <c r="AC750" s="1399"/>
      <c r="AD750" s="1400"/>
      <c r="AE750" s="1400"/>
      <c r="AF750" s="1400"/>
      <c r="AG750" s="1401"/>
      <c r="AH750" s="1356" t="str">
        <f t="shared" si="57"/>
        <v/>
      </c>
      <c r="AI750" s="1357"/>
      <c r="AJ750" s="1358"/>
      <c r="AK750" s="1359" t="s">
        <v>600</v>
      </c>
      <c r="AL750" s="1360"/>
      <c r="AM750" s="1360"/>
      <c r="AN750" s="1360"/>
      <c r="AO750" s="1361"/>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59"/>
      <c r="C751" s="1360"/>
      <c r="D751" s="1360"/>
      <c r="E751" s="1360"/>
      <c r="F751" s="1361"/>
      <c r="G751" s="1366"/>
      <c r="H751" s="1367"/>
      <c r="I751" s="1367"/>
      <c r="J751" s="1368"/>
      <c r="K751" s="1382"/>
      <c r="L751" s="1383"/>
      <c r="M751" s="1383"/>
      <c r="N751" s="1384"/>
      <c r="O751" s="1378"/>
      <c r="P751" s="1379"/>
      <c r="Q751" s="1379"/>
      <c r="R751" s="1379"/>
      <c r="S751" s="1380"/>
      <c r="T751" s="1378"/>
      <c r="U751" s="1379"/>
      <c r="V751" s="1379"/>
      <c r="W751" s="1380"/>
      <c r="X751" s="1363">
        <f t="shared" si="58"/>
        <v>0</v>
      </c>
      <c r="Y751" s="1364"/>
      <c r="Z751" s="1364"/>
      <c r="AA751" s="1364"/>
      <c r="AB751" s="1365"/>
      <c r="AC751" s="1399"/>
      <c r="AD751" s="1400"/>
      <c r="AE751" s="1400"/>
      <c r="AF751" s="1400"/>
      <c r="AG751" s="1401"/>
      <c r="AH751" s="1356" t="str">
        <f t="shared" si="57"/>
        <v/>
      </c>
      <c r="AI751" s="1357"/>
      <c r="AJ751" s="1358"/>
      <c r="AK751" s="1359" t="s">
        <v>600</v>
      </c>
      <c r="AL751" s="1360"/>
      <c r="AM751" s="1360"/>
      <c r="AN751" s="1360"/>
      <c r="AO751" s="1361"/>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59"/>
      <c r="C752" s="1360"/>
      <c r="D752" s="1360"/>
      <c r="E752" s="1360"/>
      <c r="F752" s="1361"/>
      <c r="G752" s="1366"/>
      <c r="H752" s="1367"/>
      <c r="I752" s="1367"/>
      <c r="J752" s="1368"/>
      <c r="K752" s="1382"/>
      <c r="L752" s="1383"/>
      <c r="M752" s="1383"/>
      <c r="N752" s="1384"/>
      <c r="O752" s="1378"/>
      <c r="P752" s="1379"/>
      <c r="Q752" s="1379"/>
      <c r="R752" s="1379"/>
      <c r="S752" s="1380"/>
      <c r="T752" s="1378"/>
      <c r="U752" s="1379"/>
      <c r="V752" s="1379"/>
      <c r="W752" s="1380"/>
      <c r="X752" s="1363">
        <f>O752+T752</f>
        <v>0</v>
      </c>
      <c r="Y752" s="1364"/>
      <c r="Z752" s="1364"/>
      <c r="AA752" s="1364"/>
      <c r="AB752" s="1365"/>
      <c r="AC752" s="1399"/>
      <c r="AD752" s="1400"/>
      <c r="AE752" s="1400"/>
      <c r="AF752" s="1400"/>
      <c r="AG752" s="1401"/>
      <c r="AH752" s="1356" t="str">
        <f>IF($AC752&gt;0,($X752/$BA701), "")</f>
        <v/>
      </c>
      <c r="AI752" s="1357"/>
      <c r="AJ752" s="1358"/>
      <c r="AK752" s="1359" t="s">
        <v>600</v>
      </c>
      <c r="AL752" s="1360"/>
      <c r="AM752" s="1360"/>
      <c r="AN752" s="1360"/>
      <c r="AO752" s="1361"/>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611" t="s">
        <v>125</v>
      </c>
      <c r="C753" s="1612"/>
      <c r="D753" s="1612"/>
      <c r="E753" s="1612"/>
      <c r="F753" s="1613"/>
      <c r="G753" s="1866">
        <f>SUM(G718:G752)</f>
        <v>140</v>
      </c>
      <c r="H753" s="1867"/>
      <c r="I753" s="1867"/>
      <c r="J753" s="1868"/>
      <c r="K753" s="937" t="s">
        <v>124</v>
      </c>
      <c r="L753" s="5"/>
      <c r="M753" s="5"/>
      <c r="N753" s="46"/>
      <c r="O753" s="1363">
        <f>SUMPRODUCT(G718:G752,O718:O752)</f>
        <v>143486</v>
      </c>
      <c r="P753" s="1364"/>
      <c r="Q753" s="1364"/>
      <c r="R753" s="1364"/>
      <c r="S753" s="1365"/>
      <c r="T753"/>
      <c r="U753"/>
      <c r="V753"/>
      <c r="W753"/>
      <c r="X753" s="939" t="s">
        <v>916</v>
      </c>
      <c r="Y753" s="938"/>
      <c r="Z753" s="938"/>
      <c r="AA753" s="938"/>
      <c r="AB753" s="940"/>
      <c r="AC753" s="1689">
        <f>BI703</f>
        <v>0.39571428571428569</v>
      </c>
      <c r="AD753" s="1690"/>
      <c r="AE753" s="1690"/>
      <c r="AF753" s="1690"/>
      <c r="AG753" s="1691"/>
      <c r="AH753" s="1689">
        <f>IFERROR(BV703,"")</f>
        <v>0.39571428571428569</v>
      </c>
      <c r="AI753" s="1690"/>
      <c r="AJ753" s="1691"/>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864" t="s">
        <v>2184</v>
      </c>
      <c r="C754" s="1864"/>
      <c r="D754" s="1864"/>
      <c r="E754" s="1864"/>
      <c r="F754" s="1864"/>
      <c r="G754" s="1864"/>
      <c r="H754" s="1864"/>
      <c r="I754" s="1864"/>
      <c r="J754" s="1864"/>
      <c r="K754" s="1864"/>
      <c r="L754" s="1864"/>
      <c r="M754" s="1864"/>
      <c r="N754" s="1864"/>
      <c r="O754" s="1864"/>
      <c r="P754" s="1864"/>
      <c r="Q754" s="1864"/>
      <c r="R754" s="1864"/>
      <c r="S754" s="1864"/>
      <c r="T754" s="1864"/>
      <c r="U754" s="1864"/>
      <c r="V754" s="1864"/>
      <c r="W754" s="1864"/>
      <c r="X754" s="1864"/>
      <c r="Y754" s="1864"/>
      <c r="Z754" s="1864"/>
      <c r="AA754" s="1864"/>
      <c r="AB754" s="1864"/>
      <c r="AC754" s="1864"/>
      <c r="AD754" s="1864"/>
      <c r="AE754" s="1864"/>
      <c r="AF754" s="1864"/>
      <c r="AG754" s="1864"/>
      <c r="AH754" s="1864"/>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864"/>
      <c r="C755" s="1864"/>
      <c r="D755" s="1864"/>
      <c r="E755" s="1864"/>
      <c r="F755" s="1864"/>
      <c r="G755" s="1864"/>
      <c r="H755" s="1864"/>
      <c r="I755" s="1864"/>
      <c r="J755" s="1864"/>
      <c r="K755" s="1864"/>
      <c r="L755" s="1864"/>
      <c r="M755" s="1864"/>
      <c r="N755" s="1864"/>
      <c r="O755" s="1864"/>
      <c r="P755" s="1864"/>
      <c r="Q755" s="1864"/>
      <c r="R755" s="1864"/>
      <c r="S755" s="1864"/>
      <c r="T755" s="1864"/>
      <c r="U755" s="1864"/>
      <c r="V755" s="1864"/>
      <c r="W755" s="1864"/>
      <c r="X755" s="1864"/>
      <c r="Y755" s="1864"/>
      <c r="Z755" s="1864"/>
      <c r="AA755" s="1864"/>
      <c r="AB755" s="1864"/>
      <c r="AC755" s="1864"/>
      <c r="AD755" s="1864"/>
      <c r="AE755" s="1864"/>
      <c r="AF755" s="1864"/>
      <c r="AG755" s="1864"/>
      <c r="AH755" s="186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118" t="s">
        <v>2182</v>
      </c>
      <c r="D756" s="1067"/>
      <c r="E756" s="1067"/>
      <c r="F756" s="1067"/>
      <c r="G756" s="1068"/>
      <c r="H756" s="1068"/>
      <c r="I756" s="1068"/>
      <c r="J756" s="1068"/>
      <c r="K756" s="1067"/>
      <c r="L756" s="1067"/>
      <c r="M756" s="1067"/>
      <c r="N756" s="1067"/>
      <c r="O756" s="1405">
        <f>CS634</f>
        <v>140</v>
      </c>
      <c r="P756" s="1405"/>
      <c r="Q756" s="1405"/>
      <c r="R756" s="1405"/>
      <c r="S756" s="1004"/>
      <c r="T756" s="1004"/>
      <c r="U756" s="118" t="s">
        <v>2183</v>
      </c>
      <c r="V756" s="1067"/>
      <c r="W756" s="1067"/>
      <c r="X756" s="1067"/>
      <c r="Y756" s="1068"/>
      <c r="Z756" s="1068"/>
      <c r="AA756" s="1068"/>
      <c r="AB756" s="1068"/>
      <c r="AC756" s="1067"/>
      <c r="AD756" s="1067"/>
      <c r="AE756" s="1067"/>
      <c r="AF756" s="1067"/>
      <c r="AG756" s="1618">
        <v>72</v>
      </c>
      <c r="AH756" s="1618"/>
      <c r="AI756" s="1618"/>
      <c r="AJ756" s="1618"/>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 customHeight="1">
      <c r="B757" s="57"/>
      <c r="C757" s="1856" t="str">
        <f>IF(G753&lt;&gt;AG440,"! Total Low-Income Units in the Unit Mix Table above does not match the number of Total Low-Income Units on row #"&amp;TEXT(ROW(D440),"#"),"")</f>
        <v/>
      </c>
      <c r="D757" s="1856"/>
      <c r="E757" s="1856"/>
      <c r="F757" s="1856"/>
      <c r="G757" s="1856"/>
      <c r="H757" s="1856"/>
      <c r="I757" s="1856"/>
      <c r="J757" s="1856"/>
      <c r="K757" s="1856"/>
      <c r="L757" s="1856"/>
      <c r="M757" s="1856"/>
      <c r="N757" s="1856"/>
      <c r="O757" s="1856"/>
      <c r="P757" s="1856"/>
      <c r="Q757" s="1856"/>
      <c r="R757" s="1856"/>
      <c r="S757" s="1856"/>
      <c r="T757" s="1856"/>
      <c r="U757" s="1856"/>
      <c r="V757" s="1856"/>
      <c r="W757" s="1856"/>
      <c r="X757" s="1856"/>
      <c r="Y757" s="1856"/>
      <c r="Z757" s="1856"/>
      <c r="AA757" s="1856"/>
      <c r="AB757" s="1856"/>
      <c r="AC757" s="1856"/>
      <c r="AD757" s="1856"/>
      <c r="AE757" s="1856"/>
      <c r="AF757" s="1856"/>
      <c r="AG757" s="1856"/>
      <c r="AH757" s="1856"/>
      <c r="AI757" s="1856"/>
      <c r="AJ757" s="1856"/>
      <c r="AK757" s="1856"/>
      <c r="AL757" s="1856"/>
      <c r="AM757" s="1856"/>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7"/>
      <c r="C758" s="1856"/>
      <c r="D758" s="1856"/>
      <c r="E758" s="1856"/>
      <c r="F758" s="1856"/>
      <c r="G758" s="1856"/>
      <c r="H758" s="1856"/>
      <c r="I758" s="1856"/>
      <c r="J758" s="1856"/>
      <c r="K758" s="1856"/>
      <c r="L758" s="1856"/>
      <c r="M758" s="1856"/>
      <c r="N758" s="1856"/>
      <c r="O758" s="1856"/>
      <c r="P758" s="1856"/>
      <c r="Q758" s="1856"/>
      <c r="R758" s="1856"/>
      <c r="S758" s="1856"/>
      <c r="T758" s="1856"/>
      <c r="U758" s="1856"/>
      <c r="V758" s="1856"/>
      <c r="W758" s="1856"/>
      <c r="X758" s="1856"/>
      <c r="Y758" s="1856"/>
      <c r="Z758" s="1856"/>
      <c r="AA758" s="1856"/>
      <c r="AB758" s="1856"/>
      <c r="AC758" s="1856"/>
      <c r="AD758" s="1856"/>
      <c r="AE758" s="1856"/>
      <c r="AF758" s="1856"/>
      <c r="AG758" s="1856"/>
      <c r="AH758" s="1856"/>
      <c r="AI758" s="1856"/>
      <c r="AJ758" s="1856"/>
      <c r="AK758" s="1856"/>
      <c r="AL758" s="1856"/>
      <c r="AM758" s="1856"/>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118" t="s">
        <v>2181</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80" t="s">
        <v>600</v>
      </c>
      <c r="AE759" s="1780"/>
      <c r="AF759" s="1780"/>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1070" t="s">
        <v>2406</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1067"/>
      <c r="C763" s="1273" t="s">
        <v>2407</v>
      </c>
      <c r="D763" s="1273"/>
      <c r="E763" s="1273"/>
      <c r="F763" s="1273"/>
      <c r="G763" s="1273"/>
      <c r="H763" s="1273"/>
      <c r="I763" s="1273"/>
      <c r="J763" s="1273"/>
      <c r="K763" s="1273"/>
      <c r="L763" s="1273"/>
      <c r="M763" s="1273"/>
      <c r="N763" s="1273"/>
      <c r="O763" s="1273"/>
      <c r="P763" s="1273"/>
      <c r="Q763" s="1273"/>
      <c r="R763" s="1273"/>
      <c r="S763" s="1273"/>
      <c r="T763" s="1273"/>
      <c r="U763" s="1273"/>
      <c r="V763" s="1273"/>
      <c r="W763" s="1273"/>
      <c r="X763" s="1273"/>
      <c r="Y763" s="1273"/>
      <c r="Z763" s="1273"/>
      <c r="AA763" s="1273"/>
      <c r="AB763" s="1273"/>
      <c r="AC763" s="1273"/>
      <c r="AD763" s="1273"/>
      <c r="AE763" s="1273"/>
      <c r="AF763" s="1273"/>
      <c r="AG763" s="1273"/>
      <c r="AH763" s="1273"/>
      <c r="AI763" s="1273"/>
      <c r="AJ763" s="1273"/>
      <c r="AK763" s="1273"/>
      <c r="AL763" s="1273"/>
      <c r="AM763" s="1273"/>
      <c r="AN763" s="1273"/>
      <c r="AO763" s="1273"/>
      <c r="AP763" s="1273"/>
      <c r="AQ763" s="1273"/>
      <c r="AR763" s="127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1067"/>
      <c r="C764" s="1273"/>
      <c r="D764" s="1273"/>
      <c r="E764" s="1273"/>
      <c r="F764" s="1273"/>
      <c r="G764" s="1273"/>
      <c r="H764" s="1273"/>
      <c r="I764" s="1273"/>
      <c r="J764" s="1273"/>
      <c r="K764" s="1273"/>
      <c r="L764" s="1273"/>
      <c r="M764" s="1273"/>
      <c r="N764" s="1273"/>
      <c r="O764" s="1273"/>
      <c r="P764" s="1273"/>
      <c r="Q764" s="1273"/>
      <c r="R764" s="1273"/>
      <c r="S764" s="1273"/>
      <c r="T764" s="1273"/>
      <c r="U764" s="1273"/>
      <c r="V764" s="1273"/>
      <c r="W764" s="1273"/>
      <c r="X764" s="1273"/>
      <c r="Y764" s="1273"/>
      <c r="Z764" s="1273"/>
      <c r="AA764" s="1273"/>
      <c r="AB764" s="1273"/>
      <c r="AC764" s="1273"/>
      <c r="AD764" s="1273"/>
      <c r="AE764" s="1273"/>
      <c r="AF764" s="1273"/>
      <c r="AG764" s="1273"/>
      <c r="AH764" s="1273"/>
      <c r="AI764" s="1273"/>
      <c r="AJ764" s="1273"/>
      <c r="AK764" s="1273"/>
      <c r="AL764" s="1273"/>
      <c r="AM764" s="1273"/>
      <c r="AN764" s="1273"/>
      <c r="AO764" s="1273"/>
      <c r="AP764" s="1273"/>
      <c r="AQ764" s="1273"/>
      <c r="AR764" s="1273"/>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1067"/>
      <c r="C765" s="1273"/>
      <c r="D765" s="1273"/>
      <c r="E765" s="1273"/>
      <c r="F765" s="1273"/>
      <c r="G765" s="1273"/>
      <c r="H765" s="1273"/>
      <c r="I765" s="1273"/>
      <c r="J765" s="1273"/>
      <c r="K765" s="1273"/>
      <c r="L765" s="1273"/>
      <c r="M765" s="1273"/>
      <c r="N765" s="1273"/>
      <c r="O765" s="1273"/>
      <c r="P765" s="1273"/>
      <c r="Q765" s="1273"/>
      <c r="R765" s="1273"/>
      <c r="S765" s="1273"/>
      <c r="T765" s="1273"/>
      <c r="U765" s="1273"/>
      <c r="V765" s="1273"/>
      <c r="W765" s="1273"/>
      <c r="X765" s="1273"/>
      <c r="Y765" s="1273"/>
      <c r="Z765" s="1273"/>
      <c r="AA765" s="1273"/>
      <c r="AB765" s="1273"/>
      <c r="AC765" s="1273"/>
      <c r="AD765" s="1273"/>
      <c r="AE765" s="1273"/>
      <c r="AF765" s="1273"/>
      <c r="AG765" s="1273"/>
      <c r="AH765" s="1273"/>
      <c r="AI765" s="1273"/>
      <c r="AJ765" s="1273"/>
      <c r="AK765" s="1273"/>
      <c r="AL765" s="1273"/>
      <c r="AM765" s="1273"/>
      <c r="AN765" s="1273"/>
      <c r="AO765" s="1273"/>
      <c r="AP765" s="1273"/>
      <c r="AQ765" s="1273"/>
      <c r="AR765" s="1273"/>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1067"/>
      <c r="C766" s="1273" t="s">
        <v>2408</v>
      </c>
      <c r="D766" s="1273"/>
      <c r="E766" s="1273"/>
      <c r="F766" s="1273"/>
      <c r="G766" s="1273"/>
      <c r="H766" s="1273"/>
      <c r="I766" s="1273"/>
      <c r="J766" s="1273"/>
      <c r="K766" s="1273"/>
      <c r="L766" s="1273"/>
      <c r="M766" s="1273"/>
      <c r="N766" s="1273"/>
      <c r="O766" s="1273"/>
      <c r="P766" s="1273"/>
      <c r="Q766" s="1273"/>
      <c r="R766" s="1273"/>
      <c r="S766" s="1273"/>
      <c r="T766" s="1273"/>
      <c r="U766" s="1273"/>
      <c r="V766" s="1273"/>
      <c r="W766" s="1273"/>
      <c r="X766" s="1273"/>
      <c r="Y766" s="1273"/>
      <c r="Z766" s="1273"/>
      <c r="AA766" s="1273"/>
      <c r="AB766" s="1273"/>
      <c r="AC766" s="1273"/>
      <c r="AD766" s="1273"/>
      <c r="AE766" s="1273"/>
      <c r="AF766" s="1273"/>
      <c r="AG766" s="1273"/>
      <c r="AH766" s="1273"/>
      <c r="AI766" s="1273"/>
      <c r="AJ766" s="1273"/>
      <c r="AK766" s="1273"/>
      <c r="AL766" s="1273"/>
      <c r="AM766" s="1273"/>
      <c r="AN766" s="1273"/>
      <c r="AO766" s="1273"/>
      <c r="AP766" s="1273"/>
      <c r="AQ766" s="1273"/>
      <c r="AR766" s="1273"/>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 customHeight="1">
      <c r="A767" s="3"/>
      <c r="B767" s="1067"/>
      <c r="C767" s="1273"/>
      <c r="D767" s="1273"/>
      <c r="E767" s="1273"/>
      <c r="F767" s="1273"/>
      <c r="G767" s="1273"/>
      <c r="H767" s="1273"/>
      <c r="I767" s="1273"/>
      <c r="J767" s="1273"/>
      <c r="K767" s="1273"/>
      <c r="L767" s="1273"/>
      <c r="M767" s="1273"/>
      <c r="N767" s="1273"/>
      <c r="O767" s="1273"/>
      <c r="P767" s="1273"/>
      <c r="Q767" s="1273"/>
      <c r="R767" s="1273"/>
      <c r="S767" s="1273"/>
      <c r="T767" s="1273"/>
      <c r="U767" s="1273"/>
      <c r="V767" s="1273"/>
      <c r="W767" s="1273"/>
      <c r="X767" s="1273"/>
      <c r="Y767" s="1273"/>
      <c r="Z767" s="1273"/>
      <c r="AA767" s="1273"/>
      <c r="AB767" s="1273"/>
      <c r="AC767" s="1273"/>
      <c r="AD767" s="1273"/>
      <c r="AE767" s="1273"/>
      <c r="AF767" s="1273"/>
      <c r="AG767" s="1273"/>
      <c r="AH767" s="1273"/>
      <c r="AI767" s="1273"/>
      <c r="AJ767" s="1273"/>
      <c r="AK767" s="1273"/>
      <c r="AL767" s="1273"/>
      <c r="AM767" s="1273"/>
      <c r="AN767" s="1273"/>
      <c r="AO767" s="1273"/>
      <c r="AP767" s="1273"/>
      <c r="AQ767" s="1273"/>
      <c r="AR767" s="1273"/>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1067"/>
      <c r="C768" s="1273"/>
      <c r="D768" s="1273"/>
      <c r="E768" s="1273"/>
      <c r="F768" s="1273"/>
      <c r="G768" s="1273"/>
      <c r="H768" s="1273"/>
      <c r="I768" s="1273"/>
      <c r="J768" s="1273"/>
      <c r="K768" s="1273"/>
      <c r="L768" s="1273"/>
      <c r="M768" s="1273"/>
      <c r="N768" s="1273"/>
      <c r="O768" s="1273"/>
      <c r="P768" s="1273"/>
      <c r="Q768" s="1273"/>
      <c r="R768" s="1273"/>
      <c r="S768" s="1273"/>
      <c r="T768" s="1273"/>
      <c r="U768" s="1273"/>
      <c r="V768" s="1273"/>
      <c r="W768" s="1273"/>
      <c r="X768" s="1273"/>
      <c r="Y768" s="1273"/>
      <c r="Z768" s="1273"/>
      <c r="AA768" s="1273"/>
      <c r="AB768" s="1273"/>
      <c r="AC768" s="1273"/>
      <c r="AD768" s="1273"/>
      <c r="AE768" s="1273"/>
      <c r="AF768" s="1273"/>
      <c r="AG768" s="1273"/>
      <c r="AH768" s="1273"/>
      <c r="AI768" s="1273"/>
      <c r="AJ768" s="1273"/>
      <c r="AK768" s="1273"/>
      <c r="AL768" s="1273"/>
      <c r="AM768" s="1273"/>
      <c r="AN768" s="1273"/>
      <c r="AO768" s="1273"/>
      <c r="AP768" s="1273"/>
      <c r="AQ768" s="1273"/>
      <c r="AR768" s="1273"/>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397" t="s">
        <v>390</v>
      </c>
      <c r="K769" s="1370"/>
      <c r="L769" s="1370"/>
      <c r="M769" s="1370"/>
      <c r="N769" s="1371"/>
      <c r="O769" s="1619" t="s">
        <v>286</v>
      </c>
      <c r="P769" s="1619"/>
      <c r="Q769" s="1619"/>
      <c r="R769" s="1619"/>
      <c r="S769" s="1619"/>
      <c r="T769" s="1387" t="s">
        <v>1869</v>
      </c>
      <c r="U769" s="1388"/>
      <c r="V769" s="1388"/>
      <c r="W769" s="1389"/>
      <c r="X769" s="1397" t="s">
        <v>456</v>
      </c>
      <c r="Y769" s="1370"/>
      <c r="Z769" s="1370"/>
      <c r="AA769" s="1370"/>
      <c r="AB769" s="1371"/>
      <c r="AC769" s="1397" t="s">
        <v>287</v>
      </c>
      <c r="AD769" s="1370"/>
      <c r="AE769" s="1370"/>
      <c r="AF769" s="1370"/>
      <c r="AG769" s="1371"/>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72"/>
      <c r="K770" s="1373"/>
      <c r="L770" s="1373"/>
      <c r="M770" s="1373"/>
      <c r="N770" s="1374"/>
      <c r="O770" s="1619"/>
      <c r="P770" s="1619"/>
      <c r="Q770" s="1619"/>
      <c r="R770" s="1619"/>
      <c r="S770" s="1619"/>
      <c r="T770" s="1390"/>
      <c r="U770" s="1391"/>
      <c r="V770" s="1391"/>
      <c r="W770" s="1392"/>
      <c r="X770" s="1372"/>
      <c r="Y770" s="1373"/>
      <c r="Z770" s="1373"/>
      <c r="AA770" s="1373"/>
      <c r="AB770" s="1374"/>
      <c r="AC770" s="1372"/>
      <c r="AD770" s="1373"/>
      <c r="AE770" s="1373"/>
      <c r="AF770" s="1373"/>
      <c r="AG770" s="1374"/>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72"/>
      <c r="K771" s="1373"/>
      <c r="L771" s="1373"/>
      <c r="M771" s="1373"/>
      <c r="N771" s="1374"/>
      <c r="O771" s="1619"/>
      <c r="P771" s="1619"/>
      <c r="Q771" s="1619"/>
      <c r="R771" s="1619"/>
      <c r="S771" s="1619"/>
      <c r="T771" s="1390"/>
      <c r="U771" s="1391"/>
      <c r="V771" s="1391"/>
      <c r="W771" s="1392"/>
      <c r="X771" s="1372"/>
      <c r="Y771" s="1373"/>
      <c r="Z771" s="1373"/>
      <c r="AA771" s="1373"/>
      <c r="AB771" s="1374"/>
      <c r="AC771" s="1372"/>
      <c r="AD771" s="1373"/>
      <c r="AE771" s="1373"/>
      <c r="AF771" s="1373"/>
      <c r="AG771" s="1374"/>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75"/>
      <c r="K772" s="1376"/>
      <c r="L772" s="1376"/>
      <c r="M772" s="1376"/>
      <c r="N772" s="1377"/>
      <c r="O772" s="1619"/>
      <c r="P772" s="1619"/>
      <c r="Q772" s="1619"/>
      <c r="R772" s="1619"/>
      <c r="S772" s="1619"/>
      <c r="T772" s="1623"/>
      <c r="U772" s="1624"/>
      <c r="V772" s="1624"/>
      <c r="W772" s="1625"/>
      <c r="X772" s="1375"/>
      <c r="Y772" s="1376"/>
      <c r="Z772" s="1376"/>
      <c r="AA772" s="1376"/>
      <c r="AB772" s="1377"/>
      <c r="AC772" s="1375"/>
      <c r="AD772" s="1376"/>
      <c r="AE772" s="1376"/>
      <c r="AF772" s="1376"/>
      <c r="AG772" s="1377"/>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59" t="s">
        <v>326</v>
      </c>
      <c r="K773" s="1360"/>
      <c r="L773" s="1360"/>
      <c r="M773" s="1360"/>
      <c r="N773" s="1361"/>
      <c r="O773" s="1520">
        <v>1</v>
      </c>
      <c r="P773" s="1520"/>
      <c r="Q773" s="1520"/>
      <c r="R773" s="1520"/>
      <c r="S773" s="1520"/>
      <c r="T773" s="1382">
        <v>450</v>
      </c>
      <c r="U773" s="1383"/>
      <c r="V773" s="1383"/>
      <c r="W773" s="1384"/>
      <c r="X773" s="1378">
        <v>900</v>
      </c>
      <c r="Y773" s="1379"/>
      <c r="Z773" s="1379"/>
      <c r="AA773" s="1379"/>
      <c r="AB773" s="1380"/>
      <c r="AC773" s="1363">
        <f>X773*O773</f>
        <v>900</v>
      </c>
      <c r="AD773" s="1364"/>
      <c r="AE773" s="1364"/>
      <c r="AF773" s="1364"/>
      <c r="AG773" s="1365"/>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59"/>
      <c r="K774" s="1360"/>
      <c r="L774" s="1360"/>
      <c r="M774" s="1360"/>
      <c r="N774" s="1361"/>
      <c r="O774" s="1520"/>
      <c r="P774" s="1520"/>
      <c r="Q774" s="1520"/>
      <c r="R774" s="1520"/>
      <c r="S774" s="1520"/>
      <c r="T774" s="1382"/>
      <c r="U774" s="1383"/>
      <c r="V774" s="1383"/>
      <c r="W774" s="1384"/>
      <c r="X774" s="1378"/>
      <c r="Y774" s="1379"/>
      <c r="Z774" s="1379"/>
      <c r="AA774" s="1379"/>
      <c r="AB774" s="1380"/>
      <c r="AC774" s="1363">
        <f>X774*O774</f>
        <v>0</v>
      </c>
      <c r="AD774" s="1364"/>
      <c r="AE774" s="1364"/>
      <c r="AF774" s="1364"/>
      <c r="AG774" s="1365"/>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59"/>
      <c r="K775" s="1360"/>
      <c r="L775" s="1360"/>
      <c r="M775" s="1360"/>
      <c r="N775" s="1361"/>
      <c r="O775" s="1520"/>
      <c r="P775" s="1520"/>
      <c r="Q775" s="1520"/>
      <c r="R775" s="1520"/>
      <c r="S775" s="1520"/>
      <c r="T775" s="1382"/>
      <c r="U775" s="1383"/>
      <c r="V775" s="1383"/>
      <c r="W775" s="1384"/>
      <c r="X775" s="1378"/>
      <c r="Y775" s="1379"/>
      <c r="Z775" s="1379"/>
      <c r="AA775" s="1379"/>
      <c r="AB775" s="1380"/>
      <c r="AC775" s="1363">
        <f>X775*O775</f>
        <v>0</v>
      </c>
      <c r="AD775" s="1364"/>
      <c r="AE775" s="1364"/>
      <c r="AF775" s="1364"/>
      <c r="AG775" s="1365"/>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59"/>
      <c r="K776" s="1360"/>
      <c r="L776" s="1360"/>
      <c r="M776" s="1360"/>
      <c r="N776" s="1361"/>
      <c r="O776" s="1520"/>
      <c r="P776" s="1520"/>
      <c r="Q776" s="1520"/>
      <c r="R776" s="1520"/>
      <c r="S776" s="1520"/>
      <c r="T776" s="1382"/>
      <c r="U776" s="1383"/>
      <c r="V776" s="1383"/>
      <c r="W776" s="1384"/>
      <c r="X776" s="1378"/>
      <c r="Y776" s="1379"/>
      <c r="Z776" s="1379"/>
      <c r="AA776" s="1379"/>
      <c r="AB776" s="1380"/>
      <c r="AC776" s="1363">
        <f>X776*O776</f>
        <v>0</v>
      </c>
      <c r="AD776" s="1364"/>
      <c r="AE776" s="1364"/>
      <c r="AF776" s="1364"/>
      <c r="AG776" s="1365"/>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611" t="s">
        <v>125</v>
      </c>
      <c r="K777" s="1612"/>
      <c r="L777" s="1612"/>
      <c r="M777" s="1612"/>
      <c r="N777" s="1613"/>
      <c r="O777" s="1525">
        <f>SUM(O773:S776)</f>
        <v>1</v>
      </c>
      <c r="P777" s="1542"/>
      <c r="Q777" s="1542"/>
      <c r="R777" s="1542"/>
      <c r="S777" s="1526"/>
      <c r="X777" s="1611" t="s">
        <v>124</v>
      </c>
      <c r="Y777" s="1612"/>
      <c r="Z777" s="1612"/>
      <c r="AA777" s="1612"/>
      <c r="AB777" s="1613"/>
      <c r="AC777" s="1363">
        <f>SUM(AC773:AG776)</f>
        <v>900</v>
      </c>
      <c r="AD777" s="1364"/>
      <c r="AE777" s="1364"/>
      <c r="AF777" s="1364"/>
      <c r="AG777" s="1365"/>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56"/>
      <c r="C779" s="56"/>
      <c r="D779" s="56"/>
      <c r="E779" s="56"/>
      <c r="F779" s="56"/>
      <c r="G779" s="6"/>
      <c r="H779" s="6"/>
      <c r="I779" s="6"/>
      <c r="J779" s="1428" t="s">
        <v>678</v>
      </c>
      <c r="K779" s="1428"/>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56"/>
      <c r="C780" s="56"/>
      <c r="D780" s="56"/>
      <c r="E780" s="56"/>
      <c r="F780" s="56"/>
      <c r="G780" s="6"/>
      <c r="H780" s="6"/>
      <c r="I780" s="6"/>
      <c r="J780" s="6"/>
      <c r="K780" s="6"/>
      <c r="L780" s="56"/>
      <c r="M780" s="35" t="s">
        <v>2409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397" t="s">
        <v>390</v>
      </c>
      <c r="K783" s="1370"/>
      <c r="L783" s="1370"/>
      <c r="M783" s="1370"/>
      <c r="N783" s="1371"/>
      <c r="O783" s="1619" t="s">
        <v>286</v>
      </c>
      <c r="P783" s="1619"/>
      <c r="Q783" s="1619"/>
      <c r="R783" s="1619"/>
      <c r="S783" s="1619"/>
      <c r="T783" s="1387" t="s">
        <v>1869</v>
      </c>
      <c r="U783" s="1388"/>
      <c r="V783" s="1388"/>
      <c r="W783" s="1389"/>
      <c r="X783" s="1397" t="s">
        <v>456</v>
      </c>
      <c r="Y783" s="1370"/>
      <c r="Z783" s="1370"/>
      <c r="AA783" s="1370"/>
      <c r="AB783" s="1371"/>
      <c r="AC783" s="1397" t="s">
        <v>287</v>
      </c>
      <c r="AD783" s="1370"/>
      <c r="AE783" s="1370"/>
      <c r="AF783" s="1370"/>
      <c r="AG783" s="137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72"/>
      <c r="K784" s="1373"/>
      <c r="L784" s="1373"/>
      <c r="M784" s="1373"/>
      <c r="N784" s="1374"/>
      <c r="O784" s="1619"/>
      <c r="P784" s="1619"/>
      <c r="Q784" s="1619"/>
      <c r="R784" s="1619"/>
      <c r="S784" s="1619"/>
      <c r="T784" s="1390"/>
      <c r="U784" s="1391"/>
      <c r="V784" s="1391"/>
      <c r="W784" s="1392"/>
      <c r="X784" s="1372"/>
      <c r="Y784" s="1373"/>
      <c r="Z784" s="1373"/>
      <c r="AA784" s="1373"/>
      <c r="AB784" s="1374"/>
      <c r="AC784" s="1372"/>
      <c r="AD784" s="1373"/>
      <c r="AE784" s="1373"/>
      <c r="AF784" s="1373"/>
      <c r="AG784" s="137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72"/>
      <c r="K785" s="1373"/>
      <c r="L785" s="1373"/>
      <c r="M785" s="1373"/>
      <c r="N785" s="1374"/>
      <c r="O785" s="1619"/>
      <c r="P785" s="1619"/>
      <c r="Q785" s="1619"/>
      <c r="R785" s="1619"/>
      <c r="S785" s="1619"/>
      <c r="T785" s="1390"/>
      <c r="U785" s="1391"/>
      <c r="V785" s="1391"/>
      <c r="W785" s="1392"/>
      <c r="X785" s="1372"/>
      <c r="Y785" s="1373"/>
      <c r="Z785" s="1373"/>
      <c r="AA785" s="1373"/>
      <c r="AB785" s="1374"/>
      <c r="AC785" s="1372"/>
      <c r="AD785" s="1373"/>
      <c r="AE785" s="1373"/>
      <c r="AF785" s="1373"/>
      <c r="AG785" s="137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75"/>
      <c r="K786" s="1376"/>
      <c r="L786" s="1376"/>
      <c r="M786" s="1376"/>
      <c r="N786" s="1377"/>
      <c r="O786" s="1619"/>
      <c r="P786" s="1619"/>
      <c r="Q786" s="1619"/>
      <c r="R786" s="1619"/>
      <c r="S786" s="1619"/>
      <c r="T786" s="1623"/>
      <c r="U786" s="1624"/>
      <c r="V786" s="1624"/>
      <c r="W786" s="1625"/>
      <c r="X786" s="1375"/>
      <c r="Y786" s="1376"/>
      <c r="Z786" s="1376"/>
      <c r="AA786" s="1376"/>
      <c r="AB786" s="1377"/>
      <c r="AC786" s="1375"/>
      <c r="AD786" s="1376"/>
      <c r="AE786" s="1376"/>
      <c r="AF786" s="1376"/>
      <c r="AG786" s="137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59"/>
      <c r="K787" s="1360"/>
      <c r="L787" s="1360"/>
      <c r="M787" s="1360"/>
      <c r="N787" s="1361"/>
      <c r="O787" s="1520"/>
      <c r="P787" s="1520"/>
      <c r="Q787" s="1520"/>
      <c r="R787" s="1520"/>
      <c r="S787" s="1520"/>
      <c r="T787" s="1382"/>
      <c r="U787" s="1383"/>
      <c r="V787" s="1383"/>
      <c r="W787" s="1384"/>
      <c r="X787" s="1378"/>
      <c r="Y787" s="1379"/>
      <c r="Z787" s="1379"/>
      <c r="AA787" s="1379"/>
      <c r="AB787" s="1380"/>
      <c r="AC787" s="1363">
        <f t="shared" ref="AC787:AC796" si="59">X787*O787</f>
        <v>0</v>
      </c>
      <c r="AD787" s="1364"/>
      <c r="AE787" s="1364"/>
      <c r="AF787" s="1364"/>
      <c r="AG787" s="136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59"/>
      <c r="K788" s="1360"/>
      <c r="L788" s="1360"/>
      <c r="M788" s="1360"/>
      <c r="N788" s="1361"/>
      <c r="O788" s="1520"/>
      <c r="P788" s="1520"/>
      <c r="Q788" s="1520"/>
      <c r="R788" s="1520"/>
      <c r="S788" s="1520"/>
      <c r="T788" s="1382"/>
      <c r="U788" s="1383"/>
      <c r="V788" s="1383"/>
      <c r="W788" s="1384"/>
      <c r="X788" s="1378"/>
      <c r="Y788" s="1379"/>
      <c r="Z788" s="1379"/>
      <c r="AA788" s="1379"/>
      <c r="AB788" s="1380"/>
      <c r="AC788" s="1363">
        <f t="shared" si="59"/>
        <v>0</v>
      </c>
      <c r="AD788" s="1364"/>
      <c r="AE788" s="1364"/>
      <c r="AF788" s="1364"/>
      <c r="AG788" s="136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59"/>
      <c r="K789" s="1360"/>
      <c r="L789" s="1360"/>
      <c r="M789" s="1360"/>
      <c r="N789" s="1361"/>
      <c r="O789" s="1520"/>
      <c r="P789" s="1520"/>
      <c r="Q789" s="1520"/>
      <c r="R789" s="1520"/>
      <c r="S789" s="1520"/>
      <c r="T789" s="1382"/>
      <c r="U789" s="1383"/>
      <c r="V789" s="1383"/>
      <c r="W789" s="1384"/>
      <c r="X789" s="1378"/>
      <c r="Y789" s="1379"/>
      <c r="Z789" s="1379"/>
      <c r="AA789" s="1379"/>
      <c r="AB789" s="1380"/>
      <c r="AC789" s="1363">
        <f t="shared" si="59"/>
        <v>0</v>
      </c>
      <c r="AD789" s="1364"/>
      <c r="AE789" s="1364"/>
      <c r="AF789" s="1364"/>
      <c r="AG789" s="136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59"/>
      <c r="K790" s="1360"/>
      <c r="L790" s="1360"/>
      <c r="M790" s="1360"/>
      <c r="N790" s="1361"/>
      <c r="O790" s="1520"/>
      <c r="P790" s="1520"/>
      <c r="Q790" s="1520"/>
      <c r="R790" s="1520"/>
      <c r="S790" s="1520"/>
      <c r="T790" s="1382"/>
      <c r="U790" s="1383"/>
      <c r="V790" s="1383"/>
      <c r="W790" s="1384"/>
      <c r="X790" s="1378"/>
      <c r="Y790" s="1379"/>
      <c r="Z790" s="1379"/>
      <c r="AA790" s="1379"/>
      <c r="AB790" s="1380"/>
      <c r="AC790" s="1363">
        <f t="shared" si="59"/>
        <v>0</v>
      </c>
      <c r="AD790" s="1364"/>
      <c r="AE790" s="1364"/>
      <c r="AF790" s="1364"/>
      <c r="AG790" s="136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59"/>
      <c r="K791" s="1360"/>
      <c r="L791" s="1360"/>
      <c r="M791" s="1360"/>
      <c r="N791" s="1361"/>
      <c r="O791" s="1520"/>
      <c r="P791" s="1520"/>
      <c r="Q791" s="1520"/>
      <c r="R791" s="1520"/>
      <c r="S791" s="1520"/>
      <c r="T791" s="1382"/>
      <c r="U791" s="1383"/>
      <c r="V791" s="1383"/>
      <c r="W791" s="1384"/>
      <c r="X791" s="1378"/>
      <c r="Y791" s="1379"/>
      <c r="Z791" s="1379"/>
      <c r="AA791" s="1379"/>
      <c r="AB791" s="1380"/>
      <c r="AC791" s="1363">
        <f t="shared" si="59"/>
        <v>0</v>
      </c>
      <c r="AD791" s="1364"/>
      <c r="AE791" s="1364"/>
      <c r="AF791" s="1364"/>
      <c r="AG791" s="136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59"/>
      <c r="K792" s="1360"/>
      <c r="L792" s="1360"/>
      <c r="M792" s="1360"/>
      <c r="N792" s="1361"/>
      <c r="O792" s="1520"/>
      <c r="P792" s="1520"/>
      <c r="Q792" s="1520"/>
      <c r="R792" s="1520"/>
      <c r="S792" s="1520"/>
      <c r="T792" s="1382"/>
      <c r="U792" s="1383"/>
      <c r="V792" s="1383"/>
      <c r="W792" s="1384"/>
      <c r="X792" s="1378"/>
      <c r="Y792" s="1379"/>
      <c r="Z792" s="1379"/>
      <c r="AA792" s="1379"/>
      <c r="AB792" s="1380"/>
      <c r="AC792" s="1363">
        <f t="shared" si="59"/>
        <v>0</v>
      </c>
      <c r="AD792" s="1364"/>
      <c r="AE792" s="1364"/>
      <c r="AF792" s="1364"/>
      <c r="AG792" s="136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59"/>
      <c r="K793" s="1360"/>
      <c r="L793" s="1360"/>
      <c r="M793" s="1360"/>
      <c r="N793" s="1361"/>
      <c r="O793" s="1520"/>
      <c r="P793" s="1520"/>
      <c r="Q793" s="1520"/>
      <c r="R793" s="1520"/>
      <c r="S793" s="1520"/>
      <c r="T793" s="1382"/>
      <c r="U793" s="1383"/>
      <c r="V793" s="1383"/>
      <c r="W793" s="1384"/>
      <c r="X793" s="1378"/>
      <c r="Y793" s="1379"/>
      <c r="Z793" s="1379"/>
      <c r="AA793" s="1379"/>
      <c r="AB793" s="1380"/>
      <c r="AC793" s="1363">
        <f t="shared" si="59"/>
        <v>0</v>
      </c>
      <c r="AD793" s="1364"/>
      <c r="AE793" s="1364"/>
      <c r="AF793" s="1364"/>
      <c r="AG793" s="136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59"/>
      <c r="K794" s="1360"/>
      <c r="L794" s="1360"/>
      <c r="M794" s="1360"/>
      <c r="N794" s="1361"/>
      <c r="O794" s="1520"/>
      <c r="P794" s="1520"/>
      <c r="Q794" s="1520"/>
      <c r="R794" s="1520"/>
      <c r="S794" s="1520"/>
      <c r="T794" s="1382"/>
      <c r="U794" s="1383"/>
      <c r="V794" s="1383"/>
      <c r="W794" s="1384"/>
      <c r="X794" s="1378"/>
      <c r="Y794" s="1379"/>
      <c r="Z794" s="1379"/>
      <c r="AA794" s="1379"/>
      <c r="AB794" s="1380"/>
      <c r="AC794" s="1363">
        <f t="shared" si="59"/>
        <v>0</v>
      </c>
      <c r="AD794" s="1364"/>
      <c r="AE794" s="1364"/>
      <c r="AF794" s="1364"/>
      <c r="AG794" s="136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59"/>
      <c r="K795" s="1360"/>
      <c r="L795" s="1360"/>
      <c r="M795" s="1360"/>
      <c r="N795" s="1361"/>
      <c r="O795" s="1520"/>
      <c r="P795" s="1520"/>
      <c r="Q795" s="1520"/>
      <c r="R795" s="1520"/>
      <c r="S795" s="1520"/>
      <c r="T795" s="1382"/>
      <c r="U795" s="1383"/>
      <c r="V795" s="1383"/>
      <c r="W795" s="1384"/>
      <c r="X795" s="1378"/>
      <c r="Y795" s="1379"/>
      <c r="Z795" s="1379"/>
      <c r="AA795" s="1379"/>
      <c r="AB795" s="1380"/>
      <c r="AC795" s="1363">
        <f t="shared" si="59"/>
        <v>0</v>
      </c>
      <c r="AD795" s="1364"/>
      <c r="AE795" s="1364"/>
      <c r="AF795" s="1364"/>
      <c r="AG795" s="136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59"/>
      <c r="K796" s="1360"/>
      <c r="L796" s="1360"/>
      <c r="M796" s="1360"/>
      <c r="N796" s="1361"/>
      <c r="O796" s="1520"/>
      <c r="P796" s="1520"/>
      <c r="Q796" s="1520"/>
      <c r="R796" s="1520"/>
      <c r="S796" s="1520"/>
      <c r="T796" s="1382"/>
      <c r="U796" s="1383"/>
      <c r="V796" s="1383"/>
      <c r="W796" s="1384"/>
      <c r="X796" s="1378"/>
      <c r="Y796" s="1379"/>
      <c r="Z796" s="1379"/>
      <c r="AA796" s="1379"/>
      <c r="AB796" s="1380"/>
      <c r="AC796" s="1363">
        <f t="shared" si="59"/>
        <v>0</v>
      </c>
      <c r="AD796" s="1364"/>
      <c r="AE796" s="1364"/>
      <c r="AF796" s="1364"/>
      <c r="AG796" s="1365"/>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777" t="s">
        <v>478</v>
      </c>
      <c r="BO796" s="1778"/>
      <c r="BP796" s="3"/>
      <c r="BQ796" s="3"/>
      <c r="BR796" s="3"/>
      <c r="BS796" s="14" t="s">
        <v>643</v>
      </c>
      <c r="BT796" s="14"/>
      <c r="BU796" s="14"/>
      <c r="BV796" s="14"/>
      <c r="BW796" s="14"/>
      <c r="BX796" s="14"/>
      <c r="BY796" s="14"/>
      <c r="BZ796" s="14"/>
      <c r="CA796" s="14"/>
      <c r="CB796" s="1774" t="str">
        <f>T189</f>
        <v>Alameda</v>
      </c>
      <c r="CC796" s="1775"/>
      <c r="CD796" s="1775"/>
      <c r="CE796" s="1775"/>
      <c r="CF796" s="1775"/>
      <c r="CG796" s="1775"/>
      <c r="CH796" s="1776"/>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611" t="s">
        <v>125</v>
      </c>
      <c r="K797" s="1612"/>
      <c r="L797" s="1612"/>
      <c r="M797" s="1612"/>
      <c r="N797" s="1613"/>
      <c r="O797" s="1685">
        <f>SUM(O787:S796)</f>
        <v>0</v>
      </c>
      <c r="P797" s="1685"/>
      <c r="Q797" s="1685"/>
      <c r="R797" s="1685"/>
      <c r="S797" s="1685"/>
      <c r="T797"/>
      <c r="U797"/>
      <c r="V797"/>
      <c r="W797"/>
      <c r="X797" s="937" t="s">
        <v>124</v>
      </c>
      <c r="Y797" s="11"/>
      <c r="Z797" s="11"/>
      <c r="AA797" s="11"/>
      <c r="AB797" s="944"/>
      <c r="AC797" s="1363">
        <f>SUM(AC787:AG796)</f>
        <v>0</v>
      </c>
      <c r="AD797" s="1364"/>
      <c r="AE797" s="1364"/>
      <c r="AF797" s="1364"/>
      <c r="AG797" s="1365"/>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496" t="str">
        <f>IF(O797&lt;&gt;AG438,"! Total market rate units in the Unit Mix Table above does not match the number of  market rate units on row #"&amp;TEXT(ROW(D438),"#"),"")</f>
        <v/>
      </c>
      <c r="D798" s="1496"/>
      <c r="E798" s="1496"/>
      <c r="F798" s="1496"/>
      <c r="G798" s="1496"/>
      <c r="H798" s="1496"/>
      <c r="I798" s="1496"/>
      <c r="J798" s="1496"/>
      <c r="K798" s="1496"/>
      <c r="L798" s="1496"/>
      <c r="M798" s="1496"/>
      <c r="N798" s="1496"/>
      <c r="O798" s="1496"/>
      <c r="P798" s="1496"/>
      <c r="Q798" s="1496"/>
      <c r="R798" s="1496"/>
      <c r="S798" s="1496"/>
      <c r="T798" s="1496"/>
      <c r="U798" s="1496"/>
      <c r="V798" s="1496"/>
      <c r="W798" s="1496"/>
      <c r="X798" s="1496"/>
      <c r="Y798" s="1496"/>
      <c r="Z798" s="1496"/>
      <c r="AA798" s="1496"/>
      <c r="AB798" s="1496"/>
      <c r="AC798" s="1496"/>
      <c r="AD798" s="1496"/>
      <c r="AE798" s="1496"/>
      <c r="AF798" s="1496"/>
      <c r="AG798" s="1496"/>
      <c r="AH798" s="1496"/>
      <c r="AI798" s="1496"/>
      <c r="AJ798" s="1496"/>
      <c r="AK798" s="1496"/>
      <c r="AL798" s="1496"/>
      <c r="AM798" s="1496"/>
      <c r="AN798" s="1496"/>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496"/>
      <c r="D799" s="1496"/>
      <c r="E799" s="1496"/>
      <c r="F799" s="1496"/>
      <c r="G799" s="1496"/>
      <c r="H799" s="1496"/>
      <c r="I799" s="1496"/>
      <c r="J799" s="1496"/>
      <c r="K799" s="1496"/>
      <c r="L799" s="1496"/>
      <c r="M799" s="1496"/>
      <c r="N799" s="1496"/>
      <c r="O799" s="1496"/>
      <c r="P799" s="1496"/>
      <c r="Q799" s="1496"/>
      <c r="R799" s="1496"/>
      <c r="S799" s="1496"/>
      <c r="T799" s="1496"/>
      <c r="U799" s="1496"/>
      <c r="V799" s="1496"/>
      <c r="W799" s="1496"/>
      <c r="X799" s="1496"/>
      <c r="Y799" s="1496"/>
      <c r="Z799" s="1496"/>
      <c r="AA799" s="1496"/>
      <c r="AB799" s="1496"/>
      <c r="AC799" s="1496"/>
      <c r="AD799" s="1496"/>
      <c r="AE799" s="1496"/>
      <c r="AF799" s="1496"/>
      <c r="AG799" s="1496"/>
      <c r="AH799" s="1496"/>
      <c r="AI799" s="1496"/>
      <c r="AJ799" s="1496"/>
      <c r="AK799" s="1496"/>
      <c r="AL799" s="1496"/>
      <c r="AM799" s="1496"/>
      <c r="AN799" s="1496"/>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2634</v>
      </c>
      <c r="BP799" s="32"/>
      <c r="BQ799" s="32"/>
      <c r="BR799" s="32"/>
      <c r="BS799" s="32"/>
      <c r="BT799" s="32"/>
      <c r="BU799" s="14"/>
      <c r="BV799" s="31" t="s">
        <v>2635</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10">
        <f>O753+AC777+AC797</f>
        <v>144386</v>
      </c>
      <c r="Z800" s="1610"/>
      <c r="AA800" s="1610"/>
      <c r="AB800" s="1610"/>
      <c r="AC800" s="1610"/>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10">
        <f>(O753+AC777+AC797)*12</f>
        <v>1732632</v>
      </c>
      <c r="Z801" s="1610"/>
      <c r="AA801" s="1610"/>
      <c r="AB801" s="1610"/>
      <c r="AC801" s="1610"/>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620"/>
      <c r="AA806" s="1621"/>
      <c r="AB806" s="1621"/>
      <c r="AC806" s="1621"/>
      <c r="AD806" s="1621"/>
      <c r="AE806" s="162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79"/>
      <c r="AA807" s="1621"/>
      <c r="AB807" s="1621"/>
      <c r="AC807" s="1621"/>
      <c r="AD807" s="1621"/>
      <c r="AE807" s="162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86"/>
      <c r="AA808" s="1687"/>
      <c r="AB808" s="1687"/>
      <c r="AC808" s="1687"/>
      <c r="AD808" s="1687"/>
      <c r="AE808" s="1688"/>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46">
        <f>'Subsidy Contract Calculation'!J40</f>
        <v>0</v>
      </c>
      <c r="AA809" s="1547"/>
      <c r="AB809" s="1547"/>
      <c r="AC809" s="1547"/>
      <c r="AD809" s="1547"/>
      <c r="AE809" s="154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36">
        <v>13440</v>
      </c>
      <c r="AA813" s="1537"/>
      <c r="AB813" s="1537"/>
      <c r="AC813" s="1537"/>
      <c r="AD813" s="1537"/>
      <c r="AE813" s="153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36">
        <v>6720</v>
      </c>
      <c r="AA814" s="1537"/>
      <c r="AB814" s="1537"/>
      <c r="AC814" s="1537"/>
      <c r="AD814" s="1537"/>
      <c r="AE814" s="153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36"/>
      <c r="AA815" s="1537"/>
      <c r="AB815" s="1537"/>
      <c r="AC815" s="1537"/>
      <c r="AD815" s="1537"/>
      <c r="AE815" s="153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 customHeight="1">
      <c r="A816"/>
      <c r="B816"/>
      <c r="C816"/>
      <c r="D816"/>
      <c r="E816"/>
      <c r="F816"/>
      <c r="G816"/>
      <c r="H816" s="45" t="s">
        <v>39</v>
      </c>
      <c r="I816" s="5"/>
      <c r="J816" s="5"/>
      <c r="K816" s="5"/>
      <c r="L816" s="5"/>
      <c r="M816" s="5"/>
      <c r="N816" s="5"/>
      <c r="O816" s="5"/>
      <c r="P816" s="1614" t="s">
        <v>335</v>
      </c>
      <c r="Q816" s="1615"/>
      <c r="R816" s="1615"/>
      <c r="S816" s="1615"/>
      <c r="T816" s="1615"/>
      <c r="U816" s="1615"/>
      <c r="V816" s="1615"/>
      <c r="W816" s="1615"/>
      <c r="X816" s="1615"/>
      <c r="Y816" s="1616"/>
      <c r="Z816" s="1536"/>
      <c r="AA816" s="1537"/>
      <c r="AB816" s="1537"/>
      <c r="AC816" s="1537"/>
      <c r="AD816" s="1537"/>
      <c r="AE816" s="153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46">
        <f>SUM(Z813:AE816)</f>
        <v>20160</v>
      </c>
      <c r="AA817" s="1547"/>
      <c r="AB817" s="1547"/>
      <c r="AC817" s="1547"/>
      <c r="AD817" s="1547"/>
      <c r="AE817" s="1548"/>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546">
        <f>Z817+Y801+Z809</f>
        <v>1752792</v>
      </c>
      <c r="AA818" s="1547"/>
      <c r="AB818" s="1547"/>
      <c r="AC818" s="1547"/>
      <c r="AD818" s="1547"/>
      <c r="AE818" s="1548"/>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 customHeight="1">
      <c r="A823"/>
      <c r="B823"/>
      <c r="C823" s="41"/>
      <c r="D823" s="42"/>
      <c r="E823" s="42"/>
      <c r="F823" s="42"/>
      <c r="G823" s="42"/>
      <c r="H823" s="42"/>
      <c r="I823" s="42"/>
      <c r="J823" s="42"/>
      <c r="K823" s="42"/>
      <c r="L823" s="58"/>
      <c r="M823" s="1626" t="s">
        <v>126</v>
      </c>
      <c r="N823" s="1626"/>
      <c r="O823" s="1626"/>
      <c r="P823" s="1627"/>
      <c r="Q823" s="1617" t="s">
        <v>291</v>
      </c>
      <c r="R823" s="1617"/>
      <c r="S823" s="1617"/>
      <c r="T823" s="1617"/>
      <c r="U823" s="1617" t="s">
        <v>292</v>
      </c>
      <c r="V823" s="1617"/>
      <c r="W823" s="1617"/>
      <c r="X823" s="1617"/>
      <c r="Y823" s="1617" t="s">
        <v>293</v>
      </c>
      <c r="Z823" s="1617"/>
      <c r="AA823" s="1617"/>
      <c r="AB823" s="1617"/>
      <c r="AC823" s="1617" t="s">
        <v>362</v>
      </c>
      <c r="AD823" s="1617"/>
      <c r="AE823" s="1617"/>
      <c r="AF823" s="1617"/>
      <c r="AG823" s="1606" t="s">
        <v>336</v>
      </c>
      <c r="AH823" s="1606"/>
      <c r="AI823" s="1606"/>
      <c r="AJ823" s="1606"/>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 customHeight="1">
      <c r="A824"/>
      <c r="B824"/>
      <c r="C824" s="47"/>
      <c r="D824" s="48"/>
      <c r="E824" s="48"/>
      <c r="F824" s="48"/>
      <c r="G824" s="48"/>
      <c r="H824" s="48"/>
      <c r="I824" s="48"/>
      <c r="J824" s="48"/>
      <c r="K824" s="48"/>
      <c r="L824" s="49"/>
      <c r="M824" s="1628"/>
      <c r="N824" s="1628"/>
      <c r="O824" s="1628"/>
      <c r="P824" s="1629"/>
      <c r="Q824" s="1617"/>
      <c r="R824" s="1617"/>
      <c r="S824" s="1617"/>
      <c r="T824" s="1617"/>
      <c r="U824" s="1617"/>
      <c r="V824" s="1617"/>
      <c r="W824" s="1617"/>
      <c r="X824" s="1617"/>
      <c r="Y824" s="1617"/>
      <c r="Z824" s="1617"/>
      <c r="AA824" s="1617"/>
      <c r="AB824" s="1617"/>
      <c r="AC824" s="1617"/>
      <c r="AD824" s="1617"/>
      <c r="AE824" s="1617"/>
      <c r="AF824" s="1617"/>
      <c r="AG824" s="1606"/>
      <c r="AH824" s="1606"/>
      <c r="AI824" s="1606"/>
      <c r="AJ824" s="1606"/>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 customHeight="1">
      <c r="A825"/>
      <c r="B825"/>
      <c r="C825" s="1609" t="s">
        <v>40</v>
      </c>
      <c r="D825" s="1393"/>
      <c r="E825" s="1393"/>
      <c r="F825" s="1393"/>
      <c r="G825" s="1393"/>
      <c r="H825" s="1393"/>
      <c r="I825" s="48"/>
      <c r="J825" s="48"/>
      <c r="K825" s="48"/>
      <c r="L825" s="49"/>
      <c r="M825" s="1608"/>
      <c r="N825" s="1608"/>
      <c r="O825" s="1608"/>
      <c r="P825" s="1608"/>
      <c r="Q825" s="1608"/>
      <c r="R825" s="1608"/>
      <c r="S825" s="1608"/>
      <c r="T825" s="1608"/>
      <c r="U825" s="1608"/>
      <c r="V825" s="1608"/>
      <c r="W825" s="1608"/>
      <c r="X825" s="1608"/>
      <c r="Y825" s="1608"/>
      <c r="Z825" s="1608"/>
      <c r="AA825" s="1608"/>
      <c r="AB825" s="1608"/>
      <c r="AC825" s="1533"/>
      <c r="AD825" s="1534"/>
      <c r="AE825" s="1534"/>
      <c r="AF825" s="1535"/>
      <c r="AG825" s="1533"/>
      <c r="AH825" s="1534"/>
      <c r="AI825" s="1534"/>
      <c r="AJ825" s="1535"/>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 customHeight="1">
      <c r="A826"/>
      <c r="B826"/>
      <c r="C826" s="1501" t="s">
        <v>41</v>
      </c>
      <c r="D826" s="1416"/>
      <c r="E826" s="1416"/>
      <c r="F826" s="1416"/>
      <c r="G826" s="1416"/>
      <c r="H826" s="1416"/>
      <c r="I826" s="5"/>
      <c r="J826" s="5"/>
      <c r="K826" s="5"/>
      <c r="L826" s="46"/>
      <c r="M826" s="1608"/>
      <c r="N826" s="1608"/>
      <c r="O826" s="1608"/>
      <c r="P826" s="1608"/>
      <c r="Q826" s="1608"/>
      <c r="R826" s="1608"/>
      <c r="S826" s="1608"/>
      <c r="T826" s="1608"/>
      <c r="U826" s="1608"/>
      <c r="V826" s="1608"/>
      <c r="W826" s="1608"/>
      <c r="X826" s="1608"/>
      <c r="Y826" s="1608"/>
      <c r="Z826" s="1608"/>
      <c r="AA826" s="1608"/>
      <c r="AB826" s="1608"/>
      <c r="AC826" s="1533"/>
      <c r="AD826" s="1534"/>
      <c r="AE826" s="1534"/>
      <c r="AF826" s="1535"/>
      <c r="AG826" s="1533"/>
      <c r="AH826" s="1534"/>
      <c r="AI826" s="1534"/>
      <c r="AJ826" s="1535"/>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 customHeight="1">
      <c r="A827"/>
      <c r="B827"/>
      <c r="C827" s="1501" t="s">
        <v>42</v>
      </c>
      <c r="D827" s="1416"/>
      <c r="E827" s="1416"/>
      <c r="F827" s="1416"/>
      <c r="G827" s="1416"/>
      <c r="H827" s="1416"/>
      <c r="I827" s="60"/>
      <c r="J827" s="60"/>
      <c r="K827" s="60"/>
      <c r="L827" s="61"/>
      <c r="M827" s="1608"/>
      <c r="N827" s="1608"/>
      <c r="O827" s="1608"/>
      <c r="P827" s="1608"/>
      <c r="Q827" s="1608"/>
      <c r="R827" s="1608"/>
      <c r="S827" s="1608"/>
      <c r="T827" s="1608"/>
      <c r="U827" s="1608"/>
      <c r="V827" s="1608"/>
      <c r="W827" s="1608"/>
      <c r="X827" s="1608"/>
      <c r="Y827" s="1608"/>
      <c r="Z827" s="1608"/>
      <c r="AA827" s="1608"/>
      <c r="AB827" s="1608"/>
      <c r="AC827" s="1533"/>
      <c r="AD827" s="1534"/>
      <c r="AE827" s="1534"/>
      <c r="AF827" s="1535"/>
      <c r="AG827" s="1533"/>
      <c r="AH827" s="1534"/>
      <c r="AI827" s="1534"/>
      <c r="AJ827" s="1535"/>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 customHeight="1">
      <c r="A828"/>
      <c r="B828"/>
      <c r="C828" s="1501" t="s">
        <v>772</v>
      </c>
      <c r="D828" s="1416"/>
      <c r="E828" s="1416"/>
      <c r="F828" s="1416"/>
      <c r="G828" s="1416"/>
      <c r="H828" s="1416"/>
      <c r="I828" s="60"/>
      <c r="J828" s="60"/>
      <c r="K828" s="60"/>
      <c r="L828" s="61"/>
      <c r="M828" s="1608"/>
      <c r="N828" s="1608"/>
      <c r="O828" s="1608"/>
      <c r="P828" s="1608"/>
      <c r="Q828" s="1608"/>
      <c r="R828" s="1608"/>
      <c r="S828" s="1608"/>
      <c r="T828" s="1608"/>
      <c r="U828" s="1608"/>
      <c r="V828" s="1608"/>
      <c r="W828" s="1608"/>
      <c r="X828" s="1608"/>
      <c r="Y828" s="1608"/>
      <c r="Z828" s="1608"/>
      <c r="AA828" s="1608"/>
      <c r="AB828" s="1608"/>
      <c r="AC828" s="1533"/>
      <c r="AD828" s="1534"/>
      <c r="AE828" s="1534"/>
      <c r="AF828" s="1535"/>
      <c r="AG828" s="1533"/>
      <c r="AH828" s="1534"/>
      <c r="AI828" s="1534"/>
      <c r="AJ828" s="1535"/>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 customHeight="1">
      <c r="A829"/>
      <c r="B829"/>
      <c r="C829" s="1501" t="s">
        <v>468</v>
      </c>
      <c r="D829" s="1416"/>
      <c r="E829" s="1416"/>
      <c r="F829" s="1416"/>
      <c r="G829" s="1416"/>
      <c r="H829" s="1416"/>
      <c r="I829" s="60"/>
      <c r="J829" s="60"/>
      <c r="K829" s="60"/>
      <c r="L829" s="61"/>
      <c r="M829" s="1608"/>
      <c r="N829" s="1608"/>
      <c r="O829" s="1608"/>
      <c r="P829" s="1608"/>
      <c r="Q829" s="1608"/>
      <c r="R829" s="1608"/>
      <c r="S829" s="1608"/>
      <c r="T829" s="1608"/>
      <c r="U829" s="1608"/>
      <c r="V829" s="1608"/>
      <c r="W829" s="1608"/>
      <c r="X829" s="1608"/>
      <c r="Y829" s="1608"/>
      <c r="Z829" s="1608"/>
      <c r="AA829" s="1608"/>
      <c r="AB829" s="1608"/>
      <c r="AC829" s="1533"/>
      <c r="AD829" s="1534"/>
      <c r="AE829" s="1534"/>
      <c r="AF829" s="1535"/>
      <c r="AG829" s="1533"/>
      <c r="AH829" s="1534"/>
      <c r="AI829" s="1534"/>
      <c r="AJ829" s="1535"/>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 customHeight="1">
      <c r="A830"/>
      <c r="B830"/>
      <c r="C830" s="1684" t="s">
        <v>793</v>
      </c>
      <c r="D830" s="1416"/>
      <c r="E830" s="1416"/>
      <c r="F830" s="1416"/>
      <c r="G830" s="1416"/>
      <c r="H830" s="1416"/>
      <c r="I830" s="60"/>
      <c r="J830" s="60"/>
      <c r="K830" s="60"/>
      <c r="L830" s="61"/>
      <c r="M830" s="1608"/>
      <c r="N830" s="1608"/>
      <c r="O830" s="1608"/>
      <c r="P830" s="1608"/>
      <c r="Q830" s="1608"/>
      <c r="R830" s="1608"/>
      <c r="S830" s="1608"/>
      <c r="T830" s="1608"/>
      <c r="U830" s="1608"/>
      <c r="V830" s="1608"/>
      <c r="W830" s="1608"/>
      <c r="X830" s="1608"/>
      <c r="Y830" s="1608"/>
      <c r="Z830" s="1608"/>
      <c r="AA830" s="1608"/>
      <c r="AB830" s="1608"/>
      <c r="AC830" s="1533"/>
      <c r="AD830" s="1534"/>
      <c r="AE830" s="1534"/>
      <c r="AF830" s="1535"/>
      <c r="AG830" s="1533"/>
      <c r="AH830" s="1534"/>
      <c r="AI830" s="1534"/>
      <c r="AJ830" s="1535"/>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 customHeight="1">
      <c r="A831"/>
      <c r="B831"/>
      <c r="C831" s="59" t="s">
        <v>294</v>
      </c>
      <c r="D831" s="60"/>
      <c r="E831" s="60"/>
      <c r="F831" s="1614" t="s">
        <v>335</v>
      </c>
      <c r="G831" s="1615"/>
      <c r="H831" s="1615"/>
      <c r="I831" s="1615"/>
      <c r="J831" s="1615"/>
      <c r="K831" s="1615"/>
      <c r="L831" s="1615"/>
      <c r="M831" s="1608"/>
      <c r="N831" s="1608"/>
      <c r="O831" s="1608"/>
      <c r="P831" s="1608"/>
      <c r="Q831" s="1608"/>
      <c r="R831" s="1608"/>
      <c r="S831" s="1608"/>
      <c r="T831" s="1608"/>
      <c r="U831" s="1608"/>
      <c r="V831" s="1608"/>
      <c r="W831" s="1608"/>
      <c r="X831" s="1608"/>
      <c r="Y831" s="1608"/>
      <c r="Z831" s="1608"/>
      <c r="AA831" s="1608"/>
      <c r="AB831" s="1608"/>
      <c r="AC831" s="1533"/>
      <c r="AD831" s="1534"/>
      <c r="AE831" s="1534"/>
      <c r="AF831" s="1535"/>
      <c r="AG831" s="1533"/>
      <c r="AH831" s="1534"/>
      <c r="AI831" s="1534"/>
      <c r="AJ831" s="1535"/>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 customHeight="1">
      <c r="A832"/>
      <c r="B832"/>
      <c r="C832" s="1611" t="s">
        <v>124</v>
      </c>
      <c r="D832" s="1612"/>
      <c r="E832" s="1612"/>
      <c r="F832" s="1612"/>
      <c r="G832" s="1612"/>
      <c r="H832" s="1612"/>
      <c r="I832" s="1612"/>
      <c r="J832" s="1612"/>
      <c r="K832" s="1612"/>
      <c r="L832" s="1613"/>
      <c r="M832" s="1634">
        <f>SUM(M825:P831)</f>
        <v>0</v>
      </c>
      <c r="N832" s="1634"/>
      <c r="O832" s="1634"/>
      <c r="P832" s="1634"/>
      <c r="Q832" s="1634">
        <f>SUM(Q825:T831)</f>
        <v>0</v>
      </c>
      <c r="R832" s="1634"/>
      <c r="S832" s="1634"/>
      <c r="T832" s="1634"/>
      <c r="U832" s="1634">
        <f>SUM(U825:X831)</f>
        <v>0</v>
      </c>
      <c r="V832" s="1634"/>
      <c r="W832" s="1634"/>
      <c r="X832" s="1634"/>
      <c r="Y832" s="1634">
        <f>SUM(Y825:AB831)</f>
        <v>0</v>
      </c>
      <c r="Z832" s="1634"/>
      <c r="AA832" s="1634"/>
      <c r="AB832" s="1634"/>
      <c r="AC832" s="1634">
        <f>SUM(AC825:AF831)</f>
        <v>0</v>
      </c>
      <c r="AD832" s="1634"/>
      <c r="AE832" s="1634"/>
      <c r="AF832" s="1634"/>
      <c r="AG832" s="1634">
        <f>SUM(AG825:AJ831)</f>
        <v>0</v>
      </c>
      <c r="AH832" s="1634"/>
      <c r="AI832" s="1634"/>
      <c r="AJ832" s="1634"/>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 customHeight="1">
      <c r="A837"/>
      <c r="B837"/>
      <c r="C837" s="1771" t="s">
        <v>2753</v>
      </c>
      <c r="D837" s="1772"/>
      <c r="E837" s="1772"/>
      <c r="F837" s="1772"/>
      <c r="G837" s="1772"/>
      <c r="H837" s="1772"/>
      <c r="I837" s="1772"/>
      <c r="J837" s="1772"/>
      <c r="K837" s="1772"/>
      <c r="L837" s="1772"/>
      <c r="M837" s="1772"/>
      <c r="N837" s="1772"/>
      <c r="O837" s="1772"/>
      <c r="P837" s="1772"/>
      <c r="Q837" s="1772"/>
      <c r="R837" s="1772"/>
      <c r="S837" s="1772"/>
      <c r="T837" s="1772"/>
      <c r="U837" s="1772"/>
      <c r="V837" s="1772"/>
      <c r="W837" s="1772"/>
      <c r="X837" s="1772"/>
      <c r="Y837" s="1772"/>
      <c r="Z837" s="1772"/>
      <c r="AA837" s="1772"/>
      <c r="AB837" s="1772"/>
      <c r="AC837" s="1772"/>
      <c r="AD837" s="1772"/>
      <c r="AE837" s="1772"/>
      <c r="AF837" s="1772"/>
      <c r="AG837" s="1772"/>
      <c r="AH837" s="1772"/>
      <c r="AI837" s="1772"/>
      <c r="AJ837" s="1773"/>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6">
        <f>ROUNDDOWN(BC939*2,2)</f>
        <v>0</v>
      </c>
      <c r="BJ841" s="1666"/>
      <c r="BK841" s="1666"/>
      <c r="BL841" s="1666"/>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 customHeight="1">
      <c r="A842"/>
      <c r="B842"/>
      <c r="C842" s="2" t="s">
        <v>344</v>
      </c>
      <c r="D842"/>
      <c r="E842"/>
      <c r="F842"/>
      <c r="G842"/>
      <c r="H842"/>
      <c r="I842"/>
      <c r="J842" s="45" t="s">
        <v>357</v>
      </c>
      <c r="K842" s="5"/>
      <c r="L842" s="5"/>
      <c r="M842" s="5"/>
      <c r="N842" s="5"/>
      <c r="O842" s="5"/>
      <c r="P842" s="5"/>
      <c r="Q842" s="5"/>
      <c r="R842" s="5"/>
      <c r="S842" s="5"/>
      <c r="T842" s="5"/>
      <c r="U842" s="5"/>
      <c r="V842" s="46"/>
      <c r="W842" s="1635">
        <v>6500</v>
      </c>
      <c r="X842" s="1635"/>
      <c r="Y842" s="1635"/>
      <c r="Z842" s="1635"/>
      <c r="AA842" s="1635"/>
      <c r="AB842" s="1635"/>
      <c r="AC842" s="1635"/>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 customHeight="1">
      <c r="A843"/>
      <c r="B843"/>
      <c r="C843"/>
      <c r="D843"/>
      <c r="E843"/>
      <c r="F843"/>
      <c r="G843"/>
      <c r="H843"/>
      <c r="I843"/>
      <c r="J843" s="45" t="s">
        <v>356</v>
      </c>
      <c r="K843" s="5"/>
      <c r="L843" s="5"/>
      <c r="M843" s="5"/>
      <c r="N843" s="5"/>
      <c r="O843" s="5"/>
      <c r="P843" s="5"/>
      <c r="Q843" s="5"/>
      <c r="R843" s="5"/>
      <c r="S843" s="5"/>
      <c r="T843" s="5"/>
      <c r="U843" s="5"/>
      <c r="V843" s="46"/>
      <c r="W843" s="1635">
        <v>7500</v>
      </c>
      <c r="X843" s="1635"/>
      <c r="Y843" s="1635"/>
      <c r="Z843" s="1635"/>
      <c r="AA843" s="1635"/>
      <c r="AB843" s="1635"/>
      <c r="AC843" s="1635"/>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 customHeight="1">
      <c r="J844" s="45" t="s">
        <v>355</v>
      </c>
      <c r="K844" s="5"/>
      <c r="L844" s="5"/>
      <c r="M844" s="5"/>
      <c r="N844" s="5"/>
      <c r="O844" s="5"/>
      <c r="P844" s="5"/>
      <c r="Q844" s="5"/>
      <c r="R844" s="5"/>
      <c r="S844" s="5"/>
      <c r="T844" s="5"/>
      <c r="U844" s="5"/>
      <c r="V844" s="46"/>
      <c r="W844" s="1635">
        <v>18500</v>
      </c>
      <c r="X844" s="1635"/>
      <c r="Y844" s="1635"/>
      <c r="Z844" s="1635"/>
      <c r="AA844" s="1635"/>
      <c r="AB844" s="1635"/>
      <c r="AC844" s="1635"/>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45" t="s">
        <v>354</v>
      </c>
      <c r="K845" s="5"/>
      <c r="L845" s="5"/>
      <c r="M845" s="5"/>
      <c r="N845" s="5"/>
      <c r="O845" s="5"/>
      <c r="P845" s="5"/>
      <c r="Q845" s="5"/>
      <c r="R845" s="5"/>
      <c r="S845" s="5"/>
      <c r="T845" s="5"/>
      <c r="U845" s="5"/>
      <c r="V845" s="46"/>
      <c r="W845" s="1635">
        <v>74800</v>
      </c>
      <c r="X845" s="1635"/>
      <c r="Y845" s="1635"/>
      <c r="Z845" s="1635"/>
      <c r="AA845" s="1635"/>
      <c r="AB845" s="1635"/>
      <c r="AC845" s="1635"/>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45" t="s">
        <v>170</v>
      </c>
      <c r="K846" s="5"/>
      <c r="L846" s="5"/>
      <c r="M846" s="1614" t="s">
        <v>2694</v>
      </c>
      <c r="N846" s="1615"/>
      <c r="O846" s="1615"/>
      <c r="P846" s="1615"/>
      <c r="Q846" s="1615"/>
      <c r="R846" s="1615"/>
      <c r="S846" s="1615"/>
      <c r="T846" s="1615"/>
      <c r="U846" s="1615"/>
      <c r="V846" s="1616"/>
      <c r="W846" s="1635">
        <v>15200</v>
      </c>
      <c r="X846" s="1635"/>
      <c r="Y846" s="1635"/>
      <c r="Z846" s="1635"/>
      <c r="AA846" s="1635"/>
      <c r="AB846" s="1635"/>
      <c r="AC846" s="1635"/>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45"/>
      <c r="K847" s="5"/>
      <c r="L847" s="5"/>
      <c r="M847" s="5"/>
      <c r="N847" s="5"/>
      <c r="O847" s="5"/>
      <c r="P847" s="5"/>
      <c r="Q847" s="5"/>
      <c r="R847" s="5"/>
      <c r="S847" s="5"/>
      <c r="T847" s="5"/>
      <c r="U847" s="5"/>
      <c r="V847" s="54" t="s">
        <v>343</v>
      </c>
      <c r="W847" s="1546">
        <f>SUM(W842:AC846)</f>
        <v>122500</v>
      </c>
      <c r="X847" s="1547"/>
      <c r="Y847" s="1547"/>
      <c r="Z847" s="1547"/>
      <c r="AA847" s="1547"/>
      <c r="AB847" s="1547"/>
      <c r="AC847" s="1548"/>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30"/>
      <c r="BA848" s="30"/>
      <c r="BB848" s="14"/>
      <c r="BC848" s="14"/>
      <c r="BD848" s="14"/>
      <c r="BE848" s="14"/>
      <c r="BF848" s="14"/>
      <c r="BG848" s="1636"/>
      <c r="BH848" s="1636"/>
      <c r="BI848" s="1636"/>
      <c r="BJ848" s="1636"/>
      <c r="BK848" s="1636"/>
      <c r="BL848" s="1636"/>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345</v>
      </c>
      <c r="J849" s="1611" t="s">
        <v>346</v>
      </c>
      <c r="K849" s="1612"/>
      <c r="L849" s="1612"/>
      <c r="M849" s="1612"/>
      <c r="N849" s="1612"/>
      <c r="O849" s="1612"/>
      <c r="P849" s="1612"/>
      <c r="Q849" s="1612"/>
      <c r="R849" s="1612"/>
      <c r="S849" s="1612"/>
      <c r="T849" s="1612"/>
      <c r="U849" s="1612"/>
      <c r="V849" s="1613"/>
      <c r="W849" s="1536">
        <f>4%*Y801</f>
        <v>69305.279999999999</v>
      </c>
      <c r="X849" s="1537"/>
      <c r="Y849" s="1537"/>
      <c r="Z849" s="1537"/>
      <c r="AA849" s="1537"/>
      <c r="AB849" s="1537"/>
      <c r="AC849" s="1538"/>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570</v>
      </c>
      <c r="J851" s="45" t="s">
        <v>353</v>
      </c>
      <c r="K851" s="5"/>
      <c r="L851" s="5"/>
      <c r="M851" s="5"/>
      <c r="N851" s="5"/>
      <c r="O851" s="5"/>
      <c r="P851" s="5"/>
      <c r="Q851" s="5"/>
      <c r="R851" s="5"/>
      <c r="S851" s="5"/>
      <c r="T851" s="5"/>
      <c r="U851" s="5"/>
      <c r="V851" s="46"/>
      <c r="W851" s="1633"/>
      <c r="X851" s="1633"/>
      <c r="Y851" s="1633"/>
      <c r="Z851" s="1633"/>
      <c r="AA851" s="1633"/>
      <c r="AB851" s="1633"/>
      <c r="AC851" s="1633"/>
      <c r="AZ851" s="1785">
        <f>SUM(AZ818:AZ846)</f>
        <v>0</v>
      </c>
      <c r="BA851" s="1785"/>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45" t="s">
        <v>352</v>
      </c>
      <c r="K852" s="5"/>
      <c r="L852" s="5"/>
      <c r="M852" s="5"/>
      <c r="N852" s="5"/>
      <c r="O852" s="5"/>
      <c r="P852" s="5"/>
      <c r="Q852" s="5"/>
      <c r="R852" s="5"/>
      <c r="S852" s="5"/>
      <c r="T852" s="5"/>
      <c r="U852" s="5"/>
      <c r="V852" s="46"/>
      <c r="W852" s="1633">
        <v>48732</v>
      </c>
      <c r="X852" s="1633"/>
      <c r="Y852" s="1633"/>
      <c r="Z852" s="1633"/>
      <c r="AA852" s="1633"/>
      <c r="AB852" s="1633"/>
      <c r="AC852" s="1633"/>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45" t="s">
        <v>468</v>
      </c>
      <c r="K853" s="5"/>
      <c r="L853" s="5"/>
      <c r="M853" s="5"/>
      <c r="N853" s="5"/>
      <c r="O853" s="5"/>
      <c r="P853" s="5"/>
      <c r="Q853" s="5"/>
      <c r="R853" s="5"/>
      <c r="S853" s="5"/>
      <c r="T853" s="5"/>
      <c r="U853" s="5"/>
      <c r="V853" s="46"/>
      <c r="W853" s="1633">
        <v>88112</v>
      </c>
      <c r="X853" s="1633"/>
      <c r="Y853" s="1633"/>
      <c r="Z853" s="1633"/>
      <c r="AA853" s="1633"/>
      <c r="AB853" s="1633"/>
      <c r="AC853" s="1633"/>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62" t="s">
        <v>629</v>
      </c>
      <c r="K854" s="5"/>
      <c r="L854" s="5"/>
      <c r="M854" s="5"/>
      <c r="N854" s="5"/>
      <c r="O854" s="5"/>
      <c r="P854" s="5"/>
      <c r="Q854" s="5"/>
      <c r="R854" s="5"/>
      <c r="S854" s="5"/>
      <c r="T854" s="5"/>
      <c r="U854" s="5"/>
      <c r="V854" s="46"/>
      <c r="W854" s="1633">
        <v>148928</v>
      </c>
      <c r="X854" s="1633"/>
      <c r="Y854" s="1633"/>
      <c r="Z854" s="1633"/>
      <c r="AA854" s="1633"/>
      <c r="AB854" s="1633"/>
      <c r="AC854" s="1633"/>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63"/>
      <c r="K855" s="48"/>
      <c r="L855" s="48"/>
      <c r="M855" s="48"/>
      <c r="N855" s="48"/>
      <c r="O855" s="48"/>
      <c r="P855" s="48"/>
      <c r="Q855" s="48"/>
      <c r="R855" s="48"/>
      <c r="S855" s="48"/>
      <c r="T855" s="48"/>
      <c r="U855" s="48"/>
      <c r="V855" s="54" t="s">
        <v>273</v>
      </c>
      <c r="W855" s="1799">
        <f>SUM(W851:AC854)</f>
        <v>285772</v>
      </c>
      <c r="X855" s="1799"/>
      <c r="Y855" s="1799"/>
      <c r="Z855" s="1799"/>
      <c r="AA855" s="1799"/>
      <c r="AB855" s="1799"/>
      <c r="AC855" s="1799"/>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347</v>
      </c>
      <c r="J857" s="45" t="s">
        <v>628</v>
      </c>
      <c r="K857" s="5"/>
      <c r="L857" s="5"/>
      <c r="M857" s="5"/>
      <c r="N857" s="5"/>
      <c r="O857" s="5"/>
      <c r="P857" s="5"/>
      <c r="Q857" s="5"/>
      <c r="R857" s="5"/>
      <c r="S857" s="5"/>
      <c r="T857" s="5"/>
      <c r="U857" s="5"/>
      <c r="V857" s="46"/>
      <c r="W857" s="1630">
        <v>116372</v>
      </c>
      <c r="X857" s="1631"/>
      <c r="Y857" s="1631"/>
      <c r="Z857" s="1631"/>
      <c r="AA857" s="1631"/>
      <c r="AB857" s="1631"/>
      <c r="AC857" s="1632"/>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348</v>
      </c>
      <c r="J858" s="121" t="s">
        <v>1769</v>
      </c>
      <c r="K858" s="5"/>
      <c r="L858" s="5"/>
      <c r="M858" s="5"/>
      <c r="N858" s="5"/>
      <c r="O858" s="5"/>
      <c r="P858" s="5"/>
      <c r="Q858" s="5"/>
      <c r="R858" s="5"/>
      <c r="S858" s="5"/>
      <c r="T858" s="1641">
        <v>3</v>
      </c>
      <c r="U858" s="1598"/>
      <c r="V858" s="1642"/>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45" t="s">
        <v>627</v>
      </c>
      <c r="K859" s="5"/>
      <c r="L859" s="5"/>
      <c r="M859" s="5"/>
      <c r="N859" s="5"/>
      <c r="O859" s="5"/>
      <c r="P859" s="5"/>
      <c r="Q859" s="5"/>
      <c r="R859" s="5"/>
      <c r="S859" s="5"/>
      <c r="T859" s="5"/>
      <c r="U859" s="5"/>
      <c r="V859" s="46"/>
      <c r="W859" s="1630">
        <v>177100</v>
      </c>
      <c r="X859" s="1631"/>
      <c r="Y859" s="1631"/>
      <c r="Z859" s="1631"/>
      <c r="AA859" s="1631"/>
      <c r="AB859" s="1631"/>
      <c r="AC859" s="1632"/>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121" t="s">
        <v>1770</v>
      </c>
      <c r="K860" s="5"/>
      <c r="L860" s="5"/>
      <c r="M860" s="5"/>
      <c r="N860" s="5"/>
      <c r="O860" s="5"/>
      <c r="P860" s="5"/>
      <c r="Q860" s="5"/>
      <c r="R860" s="5"/>
      <c r="S860" s="5"/>
      <c r="T860" s="1641"/>
      <c r="U860" s="1598"/>
      <c r="V860" s="1642"/>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45" t="s">
        <v>170</v>
      </c>
      <c r="K861" s="5"/>
      <c r="L861" s="5"/>
      <c r="M861" s="1614"/>
      <c r="N861" s="1615"/>
      <c r="O861" s="1615"/>
      <c r="P861" s="1615"/>
      <c r="Q861" s="1615"/>
      <c r="R861" s="1615"/>
      <c r="S861" s="1615"/>
      <c r="T861" s="1615"/>
      <c r="U861" s="1615"/>
      <c r="V861" s="1616"/>
      <c r="W861" s="1630"/>
      <c r="X861" s="1631"/>
      <c r="Y861" s="1631"/>
      <c r="Z861" s="1631"/>
      <c r="AA861" s="1631"/>
      <c r="AB861" s="1631"/>
      <c r="AC861" s="1632"/>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45"/>
      <c r="K862" s="5"/>
      <c r="L862" s="5"/>
      <c r="M862" s="5"/>
      <c r="N862" s="5"/>
      <c r="O862" s="5"/>
      <c r="P862" s="5"/>
      <c r="Q862" s="5"/>
      <c r="R862" s="5"/>
      <c r="S862" s="5"/>
      <c r="T862" s="5"/>
      <c r="U862" s="5"/>
      <c r="V862" s="54" t="s">
        <v>274</v>
      </c>
      <c r="W862" s="1643">
        <f>SUM(W857:AC861)</f>
        <v>293472</v>
      </c>
      <c r="X862" s="1644"/>
      <c r="Y862" s="1644"/>
      <c r="Z862" s="1644"/>
      <c r="AA862" s="1644"/>
      <c r="AB862" s="1644"/>
      <c r="AC862" s="1645"/>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45"/>
      <c r="K863" s="5"/>
      <c r="L863" s="5"/>
      <c r="M863" s="5"/>
      <c r="N863" s="5"/>
      <c r="O863" s="5"/>
      <c r="P863" s="5"/>
      <c r="Q863" s="5"/>
      <c r="R863" s="5"/>
      <c r="S863" s="5"/>
      <c r="T863" s="5"/>
      <c r="U863" s="5"/>
      <c r="V863" s="54" t="s">
        <v>275</v>
      </c>
      <c r="W863" s="1630"/>
      <c r="X863" s="1631"/>
      <c r="Y863" s="1631"/>
      <c r="Z863" s="1631"/>
      <c r="AA863" s="1631"/>
      <c r="AB863" s="1631"/>
      <c r="AC863" s="1632"/>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 customHeight="1">
      <c r="C865" s="2" t="s">
        <v>391</v>
      </c>
      <c r="J865" s="45" t="s">
        <v>626</v>
      </c>
      <c r="K865" s="5"/>
      <c r="L865" s="5"/>
      <c r="M865" s="5"/>
      <c r="N865" s="5"/>
      <c r="O865" s="5"/>
      <c r="P865" s="5"/>
      <c r="Q865" s="5"/>
      <c r="R865" s="5"/>
      <c r="S865" s="5"/>
      <c r="T865" s="5"/>
      <c r="U865" s="5"/>
      <c r="V865" s="46"/>
      <c r="W865" s="1635">
        <v>12100</v>
      </c>
      <c r="X865" s="1635"/>
      <c r="Y865" s="1635"/>
      <c r="Z865" s="1635"/>
      <c r="AA865" s="1635"/>
      <c r="AB865" s="1635"/>
      <c r="AC865" s="1635"/>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 customHeight="1">
      <c r="J866" s="45" t="s">
        <v>531</v>
      </c>
      <c r="K866" s="5"/>
      <c r="L866" s="5"/>
      <c r="M866" s="5"/>
      <c r="N866" s="5"/>
      <c r="O866" s="5"/>
      <c r="P866" s="5"/>
      <c r="Q866" s="5"/>
      <c r="R866" s="5"/>
      <c r="S866" s="5"/>
      <c r="T866" s="5"/>
      <c r="U866" s="5"/>
      <c r="V866" s="46"/>
      <c r="W866" s="1635">
        <v>70180</v>
      </c>
      <c r="X866" s="1635"/>
      <c r="Y866" s="1635"/>
      <c r="Z866" s="1635"/>
      <c r="AA866" s="1635"/>
      <c r="AB866" s="1635"/>
      <c r="AC866" s="1635"/>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 customHeight="1">
      <c r="J867" s="45" t="s">
        <v>530</v>
      </c>
      <c r="K867" s="5"/>
      <c r="L867" s="5"/>
      <c r="M867" s="5"/>
      <c r="N867" s="5"/>
      <c r="O867" s="5"/>
      <c r="P867" s="5"/>
      <c r="Q867" s="5"/>
      <c r="R867" s="5"/>
      <c r="S867" s="5"/>
      <c r="T867" s="5"/>
      <c r="U867" s="5"/>
      <c r="V867" s="46"/>
      <c r="W867" s="1635">
        <v>71800</v>
      </c>
      <c r="X867" s="1635"/>
      <c r="Y867" s="1635"/>
      <c r="Z867" s="1635"/>
      <c r="AA867" s="1635"/>
      <c r="AB867" s="1635"/>
      <c r="AC867" s="1635"/>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 customHeight="1">
      <c r="J868" s="45" t="s">
        <v>529</v>
      </c>
      <c r="K868" s="5"/>
      <c r="L868" s="5"/>
      <c r="M868" s="5"/>
      <c r="N868" s="5"/>
      <c r="O868" s="5"/>
      <c r="P868" s="5"/>
      <c r="Q868" s="5"/>
      <c r="R868" s="5"/>
      <c r="S868" s="5"/>
      <c r="T868" s="5"/>
      <c r="U868" s="5"/>
      <c r="V868" s="46"/>
      <c r="W868" s="1635">
        <v>11500</v>
      </c>
      <c r="X868" s="1635"/>
      <c r="Y868" s="1635"/>
      <c r="Z868" s="1635"/>
      <c r="AA868" s="1635"/>
      <c r="AB868" s="1635"/>
      <c r="AC868" s="1635"/>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 customHeight="1">
      <c r="J869" s="45" t="s">
        <v>528</v>
      </c>
      <c r="K869" s="5"/>
      <c r="L869" s="5"/>
      <c r="M869" s="5"/>
      <c r="N869" s="5"/>
      <c r="O869" s="5"/>
      <c r="P869" s="5"/>
      <c r="Q869" s="5"/>
      <c r="R869" s="5"/>
      <c r="S869" s="5"/>
      <c r="T869" s="5"/>
      <c r="U869" s="5"/>
      <c r="V869" s="46"/>
      <c r="W869" s="1635">
        <v>28100</v>
      </c>
      <c r="X869" s="1635"/>
      <c r="Y869" s="1635"/>
      <c r="Z869" s="1635"/>
      <c r="AA869" s="1635"/>
      <c r="AB869" s="1635"/>
      <c r="AC869" s="1635"/>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 customHeight="1">
      <c r="J870" s="45" t="s">
        <v>527</v>
      </c>
      <c r="K870" s="5"/>
      <c r="L870" s="5"/>
      <c r="M870" s="5"/>
      <c r="N870" s="5"/>
      <c r="O870" s="5"/>
      <c r="P870" s="5"/>
      <c r="Q870" s="5"/>
      <c r="R870" s="5"/>
      <c r="S870" s="5"/>
      <c r="T870" s="5"/>
      <c r="U870" s="5"/>
      <c r="V870" s="46"/>
      <c r="W870" s="1635">
        <v>9250</v>
      </c>
      <c r="X870" s="1635"/>
      <c r="Y870" s="1635"/>
      <c r="Z870" s="1635"/>
      <c r="AA870" s="1635"/>
      <c r="AB870" s="1635"/>
      <c r="AC870" s="1635"/>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 customHeight="1">
      <c r="J871" s="45" t="s">
        <v>170</v>
      </c>
      <c r="K871" s="5"/>
      <c r="L871" s="5"/>
      <c r="M871" s="1614" t="s">
        <v>2695</v>
      </c>
      <c r="N871" s="1615"/>
      <c r="O871" s="1615"/>
      <c r="P871" s="1615"/>
      <c r="Q871" s="1615"/>
      <c r="R871" s="1615"/>
      <c r="S871" s="1615"/>
      <c r="T871" s="1615"/>
      <c r="U871" s="1615"/>
      <c r="V871" s="1616"/>
      <c r="W871" s="1635">
        <v>30800</v>
      </c>
      <c r="X871" s="1635"/>
      <c r="Y871" s="1635"/>
      <c r="Z871" s="1635"/>
      <c r="AA871" s="1635"/>
      <c r="AB871" s="1635"/>
      <c r="AC871" s="1635"/>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 customHeight="1">
      <c r="J872" s="45"/>
      <c r="K872" s="5"/>
      <c r="L872" s="5"/>
      <c r="M872" s="5"/>
      <c r="N872" s="5"/>
      <c r="O872" s="5"/>
      <c r="P872" s="5"/>
      <c r="Q872" s="5"/>
      <c r="R872" s="5"/>
      <c r="S872" s="5"/>
      <c r="T872" s="5"/>
      <c r="U872" s="5"/>
      <c r="V872" s="54" t="s">
        <v>276</v>
      </c>
      <c r="W872" s="1610">
        <f>SUM(W865:AC871)</f>
        <v>233730</v>
      </c>
      <c r="X872" s="1610"/>
      <c r="Y872" s="1610"/>
      <c r="Z872" s="1610"/>
      <c r="AA872" s="1610"/>
      <c r="AB872" s="1610"/>
      <c r="AC872" s="1610"/>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 customHeight="1">
      <c r="C874" s="2" t="s">
        <v>1351</v>
      </c>
      <c r="J874" s="45" t="s">
        <v>170</v>
      </c>
      <c r="K874" s="5"/>
      <c r="L874" s="5"/>
      <c r="M874" s="1614" t="s">
        <v>2696</v>
      </c>
      <c r="N874" s="1615"/>
      <c r="O874" s="1615"/>
      <c r="P874" s="1615"/>
      <c r="Q874" s="1615"/>
      <c r="R874" s="1615"/>
      <c r="S874" s="1615"/>
      <c r="T874" s="1615"/>
      <c r="U874" s="1615"/>
      <c r="V874" s="1616"/>
      <c r="W874" s="1536">
        <v>16800</v>
      </c>
      <c r="X874" s="1537"/>
      <c r="Y874" s="1537"/>
      <c r="Z874" s="1537"/>
      <c r="AA874" s="1537"/>
      <c r="AB874" s="1537"/>
      <c r="AC874" s="1538"/>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 customHeight="1">
      <c r="C875" s="2" t="s">
        <v>1352</v>
      </c>
      <c r="J875" s="45" t="s">
        <v>170</v>
      </c>
      <c r="K875" s="5"/>
      <c r="L875" s="5"/>
      <c r="M875" s="1614" t="s">
        <v>2700</v>
      </c>
      <c r="N875" s="1615"/>
      <c r="O875" s="1615"/>
      <c r="P875" s="1615"/>
      <c r="Q875" s="1615"/>
      <c r="R875" s="1615"/>
      <c r="S875" s="1615"/>
      <c r="T875" s="1615"/>
      <c r="U875" s="1615"/>
      <c r="V875" s="1616"/>
      <c r="W875" s="1536">
        <v>0</v>
      </c>
      <c r="X875" s="1537"/>
      <c r="Y875" s="1537"/>
      <c r="Z875" s="1537"/>
      <c r="AA875" s="1537"/>
      <c r="AB875" s="1537"/>
      <c r="AC875" s="1538"/>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 customHeight="1">
      <c r="J876" s="45" t="s">
        <v>170</v>
      </c>
      <c r="K876" s="5"/>
      <c r="L876" s="5"/>
      <c r="M876" s="1614" t="s">
        <v>335</v>
      </c>
      <c r="N876" s="1615"/>
      <c r="O876" s="1615"/>
      <c r="P876" s="1615"/>
      <c r="Q876" s="1615"/>
      <c r="R876" s="1615"/>
      <c r="S876" s="1615"/>
      <c r="T876" s="1615"/>
      <c r="U876" s="1615"/>
      <c r="V876" s="1616"/>
      <c r="W876" s="1536"/>
      <c r="X876" s="1537"/>
      <c r="Y876" s="1537"/>
      <c r="Z876" s="1537"/>
      <c r="AA876" s="1537"/>
      <c r="AB876" s="1537"/>
      <c r="AC876" s="1538"/>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 customHeight="1">
      <c r="J877" s="45" t="s">
        <v>170</v>
      </c>
      <c r="K877" s="5"/>
      <c r="L877" s="5"/>
      <c r="M877" s="1614" t="s">
        <v>335</v>
      </c>
      <c r="N877" s="1615"/>
      <c r="O877" s="1615"/>
      <c r="P877" s="1615"/>
      <c r="Q877" s="1615"/>
      <c r="R877" s="1615"/>
      <c r="S877" s="1615"/>
      <c r="T877" s="1615"/>
      <c r="U877" s="1615"/>
      <c r="V877" s="1616"/>
      <c r="W877" s="1536"/>
      <c r="X877" s="1537"/>
      <c r="Y877" s="1537"/>
      <c r="Z877" s="1537"/>
      <c r="AA877" s="1537"/>
      <c r="AB877" s="1537"/>
      <c r="AC877" s="1538"/>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 customHeight="1">
      <c r="J878" s="45" t="s">
        <v>170</v>
      </c>
      <c r="K878" s="5"/>
      <c r="L878" s="5"/>
      <c r="M878" s="1614" t="s">
        <v>335</v>
      </c>
      <c r="N878" s="1615"/>
      <c r="O878" s="1615"/>
      <c r="P878" s="1615"/>
      <c r="Q878" s="1615"/>
      <c r="R878" s="1615"/>
      <c r="S878" s="1615"/>
      <c r="T878" s="1615"/>
      <c r="U878" s="1615"/>
      <c r="V878" s="1616"/>
      <c r="W878" s="1536"/>
      <c r="X878" s="1537"/>
      <c r="Y878" s="1537"/>
      <c r="Z878" s="1537"/>
      <c r="AA878" s="1537"/>
      <c r="AB878" s="1537"/>
      <c r="AC878" s="1538"/>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 customHeight="1">
      <c r="J879" s="45"/>
      <c r="K879" s="5"/>
      <c r="L879" s="5"/>
      <c r="M879" s="5"/>
      <c r="N879" s="5"/>
      <c r="O879" s="5"/>
      <c r="P879" s="5"/>
      <c r="Q879" s="5"/>
      <c r="R879" s="5"/>
      <c r="S879" s="5"/>
      <c r="T879" s="5"/>
      <c r="U879" s="5"/>
      <c r="V879" s="54" t="s">
        <v>277</v>
      </c>
      <c r="W879" s="1546">
        <f>SUM(W874:AC878)</f>
        <v>16800</v>
      </c>
      <c r="X879" s="1547"/>
      <c r="Y879" s="1547"/>
      <c r="Z879" s="1547"/>
      <c r="AA879" s="1547"/>
      <c r="AB879" s="1547"/>
      <c r="AC879" s="1548"/>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547">
        <f>W847+W855+W862+W863+W872+W879+W849</f>
        <v>1021579.28</v>
      </c>
      <c r="AD883" s="1547"/>
      <c r="AE883" s="1547"/>
      <c r="AF883" s="1547"/>
      <c r="AG883" s="1547"/>
      <c r="AH883" s="1548"/>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649">
        <f>O797+O777+G753</f>
        <v>141</v>
      </c>
      <c r="AD884" s="1649"/>
      <c r="AE884" s="1649"/>
      <c r="AF884" s="1649"/>
      <c r="AG884" s="1649"/>
      <c r="AH884" s="1650"/>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C885" s="41"/>
      <c r="D885" s="42"/>
      <c r="E885" s="1651" t="s">
        <v>32</v>
      </c>
      <c r="F885" s="1651"/>
      <c r="G885" s="1651"/>
      <c r="H885" s="1651"/>
      <c r="I885" s="1651"/>
      <c r="J885" s="1651"/>
      <c r="K885" s="1651"/>
      <c r="L885" s="1651"/>
      <c r="M885" s="1651"/>
      <c r="N885" s="1651"/>
      <c r="O885" s="1651"/>
      <c r="P885" s="1651"/>
      <c r="Q885" s="1651"/>
      <c r="R885" s="1651"/>
      <c r="S885" s="1651"/>
      <c r="T885" s="1651"/>
      <c r="U885" s="1651"/>
      <c r="V885" s="1651"/>
      <c r="W885" s="1651"/>
      <c r="X885" s="1651"/>
      <c r="Y885" s="1651"/>
      <c r="Z885" s="1651"/>
      <c r="AA885" s="1651"/>
      <c r="AB885" s="1652"/>
      <c r="AC885" s="1610">
        <f>IF(ISERROR((ROUNDDOWN(AC883/AC884,0))),0,(ROUNDDOWN(AC883/AC884,0)))</f>
        <v>7245</v>
      </c>
      <c r="AD885" s="1610"/>
      <c r="AE885" s="1610"/>
      <c r="AF885" s="1610"/>
      <c r="AG885" s="1610"/>
      <c r="AH885" s="1610"/>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824">
        <f>ROUND(((AC883+'15 Year Pro Forma'!E40)/12)*3,0)</f>
        <v>387859</v>
      </c>
      <c r="AD886" s="1825"/>
      <c r="AE886" s="1825"/>
      <c r="AF886" s="1825"/>
      <c r="AG886" s="1825"/>
      <c r="AH886" s="1825"/>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38"/>
      <c r="AD887" s="1635"/>
      <c r="AE887" s="1635"/>
      <c r="AF887" s="1635"/>
      <c r="AG887" s="1635"/>
      <c r="AH887" s="1635"/>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37">
        <v>27000</v>
      </c>
      <c r="AD888" s="1537"/>
      <c r="AE888" s="1537"/>
      <c r="AF888" s="1537"/>
      <c r="AG888" s="1537"/>
      <c r="AH888" s="1538"/>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37">
        <f>300*AC884</f>
        <v>42300</v>
      </c>
      <c r="AD889" s="1537"/>
      <c r="AE889" s="1537"/>
      <c r="AF889" s="1537"/>
      <c r="AG889" s="1537"/>
      <c r="AH889" s="1538"/>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1868</v>
      </c>
      <c r="AC890" s="1533">
        <v>4000</v>
      </c>
      <c r="AD890" s="1534"/>
      <c r="AE890" s="1534"/>
      <c r="AF890" s="1534"/>
      <c r="AG890" s="1534"/>
      <c r="AH890" s="1535"/>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37">
        <v>0</v>
      </c>
      <c r="AD891" s="1537"/>
      <c r="AE891" s="1537"/>
      <c r="AF891" s="1537"/>
      <c r="AG891" s="1537"/>
      <c r="AH891" s="1538"/>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1771</v>
      </c>
      <c r="AC892" s="1537"/>
      <c r="AD892" s="1537"/>
      <c r="AE892" s="1537"/>
      <c r="AF892" s="1537"/>
      <c r="AG892" s="1537"/>
      <c r="AH892" s="1538"/>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C893" s="1646" t="s">
        <v>976</v>
      </c>
      <c r="D893" s="1647"/>
      <c r="E893" s="1647"/>
      <c r="F893" s="1647"/>
      <c r="G893" s="1647"/>
      <c r="H893" s="1647"/>
      <c r="I893" s="1647"/>
      <c r="J893" s="1647"/>
      <c r="K893" s="1647"/>
      <c r="L893" s="1647"/>
      <c r="M893" s="1647"/>
      <c r="N893" s="1647"/>
      <c r="O893" s="1647"/>
      <c r="P893" s="1647"/>
      <c r="Q893" s="1647"/>
      <c r="R893" s="1647"/>
      <c r="S893" s="1647"/>
      <c r="T893" s="1647"/>
      <c r="U893" s="1647"/>
      <c r="V893" s="1647"/>
      <c r="W893" s="1647"/>
      <c r="X893" s="1647"/>
      <c r="Y893" s="1647"/>
      <c r="Z893" s="1647"/>
      <c r="AA893" s="1647"/>
      <c r="AB893" s="1648"/>
      <c r="AC893" s="1635"/>
      <c r="AD893" s="1635"/>
      <c r="AE893" s="1635"/>
      <c r="AF893" s="1635"/>
      <c r="AG893" s="1635"/>
      <c r="AH893" s="1635"/>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c r="C894" s="1646" t="s">
        <v>976</v>
      </c>
      <c r="D894" s="1647"/>
      <c r="E894" s="1647"/>
      <c r="F894" s="1647"/>
      <c r="G894" s="1647"/>
      <c r="H894" s="1647"/>
      <c r="I894" s="1647"/>
      <c r="J894" s="1647"/>
      <c r="K894" s="1647"/>
      <c r="L894" s="1647"/>
      <c r="M894" s="1647"/>
      <c r="N894" s="1647"/>
      <c r="O894" s="1647"/>
      <c r="P894" s="1647"/>
      <c r="Q894" s="1647"/>
      <c r="R894" s="1647"/>
      <c r="S894" s="1647"/>
      <c r="T894" s="1647"/>
      <c r="U894" s="1647"/>
      <c r="V894" s="1647"/>
      <c r="W894" s="1647"/>
      <c r="X894" s="1647"/>
      <c r="Y894" s="1647"/>
      <c r="Z894" s="1647"/>
      <c r="AA894" s="1647"/>
      <c r="AB894" s="1648"/>
      <c r="AC894" s="1635"/>
      <c r="AD894" s="1635"/>
      <c r="AE894" s="1635"/>
      <c r="AF894" s="1635"/>
      <c r="AG894" s="1635"/>
      <c r="AH894" s="1635"/>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 customHeight="1">
      <c r="B898" s="2"/>
      <c r="H898" s="121" t="s">
        <v>239</v>
      </c>
      <c r="I898" s="5"/>
      <c r="J898" s="5"/>
      <c r="K898" s="5"/>
      <c r="L898" s="5"/>
      <c r="M898" s="5"/>
      <c r="N898" s="5"/>
      <c r="O898" s="5"/>
      <c r="P898" s="5"/>
      <c r="Q898" s="5"/>
      <c r="R898" s="5"/>
      <c r="S898" s="5"/>
      <c r="T898" s="5"/>
      <c r="U898" s="5"/>
      <c r="V898" s="5"/>
      <c r="W898" s="5"/>
      <c r="X898" s="5"/>
      <c r="Y898" s="46"/>
      <c r="Z898" s="1536"/>
      <c r="AA898" s="1537"/>
      <c r="AB898" s="1537"/>
      <c r="AC898" s="1537"/>
      <c r="AD898" s="1537"/>
      <c r="AE898" s="1538"/>
      <c r="AF898" s="567"/>
      <c r="AZ898" s="34"/>
      <c r="BB898" s="30"/>
      <c r="BC898" s="850"/>
      <c r="BD898" s="1640"/>
      <c r="BE898" s="1640"/>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 customHeight="1">
      <c r="H899" s="121" t="s">
        <v>240</v>
      </c>
      <c r="I899" s="5"/>
      <c r="J899" s="5"/>
      <c r="K899" s="5"/>
      <c r="L899" s="5"/>
      <c r="M899" s="5"/>
      <c r="N899" s="5"/>
      <c r="O899" s="5"/>
      <c r="P899" s="5"/>
      <c r="Q899" s="5"/>
      <c r="R899" s="5"/>
      <c r="S899" s="5"/>
      <c r="T899" s="5"/>
      <c r="U899" s="5"/>
      <c r="V899" s="5"/>
      <c r="W899" s="5"/>
      <c r="X899" s="5"/>
      <c r="Y899" s="5"/>
      <c r="Z899" s="1536"/>
      <c r="AA899" s="1537"/>
      <c r="AB899" s="1537"/>
      <c r="AC899" s="1537"/>
      <c r="AD899" s="1537"/>
      <c r="AE899" s="1538"/>
      <c r="AZ899" s="34"/>
      <c r="BB899" s="30"/>
      <c r="BC899" s="850"/>
      <c r="BD899" s="1640"/>
      <c r="BE899" s="1640"/>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 customHeight="1">
      <c r="H900" s="121" t="s">
        <v>241</v>
      </c>
      <c r="I900" s="5"/>
      <c r="J900" s="5"/>
      <c r="K900" s="5"/>
      <c r="L900" s="5"/>
      <c r="M900" s="5"/>
      <c r="N900" s="5"/>
      <c r="O900" s="5"/>
      <c r="P900" s="5"/>
      <c r="Q900" s="5"/>
      <c r="R900" s="5"/>
      <c r="S900" s="5"/>
      <c r="T900" s="5"/>
      <c r="U900" s="5"/>
      <c r="V900" s="5"/>
      <c r="W900" s="5"/>
      <c r="X900" s="5"/>
      <c r="Y900" s="5"/>
      <c r="Z900" s="1536"/>
      <c r="AA900" s="1537"/>
      <c r="AB900" s="1537"/>
      <c r="AC900" s="1537"/>
      <c r="AD900" s="1537"/>
      <c r="AE900" s="1538"/>
      <c r="AZ900" s="34"/>
      <c r="BB900" s="30"/>
      <c r="BC900" s="850"/>
      <c r="BD900" s="1636"/>
      <c r="BE900" s="1636"/>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 customHeight="1">
      <c r="H901" s="45"/>
      <c r="I901" s="5"/>
      <c r="J901" s="5"/>
      <c r="K901" s="5"/>
      <c r="L901" s="5"/>
      <c r="M901" s="5"/>
      <c r="N901" s="5"/>
      <c r="O901" s="5"/>
      <c r="P901" s="5"/>
      <c r="Q901" s="5"/>
      <c r="R901" s="5"/>
      <c r="S901" s="5"/>
      <c r="T901" s="5"/>
      <c r="U901" s="5"/>
      <c r="V901" s="5"/>
      <c r="W901" s="5"/>
      <c r="X901" s="5"/>
      <c r="Y901" s="190" t="s">
        <v>242</v>
      </c>
      <c r="Z901" s="1546">
        <f>Z898-(Z899+Z900)</f>
        <v>0</v>
      </c>
      <c r="AA901" s="1547"/>
      <c r="AB901" s="1547"/>
      <c r="AC901" s="1547"/>
      <c r="AD901" s="1547"/>
      <c r="AE901" s="1548"/>
      <c r="AZ901" s="34"/>
      <c r="BB901" s="30"/>
      <c r="BC901" s="850"/>
      <c r="BD901" s="1636"/>
      <c r="BE901" s="1636"/>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36"/>
      <c r="BE902" s="1636"/>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40"/>
      <c r="BE903" s="1636"/>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67"/>
      <c r="BE904" s="1667"/>
      <c r="BF904" s="1667"/>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66"/>
      <c r="BE905" s="1666"/>
      <c r="BF905" s="1666"/>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36"/>
      <c r="BE906" s="1636"/>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40"/>
      <c r="BE907" s="1636"/>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 customHeight="1">
      <c r="A909" s="1668" t="s">
        <v>96</v>
      </c>
      <c r="B909" s="1668"/>
      <c r="C909" s="1668"/>
      <c r="D909" s="1668"/>
      <c r="E909" s="1668"/>
      <c r="F909" s="1668"/>
      <c r="G909" s="1668"/>
      <c r="H909" s="1668"/>
      <c r="I909" s="1668"/>
      <c r="J909" s="1668"/>
      <c r="K909" s="1668"/>
      <c r="L909" s="1668"/>
      <c r="M909" s="1668"/>
      <c r="N909" s="1668"/>
      <c r="O909" s="1668"/>
      <c r="P909" s="1668"/>
      <c r="Q909" s="1668"/>
      <c r="R909" s="1668"/>
      <c r="S909" s="1668"/>
      <c r="T909" s="1668"/>
      <c r="U909" s="1668"/>
      <c r="V909" s="1668"/>
      <c r="W909" s="1668"/>
      <c r="X909" s="1668"/>
      <c r="Y909" s="1668"/>
      <c r="Z909" s="1668"/>
      <c r="AA909" s="1668"/>
      <c r="AB909" s="1668"/>
      <c r="AC909" s="1668"/>
      <c r="AD909" s="1668"/>
      <c r="AE909" s="1668"/>
      <c r="AF909" s="1668"/>
      <c r="AG909" s="1668"/>
      <c r="AH909" s="1668"/>
      <c r="AI909" s="1668"/>
      <c r="AJ909" s="1668"/>
      <c r="AK909" s="1668"/>
      <c r="AL909" s="1668"/>
      <c r="AM909" s="1668"/>
      <c r="AN909" s="1668"/>
      <c r="AO909" s="1668"/>
      <c r="AP909" s="1668"/>
      <c r="AQ909" s="1668"/>
      <c r="AR909" s="1668"/>
      <c r="AS909" s="1668"/>
      <c r="AT909" s="1668"/>
      <c r="AZ909" s="34"/>
      <c r="BA909" s="34"/>
      <c r="BB909" s="30"/>
      <c r="BC909" s="30"/>
      <c r="BD909" s="1640"/>
      <c r="BE909" s="1636"/>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 customHeight="1">
      <c r="A910" s="1668"/>
      <c r="B910" s="1668"/>
      <c r="C910" s="1668"/>
      <c r="D910" s="1668"/>
      <c r="E910" s="1668"/>
      <c r="F910" s="1668"/>
      <c r="G910" s="1668"/>
      <c r="H910" s="1668"/>
      <c r="I910" s="1668"/>
      <c r="J910" s="1668"/>
      <c r="K910" s="1668"/>
      <c r="L910" s="1668"/>
      <c r="M910" s="1668"/>
      <c r="N910" s="1668"/>
      <c r="O910" s="1668"/>
      <c r="P910" s="1668"/>
      <c r="Q910" s="1668"/>
      <c r="R910" s="1668"/>
      <c r="S910" s="1668"/>
      <c r="T910" s="1668"/>
      <c r="U910" s="1668"/>
      <c r="V910" s="1668"/>
      <c r="W910" s="1668"/>
      <c r="X910" s="1668"/>
      <c r="Y910" s="1668"/>
      <c r="Z910" s="1668"/>
      <c r="AA910" s="1668"/>
      <c r="AB910" s="1668"/>
      <c r="AC910" s="1668"/>
      <c r="AD910" s="1668"/>
      <c r="AE910" s="1668"/>
      <c r="AF910" s="1668"/>
      <c r="AG910" s="1668"/>
      <c r="AH910" s="1668"/>
      <c r="AI910" s="1668"/>
      <c r="AJ910" s="1668"/>
      <c r="AK910" s="1668"/>
      <c r="AL910" s="1668"/>
      <c r="AM910" s="1668"/>
      <c r="AN910" s="1668"/>
      <c r="AO910" s="1668"/>
      <c r="AP910" s="1668"/>
      <c r="AQ910" s="1668"/>
      <c r="AR910" s="1668"/>
      <c r="AS910" s="1668"/>
      <c r="AT910" s="1668"/>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 customHeight="1">
      <c r="F914" s="1860" t="s">
        <v>802</v>
      </c>
      <c r="G914" s="1861"/>
      <c r="H914" s="1861"/>
      <c r="I914" s="1861"/>
      <c r="J914" s="1861"/>
      <c r="K914" s="1861"/>
      <c r="L914" s="1861"/>
      <c r="M914" s="1861"/>
      <c r="N914" s="1861"/>
      <c r="O914" s="1861"/>
      <c r="P914" s="1861"/>
      <c r="Q914" s="1861"/>
      <c r="R914" s="1861"/>
      <c r="S914" s="1861"/>
      <c r="T914" s="1862"/>
      <c r="U914" s="1781" t="s">
        <v>31</v>
      </c>
      <c r="V914" s="1626"/>
      <c r="W914" s="1626"/>
      <c r="X914" s="1626"/>
      <c r="Y914" s="1626"/>
      <c r="Z914" s="1626"/>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 customHeight="1">
      <c r="B915" s="2"/>
      <c r="F915" s="1782" t="s">
        <v>828</v>
      </c>
      <c r="G915" s="1783"/>
      <c r="H915" s="1783"/>
      <c r="I915" s="1783"/>
      <c r="J915" s="1783"/>
      <c r="K915" s="1783"/>
      <c r="L915" s="1783"/>
      <c r="M915" s="1783"/>
      <c r="N915" s="1783"/>
      <c r="O915" s="1783"/>
      <c r="P915" s="1783"/>
      <c r="Q915" s="1783"/>
      <c r="R915" s="1783"/>
      <c r="S915" s="1783"/>
      <c r="T915" s="1796"/>
      <c r="U915" s="1782"/>
      <c r="V915" s="1783"/>
      <c r="W915" s="1783"/>
      <c r="X915" s="1783"/>
      <c r="Y915" s="1783"/>
      <c r="Z915" s="1783"/>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 customHeight="1">
      <c r="B916" s="2"/>
      <c r="F916" s="1784"/>
      <c r="G916" s="1628"/>
      <c r="H916" s="1628"/>
      <c r="I916" s="1628"/>
      <c r="J916" s="1628"/>
      <c r="K916" s="1628"/>
      <c r="L916" s="1628"/>
      <c r="M916" s="1628"/>
      <c r="N916" s="1628"/>
      <c r="O916" s="1628"/>
      <c r="P916" s="1628"/>
      <c r="Q916" s="1628"/>
      <c r="R916" s="1628"/>
      <c r="S916" s="1628"/>
      <c r="T916" s="1629"/>
      <c r="U916" s="1784"/>
      <c r="V916" s="1628"/>
      <c r="W916" s="1628"/>
      <c r="X916" s="1628"/>
      <c r="Y916" s="1628"/>
      <c r="Z916" s="1628"/>
      <c r="AA916" s="108"/>
      <c r="AB916" s="1481" t="s">
        <v>392</v>
      </c>
      <c r="AC916" s="1481"/>
      <c r="AD916" s="1481"/>
      <c r="AE916" s="1481"/>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 customHeight="1">
      <c r="B917" s="2"/>
      <c r="F917" s="45" t="s">
        <v>768</v>
      </c>
      <c r="G917" s="48"/>
      <c r="H917" s="48"/>
      <c r="I917" s="48"/>
      <c r="J917" s="48"/>
      <c r="K917" s="48"/>
      <c r="L917" s="48"/>
      <c r="M917" s="48"/>
      <c r="N917" s="48"/>
      <c r="O917" s="48"/>
      <c r="P917" s="48"/>
      <c r="Q917" s="48"/>
      <c r="R917" s="48"/>
      <c r="S917" s="48"/>
      <c r="T917" s="49"/>
      <c r="U917" s="1637" t="s">
        <v>554</v>
      </c>
      <c r="V917" s="1425"/>
      <c r="W917" s="1425"/>
      <c r="X917" s="1425"/>
      <c r="Y917" s="1425"/>
      <c r="Z917" s="1426"/>
      <c r="AA917" s="1638">
        <f>AM554</f>
        <v>29887200</v>
      </c>
      <c r="AB917" s="1504"/>
      <c r="AC917" s="1504"/>
      <c r="AD917" s="1504"/>
      <c r="AE917" s="1504"/>
      <c r="AF917" s="1639"/>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 customHeight="1">
      <c r="B918" s="2"/>
      <c r="F918" s="66" t="s">
        <v>684</v>
      </c>
      <c r="G918" s="48"/>
      <c r="H918" s="48"/>
      <c r="I918" s="48"/>
      <c r="J918" s="48"/>
      <c r="K918" s="48"/>
      <c r="L918" s="48"/>
      <c r="M918" s="48"/>
      <c r="N918" s="48"/>
      <c r="O918" s="48"/>
      <c r="P918" s="48"/>
      <c r="Q918" s="48"/>
      <c r="R918" s="48"/>
      <c r="S918" s="48"/>
      <c r="T918" s="49"/>
      <c r="U918" s="1637" t="s">
        <v>600</v>
      </c>
      <c r="V918" s="1425"/>
      <c r="W918" s="1425"/>
      <c r="X918" s="1425"/>
      <c r="Y918" s="1425"/>
      <c r="Z918" s="1426"/>
      <c r="AA918" s="1638">
        <f>AM556</f>
        <v>0</v>
      </c>
      <c r="AB918" s="1504"/>
      <c r="AC918" s="1504"/>
      <c r="AD918" s="1504"/>
      <c r="AE918" s="1504"/>
      <c r="AF918" s="1639"/>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 customHeight="1">
      <c r="F919" s="45" t="s">
        <v>811</v>
      </c>
      <c r="G919" s="5"/>
      <c r="H919" s="5"/>
      <c r="I919" s="5"/>
      <c r="J919" s="5"/>
      <c r="K919" s="5"/>
      <c r="L919" s="5"/>
      <c r="M919" s="5"/>
      <c r="N919" s="5"/>
      <c r="O919" s="5"/>
      <c r="P919" s="5"/>
      <c r="Q919" s="5"/>
      <c r="R919" s="5"/>
      <c r="S919" s="5"/>
      <c r="T919" s="46"/>
      <c r="U919" s="1637" t="s">
        <v>600</v>
      </c>
      <c r="V919" s="1425"/>
      <c r="W919" s="1425"/>
      <c r="X919" s="1425"/>
      <c r="Y919" s="1425"/>
      <c r="Z919" s="1426"/>
      <c r="AA919" s="1638"/>
      <c r="AB919" s="1504"/>
      <c r="AC919" s="1504"/>
      <c r="AD919" s="1504"/>
      <c r="AE919" s="1504"/>
      <c r="AF919" s="1639"/>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 customHeight="1">
      <c r="F920" s="45" t="s">
        <v>687</v>
      </c>
      <c r="G920" s="5"/>
      <c r="H920" s="5"/>
      <c r="I920" s="5"/>
      <c r="J920" s="5"/>
      <c r="K920" s="5"/>
      <c r="L920" s="5"/>
      <c r="M920" s="5"/>
      <c r="N920" s="5"/>
      <c r="O920" s="5"/>
      <c r="P920" s="5"/>
      <c r="Q920" s="5"/>
      <c r="R920" s="5"/>
      <c r="S920" s="5"/>
      <c r="T920" s="46"/>
      <c r="U920" s="1637" t="s">
        <v>600</v>
      </c>
      <c r="V920" s="1425"/>
      <c r="W920" s="1425"/>
      <c r="X920" s="1425"/>
      <c r="Y920" s="1425"/>
      <c r="Z920" s="1426"/>
      <c r="AA920" s="1638"/>
      <c r="AB920" s="1504"/>
      <c r="AC920" s="1504"/>
      <c r="AD920" s="1504"/>
      <c r="AE920" s="1504"/>
      <c r="AF920" s="1639"/>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 customHeight="1">
      <c r="F921" s="66" t="s">
        <v>796</v>
      </c>
      <c r="G921" s="5"/>
      <c r="H921" s="5"/>
      <c r="I921" s="5"/>
      <c r="J921" s="5"/>
      <c r="K921" s="5"/>
      <c r="L921" s="5"/>
      <c r="M921" s="5"/>
      <c r="N921" s="5"/>
      <c r="O921" s="5"/>
      <c r="P921" s="5"/>
      <c r="Q921" s="5"/>
      <c r="R921" s="5"/>
      <c r="S921" s="5"/>
      <c r="T921" s="46"/>
      <c r="U921" s="1637" t="s">
        <v>600</v>
      </c>
      <c r="V921" s="1425"/>
      <c r="W921" s="1425"/>
      <c r="X921" s="1425"/>
      <c r="Y921" s="1425"/>
      <c r="Z921" s="1426"/>
      <c r="AA921" s="1638"/>
      <c r="AB921" s="1504"/>
      <c r="AC921" s="1504"/>
      <c r="AD921" s="1504"/>
      <c r="AE921" s="1504"/>
      <c r="AF921" s="1639"/>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 customHeight="1">
      <c r="F922" s="66" t="s">
        <v>797</v>
      </c>
      <c r="G922" s="5"/>
      <c r="H922" s="5"/>
      <c r="I922" s="5"/>
      <c r="J922" s="5"/>
      <c r="K922" s="5"/>
      <c r="L922" s="5"/>
      <c r="M922" s="5"/>
      <c r="N922" s="5"/>
      <c r="O922" s="5"/>
      <c r="P922" s="5"/>
      <c r="Q922" s="5"/>
      <c r="R922" s="5"/>
      <c r="S922" s="5"/>
      <c r="T922" s="46"/>
      <c r="U922" s="1637" t="s">
        <v>600</v>
      </c>
      <c r="V922" s="1425"/>
      <c r="W922" s="1425"/>
      <c r="X922" s="1425"/>
      <c r="Y922" s="1425"/>
      <c r="Z922" s="1426"/>
      <c r="AA922" s="1638"/>
      <c r="AB922" s="1504"/>
      <c r="AC922" s="1504"/>
      <c r="AD922" s="1504"/>
      <c r="AE922" s="1504"/>
      <c r="AF922" s="1639"/>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 customHeight="1">
      <c r="F923" s="66" t="s">
        <v>798</v>
      </c>
      <c r="G923" s="5"/>
      <c r="H923" s="5"/>
      <c r="I923" s="5"/>
      <c r="J923" s="5"/>
      <c r="K923" s="5"/>
      <c r="L923" s="5"/>
      <c r="M923" s="5"/>
      <c r="N923" s="5"/>
      <c r="O923" s="5"/>
      <c r="P923" s="5"/>
      <c r="Q923" s="5"/>
      <c r="R923" s="5"/>
      <c r="S923" s="5"/>
      <c r="T923" s="46"/>
      <c r="U923" s="1637" t="s">
        <v>600</v>
      </c>
      <c r="V923" s="1425"/>
      <c r="W923" s="1425"/>
      <c r="X923" s="1425"/>
      <c r="Y923" s="1425"/>
      <c r="Z923" s="1426"/>
      <c r="AA923" s="1638"/>
      <c r="AB923" s="1504"/>
      <c r="AC923" s="1504"/>
      <c r="AD923" s="1504"/>
      <c r="AE923" s="1504"/>
      <c r="AF923" s="1639"/>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 customHeight="1">
      <c r="F924" s="45" t="s">
        <v>686</v>
      </c>
      <c r="G924" s="5"/>
      <c r="H924" s="5"/>
      <c r="I924" s="5"/>
      <c r="J924" s="5"/>
      <c r="K924" s="5"/>
      <c r="L924" s="5"/>
      <c r="M924" s="5"/>
      <c r="N924" s="5"/>
      <c r="O924" s="5"/>
      <c r="P924" s="5"/>
      <c r="Q924" s="5"/>
      <c r="R924" s="5"/>
      <c r="S924" s="5"/>
      <c r="T924" s="46"/>
      <c r="U924" s="1637" t="s">
        <v>600</v>
      </c>
      <c r="V924" s="1425"/>
      <c r="W924" s="1425"/>
      <c r="X924" s="1425"/>
      <c r="Y924" s="1425"/>
      <c r="Z924" s="1426"/>
      <c r="AA924" s="1638"/>
      <c r="AB924" s="1504"/>
      <c r="AC924" s="1504"/>
      <c r="AD924" s="1504"/>
      <c r="AE924" s="1504"/>
      <c r="AF924" s="1639"/>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 customHeight="1">
      <c r="F925" s="1669" t="s">
        <v>2558</v>
      </c>
      <c r="G925" s="1670"/>
      <c r="H925" s="1670"/>
      <c r="I925" s="1670"/>
      <c r="J925" s="1670"/>
      <c r="K925" s="1670"/>
      <c r="L925" s="1670"/>
      <c r="M925" s="1670"/>
      <c r="N925" s="1670"/>
      <c r="O925" s="1670"/>
      <c r="P925" s="1670"/>
      <c r="Q925" s="1670"/>
      <c r="R925" s="1670"/>
      <c r="S925" s="1670"/>
      <c r="T925" s="1671"/>
      <c r="U925" s="1637" t="s">
        <v>600</v>
      </c>
      <c r="V925" s="1425"/>
      <c r="W925" s="1425"/>
      <c r="X925" s="1425"/>
      <c r="Y925" s="1425"/>
      <c r="Z925" s="1426"/>
      <c r="AA925" s="1638"/>
      <c r="AB925" s="1504"/>
      <c r="AC925" s="1504"/>
      <c r="AD925" s="1504"/>
      <c r="AE925" s="1504"/>
      <c r="AF925" s="1639"/>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 customHeight="1">
      <c r="F926" s="1669" t="s">
        <v>688</v>
      </c>
      <c r="G926" s="1670"/>
      <c r="H926" s="1670"/>
      <c r="I926" s="1670"/>
      <c r="J926" s="1670"/>
      <c r="K926" s="1670"/>
      <c r="L926" s="1670"/>
      <c r="M926" s="1670"/>
      <c r="N926" s="1670"/>
      <c r="O926" s="1670"/>
      <c r="P926" s="1670"/>
      <c r="Q926" s="1670"/>
      <c r="R926" s="1670"/>
      <c r="S926" s="1670"/>
      <c r="T926" s="1671"/>
      <c r="U926" s="1637" t="s">
        <v>600</v>
      </c>
      <c r="V926" s="1425"/>
      <c r="W926" s="1425"/>
      <c r="X926" s="1425"/>
      <c r="Y926" s="1425"/>
      <c r="Z926" s="1426"/>
      <c r="AA926" s="1638"/>
      <c r="AB926" s="1504"/>
      <c r="AC926" s="1504"/>
      <c r="AD926" s="1504"/>
      <c r="AE926" s="1504"/>
      <c r="AF926" s="1639"/>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 customHeight="1">
      <c r="F927" s="1669" t="s">
        <v>2559</v>
      </c>
      <c r="G927" s="1670"/>
      <c r="H927" s="1670"/>
      <c r="I927" s="1670"/>
      <c r="J927" s="1670"/>
      <c r="K927" s="1670"/>
      <c r="L927" s="1670"/>
      <c r="M927" s="1670"/>
      <c r="N927" s="1670"/>
      <c r="O927" s="1670"/>
      <c r="P927" s="1670"/>
      <c r="Q927" s="1670"/>
      <c r="R927" s="1670"/>
      <c r="S927" s="1670"/>
      <c r="T927" s="1671"/>
      <c r="U927" s="1637" t="s">
        <v>600</v>
      </c>
      <c r="V927" s="1425"/>
      <c r="W927" s="1425"/>
      <c r="X927" s="1425"/>
      <c r="Y927" s="1425"/>
      <c r="Z927" s="1426"/>
      <c r="AA927" s="1638"/>
      <c r="AB927" s="1504"/>
      <c r="AC927" s="1504"/>
      <c r="AD927" s="1504"/>
      <c r="AE927" s="1504"/>
      <c r="AF927" s="1639"/>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 customHeight="1">
      <c r="F928" s="1669" t="s">
        <v>2560</v>
      </c>
      <c r="G928" s="1670"/>
      <c r="H928" s="1670"/>
      <c r="I928" s="1670"/>
      <c r="J928" s="1670"/>
      <c r="K928" s="1670"/>
      <c r="L928" s="1670"/>
      <c r="M928" s="1670"/>
      <c r="N928" s="1670"/>
      <c r="O928" s="1670"/>
      <c r="P928" s="1670"/>
      <c r="Q928" s="1670"/>
      <c r="R928" s="1670"/>
      <c r="S928" s="1670"/>
      <c r="T928" s="1671"/>
      <c r="U928" s="1637" t="s">
        <v>600</v>
      </c>
      <c r="V928" s="1425"/>
      <c r="W928" s="1425"/>
      <c r="X928" s="1425"/>
      <c r="Y928" s="1425"/>
      <c r="Z928" s="1426"/>
      <c r="AA928" s="1638"/>
      <c r="AB928" s="1504"/>
      <c r="AC928" s="1504"/>
      <c r="AD928" s="1504"/>
      <c r="AE928" s="1504"/>
      <c r="AF928" s="1639"/>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 customHeight="1">
      <c r="F929" s="1669" t="s">
        <v>2561</v>
      </c>
      <c r="G929" s="1670"/>
      <c r="H929" s="1670"/>
      <c r="I929" s="1670"/>
      <c r="J929" s="1670"/>
      <c r="K929" s="1670"/>
      <c r="L929" s="1670"/>
      <c r="M929" s="1670"/>
      <c r="N929" s="1670"/>
      <c r="O929" s="1670"/>
      <c r="P929" s="1670"/>
      <c r="Q929" s="1670"/>
      <c r="R929" s="1670"/>
      <c r="S929" s="1670"/>
      <c r="T929" s="1671"/>
      <c r="U929" s="1637" t="s">
        <v>600</v>
      </c>
      <c r="V929" s="1425"/>
      <c r="W929" s="1425"/>
      <c r="X929" s="1425"/>
      <c r="Y929" s="1425"/>
      <c r="Z929" s="1426"/>
      <c r="AA929" s="1638"/>
      <c r="AB929" s="1504"/>
      <c r="AC929" s="1504"/>
      <c r="AD929" s="1504"/>
      <c r="AE929" s="1504"/>
      <c r="AF929" s="1639"/>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 customHeight="1">
      <c r="F930" s="1669" t="s">
        <v>2562</v>
      </c>
      <c r="G930" s="1670"/>
      <c r="H930" s="1670"/>
      <c r="I930" s="1670"/>
      <c r="J930" s="1670"/>
      <c r="K930" s="1670"/>
      <c r="L930" s="1670"/>
      <c r="M930" s="1670"/>
      <c r="N930" s="1670"/>
      <c r="O930" s="1670"/>
      <c r="P930" s="1670"/>
      <c r="Q930" s="1670"/>
      <c r="R930" s="1670"/>
      <c r="S930" s="1670"/>
      <c r="T930" s="1671"/>
      <c r="U930" s="1637" t="s">
        <v>600</v>
      </c>
      <c r="V930" s="1425"/>
      <c r="W930" s="1425"/>
      <c r="X930" s="1425"/>
      <c r="Y930" s="1425"/>
      <c r="Z930" s="1426"/>
      <c r="AA930" s="1638"/>
      <c r="AB930" s="1504"/>
      <c r="AC930" s="1504"/>
      <c r="AD930" s="1504"/>
      <c r="AE930" s="1504"/>
      <c r="AF930" s="1639"/>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 customHeight="1">
      <c r="F931" s="1669" t="s">
        <v>2563</v>
      </c>
      <c r="G931" s="1670"/>
      <c r="H931" s="1670"/>
      <c r="I931" s="1670"/>
      <c r="J931" s="1670"/>
      <c r="K931" s="1670"/>
      <c r="L931" s="1670"/>
      <c r="M931" s="1670"/>
      <c r="N931" s="1670"/>
      <c r="O931" s="1670"/>
      <c r="P931" s="1670"/>
      <c r="Q931" s="1670"/>
      <c r="R931" s="1670"/>
      <c r="S931" s="1670"/>
      <c r="T931" s="1671"/>
      <c r="U931" s="1637" t="s">
        <v>600</v>
      </c>
      <c r="V931" s="1425"/>
      <c r="W931" s="1425"/>
      <c r="X931" s="1425"/>
      <c r="Y931" s="1425"/>
      <c r="Z931" s="1426"/>
      <c r="AA931" s="1638"/>
      <c r="AB931" s="1504"/>
      <c r="AC931" s="1504"/>
      <c r="AD931" s="1504"/>
      <c r="AE931" s="1504"/>
      <c r="AF931" s="1639"/>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 customHeight="1">
      <c r="F932" s="187" t="s">
        <v>685</v>
      </c>
      <c r="G932" s="5"/>
      <c r="H932" s="5"/>
      <c r="I932" s="5"/>
      <c r="J932" s="5"/>
      <c r="K932" s="5"/>
      <c r="L932" s="5"/>
      <c r="M932" s="5"/>
      <c r="N932" s="5"/>
      <c r="O932" s="5"/>
      <c r="P932" s="5"/>
      <c r="Q932" s="5"/>
      <c r="R932" s="5"/>
      <c r="S932" s="5"/>
      <c r="T932" s="46"/>
      <c r="U932" s="1637" t="s">
        <v>600</v>
      </c>
      <c r="V932" s="1425"/>
      <c r="W932" s="1425"/>
      <c r="X932" s="1425"/>
      <c r="Y932" s="1425"/>
      <c r="Z932" s="1426"/>
      <c r="AA932" s="1638"/>
      <c r="AB932" s="1504"/>
      <c r="AC932" s="1504"/>
      <c r="AD932" s="1504"/>
      <c r="AE932" s="1504"/>
      <c r="AF932" s="1639"/>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 customHeight="1">
      <c r="F933" s="121" t="s">
        <v>1388</v>
      </c>
      <c r="G933" s="5"/>
      <c r="H933" s="5"/>
      <c r="I933" s="5"/>
      <c r="J933" s="5"/>
      <c r="K933" s="5"/>
      <c r="L933" s="5"/>
      <c r="M933" s="5"/>
      <c r="N933" s="5"/>
      <c r="O933" s="5"/>
      <c r="P933" s="5"/>
      <c r="Q933" s="5"/>
      <c r="R933" s="5"/>
      <c r="S933" s="5"/>
      <c r="T933" s="46"/>
      <c r="U933" s="1637" t="s">
        <v>600</v>
      </c>
      <c r="V933" s="1425"/>
      <c r="W933" s="1425"/>
      <c r="X933" s="1425"/>
      <c r="Y933" s="1425"/>
      <c r="Z933" s="1426"/>
      <c r="AA933" s="1638"/>
      <c r="AB933" s="1504"/>
      <c r="AC933" s="1504"/>
      <c r="AD933" s="1504"/>
      <c r="AE933" s="1504"/>
      <c r="AF933" s="1639"/>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 customHeight="1">
      <c r="F934" s="66" t="s">
        <v>812</v>
      </c>
      <c r="G934" s="5"/>
      <c r="H934" s="5"/>
      <c r="I934" s="5"/>
      <c r="J934" s="5"/>
      <c r="K934" s="5"/>
      <c r="L934" s="5"/>
      <c r="M934" s="5"/>
      <c r="N934" s="5"/>
      <c r="O934" s="5"/>
      <c r="P934" s="5"/>
      <c r="Q934" s="5"/>
      <c r="R934" s="5"/>
      <c r="S934" s="5"/>
      <c r="T934" s="46"/>
      <c r="U934" s="1637" t="s">
        <v>600</v>
      </c>
      <c r="V934" s="1425"/>
      <c r="W934" s="1425"/>
      <c r="X934" s="1425"/>
      <c r="Y934" s="1425"/>
      <c r="Z934" s="1426"/>
      <c r="AA934" s="1638"/>
      <c r="AB934" s="1504"/>
      <c r="AC934" s="1504"/>
      <c r="AD934" s="1504"/>
      <c r="AE934" s="1504"/>
      <c r="AF934" s="1639"/>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 customHeight="1">
      <c r="F935" s="1869" t="s">
        <v>2567</v>
      </c>
      <c r="G935" s="1870"/>
      <c r="H935" s="1870"/>
      <c r="I935" s="1870"/>
      <c r="J935" s="1870"/>
      <c r="K935" s="1870"/>
      <c r="L935" s="1870"/>
      <c r="M935" s="1870"/>
      <c r="N935" s="1870"/>
      <c r="O935" s="1870"/>
      <c r="P935" s="1870"/>
      <c r="Q935" s="1870"/>
      <c r="R935" s="1870"/>
      <c r="S935" s="1870"/>
      <c r="T935" s="1871"/>
      <c r="U935" s="1637" t="s">
        <v>600</v>
      </c>
      <c r="V935" s="1425"/>
      <c r="W935" s="1425"/>
      <c r="X935" s="1425"/>
      <c r="Y935" s="1425"/>
      <c r="Z935" s="1426"/>
      <c r="AA935" s="1638"/>
      <c r="AB935" s="1504"/>
      <c r="AC935" s="1504"/>
      <c r="AD935" s="1504"/>
      <c r="AE935" s="1504"/>
      <c r="AF935" s="1639"/>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 customHeight="1">
      <c r="F936" s="1869" t="s">
        <v>2568</v>
      </c>
      <c r="G936" s="1870"/>
      <c r="H936" s="1870"/>
      <c r="I936" s="1870"/>
      <c r="J936" s="1870"/>
      <c r="K936" s="1870"/>
      <c r="L936" s="1870"/>
      <c r="M936" s="1870"/>
      <c r="N936" s="1870"/>
      <c r="O936" s="1870"/>
      <c r="P936" s="1870"/>
      <c r="Q936" s="1870"/>
      <c r="R936" s="1870"/>
      <c r="S936" s="1870"/>
      <c r="T936" s="1871"/>
      <c r="U936" s="1637" t="s">
        <v>600</v>
      </c>
      <c r="V936" s="1425"/>
      <c r="W936" s="1425"/>
      <c r="X936" s="1425"/>
      <c r="Y936" s="1425"/>
      <c r="Z936" s="1426"/>
      <c r="AA936" s="1638"/>
      <c r="AB936" s="1504"/>
      <c r="AC936" s="1504"/>
      <c r="AD936" s="1504"/>
      <c r="AE936" s="1504"/>
      <c r="AF936" s="1639"/>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 customHeight="1">
      <c r="F937" s="1669" t="s">
        <v>2564</v>
      </c>
      <c r="G937" s="1670"/>
      <c r="H937" s="1670"/>
      <c r="I937" s="1670"/>
      <c r="J937" s="1670"/>
      <c r="K937" s="1670"/>
      <c r="L937" s="1670"/>
      <c r="M937" s="1670"/>
      <c r="N937" s="1670"/>
      <c r="O937" s="1670"/>
      <c r="P937" s="1670"/>
      <c r="Q937" s="1670"/>
      <c r="R937" s="1670"/>
      <c r="S937" s="1670"/>
      <c r="T937" s="1671"/>
      <c r="U937" s="1637" t="s">
        <v>600</v>
      </c>
      <c r="V937" s="1425"/>
      <c r="W937" s="1425"/>
      <c r="X937" s="1425"/>
      <c r="Y937" s="1425"/>
      <c r="Z937" s="1426"/>
      <c r="AA937" s="1638"/>
      <c r="AB937" s="1504"/>
      <c r="AC937" s="1504"/>
      <c r="AD937" s="1504"/>
      <c r="AE937" s="1504"/>
      <c r="AF937" s="1639"/>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 customHeight="1">
      <c r="F938" s="1669" t="s">
        <v>2565</v>
      </c>
      <c r="G938" s="1670"/>
      <c r="H938" s="1670"/>
      <c r="I938" s="1670"/>
      <c r="J938" s="1670"/>
      <c r="K938" s="1670"/>
      <c r="L938" s="1670"/>
      <c r="M938" s="1670"/>
      <c r="N938" s="1670"/>
      <c r="O938" s="1670"/>
      <c r="P938" s="1670"/>
      <c r="Q938" s="1670"/>
      <c r="R938" s="1670"/>
      <c r="S938" s="1670"/>
      <c r="T938" s="1671"/>
      <c r="U938" s="1637" t="s">
        <v>600</v>
      </c>
      <c r="V938" s="1425"/>
      <c r="W938" s="1425"/>
      <c r="X938" s="1425"/>
      <c r="Y938" s="1425"/>
      <c r="Z938" s="1426"/>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 customHeight="1">
      <c r="F939" s="1669" t="s">
        <v>2566</v>
      </c>
      <c r="G939" s="1670"/>
      <c r="H939" s="1670"/>
      <c r="I939" s="1670"/>
      <c r="J939" s="1670"/>
      <c r="K939" s="1670"/>
      <c r="L939" s="1670"/>
      <c r="M939" s="1670"/>
      <c r="N939" s="1670"/>
      <c r="O939" s="1670"/>
      <c r="P939" s="1670"/>
      <c r="Q939" s="1670"/>
      <c r="R939" s="1670"/>
      <c r="S939" s="1670"/>
      <c r="T939" s="1671"/>
      <c r="U939" s="1637" t="s">
        <v>600</v>
      </c>
      <c r="V939" s="1425"/>
      <c r="W939" s="1425"/>
      <c r="X939" s="1425"/>
      <c r="Y939" s="1425"/>
      <c r="Z939" s="1426"/>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 customHeight="1">
      <c r="F940" s="121" t="s">
        <v>1372</v>
      </c>
      <c r="G940" s="5"/>
      <c r="H940" s="5"/>
      <c r="I940" s="5"/>
      <c r="J940" s="5"/>
      <c r="K940" s="5"/>
      <c r="L940" s="5"/>
      <c r="M940" s="5"/>
      <c r="N940" s="5"/>
      <c r="O940" s="5"/>
      <c r="P940" s="5"/>
      <c r="Q940" s="5"/>
      <c r="R940" s="5"/>
      <c r="S940" s="5"/>
      <c r="T940" s="46"/>
      <c r="U940" s="1637" t="s">
        <v>600</v>
      </c>
      <c r="V940" s="1425"/>
      <c r="W940" s="1425"/>
      <c r="X940" s="1425"/>
      <c r="Y940" s="1425"/>
      <c r="Z940" s="1426"/>
      <c r="AA940" s="1638"/>
      <c r="AB940" s="1504"/>
      <c r="AC940" s="1504"/>
      <c r="AD940" s="1504"/>
      <c r="AE940" s="1504"/>
      <c r="AF940" s="1639"/>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 customHeight="1">
      <c r="F941" s="1869" t="s">
        <v>2569</v>
      </c>
      <c r="G941" s="1870"/>
      <c r="H941" s="1870"/>
      <c r="I941" s="1870"/>
      <c r="J941" s="1870"/>
      <c r="K941" s="1870"/>
      <c r="L941" s="1870"/>
      <c r="M941" s="1870"/>
      <c r="N941" s="1870"/>
      <c r="O941" s="1870"/>
      <c r="P941" s="1870"/>
      <c r="Q941" s="1870"/>
      <c r="R941" s="1870"/>
      <c r="S941" s="1870"/>
      <c r="T941" s="1871"/>
      <c r="U941" s="1637" t="s">
        <v>600</v>
      </c>
      <c r="V941" s="1425"/>
      <c r="W941" s="1425"/>
      <c r="X941" s="1425"/>
      <c r="Y941" s="1425"/>
      <c r="Z941" s="1426"/>
      <c r="AA941" s="1638"/>
      <c r="AB941" s="1504"/>
      <c r="AC941" s="1504"/>
      <c r="AD941" s="1504"/>
      <c r="AE941" s="1504"/>
      <c r="AF941" s="1639"/>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 customHeight="1">
      <c r="F942" s="121" t="s">
        <v>1373</v>
      </c>
      <c r="G942" s="5"/>
      <c r="H942" s="5"/>
      <c r="I942" s="5"/>
      <c r="J942" s="5"/>
      <c r="K942" s="5"/>
      <c r="L942" s="5"/>
      <c r="M942" s="5"/>
      <c r="N942" s="5"/>
      <c r="O942" s="5"/>
      <c r="P942" s="5"/>
      <c r="Q942" s="5"/>
      <c r="R942" s="5"/>
      <c r="S942" s="5"/>
      <c r="T942" s="46"/>
      <c r="U942" s="1637" t="s">
        <v>600</v>
      </c>
      <c r="V942" s="1425"/>
      <c r="W942" s="1425"/>
      <c r="X942" s="1425"/>
      <c r="Y942" s="1425"/>
      <c r="Z942" s="1426"/>
      <c r="AA942" s="1638"/>
      <c r="AB942" s="1504"/>
      <c r="AC942" s="1504"/>
      <c r="AD942" s="1504"/>
      <c r="AE942" s="1504"/>
      <c r="AF942" s="1639"/>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 customHeight="1">
      <c r="F943" s="1869" t="s">
        <v>2570</v>
      </c>
      <c r="G943" s="1870"/>
      <c r="H943" s="1870"/>
      <c r="I943" s="1870"/>
      <c r="J943" s="1870"/>
      <c r="K943" s="1870"/>
      <c r="L943" s="1870"/>
      <c r="M943" s="1870"/>
      <c r="N943" s="1870"/>
      <c r="O943" s="1870"/>
      <c r="P943" s="1870"/>
      <c r="Q943" s="1870"/>
      <c r="R943" s="1870"/>
      <c r="S943" s="1870"/>
      <c r="T943" s="1871"/>
      <c r="U943" s="1637" t="s">
        <v>600</v>
      </c>
      <c r="V943" s="1425"/>
      <c r="W943" s="1425"/>
      <c r="X943" s="1425"/>
      <c r="Y943" s="1425"/>
      <c r="Z943" s="1426"/>
      <c r="AA943" s="1638"/>
      <c r="AB943" s="1504"/>
      <c r="AC943" s="1504"/>
      <c r="AD943" s="1504"/>
      <c r="AE943" s="1504"/>
      <c r="AF943" s="1639"/>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 customHeight="1">
      <c r="F944" s="45" t="s">
        <v>816</v>
      </c>
      <c r="G944" s="5"/>
      <c r="H944" s="5"/>
      <c r="I944" s="5"/>
      <c r="J944" s="5"/>
      <c r="K944" s="5"/>
      <c r="L944" s="5"/>
      <c r="M944" s="5"/>
      <c r="N944" s="5"/>
      <c r="O944" s="5"/>
      <c r="P944" s="1637" t="s">
        <v>678</v>
      </c>
      <c r="Q944" s="1425"/>
      <c r="R944" s="1425"/>
      <c r="S944" s="1425"/>
      <c r="T944" s="1426"/>
      <c r="U944" s="1637" t="s">
        <v>600</v>
      </c>
      <c r="V944" s="1425"/>
      <c r="W944" s="1425"/>
      <c r="X944" s="1425"/>
      <c r="Y944" s="1425"/>
      <c r="Z944" s="1426"/>
      <c r="AA944" s="1638"/>
      <c r="AB944" s="1504"/>
      <c r="AC944" s="1504"/>
      <c r="AD944" s="1504"/>
      <c r="AE944" s="1504"/>
      <c r="AF944" s="1639"/>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669" t="s">
        <v>2557</v>
      </c>
      <c r="G945" s="1670"/>
      <c r="H945" s="1671"/>
      <c r="I945" s="1614" t="s">
        <v>335</v>
      </c>
      <c r="J945" s="1615"/>
      <c r="K945" s="1615"/>
      <c r="L945" s="1615"/>
      <c r="M945" s="1615"/>
      <c r="N945" s="1615"/>
      <c r="O945" s="1615"/>
      <c r="P945" s="1615"/>
      <c r="Q945" s="1615"/>
      <c r="R945" s="1615"/>
      <c r="S945" s="1615"/>
      <c r="T945" s="1616"/>
      <c r="U945" s="1637" t="s">
        <v>600</v>
      </c>
      <c r="V945" s="1425"/>
      <c r="W945" s="1425"/>
      <c r="X945" s="1425"/>
      <c r="Y945" s="1425"/>
      <c r="Z945" s="1426"/>
      <c r="AA945" s="1638"/>
      <c r="AB945" s="1504"/>
      <c r="AC945" s="1504"/>
      <c r="AD945" s="1504"/>
      <c r="AE945" s="1504"/>
      <c r="AF945" s="1639"/>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F946" s="45" t="s">
        <v>86</v>
      </c>
      <c r="G946" s="48"/>
      <c r="H946" s="48"/>
      <c r="I946" s="1614" t="s">
        <v>335</v>
      </c>
      <c r="J946" s="1615"/>
      <c r="K946" s="1615"/>
      <c r="L946" s="1615"/>
      <c r="M946" s="1615"/>
      <c r="N946" s="1615"/>
      <c r="O946" s="1615"/>
      <c r="P946" s="1615"/>
      <c r="Q946" s="1615"/>
      <c r="R946" s="1615"/>
      <c r="S946" s="1615"/>
      <c r="T946" s="1616"/>
      <c r="U946" s="1637" t="s">
        <v>600</v>
      </c>
      <c r="V946" s="1425"/>
      <c r="W946" s="1425"/>
      <c r="X946" s="1425"/>
      <c r="Y946" s="1425"/>
      <c r="Z946" s="1426"/>
      <c r="AA946" s="1638"/>
      <c r="AB946" s="1504"/>
      <c r="AC946" s="1504"/>
      <c r="AD946" s="1504"/>
      <c r="AE946" s="1504"/>
      <c r="AF946" s="1639"/>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F947" s="45" t="s">
        <v>10</v>
      </c>
      <c r="G947" s="48"/>
      <c r="H947" s="48"/>
      <c r="I947" s="1715" t="s">
        <v>335</v>
      </c>
      <c r="J947" s="1716"/>
      <c r="K947" s="1716"/>
      <c r="L947" s="1716"/>
      <c r="M947" s="1716"/>
      <c r="N947" s="1716"/>
      <c r="O947" s="1716"/>
      <c r="P947" s="1716"/>
      <c r="Q947" s="1716"/>
      <c r="R947" s="1716"/>
      <c r="S947" s="1716"/>
      <c r="T947" s="1717"/>
      <c r="U947" s="1637" t="s">
        <v>600</v>
      </c>
      <c r="V947" s="1425"/>
      <c r="W947" s="1425"/>
      <c r="X947" s="1425"/>
      <c r="Y947" s="1425"/>
      <c r="Z947" s="1426"/>
      <c r="AA947" s="1638"/>
      <c r="AB947" s="1504"/>
      <c r="AC947" s="1504"/>
      <c r="AD947" s="1504"/>
      <c r="AE947" s="1504"/>
      <c r="AF947" s="1639"/>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F948" s="47" t="s">
        <v>170</v>
      </c>
      <c r="G948" s="48"/>
      <c r="H948" s="48"/>
      <c r="I948" s="1715" t="s">
        <v>2697</v>
      </c>
      <c r="J948" s="1716"/>
      <c r="K948" s="1716"/>
      <c r="L948" s="1716"/>
      <c r="M948" s="1716"/>
      <c r="N948" s="1716"/>
      <c r="O948" s="1716"/>
      <c r="P948" s="1716"/>
      <c r="Q948" s="1716"/>
      <c r="R948" s="1716"/>
      <c r="S948" s="1716"/>
      <c r="T948" s="1717"/>
      <c r="U948" s="1637" t="s">
        <v>554</v>
      </c>
      <c r="V948" s="1425"/>
      <c r="W948" s="1425"/>
      <c r="X948" s="1425"/>
      <c r="Y948" s="1425"/>
      <c r="Z948" s="1426"/>
      <c r="AA948" s="1638">
        <f>AO629+AO632</f>
        <v>8678084.354321247</v>
      </c>
      <c r="AB948" s="1504"/>
      <c r="AC948" s="1504"/>
      <c r="AD948" s="1504"/>
      <c r="AE948" s="1504"/>
      <c r="AF948" s="1639"/>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F949" s="47" t="s">
        <v>170</v>
      </c>
      <c r="G949" s="48"/>
      <c r="H949" s="48"/>
      <c r="I949" s="1715" t="s">
        <v>2698</v>
      </c>
      <c r="J949" s="1716"/>
      <c r="K949" s="1716"/>
      <c r="L949" s="1716"/>
      <c r="M949" s="1716"/>
      <c r="N949" s="1716"/>
      <c r="O949" s="1716"/>
      <c r="P949" s="1716"/>
      <c r="Q949" s="1716"/>
      <c r="R949" s="1716"/>
      <c r="S949" s="1716"/>
      <c r="T949" s="1717"/>
      <c r="U949" s="1637" t="s">
        <v>554</v>
      </c>
      <c r="V949" s="1425"/>
      <c r="W949" s="1425"/>
      <c r="X949" s="1425"/>
      <c r="Y949" s="1425"/>
      <c r="Z949" s="1426"/>
      <c r="AA949" s="1638">
        <f>AM555</f>
        <v>9285360</v>
      </c>
      <c r="AB949" s="1504"/>
      <c r="AC949" s="1504"/>
      <c r="AD949" s="1504"/>
      <c r="AE949" s="1504"/>
      <c r="AF949" s="1639"/>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 customHeight="1">
      <c r="C954" s="66" t="s">
        <v>11</v>
      </c>
      <c r="D954" s="5"/>
      <c r="E954" s="5"/>
      <c r="F954" s="5"/>
      <c r="G954" s="5"/>
      <c r="H954" s="5"/>
      <c r="I954" s="5"/>
      <c r="J954" s="5"/>
      <c r="K954" s="5"/>
      <c r="L954" s="46"/>
      <c r="M954" s="1718"/>
      <c r="N954" s="1687"/>
      <c r="O954" s="1687"/>
      <c r="P954" s="1687"/>
      <c r="Q954" s="1687"/>
      <c r="R954" s="1687"/>
      <c r="S954" s="1688"/>
      <c r="U954" s="66" t="s">
        <v>11</v>
      </c>
      <c r="V954" s="5"/>
      <c r="W954" s="5"/>
      <c r="X954" s="5"/>
      <c r="Y954" s="5"/>
      <c r="Z954" s="5"/>
      <c r="AA954" s="5"/>
      <c r="AB954" s="5"/>
      <c r="AC954" s="5"/>
      <c r="AD954" s="46"/>
      <c r="AE954" s="1718"/>
      <c r="AF954" s="1687"/>
      <c r="AG954" s="1687"/>
      <c r="AH954" s="1687"/>
      <c r="AI954" s="1687"/>
      <c r="AJ954" s="1687"/>
      <c r="AK954" s="1688"/>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 customHeight="1">
      <c r="C955" s="66" t="s">
        <v>12</v>
      </c>
      <c r="D955" s="5"/>
      <c r="E955" s="5"/>
      <c r="F955" s="5"/>
      <c r="G955" s="5"/>
      <c r="H955" s="5"/>
      <c r="I955" s="5"/>
      <c r="J955" s="5"/>
      <c r="K955" s="5"/>
      <c r="L955" s="46"/>
      <c r="M955" s="1451"/>
      <c r="N955" s="1518"/>
      <c r="O955" s="1518"/>
      <c r="P955" s="1518"/>
      <c r="Q955" s="1518"/>
      <c r="R955" s="1518"/>
      <c r="S955" s="1749"/>
      <c r="U955" s="66" t="s">
        <v>12</v>
      </c>
      <c r="V955" s="5"/>
      <c r="W955" s="5"/>
      <c r="X955" s="5"/>
      <c r="Y955" s="5"/>
      <c r="Z955" s="5"/>
      <c r="AA955" s="5"/>
      <c r="AB955" s="5"/>
      <c r="AC955" s="5"/>
      <c r="AD955" s="46"/>
      <c r="AE955" s="1451"/>
      <c r="AF955" s="1518"/>
      <c r="AG955" s="1518"/>
      <c r="AH955" s="1518"/>
      <c r="AI955" s="1518"/>
      <c r="AJ955" s="1518"/>
      <c r="AK955" s="1749"/>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 customHeight="1">
      <c r="C956" s="66" t="s">
        <v>893</v>
      </c>
      <c r="D956" s="5"/>
      <c r="E956" s="5"/>
      <c r="J956" s="1826" t="s">
        <v>308</v>
      </c>
      <c r="K956" s="1827"/>
      <c r="L956" s="1827"/>
      <c r="M956" s="1827"/>
      <c r="N956" s="1827"/>
      <c r="O956" s="1827"/>
      <c r="P956" s="1827"/>
      <c r="Q956" s="1827"/>
      <c r="R956" s="1827"/>
      <c r="S956" s="1828"/>
      <c r="U956" s="66" t="s">
        <v>893</v>
      </c>
      <c r="V956" s="5"/>
      <c r="W956" s="5"/>
      <c r="AB956" s="1826" t="s">
        <v>308</v>
      </c>
      <c r="AC956" s="1827"/>
      <c r="AD956" s="1827"/>
      <c r="AE956" s="1827"/>
      <c r="AF956" s="1827"/>
      <c r="AG956" s="1827"/>
      <c r="AH956" s="1827"/>
      <c r="AI956" s="1827"/>
      <c r="AJ956" s="1827"/>
      <c r="AK956" s="1828"/>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 customHeight="1">
      <c r="C957" s="66" t="s">
        <v>13</v>
      </c>
      <c r="D957" s="5"/>
      <c r="E957" s="5"/>
      <c r="F957" s="5"/>
      <c r="G957" s="5"/>
      <c r="H957" s="5"/>
      <c r="I957" s="5"/>
      <c r="J957" s="5"/>
      <c r="K957" s="5"/>
      <c r="L957" s="46"/>
      <c r="M957" s="1789"/>
      <c r="N957" s="1790"/>
      <c r="O957" s="1790"/>
      <c r="P957" s="1790"/>
      <c r="Q957" s="1790"/>
      <c r="R957" s="1790"/>
      <c r="S957" s="1791"/>
      <c r="U957" s="66" t="s">
        <v>13</v>
      </c>
      <c r="V957" s="5"/>
      <c r="W957" s="5"/>
      <c r="X957" s="5"/>
      <c r="Y957" s="5"/>
      <c r="Z957" s="5"/>
      <c r="AA957" s="5"/>
      <c r="AB957" s="5"/>
      <c r="AC957" s="5"/>
      <c r="AD957" s="46"/>
      <c r="AE957" s="1792"/>
      <c r="AF957" s="1790"/>
      <c r="AG957" s="1790"/>
      <c r="AH957" s="1790"/>
      <c r="AI957" s="1790"/>
      <c r="AJ957" s="1790"/>
      <c r="AK957" s="1791"/>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 customHeight="1">
      <c r="C958" s="66" t="s">
        <v>14</v>
      </c>
      <c r="D958" s="5"/>
      <c r="E958" s="5"/>
      <c r="F958" s="5"/>
      <c r="G958" s="5"/>
      <c r="H958" s="5"/>
      <c r="I958" s="5"/>
      <c r="J958" s="5"/>
      <c r="K958" s="5"/>
      <c r="L958" s="46"/>
      <c r="M958" s="1620"/>
      <c r="N958" s="1621"/>
      <c r="O958" s="1621"/>
      <c r="P958" s="1621"/>
      <c r="Q958" s="1621"/>
      <c r="R958" s="1621"/>
      <c r="S958" s="1622"/>
      <c r="U958" s="66" t="s">
        <v>14</v>
      </c>
      <c r="V958" s="5"/>
      <c r="W958" s="5"/>
      <c r="X958" s="5"/>
      <c r="Y958" s="5"/>
      <c r="Z958" s="5"/>
      <c r="AA958" s="5"/>
      <c r="AB958" s="5"/>
      <c r="AC958" s="5"/>
      <c r="AD958" s="46"/>
      <c r="AE958" s="1620"/>
      <c r="AF958" s="1621"/>
      <c r="AG958" s="1621"/>
      <c r="AH958" s="1621"/>
      <c r="AI958" s="1621"/>
      <c r="AJ958" s="1621"/>
      <c r="AK958" s="1622"/>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 customHeight="1">
      <c r="C959" s="66" t="s">
        <v>15</v>
      </c>
      <c r="D959" s="5"/>
      <c r="E959" s="5"/>
      <c r="F959" s="5"/>
      <c r="G959" s="5"/>
      <c r="H959" s="5"/>
      <c r="I959" s="5"/>
      <c r="J959" s="5"/>
      <c r="K959" s="5"/>
      <c r="L959" s="46"/>
      <c r="M959" s="1638"/>
      <c r="N959" s="1504"/>
      <c r="O959" s="1504"/>
      <c r="P959" s="1504"/>
      <c r="Q959" s="1504"/>
      <c r="R959" s="1504"/>
      <c r="S959" s="1639"/>
      <c r="U959" s="66" t="s">
        <v>15</v>
      </c>
      <c r="V959" s="5"/>
      <c r="W959" s="5"/>
      <c r="X959" s="5"/>
      <c r="Y959" s="5"/>
      <c r="Z959" s="5"/>
      <c r="AA959" s="5"/>
      <c r="AB959" s="5"/>
      <c r="AC959" s="5"/>
      <c r="AD959" s="46"/>
      <c r="AE959" s="1638"/>
      <c r="AF959" s="1504"/>
      <c r="AG959" s="1504"/>
      <c r="AH959" s="1504"/>
      <c r="AI959" s="1504"/>
      <c r="AJ959" s="1504"/>
      <c r="AK959" s="1639"/>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C960" s="66" t="s">
        <v>16</v>
      </c>
      <c r="D960" s="5"/>
      <c r="E960" s="5"/>
      <c r="F960" s="5"/>
      <c r="G960" s="5"/>
      <c r="H960" s="5"/>
      <c r="I960" s="5"/>
      <c r="J960" s="5"/>
      <c r="K960" s="5"/>
      <c r="L960" s="46"/>
      <c r="M960" s="1638"/>
      <c r="N960" s="1504"/>
      <c r="O960" s="1504"/>
      <c r="P960" s="1504"/>
      <c r="Q960" s="1504"/>
      <c r="R960" s="1504"/>
      <c r="S960" s="1639"/>
      <c r="U960" s="66" t="s">
        <v>16</v>
      </c>
      <c r="V960" s="5"/>
      <c r="W960" s="5"/>
      <c r="X960" s="5"/>
      <c r="Y960" s="5"/>
      <c r="Z960" s="5"/>
      <c r="AA960" s="5"/>
      <c r="AB960" s="5"/>
      <c r="AC960" s="5"/>
      <c r="AD960" s="46"/>
      <c r="AE960" s="1638"/>
      <c r="AF960" s="1504"/>
      <c r="AG960" s="1504"/>
      <c r="AH960" s="1504"/>
      <c r="AI960" s="1504"/>
      <c r="AJ960" s="1504"/>
      <c r="AK960" s="1639"/>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 customHeight="1">
      <c r="C961" s="121" t="s">
        <v>1776</v>
      </c>
      <c r="D961" s="5"/>
      <c r="E961" s="5"/>
      <c r="F961" s="5"/>
      <c r="G961" s="5"/>
      <c r="H961" s="5"/>
      <c r="I961" s="5"/>
      <c r="J961" s="5"/>
      <c r="K961" s="5"/>
      <c r="L961" s="46"/>
      <c r="M961" s="1793"/>
      <c r="N961" s="1794"/>
      <c r="O961" s="1794"/>
      <c r="P961" s="1794"/>
      <c r="Q961" s="1794"/>
      <c r="R961" s="1794"/>
      <c r="S961" s="1795"/>
      <c r="U961" s="121" t="s">
        <v>1776</v>
      </c>
      <c r="V961" s="5"/>
      <c r="W961" s="5"/>
      <c r="X961" s="5"/>
      <c r="Y961" s="5"/>
      <c r="Z961" s="5"/>
      <c r="AA961" s="5"/>
      <c r="AB961" s="5"/>
      <c r="AC961" s="5"/>
      <c r="AD961" s="46"/>
      <c r="AE961" s="1793"/>
      <c r="AF961" s="1794"/>
      <c r="AG961" s="1794"/>
      <c r="AH961" s="1794"/>
      <c r="AI961" s="1794"/>
      <c r="AJ961" s="1794"/>
      <c r="AK961" s="1795"/>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45" t="s">
        <v>580</v>
      </c>
      <c r="G966" s="5"/>
      <c r="H966" s="5"/>
      <c r="I966" s="5"/>
      <c r="J966" s="5"/>
      <c r="K966" s="5"/>
      <c r="L966" s="46"/>
      <c r="M966" s="1692"/>
      <c r="N966" s="1693"/>
      <c r="O966" s="1693"/>
      <c r="P966" s="1693"/>
      <c r="Q966" s="1693"/>
      <c r="R966" s="1693"/>
      <c r="S966" s="1694"/>
      <c r="T966" s="66" t="s">
        <v>800</v>
      </c>
      <c r="U966" s="5"/>
      <c r="V966" s="5"/>
      <c r="W966" s="5"/>
      <c r="X966" s="5"/>
      <c r="Y966" s="5"/>
      <c r="Z966" s="46"/>
      <c r="AA966" s="1692"/>
      <c r="AB966" s="1693"/>
      <c r="AC966" s="1693"/>
      <c r="AD966" s="1693"/>
      <c r="AE966" s="1693"/>
      <c r="AF966" s="1693"/>
      <c r="AG966" s="1694"/>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45" t="s">
        <v>581</v>
      </c>
      <c r="G967" s="5"/>
      <c r="H967" s="5"/>
      <c r="I967" s="5"/>
      <c r="J967" s="5"/>
      <c r="K967" s="5"/>
      <c r="L967" s="46"/>
      <c r="M967" s="1692"/>
      <c r="N967" s="1693"/>
      <c r="O967" s="1693"/>
      <c r="P967" s="1693"/>
      <c r="Q967" s="1693"/>
      <c r="R967" s="1693"/>
      <c r="S967" s="1694"/>
      <c r="T967" s="66" t="s">
        <v>799</v>
      </c>
      <c r="U967" s="5"/>
      <c r="V967" s="5"/>
      <c r="W967" s="5"/>
      <c r="X967" s="5"/>
      <c r="Y967" s="5"/>
      <c r="Z967" s="46"/>
      <c r="AA967" s="1692"/>
      <c r="AB967" s="1693"/>
      <c r="AC967" s="1693"/>
      <c r="AD967" s="1693"/>
      <c r="AE967" s="1693"/>
      <c r="AF967" s="1693"/>
      <c r="AG967" s="1694"/>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45" t="s">
        <v>917</v>
      </c>
      <c r="G968" s="5"/>
      <c r="H968" s="5"/>
      <c r="I968" s="5"/>
      <c r="J968" s="5"/>
      <c r="K968" s="5"/>
      <c r="L968" s="46"/>
      <c r="M968" s="1786" t="s">
        <v>600</v>
      </c>
      <c r="N968" s="1787"/>
      <c r="O968" s="1787"/>
      <c r="P968" s="1787"/>
      <c r="Q968" s="1787"/>
      <c r="R968" s="1787"/>
      <c r="S968" s="1788"/>
      <c r="T968" s="45" t="s">
        <v>338</v>
      </c>
      <c r="U968" s="5"/>
      <c r="V968" s="5"/>
      <c r="W968" s="5"/>
      <c r="X968" s="5"/>
      <c r="Y968" s="5"/>
      <c r="Z968" s="46"/>
      <c r="AA968" s="1692"/>
      <c r="AB968" s="1693"/>
      <c r="AC968" s="1693"/>
      <c r="AD968" s="1693"/>
      <c r="AE968" s="1693"/>
      <c r="AF968" s="1693"/>
      <c r="AG968" s="1694"/>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45" t="s">
        <v>582</v>
      </c>
      <c r="G969" s="5"/>
      <c r="H969" s="5"/>
      <c r="I969" s="5"/>
      <c r="J969" s="5"/>
      <c r="K969" s="5"/>
      <c r="L969" s="46"/>
      <c r="M969" s="1692"/>
      <c r="N969" s="1693"/>
      <c r="O969" s="1693"/>
      <c r="P969" s="1693"/>
      <c r="Q969" s="1693"/>
      <c r="R969" s="1693"/>
      <c r="S969" s="1694"/>
      <c r="T969" s="45" t="s">
        <v>339</v>
      </c>
      <c r="U969" s="5"/>
      <c r="V969" s="5"/>
      <c r="W969" s="5"/>
      <c r="X969" s="5"/>
      <c r="Y969" s="5"/>
      <c r="Z969" s="46"/>
      <c r="AA969" s="1692"/>
      <c r="AB969" s="1693"/>
      <c r="AC969" s="1693"/>
      <c r="AD969" s="1693"/>
      <c r="AE969" s="1693"/>
      <c r="AF969" s="1693"/>
      <c r="AG969" s="1694"/>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45" t="s">
        <v>473</v>
      </c>
      <c r="G970" s="5"/>
      <c r="H970" s="5"/>
      <c r="I970" s="5"/>
      <c r="J970" s="5"/>
      <c r="K970" s="5"/>
      <c r="L970" s="46"/>
      <c r="M970" s="1692"/>
      <c r="N970" s="1693"/>
      <c r="O970" s="1693"/>
      <c r="P970" s="1693"/>
      <c r="Q970" s="1693"/>
      <c r="R970" s="1693"/>
      <c r="S970" s="1694"/>
      <c r="T970" s="45" t="s">
        <v>377</v>
      </c>
      <c r="U970" s="5"/>
      <c r="V970" s="5"/>
      <c r="W970" s="5"/>
      <c r="X970" s="5"/>
      <c r="Y970" s="5"/>
      <c r="Z970" s="46"/>
      <c r="AA970" s="1692"/>
      <c r="AB970" s="1693"/>
      <c r="AC970" s="1693"/>
      <c r="AD970" s="1693"/>
      <c r="AE970" s="1693"/>
      <c r="AF970" s="1693"/>
      <c r="AG970" s="1694"/>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260" t="s">
        <v>893</v>
      </c>
      <c r="G971" s="42"/>
      <c r="H971" s="42"/>
      <c r="I971" s="42"/>
      <c r="J971" s="42"/>
      <c r="K971" s="42"/>
      <c r="L971" s="58"/>
      <c r="M971" s="1817" t="s">
        <v>308</v>
      </c>
      <c r="N971" s="1818"/>
      <c r="O971" s="1818"/>
      <c r="P971" s="1818"/>
      <c r="Q971" s="1818"/>
      <c r="R971" s="1818"/>
      <c r="S971" s="1819"/>
      <c r="T971" s="1722"/>
      <c r="U971" s="1723"/>
      <c r="V971" s="1723"/>
      <c r="W971" s="1723"/>
      <c r="X971" s="1723"/>
      <c r="Y971" s="1723"/>
      <c r="Z971" s="1724"/>
      <c r="AA971" s="1692"/>
      <c r="AB971" s="1693"/>
      <c r="AC971" s="1693"/>
      <c r="AD971" s="1693"/>
      <c r="AE971" s="1693"/>
      <c r="AF971" s="1693"/>
      <c r="AG971" s="1694"/>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41" t="s">
        <v>474</v>
      </c>
      <c r="G972" s="42"/>
      <c r="H972" s="42"/>
      <c r="I972" s="42"/>
      <c r="J972" s="42"/>
      <c r="K972" s="42"/>
      <c r="L972" s="58"/>
      <c r="M972" s="1692"/>
      <c r="N972" s="1693"/>
      <c r="O972" s="1693"/>
      <c r="P972" s="1693"/>
      <c r="Q972" s="1693"/>
      <c r="R972" s="1693"/>
      <c r="S972" s="1694"/>
      <c r="T972" s="1722"/>
      <c r="U972" s="1723"/>
      <c r="V972" s="1723"/>
      <c r="W972" s="1723"/>
      <c r="X972" s="1723"/>
      <c r="Y972" s="1723"/>
      <c r="Z972" s="1724"/>
      <c r="AA972" s="1692"/>
      <c r="AB972" s="1693"/>
      <c r="AC972" s="1693"/>
      <c r="AD972" s="1693"/>
      <c r="AE972" s="1693"/>
      <c r="AF972" s="1693"/>
      <c r="AG972" s="1694"/>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41" t="s">
        <v>337</v>
      </c>
      <c r="G973" s="42"/>
      <c r="H973" s="42"/>
      <c r="I973" s="42"/>
      <c r="J973" s="42"/>
      <c r="K973" s="42"/>
      <c r="L973" s="42"/>
      <c r="M973" s="42"/>
      <c r="N973" s="42"/>
      <c r="O973" s="1604" t="s">
        <v>678</v>
      </c>
      <c r="P973" s="1452"/>
      <c r="Q973" s="92"/>
      <c r="R973" s="92"/>
      <c r="S973" s="93"/>
      <c r="T973" s="41" t="s">
        <v>170</v>
      </c>
      <c r="U973" s="42"/>
      <c r="V973" s="42"/>
      <c r="W973" s="1814" t="s">
        <v>335</v>
      </c>
      <c r="X973" s="1815"/>
      <c r="Y973" s="1815"/>
      <c r="Z973" s="1815"/>
      <c r="AA973" s="1815"/>
      <c r="AB973" s="1815"/>
      <c r="AC973" s="1815"/>
      <c r="AD973" s="1815"/>
      <c r="AE973" s="1815"/>
      <c r="AF973" s="1815"/>
      <c r="AG973" s="1816"/>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 customHeight="1">
      <c r="F974" s="1609" t="s">
        <v>33</v>
      </c>
      <c r="G974" s="1393"/>
      <c r="H974" s="1393"/>
      <c r="I974" s="1393"/>
      <c r="J974" s="1393"/>
      <c r="K974" s="1393"/>
      <c r="L974" s="1393"/>
      <c r="M974" s="1692"/>
      <c r="N974" s="1693"/>
      <c r="O974" s="1693"/>
      <c r="P974" s="1693"/>
      <c r="Q974" s="1693"/>
      <c r="R974" s="1693"/>
      <c r="S974" s="1694"/>
      <c r="T974" s="47"/>
      <c r="U974" s="48"/>
      <c r="V974" s="48"/>
      <c r="W974" s="48"/>
      <c r="X974" s="48"/>
      <c r="Y974" s="48"/>
      <c r="Z974" s="124" t="s">
        <v>134</v>
      </c>
      <c r="AA974" s="1811"/>
      <c r="AB974" s="1812"/>
      <c r="AC974" s="1812"/>
      <c r="AD974" s="1812"/>
      <c r="AE974" s="1812"/>
      <c r="AF974" s="1812"/>
      <c r="AG974" s="1813"/>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68"/>
      <c r="AV975" s="68"/>
      <c r="AW975" s="68"/>
      <c r="AX975" s="68"/>
      <c r="AY975" s="68"/>
      <c r="AZ975" s="14"/>
      <c r="BA975" s="14"/>
      <c r="BB975" s="14"/>
      <c r="BC975" s="14"/>
      <c r="BD975" s="14"/>
      <c r="BE975" s="14"/>
      <c r="BF975" s="14"/>
      <c r="BG975" s="1636"/>
      <c r="BH975" s="1636"/>
      <c r="BI975" s="1636"/>
      <c r="BJ975" s="1636"/>
      <c r="BK975" s="1636"/>
      <c r="BL975" s="1636"/>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668" t="s">
        <v>557</v>
      </c>
      <c r="B978" s="1668"/>
      <c r="C978" s="1668"/>
      <c r="D978" s="1668"/>
      <c r="E978" s="1668"/>
      <c r="F978" s="1668"/>
      <c r="G978" s="1668"/>
      <c r="H978" s="1668"/>
      <c r="I978" s="1668"/>
      <c r="J978" s="1668"/>
      <c r="K978" s="1668"/>
      <c r="L978" s="1668"/>
      <c r="M978" s="1668"/>
      <c r="N978" s="1668"/>
      <c r="O978" s="1668"/>
      <c r="P978" s="1668"/>
      <c r="Q978" s="1668"/>
      <c r="R978" s="1668"/>
      <c r="S978" s="1668"/>
      <c r="T978" s="1668"/>
      <c r="U978" s="1668"/>
      <c r="V978" s="1668"/>
      <c r="W978" s="1668"/>
      <c r="X978" s="1668"/>
      <c r="Y978" s="1668"/>
      <c r="Z978" s="1668"/>
      <c r="AA978" s="1668"/>
      <c r="AB978" s="1668"/>
      <c r="AC978" s="1668"/>
      <c r="AD978" s="1668"/>
      <c r="AE978" s="1668"/>
      <c r="AF978" s="1668"/>
      <c r="AG978" s="1668"/>
      <c r="AH978" s="1668"/>
      <c r="AI978" s="1668"/>
      <c r="AJ978" s="1668"/>
      <c r="AK978" s="1668"/>
      <c r="AL978" s="1668"/>
      <c r="AM978" s="1668"/>
      <c r="AN978" s="1668"/>
      <c r="AO978" s="1668"/>
      <c r="AP978" s="1668"/>
      <c r="AQ978" s="1668"/>
      <c r="AR978" s="1668"/>
      <c r="AS978" s="1668"/>
      <c r="AT978" s="1668"/>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668"/>
      <c r="B979" s="1668"/>
      <c r="C979" s="1668"/>
      <c r="D979" s="1668"/>
      <c r="E979" s="1668"/>
      <c r="F979" s="1668"/>
      <c r="G979" s="1668"/>
      <c r="H979" s="1668"/>
      <c r="I979" s="1668"/>
      <c r="J979" s="1668"/>
      <c r="K979" s="1668"/>
      <c r="L979" s="1668"/>
      <c r="M979" s="1668"/>
      <c r="N979" s="1668"/>
      <c r="O979" s="1668"/>
      <c r="P979" s="1668"/>
      <c r="Q979" s="1668"/>
      <c r="R979" s="1668"/>
      <c r="S979" s="1668"/>
      <c r="T979" s="1668"/>
      <c r="U979" s="1668"/>
      <c r="V979" s="1668"/>
      <c r="W979" s="1668"/>
      <c r="X979" s="1668"/>
      <c r="Y979" s="1668"/>
      <c r="Z979" s="1668"/>
      <c r="AA979" s="1668"/>
      <c r="AB979" s="1668"/>
      <c r="AC979" s="1668"/>
      <c r="AD979" s="1668"/>
      <c r="AE979" s="1668"/>
      <c r="AF979" s="1668"/>
      <c r="AG979" s="1668"/>
      <c r="AH979" s="1668"/>
      <c r="AI979" s="1668"/>
      <c r="AJ979" s="1668"/>
      <c r="AK979" s="1668"/>
      <c r="AL979" s="1668"/>
      <c r="AM979" s="1668"/>
      <c r="AN979" s="1668"/>
      <c r="AO979" s="1668"/>
      <c r="AP979" s="1668"/>
      <c r="AQ979" s="1668"/>
      <c r="AR979" s="1668"/>
      <c r="AS979" s="1668"/>
      <c r="AT979" s="1668"/>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668"/>
      <c r="B980" s="1668"/>
      <c r="C980" s="1668"/>
      <c r="D980" s="1668"/>
      <c r="E980" s="1668"/>
      <c r="F980" s="1668"/>
      <c r="G980" s="1668"/>
      <c r="H980" s="1668"/>
      <c r="I980" s="1668"/>
      <c r="J980" s="1668"/>
      <c r="K980" s="1668"/>
      <c r="L980" s="1668"/>
      <c r="M980" s="1668"/>
      <c r="N980" s="1668"/>
      <c r="O980" s="1668"/>
      <c r="P980" s="1668"/>
      <c r="Q980" s="1668"/>
      <c r="R980" s="1668"/>
      <c r="S980" s="1668"/>
      <c r="T980" s="1668"/>
      <c r="U980" s="1668"/>
      <c r="V980" s="1668"/>
      <c r="W980" s="1668"/>
      <c r="X980" s="1668"/>
      <c r="Y980" s="1668"/>
      <c r="Z980" s="1668"/>
      <c r="AA980" s="1668"/>
      <c r="AB980" s="1668"/>
      <c r="AC980" s="1668"/>
      <c r="AD980" s="1668"/>
      <c r="AE980" s="1668"/>
      <c r="AF980" s="1668"/>
      <c r="AG980" s="1668"/>
      <c r="AH980" s="1668"/>
      <c r="AI980" s="1668"/>
      <c r="AJ980" s="1668"/>
      <c r="AK980" s="1668"/>
      <c r="AL980" s="1668"/>
      <c r="AM980" s="1668"/>
      <c r="AN980" s="1668"/>
      <c r="AO980" s="1668"/>
      <c r="AP980" s="1668"/>
      <c r="AQ980" s="1668"/>
      <c r="AR980" s="1668"/>
      <c r="AS980" s="1668"/>
      <c r="AT980" s="1668"/>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67"/>
      <c r="B984" s="79"/>
      <c r="C984" s="963"/>
      <c r="D984" s="1750" t="s">
        <v>647</v>
      </c>
      <c r="E984" s="1751"/>
      <c r="F984" s="1751"/>
      <c r="G984" s="1751"/>
      <c r="H984" s="1751"/>
      <c r="I984" s="1751"/>
      <c r="J984" s="1751"/>
      <c r="K984" s="1751"/>
      <c r="L984" s="1751"/>
      <c r="M984" s="1751"/>
      <c r="N984" s="1751"/>
      <c r="O984" s="1751"/>
      <c r="P984" s="1751"/>
      <c r="Q984" s="1752"/>
      <c r="R984" s="1750" t="s">
        <v>648</v>
      </c>
      <c r="S984" s="1751"/>
      <c r="T984" s="1751"/>
      <c r="U984" s="1751"/>
      <c r="V984" s="1751"/>
      <c r="W984" s="1751"/>
      <c r="X984" s="1751"/>
      <c r="Y984" s="1751"/>
      <c r="Z984" s="1751"/>
      <c r="AA984" s="1752"/>
      <c r="AB984" s="1750" t="s">
        <v>649</v>
      </c>
      <c r="AC984" s="1751"/>
      <c r="AD984" s="1751"/>
      <c r="AE984" s="1751"/>
      <c r="AF984" s="1751"/>
      <c r="AG984" s="1751"/>
      <c r="AH984" s="1751"/>
      <c r="AI984" s="1752"/>
      <c r="AJ984" s="1750" t="s">
        <v>650</v>
      </c>
      <c r="AK984" s="1751"/>
      <c r="AL984" s="1751"/>
      <c r="AM984" s="1751"/>
      <c r="AN984" s="1751"/>
      <c r="AO984" s="1751"/>
      <c r="AP984" s="1751"/>
      <c r="AQ984" s="1752"/>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 customHeight="1">
      <c r="A985" s="14"/>
      <c r="B985" s="73"/>
      <c r="C985" s="964"/>
      <c r="D985" s="1767" t="s">
        <v>642</v>
      </c>
      <c r="E985" s="1768"/>
      <c r="F985" s="1768"/>
      <c r="G985" s="1768"/>
      <c r="H985" s="1768"/>
      <c r="I985" s="1768"/>
      <c r="J985" s="1768"/>
      <c r="K985" s="1768"/>
      <c r="L985" s="1768"/>
      <c r="M985" s="1768"/>
      <c r="N985" s="1768"/>
      <c r="O985" s="1768"/>
      <c r="P985" s="1768"/>
      <c r="Q985" s="1769"/>
      <c r="R985" s="1659">
        <f>IF(ISNA(IF($BN$796="4%",(INDEX($BP$806:$BT$863,MATCH($CB$796,$BO$806:$BO$863,0),MATCH(D985,$BP$805:$BT$805,0))),(INDEX($BW$806:$CA$863,MATCH($CB$796,$BV$806:$BV$863,0),MATCH(D985,$BW$805:$CA$805,0))))),0,IF($BN$796="4%",(INDEX($BP$806:$BT$863,MATCH($CB$796,$BO$806:$BO$863,0),MATCH(D985,$BP$805:$BT$805,0))),(INDEX($BW$806:$CA$863,MATCH($CB$796,$BV$806:$BV$863,0),MATCH(D985,$BW$805:$CA$805,0)))))</f>
        <v>473390</v>
      </c>
      <c r="S985" s="1659"/>
      <c r="T985" s="1659"/>
      <c r="U985" s="1659"/>
      <c r="V985" s="1659"/>
      <c r="W985" s="1659"/>
      <c r="X985" s="1659"/>
      <c r="Y985" s="1659"/>
      <c r="Z985" s="1659"/>
      <c r="AA985" s="1659"/>
      <c r="AB985" s="1675">
        <f>BN660</f>
        <v>140</v>
      </c>
      <c r="AC985" s="1676"/>
      <c r="AD985" s="1676"/>
      <c r="AE985" s="1676"/>
      <c r="AF985" s="1676"/>
      <c r="AG985" s="1676"/>
      <c r="AH985" s="1676"/>
      <c r="AI985" s="1677"/>
      <c r="AJ985" s="1678">
        <f>IF(ISERROR((R985*AB985)),0,(R985*AB985))</f>
        <v>66274600</v>
      </c>
      <c r="AK985" s="1679"/>
      <c r="AL985" s="1679"/>
      <c r="AM985" s="1679"/>
      <c r="AN985" s="1679"/>
      <c r="AO985" s="1679"/>
      <c r="AP985" s="1679"/>
      <c r="AQ985" s="1680"/>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73"/>
      <c r="C986" s="83"/>
      <c r="D986" s="1767" t="s">
        <v>326</v>
      </c>
      <c r="E986" s="1768"/>
      <c r="F986" s="1768"/>
      <c r="G986" s="1768"/>
      <c r="H986" s="1768"/>
      <c r="I986" s="1768"/>
      <c r="J986" s="1768"/>
      <c r="K986" s="1768"/>
      <c r="L986" s="1768"/>
      <c r="M986" s="1768"/>
      <c r="N986" s="1768"/>
      <c r="O986" s="1768"/>
      <c r="P986" s="1768"/>
      <c r="Q986" s="1769"/>
      <c r="R986" s="1659">
        <f>IF(ISNA(IF($BN$796="4%",(INDEX($BP$806:$BT$863,MATCH($CB$796,$BO$806:$BO$863,0),MATCH(D986,$BP$805:$BT$805,0))),(INDEX($BW$806:$CA$863,MATCH($CB$796,$BV$806:$BV$863,0),MATCH(D986,$BW$805:$CA$805,0))))),0,IF($BN$796="4%",(INDEX($BP$806:$BT$863,MATCH($CB$796,$BO$806:$BO$863,0),MATCH(D986,$BP$805:$BT$805,0))),(INDEX($BW$806:$CA$863,MATCH($CB$796,$BV$806:$BV$863,0),MATCH(D986,$BW$805:$CA$805,0)))))</f>
        <v>545814</v>
      </c>
      <c r="S986" s="1659"/>
      <c r="T986" s="1659"/>
      <c r="U986" s="1659"/>
      <c r="V986" s="1659"/>
      <c r="W986" s="1659"/>
      <c r="X986" s="1659"/>
      <c r="Y986" s="1659"/>
      <c r="Z986" s="1659"/>
      <c r="AA986" s="1659"/>
      <c r="AB986" s="1675">
        <f>BS660</f>
        <v>1</v>
      </c>
      <c r="AC986" s="1676"/>
      <c r="AD986" s="1676"/>
      <c r="AE986" s="1676"/>
      <c r="AF986" s="1676"/>
      <c r="AG986" s="1676"/>
      <c r="AH986" s="1676"/>
      <c r="AI986" s="1677"/>
      <c r="AJ986" s="1678">
        <f>IF(ISERROR((R986*AB986)),0,(R986*AB986))</f>
        <v>545814</v>
      </c>
      <c r="AK986" s="1679"/>
      <c r="AL986" s="1679"/>
      <c r="AM986" s="1679"/>
      <c r="AN986" s="1679"/>
      <c r="AO986" s="1679"/>
      <c r="AP986" s="1679"/>
      <c r="AQ986" s="1680"/>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73"/>
      <c r="C987" s="83"/>
      <c r="D987" s="1767" t="s">
        <v>163</v>
      </c>
      <c r="E987" s="1768"/>
      <c r="F987" s="1768"/>
      <c r="G987" s="1768"/>
      <c r="H987" s="1768"/>
      <c r="I987" s="1768"/>
      <c r="J987" s="1768"/>
      <c r="K987" s="1768"/>
      <c r="L987" s="1768"/>
      <c r="M987" s="1768"/>
      <c r="N987" s="1768"/>
      <c r="O987" s="1768"/>
      <c r="P987" s="1768"/>
      <c r="Q987" s="1769"/>
      <c r="R987" s="1659">
        <f>IF(ISNA(IF($BN$796="4%",(INDEX($BP$806:$BT$863,MATCH($CB$796,$BO$806:$BO$863,0),MATCH(D987,$BP$805:$BT$805,0))),(INDEX($BW$806:$CA$863,MATCH($CB$796,$BV$806:$BV$863,0),MATCH(D987,$BW$805:$CA$805,0))))),0,IF($BN$796="4%",(INDEX($BP$806:$BT$863,MATCH($CB$796,$BO$806:$BO$863,0),MATCH(D987,$BP$805:$BT$805,0))),(INDEX($BW$806:$CA$863,MATCH($CB$796,$BV$806:$BV$863,0),MATCH(D987,$BW$805:$CA$805,0)))))</f>
        <v>658400</v>
      </c>
      <c r="S987" s="1659"/>
      <c r="T987" s="1659"/>
      <c r="U987" s="1659"/>
      <c r="V987" s="1659"/>
      <c r="W987" s="1659"/>
      <c r="X987" s="1659"/>
      <c r="Y987" s="1659"/>
      <c r="Z987" s="1659"/>
      <c r="AA987" s="1659"/>
      <c r="AB987" s="1675">
        <f>BX660</f>
        <v>0</v>
      </c>
      <c r="AC987" s="1676"/>
      <c r="AD987" s="1676"/>
      <c r="AE987" s="1676"/>
      <c r="AF987" s="1676"/>
      <c r="AG987" s="1676"/>
      <c r="AH987" s="1676"/>
      <c r="AI987" s="1677"/>
      <c r="AJ987" s="1678">
        <f>IF(ISERROR((R987*AB987)),0,(R987*AB987))</f>
        <v>0</v>
      </c>
      <c r="AK987" s="1679"/>
      <c r="AL987" s="1679"/>
      <c r="AM987" s="1679"/>
      <c r="AN987" s="1679"/>
      <c r="AO987" s="1679"/>
      <c r="AP987" s="1679"/>
      <c r="AQ987" s="1680"/>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73"/>
      <c r="C988" s="83"/>
      <c r="D988" s="1767" t="s">
        <v>164</v>
      </c>
      <c r="E988" s="1768"/>
      <c r="F988" s="1768"/>
      <c r="G988" s="1768"/>
      <c r="H988" s="1768"/>
      <c r="I988" s="1768"/>
      <c r="J988" s="1768"/>
      <c r="K988" s="1768"/>
      <c r="L988" s="1768"/>
      <c r="M988" s="1768"/>
      <c r="N988" s="1768"/>
      <c r="O988" s="1768"/>
      <c r="P988" s="1768"/>
      <c r="Q988" s="1769"/>
      <c r="R988" s="1659">
        <f>IF(ISNA(IF($BN$796="4%",(INDEX($BP$806:$BT$863,MATCH($CB$796,$BO$806:$BO$863,0),MATCH(D988,$BP$805:$BT$805,0))),(INDEX($BW$806:$CA$863,MATCH($CB$796,$BV$806:$BV$863,0),MATCH(D988,$BW$805:$CA$805,0))))),0,IF($BN$796="4%",(INDEX($BP$806:$BT$863,MATCH($CB$796,$BO$806:$BO$863,0),MATCH(D988,$BP$805:$BT$805,0))),(INDEX($BW$806:$CA$863,MATCH($CB$796,$BV$806:$BV$863,0),MATCH(D988,$BW$805:$CA$805,0)))))</f>
        <v>842752</v>
      </c>
      <c r="S988" s="1659"/>
      <c r="T988" s="1659"/>
      <c r="U988" s="1659"/>
      <c r="V988" s="1659"/>
      <c r="W988" s="1659"/>
      <c r="X988" s="1659"/>
      <c r="Y988" s="1659"/>
      <c r="Z988" s="1659"/>
      <c r="AA988" s="1659"/>
      <c r="AB988" s="1675">
        <f>CC660</f>
        <v>0</v>
      </c>
      <c r="AC988" s="1676"/>
      <c r="AD988" s="1676"/>
      <c r="AE988" s="1676"/>
      <c r="AF988" s="1676"/>
      <c r="AG988" s="1676"/>
      <c r="AH988" s="1676"/>
      <c r="AI988" s="1677"/>
      <c r="AJ988" s="1678">
        <f>IF(ISERROR((R988*AB988)),0,(R988*AB988))</f>
        <v>0</v>
      </c>
      <c r="AK988" s="1679"/>
      <c r="AL988" s="1679"/>
      <c r="AM988" s="1679"/>
      <c r="AN988" s="1679"/>
      <c r="AO988" s="1679"/>
      <c r="AP988" s="1679"/>
      <c r="AQ988" s="1680"/>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7"/>
      <c r="C989" s="78"/>
      <c r="D989" s="1767" t="s">
        <v>469</v>
      </c>
      <c r="E989" s="1768"/>
      <c r="F989" s="1768"/>
      <c r="G989" s="1768"/>
      <c r="H989" s="1768"/>
      <c r="I989" s="1768"/>
      <c r="J989" s="1768"/>
      <c r="K989" s="1768"/>
      <c r="L989" s="1768"/>
      <c r="M989" s="1768"/>
      <c r="N989" s="1768"/>
      <c r="O989" s="1768"/>
      <c r="P989" s="1768"/>
      <c r="Q989" s="1769"/>
      <c r="R989" s="1659">
        <f>IF(ISNA(IF($BN$796="4%",(INDEX($BP$806:$BT$863,MATCH($CB$796,$BO$806:$BO$863,0),MATCH(D989,$BP$805:$BT$805,0))),(INDEX($BW$806:$CA$863,MATCH($CB$796,$BV$806:$BV$863,0),MATCH(D989,$BW$805:$CA$805,0))))),0,IF($BN$796="4%",(INDEX($BP$806:$BT$863,MATCH($CB$796,$BO$806:$BO$863,0),MATCH(D989,$BP$805:$BT$805,0))),(INDEX($BW$806:$CA$863,MATCH($CB$796,$BV$806:$BV$863,0),MATCH(D989,$BW$805:$CA$805,0)))))</f>
        <v>938878</v>
      </c>
      <c r="S989" s="1659"/>
      <c r="T989" s="1659"/>
      <c r="U989" s="1659"/>
      <c r="V989" s="1659"/>
      <c r="W989" s="1659"/>
      <c r="X989" s="1659"/>
      <c r="Y989" s="1659"/>
      <c r="Z989" s="1659"/>
      <c r="AA989" s="1659"/>
      <c r="AB989" s="1675">
        <f>CM660+CH660</f>
        <v>0</v>
      </c>
      <c r="AC989" s="1676"/>
      <c r="AD989" s="1676"/>
      <c r="AE989" s="1676"/>
      <c r="AF989" s="1676"/>
      <c r="AG989" s="1676"/>
      <c r="AH989" s="1676"/>
      <c r="AI989" s="1677"/>
      <c r="AJ989" s="1678">
        <f>IF(ISERROR((R989*AB989)),0,(R989*AB989))</f>
        <v>0</v>
      </c>
      <c r="AK989" s="1679"/>
      <c r="AL989" s="1679"/>
      <c r="AM989" s="1679"/>
      <c r="AN989" s="1679"/>
      <c r="AO989" s="1679"/>
      <c r="AP989" s="1679"/>
      <c r="AQ989" s="1680"/>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660" t="s">
        <v>801</v>
      </c>
      <c r="C990" s="1661"/>
      <c r="D990" s="1661"/>
      <c r="E990" s="1661"/>
      <c r="F990" s="1661"/>
      <c r="G990" s="1661"/>
      <c r="H990" s="1661"/>
      <c r="I990" s="1661"/>
      <c r="J990" s="1661"/>
      <c r="K990" s="1661"/>
      <c r="L990" s="1661"/>
      <c r="M990" s="1661"/>
      <c r="N990" s="1661"/>
      <c r="O990" s="1661"/>
      <c r="P990" s="1661"/>
      <c r="Q990" s="1661"/>
      <c r="R990" s="1661"/>
      <c r="S990" s="1661"/>
      <c r="T990" s="1661"/>
      <c r="U990" s="1661"/>
      <c r="V990" s="1661"/>
      <c r="W990" s="1661"/>
      <c r="X990" s="1661"/>
      <c r="Y990" s="1661"/>
      <c r="Z990" s="1661"/>
      <c r="AA990" s="1662"/>
      <c r="AB990" s="1675">
        <f>SUM(AB985:AI989)</f>
        <v>141</v>
      </c>
      <c r="AC990" s="1676"/>
      <c r="AD990" s="1676"/>
      <c r="AE990" s="1676"/>
      <c r="AF990" s="1676"/>
      <c r="AG990" s="1676"/>
      <c r="AH990" s="1676"/>
      <c r="AI990" s="1677"/>
      <c r="AJ990" s="1678"/>
      <c r="AK990" s="1679"/>
      <c r="AL990" s="1679"/>
      <c r="AM990" s="1679"/>
      <c r="AN990" s="1679"/>
      <c r="AO990" s="1679"/>
      <c r="AP990" s="1679"/>
      <c r="AQ990" s="1680"/>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829" t="s">
        <v>521</v>
      </c>
      <c r="C991" s="1830"/>
      <c r="D991" s="1830"/>
      <c r="E991" s="1830"/>
      <c r="F991" s="1830"/>
      <c r="G991" s="1830"/>
      <c r="H991" s="1830"/>
      <c r="I991" s="1830"/>
      <c r="J991" s="1830"/>
      <c r="K991" s="1830"/>
      <c r="L991" s="1830"/>
      <c r="M991" s="1830"/>
      <c r="N991" s="1830"/>
      <c r="O991" s="1830"/>
      <c r="P991" s="1830"/>
      <c r="Q991" s="1830"/>
      <c r="R991" s="1830"/>
      <c r="S991" s="1830"/>
      <c r="T991" s="1830"/>
      <c r="U991" s="1830"/>
      <c r="V991" s="1830"/>
      <c r="W991" s="1830"/>
      <c r="X991" s="1830"/>
      <c r="Y991" s="1830"/>
      <c r="Z991" s="1830"/>
      <c r="AA991" s="1830"/>
      <c r="AB991" s="1830"/>
      <c r="AC991" s="1830"/>
      <c r="AD991" s="1830"/>
      <c r="AE991" s="1830"/>
      <c r="AF991" s="1830"/>
      <c r="AG991" s="1830"/>
      <c r="AH991" s="1830"/>
      <c r="AI991" s="1831"/>
      <c r="AJ991" s="1678">
        <f>SUM(AJ985:AQ989)</f>
        <v>66820414</v>
      </c>
      <c r="AK991" s="1679"/>
      <c r="AL991" s="1679"/>
      <c r="AM991" s="1679"/>
      <c r="AN991" s="1679"/>
      <c r="AO991" s="1679"/>
      <c r="AP991" s="1679"/>
      <c r="AQ991" s="1680"/>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806"/>
      <c r="C992" s="1807"/>
      <c r="D992" s="1807"/>
      <c r="E992" s="1807"/>
      <c r="F992" s="1807"/>
      <c r="G992" s="1807"/>
      <c r="H992" s="1807"/>
      <c r="I992" s="1807"/>
      <c r="J992" s="1807"/>
      <c r="K992" s="1807"/>
      <c r="L992" s="1807"/>
      <c r="M992" s="1807"/>
      <c r="N992" s="1807"/>
      <c r="O992" s="1807"/>
      <c r="P992" s="1807"/>
      <c r="Q992" s="1807"/>
      <c r="R992" s="1807"/>
      <c r="S992" s="1807"/>
      <c r="T992" s="1807"/>
      <c r="U992" s="1807"/>
      <c r="V992" s="1807"/>
      <c r="W992" s="1807"/>
      <c r="X992" s="1807"/>
      <c r="Y992" s="1807"/>
      <c r="Z992" s="1807"/>
      <c r="AA992" s="1807"/>
      <c r="AB992" s="1807"/>
      <c r="AC992" s="1807"/>
      <c r="AD992" s="1807"/>
      <c r="AE992" s="1808"/>
      <c r="AF992" s="1821" t="s">
        <v>675</v>
      </c>
      <c r="AG992" s="1822"/>
      <c r="AH992" s="1822"/>
      <c r="AI992" s="1823"/>
      <c r="AJ992" s="1806"/>
      <c r="AK992" s="1807"/>
      <c r="AL992" s="1807"/>
      <c r="AM992" s="1807"/>
      <c r="AN992" s="1807"/>
      <c r="AO992" s="1807"/>
      <c r="AP992" s="1807"/>
      <c r="AQ992" s="1808"/>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73"/>
      <c r="C993" s="962" t="s">
        <v>677</v>
      </c>
      <c r="D993" s="1653" t="s">
        <v>1327</v>
      </c>
      <c r="E993" s="1654"/>
      <c r="F993" s="1654"/>
      <c r="G993" s="1654"/>
      <c r="H993" s="1654"/>
      <c r="I993" s="1654"/>
      <c r="J993" s="1654"/>
      <c r="K993" s="1654"/>
      <c r="L993" s="1654"/>
      <c r="M993" s="1654"/>
      <c r="N993" s="1654"/>
      <c r="O993" s="1654"/>
      <c r="P993" s="1654"/>
      <c r="Q993" s="1654"/>
      <c r="R993" s="1654"/>
      <c r="S993" s="1654"/>
      <c r="T993" s="1654"/>
      <c r="U993" s="1654"/>
      <c r="V993" s="1654"/>
      <c r="W993" s="1654"/>
      <c r="X993" s="1654"/>
      <c r="Y993" s="1654"/>
      <c r="Z993" s="1654"/>
      <c r="AA993" s="1654"/>
      <c r="AB993" s="1654"/>
      <c r="AC993" s="1654"/>
      <c r="AD993" s="1654"/>
      <c r="AE993" s="1655"/>
      <c r="AF993" s="79"/>
      <c r="AG993" s="1797" t="s">
        <v>678</v>
      </c>
      <c r="AH993" s="1798"/>
      <c r="AI993" s="87"/>
      <c r="AJ993" s="1702">
        <f>ROUND(IF(AND(AG993="yes",D999&gt;0),AJ991*0.2,0),0)</f>
        <v>0</v>
      </c>
      <c r="AK993" s="1703"/>
      <c r="AL993" s="1703"/>
      <c r="AM993" s="1703"/>
      <c r="AN993" s="1703"/>
      <c r="AO993" s="1703"/>
      <c r="AP993" s="1703"/>
      <c r="AQ993" s="1704"/>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277"/>
      <c r="C994" s="276"/>
      <c r="D994" s="1736" t="s">
        <v>2571</v>
      </c>
      <c r="E994" s="1737"/>
      <c r="F994" s="1737"/>
      <c r="G994" s="1737"/>
      <c r="H994" s="1737"/>
      <c r="I994" s="1737"/>
      <c r="J994" s="1737"/>
      <c r="K994" s="1737"/>
      <c r="L994" s="1737"/>
      <c r="M994" s="1737"/>
      <c r="N994" s="1737"/>
      <c r="O994" s="1737"/>
      <c r="P994" s="1737"/>
      <c r="Q994" s="1737"/>
      <c r="R994" s="1737"/>
      <c r="S994" s="1737"/>
      <c r="T994" s="1737"/>
      <c r="U994" s="1737"/>
      <c r="V994" s="1737"/>
      <c r="W994" s="1737"/>
      <c r="X994" s="1737"/>
      <c r="Y994" s="1737"/>
      <c r="Z994" s="1737"/>
      <c r="AA994" s="1737"/>
      <c r="AB994" s="1737"/>
      <c r="AC994" s="1737"/>
      <c r="AD994" s="1737"/>
      <c r="AE994" s="1738"/>
      <c r="AF994" s="73"/>
      <c r="AG994" s="14"/>
      <c r="AH994" s="14"/>
      <c r="AI994" s="83"/>
      <c r="AJ994" s="1705"/>
      <c r="AK994" s="1706"/>
      <c r="AL994" s="1706"/>
      <c r="AM994" s="1706"/>
      <c r="AN994" s="1706"/>
      <c r="AO994" s="1706"/>
      <c r="AP994" s="1706"/>
      <c r="AQ994" s="1707"/>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277"/>
      <c r="C995" s="276"/>
      <c r="D995" s="1736"/>
      <c r="E995" s="1737"/>
      <c r="F995" s="1737"/>
      <c r="G995" s="1737"/>
      <c r="H995" s="1737"/>
      <c r="I995" s="1737"/>
      <c r="J995" s="1737"/>
      <c r="K995" s="1737"/>
      <c r="L995" s="1737"/>
      <c r="M995" s="1737"/>
      <c r="N995" s="1737"/>
      <c r="O995" s="1737"/>
      <c r="P995" s="1737"/>
      <c r="Q995" s="1737"/>
      <c r="R995" s="1737"/>
      <c r="S995" s="1737"/>
      <c r="T995" s="1737"/>
      <c r="U995" s="1737"/>
      <c r="V995" s="1737"/>
      <c r="W995" s="1737"/>
      <c r="X995" s="1737"/>
      <c r="Y995" s="1737"/>
      <c r="Z995" s="1737"/>
      <c r="AA995" s="1737"/>
      <c r="AB995" s="1737"/>
      <c r="AC995" s="1737"/>
      <c r="AD995" s="1737"/>
      <c r="AE995" s="1738"/>
      <c r="AF995" s="73"/>
      <c r="AG995" s="14"/>
      <c r="AH995" s="14"/>
      <c r="AI995" s="83"/>
      <c r="AJ995" s="1705"/>
      <c r="AK995" s="1706"/>
      <c r="AL995" s="1706"/>
      <c r="AM995" s="1706"/>
      <c r="AN995" s="1706"/>
      <c r="AO995" s="1706"/>
      <c r="AP995" s="1706"/>
      <c r="AQ995" s="1707"/>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277"/>
      <c r="C996" s="276"/>
      <c r="D996" s="1736"/>
      <c r="E996" s="1737"/>
      <c r="F996" s="1737"/>
      <c r="G996" s="1737"/>
      <c r="H996" s="1737"/>
      <c r="I996" s="1737"/>
      <c r="J996" s="1737"/>
      <c r="K996" s="1737"/>
      <c r="L996" s="1737"/>
      <c r="M996" s="1737"/>
      <c r="N996" s="1737"/>
      <c r="O996" s="1737"/>
      <c r="P996" s="1737"/>
      <c r="Q996" s="1737"/>
      <c r="R996" s="1737"/>
      <c r="S996" s="1737"/>
      <c r="T996" s="1737"/>
      <c r="U996" s="1737"/>
      <c r="V996" s="1737"/>
      <c r="W996" s="1737"/>
      <c r="X996" s="1737"/>
      <c r="Y996" s="1737"/>
      <c r="Z996" s="1737"/>
      <c r="AA996" s="1737"/>
      <c r="AB996" s="1737"/>
      <c r="AC996" s="1737"/>
      <c r="AD996" s="1737"/>
      <c r="AE996" s="1738"/>
      <c r="AF996" s="73"/>
      <c r="AG996" s="14"/>
      <c r="AH996" s="14"/>
      <c r="AI996" s="83"/>
      <c r="AJ996" s="1705"/>
      <c r="AK996" s="1706"/>
      <c r="AL996" s="1706"/>
      <c r="AM996" s="1706"/>
      <c r="AN996" s="1706"/>
      <c r="AO996" s="1706"/>
      <c r="AP996" s="1706"/>
      <c r="AQ996" s="1707"/>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277"/>
      <c r="C997" s="276"/>
      <c r="D997" s="1736"/>
      <c r="E997" s="1737"/>
      <c r="F997" s="1737"/>
      <c r="G997" s="1737"/>
      <c r="H997" s="1737"/>
      <c r="I997" s="1737"/>
      <c r="J997" s="1737"/>
      <c r="K997" s="1737"/>
      <c r="L997" s="1737"/>
      <c r="M997" s="1737"/>
      <c r="N997" s="1737"/>
      <c r="O997" s="1737"/>
      <c r="P997" s="1737"/>
      <c r="Q997" s="1737"/>
      <c r="R997" s="1737"/>
      <c r="S997" s="1737"/>
      <c r="T997" s="1737"/>
      <c r="U997" s="1737"/>
      <c r="V997" s="1737"/>
      <c r="W997" s="1737"/>
      <c r="X997" s="1737"/>
      <c r="Y997" s="1737"/>
      <c r="Z997" s="1737"/>
      <c r="AA997" s="1737"/>
      <c r="AB997" s="1737"/>
      <c r="AC997" s="1737"/>
      <c r="AD997" s="1737"/>
      <c r="AE997" s="1738"/>
      <c r="AF997" s="73"/>
      <c r="AG997" s="14"/>
      <c r="AH997" s="14"/>
      <c r="AI997" s="83"/>
      <c r="AJ997" s="1705"/>
      <c r="AK997" s="1706"/>
      <c r="AL997" s="1706"/>
      <c r="AM997" s="1706"/>
      <c r="AN997" s="1706"/>
      <c r="AO997" s="1706"/>
      <c r="AP997" s="1706"/>
      <c r="AQ997" s="1707"/>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277"/>
      <c r="C998" s="276"/>
      <c r="D998" s="1672" t="s">
        <v>2572</v>
      </c>
      <c r="E998" s="1673"/>
      <c r="F998" s="1673"/>
      <c r="G998" s="1673"/>
      <c r="H998" s="1673"/>
      <c r="I998" s="1673"/>
      <c r="J998" s="1673"/>
      <c r="K998" s="1673"/>
      <c r="L998" s="1673"/>
      <c r="M998" s="1673"/>
      <c r="N998" s="1673"/>
      <c r="O998" s="1673"/>
      <c r="P998" s="1673"/>
      <c r="Q998" s="1673"/>
      <c r="R998" s="1673"/>
      <c r="S998" s="1673"/>
      <c r="T998" s="1673"/>
      <c r="U998" s="1673"/>
      <c r="V998" s="1673"/>
      <c r="W998" s="1673"/>
      <c r="X998" s="1673"/>
      <c r="Y998" s="1673"/>
      <c r="Z998" s="1673"/>
      <c r="AA998" s="1673"/>
      <c r="AB998" s="1673"/>
      <c r="AC998" s="1673"/>
      <c r="AD998" s="1673"/>
      <c r="AE998" s="1674"/>
      <c r="AF998" s="73"/>
      <c r="AG998" s="14"/>
      <c r="AH998" s="14"/>
      <c r="AI998" s="83"/>
      <c r="AJ998" s="1705"/>
      <c r="AK998" s="1706"/>
      <c r="AL998" s="1706"/>
      <c r="AM998" s="1706"/>
      <c r="AN998" s="1706"/>
      <c r="AO998" s="1706"/>
      <c r="AP998" s="1706"/>
      <c r="AQ998" s="1707"/>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 customHeight="1">
      <c r="A999" s="14"/>
      <c r="B999" s="277"/>
      <c r="C999" s="276"/>
      <c r="D999" s="1663"/>
      <c r="E999" s="1664"/>
      <c r="F999" s="1664"/>
      <c r="G999" s="1664"/>
      <c r="H999" s="1664"/>
      <c r="I999" s="1664"/>
      <c r="J999" s="1664"/>
      <c r="K999" s="1664"/>
      <c r="L999" s="1664"/>
      <c r="M999" s="1664"/>
      <c r="N999" s="1664"/>
      <c r="O999" s="1664"/>
      <c r="P999" s="1664"/>
      <c r="Q999" s="1664"/>
      <c r="R999" s="1664"/>
      <c r="S999" s="1664"/>
      <c r="T999" s="1664"/>
      <c r="U999" s="1664"/>
      <c r="V999" s="1664"/>
      <c r="W999" s="1664"/>
      <c r="X999" s="1664"/>
      <c r="Y999" s="1664"/>
      <c r="Z999" s="1664"/>
      <c r="AA999" s="1664"/>
      <c r="AB999" s="1664"/>
      <c r="AC999" s="1664"/>
      <c r="AD999" s="1664"/>
      <c r="AE999" s="1665"/>
      <c r="AF999" s="77"/>
      <c r="AG999" s="7"/>
      <c r="AH999" s="7"/>
      <c r="AI999" s="78"/>
      <c r="AJ999" s="1708"/>
      <c r="AK999" s="1709"/>
      <c r="AL999" s="1709"/>
      <c r="AM999" s="1709"/>
      <c r="AN999" s="1709"/>
      <c r="AO999" s="1709"/>
      <c r="AP999" s="1709"/>
      <c r="AQ999" s="1710"/>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 customHeight="1">
      <c r="A1000" s="14"/>
      <c r="B1000" s="275"/>
      <c r="C1000" s="344"/>
      <c r="D1000" s="1656" t="s">
        <v>1397</v>
      </c>
      <c r="E1000" s="1657"/>
      <c r="F1000" s="1657"/>
      <c r="G1000" s="1657"/>
      <c r="H1000" s="1657"/>
      <c r="I1000" s="1657"/>
      <c r="J1000" s="1657"/>
      <c r="K1000" s="1657"/>
      <c r="L1000" s="1657"/>
      <c r="M1000" s="1657"/>
      <c r="N1000" s="1657"/>
      <c r="O1000" s="1657"/>
      <c r="P1000" s="1657"/>
      <c r="Q1000" s="1657"/>
      <c r="R1000" s="1657"/>
      <c r="S1000" s="1657"/>
      <c r="T1000" s="1657"/>
      <c r="U1000" s="1657"/>
      <c r="V1000" s="1657"/>
      <c r="W1000" s="1657"/>
      <c r="X1000" s="1657"/>
      <c r="Y1000" s="1657"/>
      <c r="Z1000" s="1657"/>
      <c r="AA1000" s="1657"/>
      <c r="AB1000" s="1657"/>
      <c r="AC1000" s="1657"/>
      <c r="AD1000" s="1657"/>
      <c r="AE1000" s="1658"/>
      <c r="AF1000" s="79"/>
      <c r="AG1000" s="1711" t="s">
        <v>678</v>
      </c>
      <c r="AH1000" s="1712"/>
      <c r="AI1000" s="87"/>
      <c r="AJ1000" s="1702">
        <f>ROUND(IF(AG1000="yes",AJ991*0.05,0),0)</f>
        <v>0</v>
      </c>
      <c r="AK1000" s="1703"/>
      <c r="AL1000" s="1703"/>
      <c r="AM1000" s="1703"/>
      <c r="AN1000" s="1703"/>
      <c r="AO1000" s="1703"/>
      <c r="AP1000" s="1703"/>
      <c r="AQ1000" s="1704"/>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 customHeight="1">
      <c r="A1001" s="14"/>
      <c r="B1001" s="277"/>
      <c r="C1001" s="82"/>
      <c r="D1001" s="1736" t="s">
        <v>1395</v>
      </c>
      <c r="E1001" s="1737"/>
      <c r="F1001" s="1737"/>
      <c r="G1001" s="1737"/>
      <c r="H1001" s="1737"/>
      <c r="I1001" s="1737"/>
      <c r="J1001" s="1737"/>
      <c r="K1001" s="1737"/>
      <c r="L1001" s="1737"/>
      <c r="M1001" s="1737"/>
      <c r="N1001" s="1737"/>
      <c r="O1001" s="1737"/>
      <c r="P1001" s="1737"/>
      <c r="Q1001" s="1737"/>
      <c r="R1001" s="1737"/>
      <c r="S1001" s="1737"/>
      <c r="T1001" s="1737"/>
      <c r="U1001" s="1737"/>
      <c r="V1001" s="1737"/>
      <c r="W1001" s="1737"/>
      <c r="X1001" s="1737"/>
      <c r="Y1001" s="1737"/>
      <c r="Z1001" s="1737"/>
      <c r="AA1001" s="1737"/>
      <c r="AB1001" s="1737"/>
      <c r="AC1001" s="1737"/>
      <c r="AD1001" s="1737"/>
      <c r="AE1001" s="1738"/>
      <c r="AF1001" s="73"/>
      <c r="AG1001" s="14"/>
      <c r="AH1001" s="14"/>
      <c r="AI1001" s="83"/>
      <c r="AJ1001" s="1705"/>
      <c r="AK1001" s="1706"/>
      <c r="AL1001" s="1706"/>
      <c r="AM1001" s="1706"/>
      <c r="AN1001" s="1706"/>
      <c r="AO1001" s="1706"/>
      <c r="AP1001" s="1706"/>
      <c r="AQ1001" s="1707"/>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 customHeight="1">
      <c r="A1002" s="14"/>
      <c r="B1002" s="277"/>
      <c r="C1002" s="82"/>
      <c r="D1002" s="1736"/>
      <c r="E1002" s="1737"/>
      <c r="F1002" s="1737"/>
      <c r="G1002" s="1737"/>
      <c r="H1002" s="1737"/>
      <c r="I1002" s="1737"/>
      <c r="J1002" s="1737"/>
      <c r="K1002" s="1737"/>
      <c r="L1002" s="1737"/>
      <c r="M1002" s="1737"/>
      <c r="N1002" s="1737"/>
      <c r="O1002" s="1737"/>
      <c r="P1002" s="1737"/>
      <c r="Q1002" s="1737"/>
      <c r="R1002" s="1737"/>
      <c r="S1002" s="1737"/>
      <c r="T1002" s="1737"/>
      <c r="U1002" s="1737"/>
      <c r="V1002" s="1737"/>
      <c r="W1002" s="1737"/>
      <c r="X1002" s="1737"/>
      <c r="Y1002" s="1737"/>
      <c r="Z1002" s="1737"/>
      <c r="AA1002" s="1737"/>
      <c r="AB1002" s="1737"/>
      <c r="AC1002" s="1737"/>
      <c r="AD1002" s="1737"/>
      <c r="AE1002" s="1738"/>
      <c r="AF1002" s="73"/>
      <c r="AG1002" s="14"/>
      <c r="AH1002" s="14"/>
      <c r="AI1002" s="83"/>
      <c r="AJ1002" s="1705"/>
      <c r="AK1002" s="1706"/>
      <c r="AL1002" s="1706"/>
      <c r="AM1002" s="1706"/>
      <c r="AN1002" s="1706"/>
      <c r="AO1002" s="1706"/>
      <c r="AP1002" s="1706"/>
      <c r="AQ1002" s="1707"/>
      <c r="AR1002" s="68"/>
      <c r="AS1002" s="68"/>
      <c r="AT1002" s="68"/>
      <c r="AU1002" s="68"/>
      <c r="AV1002" s="68"/>
      <c r="AW1002" s="68"/>
      <c r="AX1002" s="68"/>
      <c r="AY1002" s="949">
        <f>G753+O797</f>
        <v>140</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 customHeight="1">
      <c r="A1003" s="14"/>
      <c r="B1003" s="277"/>
      <c r="C1003" s="82"/>
      <c r="D1003" s="1736"/>
      <c r="E1003" s="1737"/>
      <c r="F1003" s="1737"/>
      <c r="G1003" s="1737"/>
      <c r="H1003" s="1737"/>
      <c r="I1003" s="1737"/>
      <c r="J1003" s="1737"/>
      <c r="K1003" s="1737"/>
      <c r="L1003" s="1737"/>
      <c r="M1003" s="1737"/>
      <c r="N1003" s="1737"/>
      <c r="O1003" s="1737"/>
      <c r="P1003" s="1737"/>
      <c r="Q1003" s="1737"/>
      <c r="R1003" s="1737"/>
      <c r="S1003" s="1737"/>
      <c r="T1003" s="1737"/>
      <c r="U1003" s="1737"/>
      <c r="V1003" s="1737"/>
      <c r="W1003" s="1737"/>
      <c r="X1003" s="1737"/>
      <c r="Y1003" s="1737"/>
      <c r="Z1003" s="1737"/>
      <c r="AA1003" s="1737"/>
      <c r="AB1003" s="1737"/>
      <c r="AC1003" s="1737"/>
      <c r="AD1003" s="1737"/>
      <c r="AE1003" s="1738"/>
      <c r="AF1003" s="73"/>
      <c r="AG1003" s="14"/>
      <c r="AH1003" s="14"/>
      <c r="AI1003" s="83"/>
      <c r="AJ1003" s="1705"/>
      <c r="AK1003" s="1706"/>
      <c r="AL1003" s="1706"/>
      <c r="AM1003" s="1706"/>
      <c r="AN1003" s="1706"/>
      <c r="AO1003" s="1706"/>
      <c r="AP1003" s="1706"/>
      <c r="AQ1003" s="1707"/>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 customHeight="1">
      <c r="A1004" s="14"/>
      <c r="B1004" s="277"/>
      <c r="C1004" s="82"/>
      <c r="D1004" s="1736"/>
      <c r="E1004" s="1737"/>
      <c r="F1004" s="1737"/>
      <c r="G1004" s="1737"/>
      <c r="H1004" s="1737"/>
      <c r="I1004" s="1737"/>
      <c r="J1004" s="1737"/>
      <c r="K1004" s="1737"/>
      <c r="L1004" s="1737"/>
      <c r="M1004" s="1737"/>
      <c r="N1004" s="1737"/>
      <c r="O1004" s="1737"/>
      <c r="P1004" s="1737"/>
      <c r="Q1004" s="1737"/>
      <c r="R1004" s="1737"/>
      <c r="S1004" s="1737"/>
      <c r="T1004" s="1737"/>
      <c r="U1004" s="1737"/>
      <c r="V1004" s="1737"/>
      <c r="W1004" s="1737"/>
      <c r="X1004" s="1737"/>
      <c r="Y1004" s="1737"/>
      <c r="Z1004" s="1737"/>
      <c r="AA1004" s="1737"/>
      <c r="AB1004" s="1737"/>
      <c r="AC1004" s="1737"/>
      <c r="AD1004" s="1737"/>
      <c r="AE1004" s="1738"/>
      <c r="AF1004" s="73"/>
      <c r="AG1004" s="14"/>
      <c r="AH1004" s="14"/>
      <c r="AI1004" s="83"/>
      <c r="AJ1004" s="1705"/>
      <c r="AK1004" s="1706"/>
      <c r="AL1004" s="1706"/>
      <c r="AM1004" s="1706"/>
      <c r="AN1004" s="1706"/>
      <c r="AO1004" s="1706"/>
      <c r="AP1004" s="1706"/>
      <c r="AQ1004" s="1707"/>
      <c r="AR1004" s="68"/>
      <c r="AS1004" s="68"/>
      <c r="AT1004" s="68"/>
      <c r="AU1004" s="68"/>
      <c r="AV1004" s="68"/>
      <c r="AW1004" s="68"/>
      <c r="AX1004" s="68"/>
      <c r="AY1004" s="948">
        <f>ROUNDDOWN(X1047/I1047,2)</f>
        <v>0.48</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 customHeight="1">
      <c r="A1005" s="14"/>
      <c r="B1005" s="75"/>
      <c r="C1005" s="76"/>
      <c r="D1005" s="1672"/>
      <c r="E1005" s="1673"/>
      <c r="F1005" s="1673"/>
      <c r="G1005" s="1673"/>
      <c r="H1005" s="1673"/>
      <c r="I1005" s="1673"/>
      <c r="J1005" s="1673"/>
      <c r="K1005" s="1673"/>
      <c r="L1005" s="1673"/>
      <c r="M1005" s="1673"/>
      <c r="N1005" s="1673"/>
      <c r="O1005" s="1673"/>
      <c r="P1005" s="1673"/>
      <c r="Q1005" s="1673"/>
      <c r="R1005" s="1673"/>
      <c r="S1005" s="1673"/>
      <c r="T1005" s="1673"/>
      <c r="U1005" s="1673"/>
      <c r="V1005" s="1673"/>
      <c r="W1005" s="1673"/>
      <c r="X1005" s="1673"/>
      <c r="Y1005" s="1673"/>
      <c r="Z1005" s="1673"/>
      <c r="AA1005" s="1673"/>
      <c r="AB1005" s="1673"/>
      <c r="AC1005" s="1673"/>
      <c r="AD1005" s="1673"/>
      <c r="AE1005" s="1674"/>
      <c r="AF1005" s="77"/>
      <c r="AG1005" s="7"/>
      <c r="AH1005" s="7"/>
      <c r="AI1005" s="78"/>
      <c r="AJ1005" s="1708"/>
      <c r="AK1005" s="1709"/>
      <c r="AL1005" s="1709"/>
      <c r="AM1005" s="1709"/>
      <c r="AN1005" s="1709"/>
      <c r="AO1005" s="1709"/>
      <c r="AP1005" s="1709"/>
      <c r="AQ1005" s="1710"/>
      <c r="AR1005" s="68"/>
      <c r="AS1005" s="68"/>
      <c r="AT1005" s="68"/>
      <c r="AU1005" s="68"/>
      <c r="AV1005" s="68"/>
      <c r="AW1005" s="68"/>
      <c r="AX1005" s="68"/>
      <c r="AY1005" s="948">
        <f>ROUNDDOWN(X1051/I1051,2)</f>
        <v>0.51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 customHeight="1">
      <c r="A1006" s="14"/>
      <c r="B1006" s="275"/>
      <c r="C1006" s="80" t="s">
        <v>681</v>
      </c>
      <c r="D1006" s="1656" t="s">
        <v>1874</v>
      </c>
      <c r="E1006" s="1657"/>
      <c r="F1006" s="1657"/>
      <c r="G1006" s="1657"/>
      <c r="H1006" s="1657"/>
      <c r="I1006" s="1657"/>
      <c r="J1006" s="1657"/>
      <c r="K1006" s="1657"/>
      <c r="L1006" s="1657"/>
      <c r="M1006" s="1657"/>
      <c r="N1006" s="1657"/>
      <c r="O1006" s="1657"/>
      <c r="P1006" s="1657"/>
      <c r="Q1006" s="1657"/>
      <c r="R1006" s="1657"/>
      <c r="S1006" s="1657"/>
      <c r="T1006" s="1657"/>
      <c r="U1006" s="1657"/>
      <c r="V1006" s="1657"/>
      <c r="W1006" s="1657"/>
      <c r="X1006" s="1657"/>
      <c r="Y1006" s="1657"/>
      <c r="Z1006" s="1657"/>
      <c r="AA1006" s="1657"/>
      <c r="AB1006" s="1657"/>
      <c r="AC1006" s="1657"/>
      <c r="AD1006" s="1657"/>
      <c r="AE1006" s="1658"/>
      <c r="AF1006" s="86"/>
      <c r="AG1006" s="1711" t="s">
        <v>678</v>
      </c>
      <c r="AH1006" s="1712"/>
      <c r="AI1006" s="87"/>
      <c r="AJ1006" s="1702">
        <f>ROUND(IF(AG1006="yes",AJ991*0.1,0),0)</f>
        <v>0</v>
      </c>
      <c r="AK1006" s="1703"/>
      <c r="AL1006" s="1703"/>
      <c r="AM1006" s="1703"/>
      <c r="AN1006" s="1703"/>
      <c r="AO1006" s="1703"/>
      <c r="AP1006" s="1703"/>
      <c r="AQ1006" s="1704"/>
      <c r="AR1006" s="68"/>
      <c r="AS1006" s="68"/>
      <c r="AT1006" s="68"/>
      <c r="AU1006" s="68"/>
      <c r="AV1006" s="68"/>
      <c r="AW1006" s="68"/>
      <c r="AX1006" s="68"/>
      <c r="BB1006" s="34"/>
      <c r="BD1006" s="34"/>
      <c r="BE1006" s="34"/>
      <c r="BF1006" s="34"/>
    </row>
    <row r="1007" spans="1:157" ht="13" customHeight="1">
      <c r="A1007" s="14"/>
      <c r="B1007" s="73"/>
      <c r="C1007" s="74"/>
      <c r="D1007" s="1695" t="s">
        <v>1396</v>
      </c>
      <c r="E1007" s="1696"/>
      <c r="F1007" s="1696"/>
      <c r="G1007" s="1696"/>
      <c r="H1007" s="1696"/>
      <c r="I1007" s="1696"/>
      <c r="J1007" s="1696"/>
      <c r="K1007" s="1696"/>
      <c r="L1007" s="1696"/>
      <c r="M1007" s="1696"/>
      <c r="N1007" s="1696"/>
      <c r="O1007" s="1696"/>
      <c r="P1007" s="1696"/>
      <c r="Q1007" s="1696"/>
      <c r="R1007" s="1696"/>
      <c r="S1007" s="1696"/>
      <c r="T1007" s="1696"/>
      <c r="U1007" s="1696"/>
      <c r="V1007" s="1696"/>
      <c r="W1007" s="1696"/>
      <c r="X1007" s="1696"/>
      <c r="Y1007" s="1696"/>
      <c r="Z1007" s="1696"/>
      <c r="AA1007" s="1696"/>
      <c r="AB1007" s="1696"/>
      <c r="AC1007" s="1696"/>
      <c r="AD1007" s="1696"/>
      <c r="AE1007" s="1697"/>
      <c r="AF1007" s="73"/>
      <c r="AI1007" s="83"/>
      <c r="AJ1007" s="1705"/>
      <c r="AK1007" s="1706"/>
      <c r="AL1007" s="1706"/>
      <c r="AM1007" s="1706"/>
      <c r="AN1007" s="1706"/>
      <c r="AO1007" s="1706"/>
      <c r="AP1007" s="1706"/>
      <c r="AQ1007" s="1707"/>
      <c r="AR1007" s="68"/>
      <c r="AS1007" s="68"/>
      <c r="AT1007" s="68"/>
      <c r="AU1007" s="68"/>
      <c r="AV1007" s="68"/>
      <c r="AW1007" s="68"/>
      <c r="AX1007" s="68"/>
    </row>
    <row r="1008" spans="1:157" ht="13" customHeight="1">
      <c r="A1008" s="14"/>
      <c r="B1008" s="73"/>
      <c r="C1008" s="74"/>
      <c r="D1008" s="1695"/>
      <c r="E1008" s="1696"/>
      <c r="F1008" s="1696"/>
      <c r="G1008" s="1696"/>
      <c r="H1008" s="1696"/>
      <c r="I1008" s="1696"/>
      <c r="J1008" s="1696"/>
      <c r="K1008" s="1696"/>
      <c r="L1008" s="1696"/>
      <c r="M1008" s="1696"/>
      <c r="N1008" s="1696"/>
      <c r="O1008" s="1696"/>
      <c r="P1008" s="1696"/>
      <c r="Q1008" s="1696"/>
      <c r="R1008" s="1696"/>
      <c r="S1008" s="1696"/>
      <c r="T1008" s="1696"/>
      <c r="U1008" s="1696"/>
      <c r="V1008" s="1696"/>
      <c r="W1008" s="1696"/>
      <c r="X1008" s="1696"/>
      <c r="Y1008" s="1696"/>
      <c r="Z1008" s="1696"/>
      <c r="AA1008" s="1696"/>
      <c r="AB1008" s="1696"/>
      <c r="AC1008" s="1696"/>
      <c r="AD1008" s="1696"/>
      <c r="AE1008" s="1697"/>
      <c r="AF1008" s="73"/>
      <c r="AG1008" s="14"/>
      <c r="AH1008" s="14"/>
      <c r="AI1008" s="83"/>
      <c r="AJ1008" s="1705"/>
      <c r="AK1008" s="1706"/>
      <c r="AL1008" s="1706"/>
      <c r="AM1008" s="1706"/>
      <c r="AN1008" s="1706"/>
      <c r="AO1008" s="1706"/>
      <c r="AP1008" s="1706"/>
      <c r="AQ1008" s="1707"/>
      <c r="AR1008" s="68"/>
      <c r="AS1008" s="68"/>
      <c r="AT1008" s="68"/>
      <c r="AU1008" s="68"/>
      <c r="AV1008" s="68"/>
      <c r="AW1008" s="68"/>
      <c r="AX1008" s="68"/>
    </row>
    <row r="1009" spans="1:51" ht="13" customHeight="1">
      <c r="A1009" s="14"/>
      <c r="B1009" s="85"/>
      <c r="C1009" s="76"/>
      <c r="D1009" s="1803"/>
      <c r="E1009" s="1804"/>
      <c r="F1009" s="1804"/>
      <c r="G1009" s="1804"/>
      <c r="H1009" s="1804"/>
      <c r="I1009" s="1804"/>
      <c r="J1009" s="1804"/>
      <c r="K1009" s="1804"/>
      <c r="L1009" s="1804"/>
      <c r="M1009" s="1804"/>
      <c r="N1009" s="1804"/>
      <c r="O1009" s="1804"/>
      <c r="P1009" s="1804"/>
      <c r="Q1009" s="1804"/>
      <c r="R1009" s="1804"/>
      <c r="S1009" s="1804"/>
      <c r="T1009" s="1804"/>
      <c r="U1009" s="1804"/>
      <c r="V1009" s="1804"/>
      <c r="W1009" s="1804"/>
      <c r="X1009" s="1804"/>
      <c r="Y1009" s="1804"/>
      <c r="Z1009" s="1804"/>
      <c r="AA1009" s="1804"/>
      <c r="AB1009" s="1804"/>
      <c r="AC1009" s="1804"/>
      <c r="AD1009" s="1804"/>
      <c r="AE1009" s="1805"/>
      <c r="AF1009" s="77"/>
      <c r="AG1009" s="7"/>
      <c r="AH1009" s="7"/>
      <c r="AI1009" s="78"/>
      <c r="AJ1009" s="1708"/>
      <c r="AK1009" s="1709"/>
      <c r="AL1009" s="1709"/>
      <c r="AM1009" s="1709"/>
      <c r="AN1009" s="1709"/>
      <c r="AO1009" s="1709"/>
      <c r="AP1009" s="1709"/>
      <c r="AQ1009" s="1710"/>
      <c r="AR1009" s="68"/>
      <c r="AS1009" s="68"/>
      <c r="AT1009" s="68"/>
      <c r="AU1009" s="68"/>
      <c r="AV1009" s="68"/>
      <c r="AW1009" s="68"/>
      <c r="AX1009" s="68"/>
    </row>
    <row r="1010" spans="1:51" ht="13" customHeight="1">
      <c r="A1010" s="14"/>
      <c r="B1010" s="79"/>
      <c r="C1010" s="80" t="s">
        <v>213</v>
      </c>
      <c r="D1010" s="1656" t="s">
        <v>1398</v>
      </c>
      <c r="E1010" s="1657"/>
      <c r="F1010" s="1657"/>
      <c r="G1010" s="1657"/>
      <c r="H1010" s="1657"/>
      <c r="I1010" s="1657"/>
      <c r="J1010" s="1657"/>
      <c r="K1010" s="1657"/>
      <c r="L1010" s="1657"/>
      <c r="M1010" s="1657"/>
      <c r="N1010" s="1657"/>
      <c r="O1010" s="1657"/>
      <c r="P1010" s="1657"/>
      <c r="Q1010" s="1657"/>
      <c r="R1010" s="1657"/>
      <c r="S1010" s="1657"/>
      <c r="T1010" s="1657"/>
      <c r="U1010" s="1657"/>
      <c r="V1010" s="1657"/>
      <c r="W1010" s="1657"/>
      <c r="X1010" s="1657"/>
      <c r="Y1010" s="1657"/>
      <c r="Z1010" s="1657"/>
      <c r="AA1010" s="1657"/>
      <c r="AB1010" s="1657"/>
      <c r="AC1010" s="1657"/>
      <c r="AD1010" s="1657"/>
      <c r="AE1010" s="1658"/>
      <c r="AF1010" s="79"/>
      <c r="AG1010" s="1711" t="s">
        <v>678</v>
      </c>
      <c r="AH1010" s="1712"/>
      <c r="AI1010" s="87"/>
      <c r="AJ1010" s="1702">
        <f>ROUND(IF(AG1010="yes",AJ991*0.02,0),0)</f>
        <v>0</v>
      </c>
      <c r="AK1010" s="1703"/>
      <c r="AL1010" s="1703"/>
      <c r="AM1010" s="1703"/>
      <c r="AN1010" s="1703"/>
      <c r="AO1010" s="1703"/>
      <c r="AP1010" s="1703"/>
      <c r="AQ1010" s="1704"/>
      <c r="AR1010" s="68"/>
      <c r="AS1010" s="68"/>
      <c r="AT1010" s="68"/>
      <c r="AU1010" s="68"/>
      <c r="AV1010" s="68"/>
      <c r="AW1010" s="68"/>
      <c r="AX1010" s="68"/>
      <c r="AY1010" s="215">
        <f>IF(SUM(AY1012:AY1020)&lt;=0.1,SUM(AY1012:AY1020),0.1)</f>
        <v>0</v>
      </c>
    </row>
    <row r="1011" spans="1:51" ht="14.25" customHeight="1">
      <c r="A1011" s="14"/>
      <c r="B1011" s="73"/>
      <c r="C1011" s="74"/>
      <c r="D1011" s="1803" t="s">
        <v>1399</v>
      </c>
      <c r="E1011" s="1804"/>
      <c r="F1011" s="1804"/>
      <c r="G1011" s="1804"/>
      <c r="H1011" s="1804"/>
      <c r="I1011" s="1804"/>
      <c r="J1011" s="1804"/>
      <c r="K1011" s="1804"/>
      <c r="L1011" s="1804"/>
      <c r="M1011" s="1804"/>
      <c r="N1011" s="1804"/>
      <c r="O1011" s="1804"/>
      <c r="P1011" s="1804"/>
      <c r="Q1011" s="1804"/>
      <c r="R1011" s="1804"/>
      <c r="S1011" s="1804"/>
      <c r="T1011" s="1804"/>
      <c r="U1011" s="1804"/>
      <c r="V1011" s="1804"/>
      <c r="W1011" s="1804"/>
      <c r="X1011" s="1804"/>
      <c r="Y1011" s="1804"/>
      <c r="Z1011" s="1804"/>
      <c r="AA1011" s="1804"/>
      <c r="AB1011" s="1804"/>
      <c r="AC1011" s="1804"/>
      <c r="AD1011" s="1804"/>
      <c r="AE1011" s="1805"/>
      <c r="AF1011" s="77"/>
      <c r="AG1011" s="7"/>
      <c r="AH1011" s="7"/>
      <c r="AI1011" s="78"/>
      <c r="AJ1011" s="1708"/>
      <c r="AK1011" s="1709"/>
      <c r="AL1011" s="1709"/>
      <c r="AM1011" s="1709"/>
      <c r="AN1011" s="1709"/>
      <c r="AO1011" s="1709"/>
      <c r="AP1011" s="1709"/>
      <c r="AQ1011" s="1710"/>
      <c r="AR1011" s="68"/>
      <c r="AS1011" s="68"/>
      <c r="AT1011" s="68"/>
      <c r="AU1011" s="68"/>
      <c r="AV1011" s="68"/>
      <c r="AW1011" s="68"/>
      <c r="AX1011" s="68"/>
    </row>
    <row r="1012" spans="1:51" ht="13" customHeight="1">
      <c r="A1012" s="14"/>
      <c r="B1012" s="79"/>
      <c r="C1012" s="80" t="s">
        <v>216</v>
      </c>
      <c r="D1012" s="1656" t="s">
        <v>1400</v>
      </c>
      <c r="E1012" s="1657"/>
      <c r="F1012" s="1657"/>
      <c r="G1012" s="1657"/>
      <c r="H1012" s="1657"/>
      <c r="I1012" s="1657"/>
      <c r="J1012" s="1657"/>
      <c r="K1012" s="1657"/>
      <c r="L1012" s="1657"/>
      <c r="M1012" s="1657"/>
      <c r="N1012" s="1657"/>
      <c r="O1012" s="1657"/>
      <c r="P1012" s="1657"/>
      <c r="Q1012" s="1657"/>
      <c r="R1012" s="1657"/>
      <c r="S1012" s="1657"/>
      <c r="T1012" s="1657"/>
      <c r="U1012" s="1657"/>
      <c r="V1012" s="1657"/>
      <c r="W1012" s="1657"/>
      <c r="X1012" s="1657"/>
      <c r="Y1012" s="1657"/>
      <c r="Z1012" s="1657"/>
      <c r="AA1012" s="1657"/>
      <c r="AB1012" s="1657"/>
      <c r="AC1012" s="1657"/>
      <c r="AD1012" s="1657"/>
      <c r="AE1012" s="1658"/>
      <c r="AF1012" s="79"/>
      <c r="AG1012" s="1711" t="s">
        <v>678</v>
      </c>
      <c r="AH1012" s="1712"/>
      <c r="AI1012" s="79"/>
      <c r="AJ1012" s="1702">
        <f>ROUND(IF(AG1012="yes",AJ991*0.02,0),0)</f>
        <v>0</v>
      </c>
      <c r="AK1012" s="1703"/>
      <c r="AL1012" s="1703"/>
      <c r="AM1012" s="1703"/>
      <c r="AN1012" s="1703"/>
      <c r="AO1012" s="1703"/>
      <c r="AP1012" s="1703"/>
      <c r="AQ1012" s="1704"/>
      <c r="AR1012" s="68"/>
      <c r="AS1012" s="68"/>
      <c r="AT1012" s="68"/>
      <c r="AU1012" s="68"/>
      <c r="AV1012" s="68"/>
      <c r="AW1012" s="68"/>
      <c r="AX1012" s="68"/>
      <c r="AY1012" s="213">
        <f>IF(A1064="Yes",0.05,0)</f>
        <v>0</v>
      </c>
    </row>
    <row r="1013" spans="1:51" ht="13" customHeight="1">
      <c r="A1013" s="14"/>
      <c r="B1013" s="73"/>
      <c r="C1013" s="74"/>
      <c r="D1013" s="1695" t="s">
        <v>1401</v>
      </c>
      <c r="E1013" s="1696"/>
      <c r="F1013" s="1696"/>
      <c r="G1013" s="1696"/>
      <c r="H1013" s="1696"/>
      <c r="I1013" s="1696"/>
      <c r="J1013" s="1696"/>
      <c r="K1013" s="1696"/>
      <c r="L1013" s="1696"/>
      <c r="M1013" s="1696"/>
      <c r="N1013" s="1696"/>
      <c r="O1013" s="1696"/>
      <c r="P1013" s="1696"/>
      <c r="Q1013" s="1696"/>
      <c r="R1013" s="1696"/>
      <c r="S1013" s="1696"/>
      <c r="T1013" s="1696"/>
      <c r="U1013" s="1696"/>
      <c r="V1013" s="1696"/>
      <c r="W1013" s="1696"/>
      <c r="X1013" s="1696"/>
      <c r="Y1013" s="1696"/>
      <c r="Z1013" s="1696"/>
      <c r="AA1013" s="1696"/>
      <c r="AB1013" s="1696"/>
      <c r="AC1013" s="1696"/>
      <c r="AD1013" s="1696"/>
      <c r="AE1013" s="1697"/>
      <c r="AF1013" s="1850" t="str">
        <f>IF(AND(AG1012="yes",AB212&lt;&gt;1),"The project may not be eligible for this boost","")</f>
        <v/>
      </c>
      <c r="AG1013" s="1851"/>
      <c r="AH1013" s="1851"/>
      <c r="AI1013" s="1852"/>
      <c r="AJ1013" s="1705"/>
      <c r="AK1013" s="1706"/>
      <c r="AL1013" s="1706"/>
      <c r="AM1013" s="1706"/>
      <c r="AN1013" s="1706"/>
      <c r="AO1013" s="1706"/>
      <c r="AP1013" s="1706"/>
      <c r="AQ1013" s="1707"/>
      <c r="AR1013" s="68"/>
      <c r="AS1013" s="68"/>
      <c r="AT1013" s="68"/>
      <c r="AU1013" s="68"/>
      <c r="AV1013" s="68"/>
      <c r="AW1013" s="68"/>
      <c r="AX1013" s="68"/>
      <c r="AY1013" s="213">
        <f>IF(A1070="Yes",0.02,0)</f>
        <v>0</v>
      </c>
    </row>
    <row r="1014" spans="1:51" ht="13" customHeight="1">
      <c r="A1014" s="14"/>
      <c r="B1014" s="75"/>
      <c r="C1014" s="76"/>
      <c r="D1014" s="1803"/>
      <c r="E1014" s="1804"/>
      <c r="F1014" s="1804"/>
      <c r="G1014" s="1804"/>
      <c r="H1014" s="1804"/>
      <c r="I1014" s="1804"/>
      <c r="J1014" s="1804"/>
      <c r="K1014" s="1804"/>
      <c r="L1014" s="1804"/>
      <c r="M1014" s="1804"/>
      <c r="N1014" s="1804"/>
      <c r="O1014" s="1804"/>
      <c r="P1014" s="1804"/>
      <c r="Q1014" s="1804"/>
      <c r="R1014" s="1804"/>
      <c r="S1014" s="1804"/>
      <c r="T1014" s="1804"/>
      <c r="U1014" s="1804"/>
      <c r="V1014" s="1804"/>
      <c r="W1014" s="1804"/>
      <c r="X1014" s="1804"/>
      <c r="Y1014" s="1804"/>
      <c r="Z1014" s="1804"/>
      <c r="AA1014" s="1804"/>
      <c r="AB1014" s="1804"/>
      <c r="AC1014" s="1804"/>
      <c r="AD1014" s="1804"/>
      <c r="AE1014" s="1805"/>
      <c r="AF1014" s="1853"/>
      <c r="AG1014" s="1854"/>
      <c r="AH1014" s="1854"/>
      <c r="AI1014" s="1855"/>
      <c r="AJ1014" s="1708"/>
      <c r="AK1014" s="1709"/>
      <c r="AL1014" s="1709"/>
      <c r="AM1014" s="1709"/>
      <c r="AN1014" s="1709"/>
      <c r="AO1014" s="1709"/>
      <c r="AP1014" s="1709"/>
      <c r="AQ1014" s="1710"/>
      <c r="AR1014" s="68"/>
      <c r="AS1014" s="68"/>
      <c r="AT1014" s="68"/>
      <c r="AU1014" s="68"/>
      <c r="AV1014" s="68"/>
      <c r="AW1014" s="68"/>
      <c r="AX1014" s="68"/>
      <c r="AY1014" s="213">
        <f>IF(A1076="Yes",0.04,0)</f>
        <v>0</v>
      </c>
    </row>
    <row r="1015" spans="1:51" ht="13" customHeight="1">
      <c r="A1015" s="14"/>
      <c r="B1015" s="79"/>
      <c r="C1015" s="80" t="s">
        <v>219</v>
      </c>
      <c r="D1015" s="1653" t="s">
        <v>1402</v>
      </c>
      <c r="E1015" s="1654"/>
      <c r="F1015" s="1654"/>
      <c r="G1015" s="1654"/>
      <c r="H1015" s="1654"/>
      <c r="I1015" s="1654"/>
      <c r="J1015" s="1654"/>
      <c r="K1015" s="1654"/>
      <c r="L1015" s="1654"/>
      <c r="M1015" s="1654"/>
      <c r="N1015" s="1654"/>
      <c r="O1015" s="1654"/>
      <c r="P1015" s="1654"/>
      <c r="Q1015" s="1654"/>
      <c r="R1015" s="1654"/>
      <c r="S1015" s="1654"/>
      <c r="T1015" s="1654"/>
      <c r="U1015" s="1654"/>
      <c r="V1015" s="1654"/>
      <c r="W1015" s="1654"/>
      <c r="X1015" s="1654"/>
      <c r="Y1015" s="1654"/>
      <c r="Z1015" s="1654"/>
      <c r="AA1015" s="1654"/>
      <c r="AB1015" s="1654"/>
      <c r="AC1015" s="1654"/>
      <c r="AD1015" s="1654"/>
      <c r="AE1015" s="1655"/>
      <c r="AF1015" s="79"/>
      <c r="AG1015" s="1711" t="s">
        <v>678</v>
      </c>
      <c r="AH1015" s="1712"/>
      <c r="AI1015" s="87"/>
      <c r="AJ1015" s="1702">
        <f>IF(AG1015="yes",AJ991*AY1010,0)</f>
        <v>0</v>
      </c>
      <c r="AK1015" s="1703"/>
      <c r="AL1015" s="1703"/>
      <c r="AM1015" s="1703"/>
      <c r="AN1015" s="1703"/>
      <c r="AO1015" s="1703"/>
      <c r="AP1015" s="1703"/>
      <c r="AQ1015" s="1704"/>
      <c r="AR1015" s="68"/>
      <c r="AS1015" s="68"/>
      <c r="AT1015" s="68"/>
      <c r="AU1015" s="68"/>
      <c r="AV1015" s="68"/>
      <c r="AW1015" s="68"/>
      <c r="AX1015" s="68"/>
      <c r="AY1015" s="213">
        <f>IF(A1083="Yes",0.04,0)</f>
        <v>0</v>
      </c>
    </row>
    <row r="1016" spans="1:51" ht="13" customHeight="1">
      <c r="A1016" s="14"/>
      <c r="B1016" s="73"/>
      <c r="C1016" s="74"/>
      <c r="D1016" s="1695" t="s">
        <v>1403</v>
      </c>
      <c r="E1016" s="1696"/>
      <c r="F1016" s="1696"/>
      <c r="G1016" s="1696"/>
      <c r="H1016" s="1696"/>
      <c r="I1016" s="1696"/>
      <c r="J1016" s="1696"/>
      <c r="K1016" s="1696"/>
      <c r="L1016" s="1696"/>
      <c r="M1016" s="1696"/>
      <c r="N1016" s="1696"/>
      <c r="O1016" s="1696"/>
      <c r="P1016" s="1696"/>
      <c r="Q1016" s="1696"/>
      <c r="R1016" s="1696"/>
      <c r="S1016" s="1696"/>
      <c r="T1016" s="1696"/>
      <c r="U1016" s="1696"/>
      <c r="V1016" s="1696"/>
      <c r="W1016" s="1696"/>
      <c r="X1016" s="1696"/>
      <c r="Y1016" s="1696"/>
      <c r="Z1016" s="1696"/>
      <c r="AA1016" s="1696"/>
      <c r="AB1016" s="1696"/>
      <c r="AC1016" s="1696"/>
      <c r="AD1016" s="1696"/>
      <c r="AE1016" s="1697"/>
      <c r="AF1016" s="1844" t="str">
        <f>IF(AND(AG1015="Yes",AY1010=0),AY1022,"")</f>
        <v/>
      </c>
      <c r="AG1016" s="1845"/>
      <c r="AH1016" s="1845"/>
      <c r="AI1016" s="1846"/>
      <c r="AJ1016" s="1705"/>
      <c r="AK1016" s="1706"/>
      <c r="AL1016" s="1706"/>
      <c r="AM1016" s="1706"/>
      <c r="AN1016" s="1706"/>
      <c r="AO1016" s="1706"/>
      <c r="AP1016" s="1706"/>
      <c r="AQ1016" s="1707"/>
      <c r="AR1016" s="68"/>
      <c r="AS1016" s="68"/>
      <c r="AT1016" s="68"/>
      <c r="AU1016" s="68"/>
      <c r="AV1016" s="68"/>
      <c r="AW1016" s="68"/>
      <c r="AX1016" s="68"/>
      <c r="AY1016" s="213">
        <f>IF(A1086="Yes",0.01,0)</f>
        <v>0</v>
      </c>
    </row>
    <row r="1017" spans="1:51" ht="13" customHeight="1">
      <c r="A1017" s="14"/>
      <c r="B1017" s="73"/>
      <c r="C1017" s="74"/>
      <c r="D1017" s="1695"/>
      <c r="E1017" s="1696"/>
      <c r="F1017" s="1696"/>
      <c r="G1017" s="1696"/>
      <c r="H1017" s="1696"/>
      <c r="I1017" s="1696"/>
      <c r="J1017" s="1696"/>
      <c r="K1017" s="1696"/>
      <c r="L1017" s="1696"/>
      <c r="M1017" s="1696"/>
      <c r="N1017" s="1696"/>
      <c r="O1017" s="1696"/>
      <c r="P1017" s="1696"/>
      <c r="Q1017" s="1696"/>
      <c r="R1017" s="1696"/>
      <c r="S1017" s="1696"/>
      <c r="T1017" s="1696"/>
      <c r="U1017" s="1696"/>
      <c r="V1017" s="1696"/>
      <c r="W1017" s="1696"/>
      <c r="X1017" s="1696"/>
      <c r="Y1017" s="1696"/>
      <c r="Z1017" s="1696"/>
      <c r="AA1017" s="1696"/>
      <c r="AB1017" s="1696"/>
      <c r="AC1017" s="1696"/>
      <c r="AD1017" s="1696"/>
      <c r="AE1017" s="1697"/>
      <c r="AF1017" s="1844"/>
      <c r="AG1017" s="1845"/>
      <c r="AH1017" s="1845"/>
      <c r="AI1017" s="1846"/>
      <c r="AJ1017" s="1705"/>
      <c r="AK1017" s="1706"/>
      <c r="AL1017" s="1706"/>
      <c r="AM1017" s="1706"/>
      <c r="AN1017" s="1706"/>
      <c r="AO1017" s="1706"/>
      <c r="AP1017" s="1706"/>
      <c r="AQ1017" s="1707"/>
      <c r="AR1017" s="68"/>
      <c r="AS1017" s="68"/>
      <c r="AT1017" s="68"/>
      <c r="AU1017" s="68"/>
      <c r="AV1017" s="68"/>
      <c r="AW1017" s="68"/>
      <c r="AX1017" s="68"/>
      <c r="AY1017" s="213">
        <f>IF(A1091="Yes",0.01,0)</f>
        <v>0</v>
      </c>
    </row>
    <row r="1018" spans="1:51" ht="13" customHeight="1">
      <c r="A1018" s="14"/>
      <c r="B1018" s="81"/>
      <c r="C1018" s="82"/>
      <c r="D1018" s="1803"/>
      <c r="E1018" s="1804"/>
      <c r="F1018" s="1804"/>
      <c r="G1018" s="1804"/>
      <c r="H1018" s="1804"/>
      <c r="I1018" s="1804"/>
      <c r="J1018" s="1804"/>
      <c r="K1018" s="1804"/>
      <c r="L1018" s="1804"/>
      <c r="M1018" s="1804"/>
      <c r="N1018" s="1804"/>
      <c r="O1018" s="1804"/>
      <c r="P1018" s="1804"/>
      <c r="Q1018" s="1804"/>
      <c r="R1018" s="1804"/>
      <c r="S1018" s="1804"/>
      <c r="T1018" s="1804"/>
      <c r="U1018" s="1804"/>
      <c r="V1018" s="1804"/>
      <c r="W1018" s="1804"/>
      <c r="X1018" s="1804"/>
      <c r="Y1018" s="1804"/>
      <c r="Z1018" s="1804"/>
      <c r="AA1018" s="1804"/>
      <c r="AB1018" s="1804"/>
      <c r="AC1018" s="1804"/>
      <c r="AD1018" s="1804"/>
      <c r="AE1018" s="1805"/>
      <c r="AF1018" s="1847"/>
      <c r="AG1018" s="1848"/>
      <c r="AH1018" s="1848"/>
      <c r="AI1018" s="1849"/>
      <c r="AJ1018" s="1708"/>
      <c r="AK1018" s="1709"/>
      <c r="AL1018" s="1709"/>
      <c r="AM1018" s="1709"/>
      <c r="AN1018" s="1709"/>
      <c r="AO1018" s="1709"/>
      <c r="AP1018" s="1709"/>
      <c r="AQ1018" s="1710"/>
      <c r="AR1018" s="68"/>
      <c r="AS1018" s="68"/>
      <c r="AT1018" s="68"/>
      <c r="AU1018" s="68"/>
      <c r="AV1018" s="68"/>
      <c r="AW1018" s="68"/>
      <c r="AX1018" s="68"/>
      <c r="AY1018" s="213">
        <f>IF(A1094="Yes",0.01,0)</f>
        <v>0</v>
      </c>
    </row>
    <row r="1019" spans="1:51" ht="13" customHeight="1">
      <c r="A1019" s="14"/>
      <c r="B1019" s="79"/>
      <c r="C1019" s="80" t="s">
        <v>224</v>
      </c>
      <c r="D1019" s="1727" t="s">
        <v>1404</v>
      </c>
      <c r="E1019" s="1728"/>
      <c r="F1019" s="1728"/>
      <c r="G1019" s="1728"/>
      <c r="H1019" s="1728"/>
      <c r="I1019" s="1728"/>
      <c r="J1019" s="1728"/>
      <c r="K1019" s="1728"/>
      <c r="L1019" s="1728"/>
      <c r="M1019" s="1728"/>
      <c r="N1019" s="1728"/>
      <c r="O1019" s="1728"/>
      <c r="P1019" s="1728"/>
      <c r="Q1019" s="1728"/>
      <c r="R1019" s="1728"/>
      <c r="S1019" s="1728"/>
      <c r="T1019" s="1728"/>
      <c r="U1019" s="1728"/>
      <c r="V1019" s="1728"/>
      <c r="W1019" s="1728"/>
      <c r="X1019" s="1728"/>
      <c r="Y1019" s="1728"/>
      <c r="Z1019" s="1728"/>
      <c r="AA1019" s="1728"/>
      <c r="AB1019" s="1728"/>
      <c r="AC1019" s="1728"/>
      <c r="AD1019" s="1728"/>
      <c r="AE1019" s="1729"/>
      <c r="AF1019" s="79"/>
      <c r="AG1019" s="1711" t="s">
        <v>678</v>
      </c>
      <c r="AH1019" s="1712"/>
      <c r="AI1019" s="87"/>
      <c r="AJ1019" s="1702">
        <f>ROUND(IF(AND(AG1019="Yes",J1023&lt;&gt;"N/A",AF1022&lt;&gt;""),MIN(AF1022,(0.15*AJ991)),0),0)</f>
        <v>0</v>
      </c>
      <c r="AK1019" s="1703"/>
      <c r="AL1019" s="1703"/>
      <c r="AM1019" s="1703"/>
      <c r="AN1019" s="1703"/>
      <c r="AO1019" s="1703"/>
      <c r="AP1019" s="1703"/>
      <c r="AQ1019" s="1704"/>
      <c r="AR1019" s="68"/>
      <c r="AS1019" s="68"/>
      <c r="AT1019" s="68"/>
      <c r="AU1019" s="68"/>
      <c r="AV1019" s="68"/>
      <c r="AW1019" s="68"/>
      <c r="AX1019" s="68"/>
      <c r="AY1019" s="213">
        <f>IF(A1098="Yes",0.02,0)</f>
        <v>0</v>
      </c>
    </row>
    <row r="1020" spans="1:51" ht="13" customHeight="1">
      <c r="A1020" s="14"/>
      <c r="B1020" s="81"/>
      <c r="C1020" s="84"/>
      <c r="D1020" s="1730"/>
      <c r="E1020" s="1731"/>
      <c r="F1020" s="1731"/>
      <c r="G1020" s="1731"/>
      <c r="H1020" s="1731"/>
      <c r="I1020" s="1731"/>
      <c r="J1020" s="1731"/>
      <c r="K1020" s="1731"/>
      <c r="L1020" s="1731"/>
      <c r="M1020" s="1731"/>
      <c r="N1020" s="1731"/>
      <c r="O1020" s="1731"/>
      <c r="P1020" s="1731"/>
      <c r="Q1020" s="1731"/>
      <c r="R1020" s="1731"/>
      <c r="S1020" s="1731"/>
      <c r="T1020" s="1731"/>
      <c r="U1020" s="1731"/>
      <c r="V1020" s="1731"/>
      <c r="W1020" s="1731"/>
      <c r="X1020" s="1731"/>
      <c r="Y1020" s="1731"/>
      <c r="Z1020" s="1731"/>
      <c r="AA1020" s="1731"/>
      <c r="AB1020" s="1731"/>
      <c r="AC1020" s="1731"/>
      <c r="AD1020" s="1731"/>
      <c r="AE1020" s="1732"/>
      <c r="AF1020" s="1857" t="str">
        <f>IF(AG1019="yes","Please Select Type and Enter Amount:","")</f>
        <v/>
      </c>
      <c r="AG1020" s="1858"/>
      <c r="AH1020" s="1858"/>
      <c r="AI1020" s="1859"/>
      <c r="AJ1020" s="1705"/>
      <c r="AK1020" s="1706"/>
      <c r="AL1020" s="1706"/>
      <c r="AM1020" s="1706"/>
      <c r="AN1020" s="1706"/>
      <c r="AO1020" s="1706"/>
      <c r="AP1020" s="1706"/>
      <c r="AQ1020" s="1707"/>
      <c r="AR1020" s="68"/>
      <c r="AS1020" s="68"/>
      <c r="AT1020" s="68"/>
      <c r="AU1020" s="68"/>
      <c r="AV1020" s="68"/>
      <c r="AW1020" s="68"/>
      <c r="AX1020" s="68"/>
      <c r="AY1020" s="214">
        <f>IF(A1103="Yes",0.02,0)</f>
        <v>0</v>
      </c>
    </row>
    <row r="1021" spans="1:51" ht="13" customHeight="1">
      <c r="A1021" s="14"/>
      <c r="B1021" s="81"/>
      <c r="C1021" s="84"/>
      <c r="D1021" s="1695" t="s">
        <v>1405</v>
      </c>
      <c r="E1021" s="1696"/>
      <c r="F1021" s="1696"/>
      <c r="G1021" s="1696"/>
      <c r="H1021" s="1696"/>
      <c r="I1021" s="1696"/>
      <c r="J1021" s="1696"/>
      <c r="K1021" s="1696"/>
      <c r="L1021" s="1696"/>
      <c r="M1021" s="1696"/>
      <c r="N1021" s="1696"/>
      <c r="O1021" s="1696"/>
      <c r="P1021" s="1696"/>
      <c r="Q1021" s="1696"/>
      <c r="R1021" s="1696"/>
      <c r="S1021" s="1696"/>
      <c r="T1021" s="1696"/>
      <c r="U1021" s="1696"/>
      <c r="V1021" s="1696"/>
      <c r="W1021" s="1696"/>
      <c r="X1021" s="1696"/>
      <c r="Y1021" s="1696"/>
      <c r="Z1021" s="1696"/>
      <c r="AA1021" s="1696"/>
      <c r="AB1021" s="1696"/>
      <c r="AC1021" s="1696"/>
      <c r="AD1021" s="1696"/>
      <c r="AE1021" s="1697"/>
      <c r="AF1021" s="1857"/>
      <c r="AG1021" s="1858"/>
      <c r="AH1021" s="1858"/>
      <c r="AI1021" s="1859"/>
      <c r="AJ1021" s="1705"/>
      <c r="AK1021" s="1706"/>
      <c r="AL1021" s="1706"/>
      <c r="AM1021" s="1706"/>
      <c r="AN1021" s="1706"/>
      <c r="AO1021" s="1706"/>
      <c r="AP1021" s="1706"/>
      <c r="AQ1021" s="1707"/>
      <c r="AR1021" s="68"/>
      <c r="AS1021" s="68"/>
      <c r="AT1021" s="68"/>
      <c r="AU1021" s="68"/>
      <c r="AV1021" s="68"/>
      <c r="AW1021" s="68"/>
      <c r="AX1021" s="68"/>
      <c r="AY1021" s="68"/>
    </row>
    <row r="1022" spans="1:51" ht="13" customHeight="1">
      <c r="A1022" s="14"/>
      <c r="B1022" s="81"/>
      <c r="C1022" s="84"/>
      <c r="D1022" s="1695"/>
      <c r="E1022" s="1696"/>
      <c r="F1022" s="1696"/>
      <c r="G1022" s="1696"/>
      <c r="H1022" s="1696"/>
      <c r="I1022" s="1696"/>
      <c r="J1022" s="1696"/>
      <c r="K1022" s="1696"/>
      <c r="L1022" s="1696"/>
      <c r="M1022" s="1696"/>
      <c r="N1022" s="1696"/>
      <c r="O1022" s="1696"/>
      <c r="P1022" s="1696"/>
      <c r="Q1022" s="1696"/>
      <c r="R1022" s="1696"/>
      <c r="S1022" s="1696"/>
      <c r="T1022" s="1696"/>
      <c r="U1022" s="1696"/>
      <c r="V1022" s="1696"/>
      <c r="W1022" s="1696"/>
      <c r="X1022" s="1696"/>
      <c r="Y1022" s="1696"/>
      <c r="Z1022" s="1696"/>
      <c r="AA1022" s="1696"/>
      <c r="AB1022" s="1696"/>
      <c r="AC1022" s="1696"/>
      <c r="AD1022" s="1696"/>
      <c r="AE1022" s="1697"/>
      <c r="AF1022" s="1820"/>
      <c r="AG1022" s="1820"/>
      <c r="AH1022" s="1820"/>
      <c r="AI1022" s="1820"/>
      <c r="AJ1022" s="1705"/>
      <c r="AK1022" s="1706"/>
      <c r="AL1022" s="1706"/>
      <c r="AM1022" s="1706"/>
      <c r="AN1022" s="1706"/>
      <c r="AO1022" s="1706"/>
      <c r="AP1022" s="1706"/>
      <c r="AQ1022" s="1707"/>
      <c r="AR1022" s="68"/>
      <c r="AS1022" s="68"/>
      <c r="AT1022" s="68"/>
      <c r="AU1022" s="68"/>
      <c r="AV1022" s="68"/>
      <c r="AW1022" s="68"/>
      <c r="AX1022" s="68"/>
      <c r="AY1022" s="68" t="str">
        <f>"Select items beginning on row #"&amp;TEXT(ROW(A1060),"#")&amp;" to claim this boost"</f>
        <v>Select items beginning on row #1060 to claim this boost</v>
      </c>
    </row>
    <row r="1023" spans="1:51" ht="13" customHeight="1">
      <c r="A1023" s="14"/>
      <c r="B1023" s="81"/>
      <c r="C1023" s="84"/>
      <c r="D1023" s="560" t="s">
        <v>360</v>
      </c>
      <c r="E1023" s="90"/>
      <c r="F1023" s="90"/>
      <c r="G1023" s="104"/>
      <c r="H1023" s="104"/>
      <c r="I1023" s="49"/>
      <c r="J1023" s="1681" t="s">
        <v>600</v>
      </c>
      <c r="K1023" s="1682"/>
      <c r="L1023" s="1682"/>
      <c r="M1023" s="1682"/>
      <c r="N1023" s="1682"/>
      <c r="O1023" s="1682"/>
      <c r="P1023" s="1682"/>
      <c r="Q1023" s="1682"/>
      <c r="R1023" s="1682"/>
      <c r="S1023" s="1682"/>
      <c r="T1023" s="1682"/>
      <c r="U1023" s="1682"/>
      <c r="V1023" s="1682"/>
      <c r="W1023" s="1682"/>
      <c r="X1023" s="1682"/>
      <c r="Y1023" s="1682"/>
      <c r="Z1023" s="1682"/>
      <c r="AA1023" s="1682"/>
      <c r="AB1023" s="1682"/>
      <c r="AC1023" s="1682"/>
      <c r="AD1023" s="1682"/>
      <c r="AE1023" s="1683"/>
      <c r="AF1023" s="1820"/>
      <c r="AG1023" s="1820"/>
      <c r="AH1023" s="1820"/>
      <c r="AI1023" s="1820"/>
      <c r="AJ1023" s="1708"/>
      <c r="AK1023" s="1709"/>
      <c r="AL1023" s="1709"/>
      <c r="AM1023" s="1709"/>
      <c r="AN1023" s="1709"/>
      <c r="AO1023" s="1709"/>
      <c r="AP1023" s="1709"/>
      <c r="AQ1023" s="1710"/>
      <c r="AR1023" s="68"/>
      <c r="AS1023" s="68"/>
      <c r="AT1023" s="68"/>
      <c r="AU1023" s="68"/>
      <c r="AV1023" s="68"/>
      <c r="AW1023" s="68"/>
      <c r="AX1023" s="68"/>
      <c r="AY1023" s="68"/>
    </row>
    <row r="1024" spans="1:51" ht="13" customHeight="1">
      <c r="A1024" s="14"/>
      <c r="B1024" s="79"/>
      <c r="C1024" s="80" t="s">
        <v>230</v>
      </c>
      <c r="D1024" s="1656" t="s">
        <v>1406</v>
      </c>
      <c r="E1024" s="1657"/>
      <c r="F1024" s="1657"/>
      <c r="G1024" s="1657"/>
      <c r="H1024" s="1657"/>
      <c r="I1024" s="1657"/>
      <c r="J1024" s="1657"/>
      <c r="K1024" s="1657"/>
      <c r="L1024" s="1657"/>
      <c r="M1024" s="1657"/>
      <c r="N1024" s="1657"/>
      <c r="O1024" s="1657"/>
      <c r="P1024" s="1657"/>
      <c r="Q1024" s="1657"/>
      <c r="R1024" s="1657"/>
      <c r="S1024" s="1657"/>
      <c r="T1024" s="1657"/>
      <c r="U1024" s="1657"/>
      <c r="V1024" s="1657"/>
      <c r="W1024" s="1657"/>
      <c r="X1024" s="1657"/>
      <c r="Y1024" s="1657"/>
      <c r="Z1024" s="1657"/>
      <c r="AA1024" s="1657"/>
      <c r="AB1024" s="1657"/>
      <c r="AC1024" s="1657"/>
      <c r="AD1024" s="1657"/>
      <c r="AE1024" s="1658"/>
      <c r="AF1024" s="79"/>
      <c r="AG1024" s="1711" t="s">
        <v>678</v>
      </c>
      <c r="AH1024" s="1712"/>
      <c r="AI1024" s="87"/>
      <c r="AJ1024" s="1702">
        <f>ROUND(IF(AG1024="Yes",AF1026,0),0)</f>
        <v>0</v>
      </c>
      <c r="AK1024" s="1703"/>
      <c r="AL1024" s="1703"/>
      <c r="AM1024" s="1703"/>
      <c r="AN1024" s="1703"/>
      <c r="AO1024" s="1703"/>
      <c r="AP1024" s="1703"/>
      <c r="AQ1024" s="1704"/>
      <c r="AR1024" s="68"/>
      <c r="AS1024" s="68"/>
      <c r="AT1024" s="68"/>
      <c r="AU1024" s="68"/>
      <c r="AV1024" s="68"/>
      <c r="AW1024" s="68"/>
      <c r="AX1024" s="68"/>
      <c r="AY1024" s="68"/>
    </row>
    <row r="1025" spans="1:51" ht="13" customHeight="1">
      <c r="A1025" s="14"/>
      <c r="B1025" s="73"/>
      <c r="C1025" s="74"/>
      <c r="D1025" s="1695" t="s">
        <v>1881</v>
      </c>
      <c r="E1025" s="1696"/>
      <c r="F1025" s="1696"/>
      <c r="G1025" s="1696"/>
      <c r="H1025" s="1696"/>
      <c r="I1025" s="1696"/>
      <c r="J1025" s="1696"/>
      <c r="K1025" s="1696"/>
      <c r="L1025" s="1696"/>
      <c r="M1025" s="1696"/>
      <c r="N1025" s="1696"/>
      <c r="O1025" s="1696"/>
      <c r="P1025" s="1696"/>
      <c r="Q1025" s="1696"/>
      <c r="R1025" s="1696"/>
      <c r="S1025" s="1696"/>
      <c r="T1025" s="1696"/>
      <c r="U1025" s="1696"/>
      <c r="V1025" s="1696"/>
      <c r="W1025" s="1696"/>
      <c r="X1025" s="1696"/>
      <c r="Y1025" s="1696"/>
      <c r="Z1025" s="1696"/>
      <c r="AA1025" s="1696"/>
      <c r="AB1025" s="1696"/>
      <c r="AC1025" s="1696"/>
      <c r="AD1025" s="1696"/>
      <c r="AE1025" s="1697"/>
      <c r="AF1025" s="1733" t="str">
        <f>IF(AG1024="yes","Enter Amount:","")</f>
        <v/>
      </c>
      <c r="AG1025" s="1734"/>
      <c r="AH1025" s="1734"/>
      <c r="AI1025" s="1735"/>
      <c r="AJ1025" s="1705"/>
      <c r="AK1025" s="1706"/>
      <c r="AL1025" s="1706"/>
      <c r="AM1025" s="1706"/>
      <c r="AN1025" s="1706"/>
      <c r="AO1025" s="1706"/>
      <c r="AP1025" s="1706"/>
      <c r="AQ1025" s="1707"/>
      <c r="AR1025" s="68"/>
      <c r="AS1025" s="68"/>
      <c r="AT1025" s="68"/>
      <c r="AU1025" s="68"/>
      <c r="AV1025" s="68"/>
      <c r="AW1025" s="68"/>
      <c r="AX1025" s="68"/>
      <c r="AY1025" s="68"/>
    </row>
    <row r="1026" spans="1:51" ht="13" customHeight="1">
      <c r="A1026" s="14"/>
      <c r="B1026" s="73"/>
      <c r="C1026" s="74"/>
      <c r="D1026" s="1695"/>
      <c r="E1026" s="1696"/>
      <c r="F1026" s="1696"/>
      <c r="G1026" s="1696"/>
      <c r="H1026" s="1696"/>
      <c r="I1026" s="1696"/>
      <c r="J1026" s="1696"/>
      <c r="K1026" s="1696"/>
      <c r="L1026" s="1696"/>
      <c r="M1026" s="1696"/>
      <c r="N1026" s="1696"/>
      <c r="O1026" s="1696"/>
      <c r="P1026" s="1696"/>
      <c r="Q1026" s="1696"/>
      <c r="R1026" s="1696"/>
      <c r="S1026" s="1696"/>
      <c r="T1026" s="1696"/>
      <c r="U1026" s="1696"/>
      <c r="V1026" s="1696"/>
      <c r="W1026" s="1696"/>
      <c r="X1026" s="1696"/>
      <c r="Y1026" s="1696"/>
      <c r="Z1026" s="1696"/>
      <c r="AA1026" s="1696"/>
      <c r="AB1026" s="1696"/>
      <c r="AC1026" s="1696"/>
      <c r="AD1026" s="1696"/>
      <c r="AE1026" s="1697"/>
      <c r="AF1026" s="1820"/>
      <c r="AG1026" s="1820"/>
      <c r="AH1026" s="1820"/>
      <c r="AI1026" s="1820"/>
      <c r="AJ1026" s="1705"/>
      <c r="AK1026" s="1706"/>
      <c r="AL1026" s="1706"/>
      <c r="AM1026" s="1706"/>
      <c r="AN1026" s="1706"/>
      <c r="AO1026" s="1706"/>
      <c r="AP1026" s="1706"/>
      <c r="AQ1026" s="1707"/>
      <c r="AR1026" s="68"/>
      <c r="AS1026" s="68"/>
      <c r="AT1026" s="68"/>
      <c r="AU1026" s="68"/>
      <c r="AV1026" s="68"/>
      <c r="AW1026" s="68"/>
      <c r="AX1026" s="68"/>
      <c r="AY1026" s="68"/>
    </row>
    <row r="1027" spans="1:51" ht="13" customHeight="1">
      <c r="A1027" s="14"/>
      <c r="B1027" s="85"/>
      <c r="C1027" s="84"/>
      <c r="D1027" s="1803"/>
      <c r="E1027" s="1804"/>
      <c r="F1027" s="1804"/>
      <c r="G1027" s="1804"/>
      <c r="H1027" s="1804"/>
      <c r="I1027" s="1804"/>
      <c r="J1027" s="1804"/>
      <c r="K1027" s="1804"/>
      <c r="L1027" s="1804"/>
      <c r="M1027" s="1804"/>
      <c r="N1027" s="1804"/>
      <c r="O1027" s="1804"/>
      <c r="P1027" s="1804"/>
      <c r="Q1027" s="1804"/>
      <c r="R1027" s="1804"/>
      <c r="S1027" s="1804"/>
      <c r="T1027" s="1804"/>
      <c r="U1027" s="1804"/>
      <c r="V1027" s="1804"/>
      <c r="W1027" s="1804"/>
      <c r="X1027" s="1804"/>
      <c r="Y1027" s="1804"/>
      <c r="Z1027" s="1804"/>
      <c r="AA1027" s="1804"/>
      <c r="AB1027" s="1804"/>
      <c r="AC1027" s="1804"/>
      <c r="AD1027" s="1804"/>
      <c r="AE1027" s="1805"/>
      <c r="AF1027" s="1820"/>
      <c r="AG1027" s="1820"/>
      <c r="AH1027" s="1820"/>
      <c r="AI1027" s="1820"/>
      <c r="AJ1027" s="1708"/>
      <c r="AK1027" s="1709"/>
      <c r="AL1027" s="1709"/>
      <c r="AM1027" s="1709"/>
      <c r="AN1027" s="1709"/>
      <c r="AO1027" s="1709"/>
      <c r="AP1027" s="1709"/>
      <c r="AQ1027" s="1710"/>
      <c r="AR1027" s="68"/>
      <c r="AS1027" s="68"/>
      <c r="AT1027" s="68"/>
      <c r="AU1027" s="68"/>
      <c r="AV1027" s="68"/>
      <c r="AW1027" s="68"/>
      <c r="AX1027" s="68"/>
      <c r="AY1027" s="68"/>
    </row>
    <row r="1028" spans="1:51" ht="13" customHeight="1">
      <c r="A1028" s="14"/>
      <c r="B1028" s="79"/>
      <c r="C1028" s="80" t="s">
        <v>235</v>
      </c>
      <c r="D1028" s="1653" t="s">
        <v>1407</v>
      </c>
      <c r="E1028" s="1654"/>
      <c r="F1028" s="1654"/>
      <c r="G1028" s="1654"/>
      <c r="H1028" s="1654"/>
      <c r="I1028" s="1654"/>
      <c r="J1028" s="1654"/>
      <c r="K1028" s="1654"/>
      <c r="L1028" s="1654"/>
      <c r="M1028" s="1654"/>
      <c r="N1028" s="1654"/>
      <c r="O1028" s="1654"/>
      <c r="P1028" s="1654"/>
      <c r="Q1028" s="1654"/>
      <c r="R1028" s="1654"/>
      <c r="S1028" s="1654"/>
      <c r="T1028" s="1654"/>
      <c r="U1028" s="1654"/>
      <c r="V1028" s="1654"/>
      <c r="W1028" s="1654"/>
      <c r="X1028" s="1654"/>
      <c r="Y1028" s="1654"/>
      <c r="Z1028" s="1654"/>
      <c r="AA1028" s="1654"/>
      <c r="AB1028" s="1654"/>
      <c r="AC1028" s="1654"/>
      <c r="AD1028" s="1654"/>
      <c r="AE1028" s="1655"/>
      <c r="AF1028" s="79"/>
      <c r="AG1028" s="1711" t="s">
        <v>678</v>
      </c>
      <c r="AH1028" s="1712"/>
      <c r="AI1028" s="87"/>
      <c r="AJ1028" s="1702">
        <f>ROUND(IF(AG1028="yes",(AJ991*0.1),0),0)</f>
        <v>0</v>
      </c>
      <c r="AK1028" s="1703"/>
      <c r="AL1028" s="1703"/>
      <c r="AM1028" s="1703"/>
      <c r="AN1028" s="1703"/>
      <c r="AO1028" s="1703"/>
      <c r="AP1028" s="1703"/>
      <c r="AQ1028" s="1704"/>
      <c r="AR1028" s="68"/>
      <c r="AS1028" s="68"/>
      <c r="AT1028" s="68"/>
      <c r="AU1028" s="68"/>
      <c r="AV1028" s="68"/>
      <c r="AW1028" s="68"/>
      <c r="AX1028" s="68"/>
      <c r="AY1028" s="68"/>
    </row>
    <row r="1029" spans="1:51" ht="13" customHeight="1">
      <c r="A1029" s="14"/>
      <c r="B1029" s="73"/>
      <c r="C1029" s="74"/>
      <c r="D1029" s="1695" t="s">
        <v>1408</v>
      </c>
      <c r="E1029" s="1696"/>
      <c r="F1029" s="1696"/>
      <c r="G1029" s="1696"/>
      <c r="H1029" s="1696"/>
      <c r="I1029" s="1696"/>
      <c r="J1029" s="1696"/>
      <c r="K1029" s="1696"/>
      <c r="L1029" s="1696"/>
      <c r="M1029" s="1696"/>
      <c r="N1029" s="1696"/>
      <c r="O1029" s="1696"/>
      <c r="P1029" s="1696"/>
      <c r="Q1029" s="1696"/>
      <c r="R1029" s="1696"/>
      <c r="S1029" s="1696"/>
      <c r="T1029" s="1696"/>
      <c r="U1029" s="1696"/>
      <c r="V1029" s="1696"/>
      <c r="W1029" s="1696"/>
      <c r="X1029" s="1696"/>
      <c r="Y1029" s="1696"/>
      <c r="Z1029" s="1696"/>
      <c r="AA1029" s="1696"/>
      <c r="AB1029" s="1696"/>
      <c r="AC1029" s="1696"/>
      <c r="AD1029" s="1696"/>
      <c r="AE1029" s="1697"/>
      <c r="AF1029" s="73"/>
      <c r="AG1029" s="14"/>
      <c r="AH1029" s="14"/>
      <c r="AI1029" s="83"/>
      <c r="AJ1029" s="1705"/>
      <c r="AK1029" s="1706"/>
      <c r="AL1029" s="1706"/>
      <c r="AM1029" s="1706"/>
      <c r="AN1029" s="1706"/>
      <c r="AO1029" s="1706"/>
      <c r="AP1029" s="1706"/>
      <c r="AQ1029" s="1707"/>
      <c r="AR1029" s="68"/>
      <c r="AS1029" s="68"/>
      <c r="AT1029" s="68"/>
      <c r="AU1029" s="68"/>
      <c r="AV1029" s="68"/>
      <c r="AW1029" s="68"/>
      <c r="AX1029" s="68"/>
      <c r="AY1029" s="68"/>
    </row>
    <row r="1030" spans="1:51" ht="13" customHeight="1">
      <c r="A1030" s="14"/>
      <c r="B1030" s="77"/>
      <c r="C1030" s="74"/>
      <c r="D1030" s="1803"/>
      <c r="E1030" s="1804"/>
      <c r="F1030" s="1804"/>
      <c r="G1030" s="1804"/>
      <c r="H1030" s="1804"/>
      <c r="I1030" s="1804"/>
      <c r="J1030" s="1804"/>
      <c r="K1030" s="1804"/>
      <c r="L1030" s="1804"/>
      <c r="M1030" s="1804"/>
      <c r="N1030" s="1804"/>
      <c r="O1030" s="1804"/>
      <c r="P1030" s="1804"/>
      <c r="Q1030" s="1804"/>
      <c r="R1030" s="1804"/>
      <c r="S1030" s="1804"/>
      <c r="T1030" s="1804"/>
      <c r="U1030" s="1804"/>
      <c r="V1030" s="1804"/>
      <c r="W1030" s="1804"/>
      <c r="X1030" s="1804"/>
      <c r="Y1030" s="1804"/>
      <c r="Z1030" s="1804"/>
      <c r="AA1030" s="1804"/>
      <c r="AB1030" s="1804"/>
      <c r="AC1030" s="1804"/>
      <c r="AD1030" s="1804"/>
      <c r="AE1030" s="1805"/>
      <c r="AF1030" s="73"/>
      <c r="AG1030" s="14"/>
      <c r="AH1030" s="14"/>
      <c r="AI1030" s="83"/>
      <c r="AJ1030" s="1708"/>
      <c r="AK1030" s="1709"/>
      <c r="AL1030" s="1709"/>
      <c r="AM1030" s="1709"/>
      <c r="AN1030" s="1709"/>
      <c r="AO1030" s="1709"/>
      <c r="AP1030" s="1709"/>
      <c r="AQ1030" s="1710"/>
      <c r="AR1030" s="68"/>
      <c r="AS1030" s="68"/>
      <c r="AT1030" s="68"/>
      <c r="AU1030" s="68"/>
      <c r="AV1030" s="68"/>
      <c r="AW1030" s="68"/>
      <c r="AX1030" s="68"/>
      <c r="AY1030" s="68"/>
    </row>
    <row r="1031" spans="1:51" ht="13" customHeight="1">
      <c r="A1031" s="14"/>
      <c r="B1031" s="73"/>
      <c r="C1031" s="367" t="s">
        <v>697</v>
      </c>
      <c r="D1031" s="1656" t="s">
        <v>1877</v>
      </c>
      <c r="E1031" s="1657"/>
      <c r="F1031" s="1657"/>
      <c r="G1031" s="1657"/>
      <c r="H1031" s="1657"/>
      <c r="I1031" s="1657"/>
      <c r="J1031" s="1657"/>
      <c r="K1031" s="1657"/>
      <c r="L1031" s="1657"/>
      <c r="M1031" s="1657"/>
      <c r="N1031" s="1657"/>
      <c r="O1031" s="1657"/>
      <c r="P1031" s="1657"/>
      <c r="Q1031" s="1657"/>
      <c r="R1031" s="1657"/>
      <c r="S1031" s="1657"/>
      <c r="T1031" s="1657"/>
      <c r="U1031" s="1657"/>
      <c r="V1031" s="1657"/>
      <c r="W1031" s="1657"/>
      <c r="X1031" s="1657"/>
      <c r="Y1031" s="1657"/>
      <c r="Z1031" s="1657"/>
      <c r="AA1031" s="1657"/>
      <c r="AB1031" s="1657"/>
      <c r="AC1031" s="1657"/>
      <c r="AD1031" s="1657"/>
      <c r="AE1031" s="1658"/>
      <c r="AF1031" s="79"/>
      <c r="AG1031" s="1711" t="s">
        <v>554</v>
      </c>
      <c r="AH1031" s="1712"/>
      <c r="AI1031" s="87"/>
      <c r="AJ1031" s="1702">
        <f>ROUND(IF(AG1031="yes",(AJ991*0.15),0),0)</f>
        <v>10023062</v>
      </c>
      <c r="AK1031" s="1703"/>
      <c r="AL1031" s="1703"/>
      <c r="AM1031" s="1703"/>
      <c r="AN1031" s="1703"/>
      <c r="AO1031" s="1703"/>
      <c r="AP1031" s="1703"/>
      <c r="AQ1031" s="1704"/>
      <c r="AR1031" s="68"/>
      <c r="AS1031" s="68"/>
      <c r="AT1031" s="68"/>
      <c r="AU1031" s="68"/>
      <c r="AV1031" s="68"/>
      <c r="AW1031" s="68"/>
      <c r="AX1031" s="68"/>
      <c r="AY1031" s="68"/>
    </row>
    <row r="1032" spans="1:51" ht="13" customHeight="1">
      <c r="A1032" s="14"/>
      <c r="B1032" s="73"/>
      <c r="C1032" s="74"/>
      <c r="D1032" s="1753" t="s">
        <v>1878</v>
      </c>
      <c r="E1032" s="1273"/>
      <c r="F1032" s="1273"/>
      <c r="G1032" s="1273"/>
      <c r="H1032" s="1273"/>
      <c r="I1032" s="1273"/>
      <c r="J1032" s="1273"/>
      <c r="K1032" s="1273"/>
      <c r="L1032" s="1273"/>
      <c r="M1032" s="1273"/>
      <c r="N1032" s="1273"/>
      <c r="O1032" s="1273"/>
      <c r="P1032" s="1273"/>
      <c r="Q1032" s="1273"/>
      <c r="R1032" s="1273"/>
      <c r="S1032" s="1273"/>
      <c r="T1032" s="1273"/>
      <c r="U1032" s="1273"/>
      <c r="V1032" s="1273"/>
      <c r="W1032" s="1273"/>
      <c r="X1032" s="1273"/>
      <c r="Y1032" s="1273"/>
      <c r="Z1032" s="1273"/>
      <c r="AA1032" s="1273"/>
      <c r="AB1032" s="1273"/>
      <c r="AC1032" s="1273"/>
      <c r="AD1032" s="1273"/>
      <c r="AE1032" s="1754"/>
      <c r="AF1032" s="950"/>
      <c r="AG1032" s="951"/>
      <c r="AH1032" s="951"/>
      <c r="AI1032" s="952"/>
      <c r="AJ1032" s="1705"/>
      <c r="AK1032" s="1706"/>
      <c r="AL1032" s="1706"/>
      <c r="AM1032" s="1706"/>
      <c r="AN1032" s="1706"/>
      <c r="AO1032" s="1706"/>
      <c r="AP1032" s="1706"/>
      <c r="AQ1032" s="1707"/>
      <c r="AR1032" s="68"/>
      <c r="AS1032" s="68"/>
      <c r="AT1032" s="68"/>
      <c r="AU1032" s="68"/>
      <c r="AV1032" s="68"/>
      <c r="AW1032" s="68"/>
      <c r="AX1032" s="68"/>
      <c r="AY1032" s="68"/>
    </row>
    <row r="1033" spans="1:51" ht="13" customHeight="1">
      <c r="A1033" s="14"/>
      <c r="B1033" s="73"/>
      <c r="C1033" s="74"/>
      <c r="D1033" s="1753"/>
      <c r="E1033" s="1273"/>
      <c r="F1033" s="1273"/>
      <c r="G1033" s="1273"/>
      <c r="H1033" s="1273"/>
      <c r="I1033" s="1273"/>
      <c r="J1033" s="1273"/>
      <c r="K1033" s="1273"/>
      <c r="L1033" s="1273"/>
      <c r="M1033" s="1273"/>
      <c r="N1033" s="1273"/>
      <c r="O1033" s="1273"/>
      <c r="P1033" s="1273"/>
      <c r="Q1033" s="1273"/>
      <c r="R1033" s="1273"/>
      <c r="S1033" s="1273"/>
      <c r="T1033" s="1273"/>
      <c r="U1033" s="1273"/>
      <c r="V1033" s="1273"/>
      <c r="W1033" s="1273"/>
      <c r="X1033" s="1273"/>
      <c r="Y1033" s="1273"/>
      <c r="Z1033" s="1273"/>
      <c r="AA1033" s="1273"/>
      <c r="AB1033" s="1273"/>
      <c r="AC1033" s="1273"/>
      <c r="AD1033" s="1273"/>
      <c r="AE1033" s="1754"/>
      <c r="AF1033" s="950"/>
      <c r="AG1033" s="951"/>
      <c r="AH1033" s="951"/>
      <c r="AI1033" s="952"/>
      <c r="AJ1033" s="1705"/>
      <c r="AK1033" s="1706"/>
      <c r="AL1033" s="1706"/>
      <c r="AM1033" s="1706"/>
      <c r="AN1033" s="1706"/>
      <c r="AO1033" s="1706"/>
      <c r="AP1033" s="1706"/>
      <c r="AQ1033" s="1707"/>
      <c r="AR1033" s="68"/>
      <c r="AS1033" s="68"/>
      <c r="AT1033" s="68"/>
      <c r="AU1033" s="68"/>
      <c r="AV1033" s="68"/>
      <c r="AW1033" s="68"/>
      <c r="AX1033" s="68"/>
      <c r="AY1033" s="68"/>
    </row>
    <row r="1034" spans="1:51" ht="13" customHeight="1">
      <c r="A1034" s="14"/>
      <c r="B1034" s="73"/>
      <c r="C1034" s="74"/>
      <c r="D1034" s="1755"/>
      <c r="E1034" s="1756"/>
      <c r="F1034" s="1756"/>
      <c r="G1034" s="1756"/>
      <c r="H1034" s="1756"/>
      <c r="I1034" s="1756"/>
      <c r="J1034" s="1756"/>
      <c r="K1034" s="1756"/>
      <c r="L1034" s="1756"/>
      <c r="M1034" s="1756"/>
      <c r="N1034" s="1756"/>
      <c r="O1034" s="1756"/>
      <c r="P1034" s="1756"/>
      <c r="Q1034" s="1756"/>
      <c r="R1034" s="1756"/>
      <c r="S1034" s="1756"/>
      <c r="T1034" s="1756"/>
      <c r="U1034" s="1756"/>
      <c r="V1034" s="1756"/>
      <c r="W1034" s="1756"/>
      <c r="X1034" s="1756"/>
      <c r="Y1034" s="1756"/>
      <c r="Z1034" s="1756"/>
      <c r="AA1034" s="1756"/>
      <c r="AB1034" s="1756"/>
      <c r="AC1034" s="1756"/>
      <c r="AD1034" s="1756"/>
      <c r="AE1034" s="1757"/>
      <c r="AF1034" s="953"/>
      <c r="AG1034" s="954"/>
      <c r="AH1034" s="954"/>
      <c r="AI1034" s="955"/>
      <c r="AJ1034" s="1708"/>
      <c r="AK1034" s="1709"/>
      <c r="AL1034" s="1709"/>
      <c r="AM1034" s="1709"/>
      <c r="AN1034" s="1709"/>
      <c r="AO1034" s="1709"/>
      <c r="AP1034" s="1709"/>
      <c r="AQ1034" s="1710"/>
      <c r="AR1034" s="68"/>
      <c r="AS1034" s="68"/>
      <c r="AT1034" s="68"/>
      <c r="AU1034" s="68"/>
      <c r="AV1034" s="68"/>
      <c r="AW1034" s="68"/>
      <c r="AX1034" s="68"/>
      <c r="AY1034" s="68"/>
    </row>
    <row r="1035" spans="1:51" ht="13" customHeight="1">
      <c r="A1035" s="14"/>
      <c r="B1035" s="73"/>
      <c r="C1035" s="367" t="s">
        <v>697</v>
      </c>
      <c r="D1035" s="1653" t="s">
        <v>1879</v>
      </c>
      <c r="E1035" s="1654"/>
      <c r="F1035" s="1654"/>
      <c r="G1035" s="1654"/>
      <c r="H1035" s="1654"/>
      <c r="I1035" s="1654"/>
      <c r="J1035" s="1654"/>
      <c r="K1035" s="1654"/>
      <c r="L1035" s="1654"/>
      <c r="M1035" s="1654"/>
      <c r="N1035" s="1654"/>
      <c r="O1035" s="1654"/>
      <c r="P1035" s="1654"/>
      <c r="Q1035" s="1654"/>
      <c r="R1035" s="1654"/>
      <c r="S1035" s="1654"/>
      <c r="T1035" s="1654"/>
      <c r="U1035" s="1654"/>
      <c r="V1035" s="1654"/>
      <c r="W1035" s="1654"/>
      <c r="X1035" s="1654"/>
      <c r="Y1035" s="1654"/>
      <c r="Z1035" s="1654"/>
      <c r="AA1035" s="1654"/>
      <c r="AB1035" s="1654"/>
      <c r="AC1035" s="1654"/>
      <c r="AD1035" s="1654"/>
      <c r="AE1035" s="1655"/>
      <c r="AF1035" s="73"/>
      <c r="AG1035" s="1809" t="s">
        <v>678</v>
      </c>
      <c r="AH1035" s="1810"/>
      <c r="AI1035" s="83"/>
      <c r="AJ1035" s="1702">
        <f>ROUND(IF(AND(AG1035="yes",AJ1031=0),(AJ991*0.1),0),0)</f>
        <v>0</v>
      </c>
      <c r="AK1035" s="1703"/>
      <c r="AL1035" s="1703"/>
      <c r="AM1035" s="1703"/>
      <c r="AN1035" s="1703"/>
      <c r="AO1035" s="1703"/>
      <c r="AP1035" s="1703"/>
      <c r="AQ1035" s="1704"/>
      <c r="AR1035" s="68"/>
      <c r="AS1035" s="68"/>
      <c r="AT1035" s="68"/>
      <c r="AU1035" s="68"/>
      <c r="AV1035" s="68"/>
      <c r="AW1035" s="68"/>
      <c r="AX1035" s="68"/>
      <c r="AY1035" s="68"/>
    </row>
    <row r="1036" spans="1:51" ht="13" customHeight="1">
      <c r="A1036" s="14"/>
      <c r="B1036" s="73"/>
      <c r="C1036" s="74"/>
      <c r="D1036" s="1753" t="s">
        <v>1880</v>
      </c>
      <c r="E1036" s="1273"/>
      <c r="F1036" s="1273"/>
      <c r="G1036" s="1273"/>
      <c r="H1036" s="1273"/>
      <c r="I1036" s="1273"/>
      <c r="J1036" s="1273"/>
      <c r="K1036" s="1273"/>
      <c r="L1036" s="1273"/>
      <c r="M1036" s="1273"/>
      <c r="N1036" s="1273"/>
      <c r="O1036" s="1273"/>
      <c r="P1036" s="1273"/>
      <c r="Q1036" s="1273"/>
      <c r="R1036" s="1273"/>
      <c r="S1036" s="1273"/>
      <c r="T1036" s="1273"/>
      <c r="U1036" s="1273"/>
      <c r="V1036" s="1273"/>
      <c r="W1036" s="1273"/>
      <c r="X1036" s="1273"/>
      <c r="Y1036" s="1273"/>
      <c r="Z1036" s="1273"/>
      <c r="AA1036" s="1273"/>
      <c r="AB1036" s="1273"/>
      <c r="AC1036" s="1273"/>
      <c r="AD1036" s="1273"/>
      <c r="AE1036" s="1754"/>
      <c r="AF1036" s="73"/>
      <c r="AG1036" s="14"/>
      <c r="AH1036" s="14"/>
      <c r="AI1036" s="83"/>
      <c r="AJ1036" s="1705"/>
      <c r="AK1036" s="1706"/>
      <c r="AL1036" s="1706"/>
      <c r="AM1036" s="1706"/>
      <c r="AN1036" s="1706"/>
      <c r="AO1036" s="1706"/>
      <c r="AP1036" s="1706"/>
      <c r="AQ1036" s="1707"/>
      <c r="AR1036" s="68"/>
      <c r="AS1036" s="68"/>
      <c r="AT1036" s="68"/>
      <c r="AU1036" s="68"/>
      <c r="AV1036" s="68"/>
      <c r="AW1036" s="68"/>
      <c r="AX1036" s="68"/>
      <c r="AY1036" s="68"/>
    </row>
    <row r="1037" spans="1:51" ht="13" customHeight="1">
      <c r="A1037" s="14"/>
      <c r="B1037" s="73"/>
      <c r="C1037" s="74"/>
      <c r="D1037" s="1753"/>
      <c r="E1037" s="1273"/>
      <c r="F1037" s="1273"/>
      <c r="G1037" s="1273"/>
      <c r="H1037" s="1273"/>
      <c r="I1037" s="1273"/>
      <c r="J1037" s="1273"/>
      <c r="K1037" s="1273"/>
      <c r="L1037" s="1273"/>
      <c r="M1037" s="1273"/>
      <c r="N1037" s="1273"/>
      <c r="O1037" s="1273"/>
      <c r="P1037" s="1273"/>
      <c r="Q1037" s="1273"/>
      <c r="R1037" s="1273"/>
      <c r="S1037" s="1273"/>
      <c r="T1037" s="1273"/>
      <c r="U1037" s="1273"/>
      <c r="V1037" s="1273"/>
      <c r="W1037" s="1273"/>
      <c r="X1037" s="1273"/>
      <c r="Y1037" s="1273"/>
      <c r="Z1037" s="1273"/>
      <c r="AA1037" s="1273"/>
      <c r="AB1037" s="1273"/>
      <c r="AC1037" s="1273"/>
      <c r="AD1037" s="1273"/>
      <c r="AE1037" s="1754"/>
      <c r="AF1037" s="73"/>
      <c r="AG1037" s="14"/>
      <c r="AH1037" s="14"/>
      <c r="AI1037" s="83"/>
      <c r="AJ1037" s="1705"/>
      <c r="AK1037" s="1706"/>
      <c r="AL1037" s="1706"/>
      <c r="AM1037" s="1706"/>
      <c r="AN1037" s="1706"/>
      <c r="AO1037" s="1706"/>
      <c r="AP1037" s="1706"/>
      <c r="AQ1037" s="1707"/>
      <c r="AR1037" s="68"/>
      <c r="AS1037" s="68"/>
      <c r="AT1037" s="68"/>
      <c r="AU1037" s="68"/>
      <c r="AV1037" s="68"/>
      <c r="AW1037" s="68"/>
      <c r="AX1037" s="68"/>
      <c r="AY1037" s="68"/>
    </row>
    <row r="1038" spans="1:51" ht="13" customHeight="1">
      <c r="A1038" s="14"/>
      <c r="B1038" s="73"/>
      <c r="C1038" s="74"/>
      <c r="D1038" s="1753"/>
      <c r="E1038" s="1273"/>
      <c r="F1038" s="1273"/>
      <c r="G1038" s="1273"/>
      <c r="H1038" s="1273"/>
      <c r="I1038" s="1273"/>
      <c r="J1038" s="1273"/>
      <c r="K1038" s="1273"/>
      <c r="L1038" s="1273"/>
      <c r="M1038" s="1273"/>
      <c r="N1038" s="1273"/>
      <c r="O1038" s="1273"/>
      <c r="P1038" s="1273"/>
      <c r="Q1038" s="1273"/>
      <c r="R1038" s="1273"/>
      <c r="S1038" s="1273"/>
      <c r="T1038" s="1273"/>
      <c r="U1038" s="1273"/>
      <c r="V1038" s="1273"/>
      <c r="W1038" s="1273"/>
      <c r="X1038" s="1273"/>
      <c r="Y1038" s="1273"/>
      <c r="Z1038" s="1273"/>
      <c r="AA1038" s="1273"/>
      <c r="AB1038" s="1273"/>
      <c r="AC1038" s="1273"/>
      <c r="AD1038" s="1273"/>
      <c r="AE1038" s="1754"/>
      <c r="AF1038" s="73"/>
      <c r="AG1038" s="14"/>
      <c r="AH1038" s="14"/>
      <c r="AI1038" s="83"/>
      <c r="AJ1038" s="1705"/>
      <c r="AK1038" s="1706"/>
      <c r="AL1038" s="1706"/>
      <c r="AM1038" s="1706"/>
      <c r="AN1038" s="1706"/>
      <c r="AO1038" s="1706"/>
      <c r="AP1038" s="1706"/>
      <c r="AQ1038" s="1707"/>
      <c r="AR1038" s="68"/>
      <c r="AS1038" s="68"/>
      <c r="AT1038" s="68"/>
      <c r="AU1038" s="68"/>
      <c r="AV1038" s="68"/>
      <c r="AW1038" s="68"/>
      <c r="AX1038" s="68"/>
      <c r="AY1038" s="68"/>
    </row>
    <row r="1039" spans="1:51" ht="13" customHeight="1">
      <c r="A1039" s="14"/>
      <c r="B1039" s="73"/>
      <c r="C1039" s="74"/>
      <c r="D1039" s="1755"/>
      <c r="E1039" s="1756"/>
      <c r="F1039" s="1756"/>
      <c r="G1039" s="1756"/>
      <c r="H1039" s="1756"/>
      <c r="I1039" s="1756"/>
      <c r="J1039" s="1756"/>
      <c r="K1039" s="1756"/>
      <c r="L1039" s="1756"/>
      <c r="M1039" s="1756"/>
      <c r="N1039" s="1756"/>
      <c r="O1039" s="1756"/>
      <c r="P1039" s="1756"/>
      <c r="Q1039" s="1756"/>
      <c r="R1039" s="1756"/>
      <c r="S1039" s="1756"/>
      <c r="T1039" s="1756"/>
      <c r="U1039" s="1756"/>
      <c r="V1039" s="1756"/>
      <c r="W1039" s="1756"/>
      <c r="X1039" s="1756"/>
      <c r="Y1039" s="1756"/>
      <c r="Z1039" s="1756"/>
      <c r="AA1039" s="1756"/>
      <c r="AB1039" s="1756"/>
      <c r="AC1039" s="1756"/>
      <c r="AD1039" s="1756"/>
      <c r="AE1039" s="1757"/>
      <c r="AF1039" s="73"/>
      <c r="AG1039" s="14"/>
      <c r="AH1039" s="14"/>
      <c r="AI1039" s="83"/>
      <c r="AJ1039" s="1705"/>
      <c r="AK1039" s="1706"/>
      <c r="AL1039" s="1706"/>
      <c r="AM1039" s="1706"/>
      <c r="AN1039" s="1706"/>
      <c r="AO1039" s="1706"/>
      <c r="AP1039" s="1706"/>
      <c r="AQ1039" s="1707"/>
      <c r="AR1039" s="68"/>
      <c r="AS1039" s="68"/>
      <c r="AT1039" s="68"/>
      <c r="AU1039" s="68"/>
      <c r="AV1039" s="68"/>
      <c r="AW1039" s="68"/>
      <c r="AX1039" s="68"/>
      <c r="AY1039" s="68"/>
    </row>
    <row r="1040" spans="1:51" ht="13" customHeight="1">
      <c r="A1040" s="14"/>
      <c r="B1040" s="79"/>
      <c r="C1040" s="131" t="s">
        <v>1035</v>
      </c>
      <c r="D1040" s="1656" t="s">
        <v>1409</v>
      </c>
      <c r="E1040" s="1657"/>
      <c r="F1040" s="1657"/>
      <c r="G1040" s="1657"/>
      <c r="H1040" s="1657"/>
      <c r="I1040" s="1657"/>
      <c r="J1040" s="1657"/>
      <c r="K1040" s="1657"/>
      <c r="L1040" s="1657"/>
      <c r="M1040" s="1657"/>
      <c r="N1040" s="1657"/>
      <c r="O1040" s="1657"/>
      <c r="P1040" s="1657"/>
      <c r="Q1040" s="1657"/>
      <c r="R1040" s="1657"/>
      <c r="S1040" s="1657"/>
      <c r="T1040" s="1657"/>
      <c r="U1040" s="1657"/>
      <c r="V1040" s="1657"/>
      <c r="W1040" s="1657"/>
      <c r="X1040" s="1657"/>
      <c r="Y1040" s="1657"/>
      <c r="Z1040" s="1657"/>
      <c r="AA1040" s="1657"/>
      <c r="AB1040" s="1657"/>
      <c r="AC1040" s="1657"/>
      <c r="AD1040" s="1657"/>
      <c r="AE1040" s="1658"/>
      <c r="AF1040" s="79"/>
      <c r="AG1040" s="1711" t="s">
        <v>678</v>
      </c>
      <c r="AH1040" s="1712"/>
      <c r="AI1040" s="87"/>
      <c r="AJ1040" s="1702">
        <f>ROUND(IF(AG1040="yes",(AJ991*0.1),0),0)</f>
        <v>0</v>
      </c>
      <c r="AK1040" s="1703"/>
      <c r="AL1040" s="1703"/>
      <c r="AM1040" s="1703"/>
      <c r="AN1040" s="1703"/>
      <c r="AO1040" s="1703"/>
      <c r="AP1040" s="1703"/>
      <c r="AQ1040" s="1704"/>
      <c r="AR1040" s="68"/>
      <c r="AS1040" s="68"/>
      <c r="AT1040" s="68"/>
      <c r="AU1040" s="68"/>
      <c r="AV1040" s="68"/>
      <c r="AW1040" s="68"/>
      <c r="AX1040" s="68"/>
      <c r="AY1040" s="68"/>
    </row>
    <row r="1041" spans="1:51" ht="13" customHeight="1">
      <c r="A1041" s="14"/>
      <c r="B1041" s="73"/>
      <c r="C1041" s="74"/>
      <c r="D1041" s="1695" t="s">
        <v>2505</v>
      </c>
      <c r="E1041" s="1696"/>
      <c r="F1041" s="1696"/>
      <c r="G1041" s="1696"/>
      <c r="H1041" s="1696"/>
      <c r="I1041" s="1696"/>
      <c r="J1041" s="1696"/>
      <c r="K1041" s="1696"/>
      <c r="L1041" s="1696"/>
      <c r="M1041" s="1696"/>
      <c r="N1041" s="1696"/>
      <c r="O1041" s="1696"/>
      <c r="P1041" s="1696"/>
      <c r="Q1041" s="1696"/>
      <c r="R1041" s="1696"/>
      <c r="S1041" s="1696"/>
      <c r="T1041" s="1696"/>
      <c r="U1041" s="1696"/>
      <c r="V1041" s="1696"/>
      <c r="W1041" s="1696"/>
      <c r="X1041" s="1696"/>
      <c r="Y1041" s="1696"/>
      <c r="Z1041" s="1696"/>
      <c r="AA1041" s="1696"/>
      <c r="AB1041" s="1696"/>
      <c r="AC1041" s="1696"/>
      <c r="AD1041" s="1696"/>
      <c r="AE1041" s="1697"/>
      <c r="AF1041" s="73"/>
      <c r="AG1041" s="14"/>
      <c r="AH1041" s="14"/>
      <c r="AI1041" s="83"/>
      <c r="AJ1041" s="1705"/>
      <c r="AK1041" s="1706"/>
      <c r="AL1041" s="1706"/>
      <c r="AM1041" s="1706"/>
      <c r="AN1041" s="1706"/>
      <c r="AO1041" s="1706"/>
      <c r="AP1041" s="1706"/>
      <c r="AQ1041" s="1707"/>
      <c r="AR1041" s="68"/>
      <c r="AS1041" s="68"/>
      <c r="AT1041" s="68"/>
      <c r="AU1041" s="68"/>
      <c r="AV1041" s="68"/>
      <c r="AW1041" s="68"/>
      <c r="AX1041" s="68"/>
      <c r="AY1041" s="68"/>
    </row>
    <row r="1042" spans="1:51" ht="13" customHeight="1">
      <c r="A1042" s="14"/>
      <c r="B1042" s="73"/>
      <c r="C1042" s="74"/>
      <c r="D1042" s="1695"/>
      <c r="E1042" s="1696"/>
      <c r="F1042" s="1696"/>
      <c r="G1042" s="1696"/>
      <c r="H1042" s="1696"/>
      <c r="I1042" s="1696"/>
      <c r="J1042" s="1696"/>
      <c r="K1042" s="1696"/>
      <c r="L1042" s="1696"/>
      <c r="M1042" s="1696"/>
      <c r="N1042" s="1696"/>
      <c r="O1042" s="1696"/>
      <c r="P1042" s="1696"/>
      <c r="Q1042" s="1696"/>
      <c r="R1042" s="1696"/>
      <c r="S1042" s="1696"/>
      <c r="T1042" s="1696"/>
      <c r="U1042" s="1696"/>
      <c r="V1042" s="1696"/>
      <c r="W1042" s="1696"/>
      <c r="X1042" s="1696"/>
      <c r="Y1042" s="1696"/>
      <c r="Z1042" s="1696"/>
      <c r="AA1042" s="1696"/>
      <c r="AB1042" s="1696"/>
      <c r="AC1042" s="1696"/>
      <c r="AD1042" s="1696"/>
      <c r="AE1042" s="1697"/>
      <c r="AF1042" s="73"/>
      <c r="AG1042" s="14"/>
      <c r="AH1042" s="14"/>
      <c r="AI1042" s="83"/>
      <c r="AJ1042" s="1705"/>
      <c r="AK1042" s="1706"/>
      <c r="AL1042" s="1706"/>
      <c r="AM1042" s="1706"/>
      <c r="AN1042" s="1706"/>
      <c r="AO1042" s="1706"/>
      <c r="AP1042" s="1706"/>
      <c r="AQ1042" s="1707"/>
      <c r="AR1042" s="68"/>
      <c r="AS1042" s="68"/>
      <c r="AT1042" s="68"/>
      <c r="AU1042" s="68"/>
      <c r="AV1042" s="68"/>
      <c r="AW1042" s="68"/>
      <c r="AX1042" s="68"/>
      <c r="AY1042" s="68"/>
    </row>
    <row r="1043" spans="1:51" ht="13" customHeight="1">
      <c r="A1043" s="14"/>
      <c r="B1043" s="73"/>
      <c r="C1043" s="74"/>
      <c r="D1043" s="1803"/>
      <c r="E1043" s="1804"/>
      <c r="F1043" s="1804"/>
      <c r="G1043" s="1804"/>
      <c r="H1043" s="1804"/>
      <c r="I1043" s="1804"/>
      <c r="J1043" s="1804"/>
      <c r="K1043" s="1804"/>
      <c r="L1043" s="1804"/>
      <c r="M1043" s="1804"/>
      <c r="N1043" s="1804"/>
      <c r="O1043" s="1804"/>
      <c r="P1043" s="1804"/>
      <c r="Q1043" s="1804"/>
      <c r="R1043" s="1804"/>
      <c r="S1043" s="1804"/>
      <c r="T1043" s="1804"/>
      <c r="U1043" s="1804"/>
      <c r="V1043" s="1804"/>
      <c r="W1043" s="1804"/>
      <c r="X1043" s="1804"/>
      <c r="Y1043" s="1804"/>
      <c r="Z1043" s="1804"/>
      <c r="AA1043" s="1804"/>
      <c r="AB1043" s="1804"/>
      <c r="AC1043" s="1804"/>
      <c r="AD1043" s="1804"/>
      <c r="AE1043" s="1805"/>
      <c r="AF1043" s="73"/>
      <c r="AG1043" s="14"/>
      <c r="AH1043" s="14"/>
      <c r="AI1043" s="83"/>
      <c r="AJ1043" s="1708"/>
      <c r="AK1043" s="1709"/>
      <c r="AL1043" s="1709"/>
      <c r="AM1043" s="1709"/>
      <c r="AN1043" s="1709"/>
      <c r="AO1043" s="1709"/>
      <c r="AP1043" s="1709"/>
      <c r="AQ1043" s="1710"/>
      <c r="AR1043" s="68"/>
      <c r="AS1043" s="68"/>
      <c r="AT1043" s="68"/>
      <c r="AU1043" s="68"/>
      <c r="AV1043" s="68"/>
      <c r="AW1043" s="68"/>
      <c r="AX1043" s="68"/>
      <c r="AY1043" s="68"/>
    </row>
    <row r="1044" spans="1:51" ht="13" customHeight="1">
      <c r="A1044" s="14"/>
      <c r="B1044" s="79"/>
      <c r="C1044" s="131" t="s">
        <v>1875</v>
      </c>
      <c r="D1044" s="1653" t="s">
        <v>2057</v>
      </c>
      <c r="E1044" s="1654"/>
      <c r="F1044" s="1654"/>
      <c r="G1044" s="1654"/>
      <c r="H1044" s="1654"/>
      <c r="I1044" s="1654"/>
      <c r="J1044" s="1654"/>
      <c r="K1044" s="1654"/>
      <c r="L1044" s="1654"/>
      <c r="M1044" s="1654"/>
      <c r="N1044" s="1654"/>
      <c r="O1044" s="1654"/>
      <c r="P1044" s="1654"/>
      <c r="Q1044" s="1654"/>
      <c r="R1044" s="1654"/>
      <c r="S1044" s="1654"/>
      <c r="T1044" s="1654"/>
      <c r="U1044" s="1654"/>
      <c r="V1044" s="1654"/>
      <c r="W1044" s="1654"/>
      <c r="X1044" s="1654"/>
      <c r="Y1044" s="1654"/>
      <c r="Z1044" s="1654"/>
      <c r="AA1044" s="1654"/>
      <c r="AB1044" s="1654"/>
      <c r="AC1044" s="1654"/>
      <c r="AD1044" s="1654"/>
      <c r="AE1044" s="1655"/>
      <c r="AF1044" s="79"/>
      <c r="AG1044" s="1725" t="str">
        <f>IF(X1047&gt;0,"Yes","No")</f>
        <v>Yes</v>
      </c>
      <c r="AH1044" s="1726"/>
      <c r="AI1044" s="87"/>
      <c r="AJ1044" s="1702">
        <f>IF((X1047=0),0,AY1004*AJ991)</f>
        <v>32073798.719999999</v>
      </c>
      <c r="AK1044" s="1703"/>
      <c r="AL1044" s="1703"/>
      <c r="AM1044" s="1703"/>
      <c r="AN1044" s="1703"/>
      <c r="AO1044" s="1703"/>
      <c r="AP1044" s="1703"/>
      <c r="AQ1044" s="1704"/>
      <c r="AR1044" s="68"/>
      <c r="AS1044" s="68"/>
      <c r="AT1044" s="68"/>
      <c r="AU1044" s="68"/>
      <c r="AV1044" s="68"/>
      <c r="AW1044" s="68"/>
      <c r="AX1044" s="68"/>
      <c r="AY1044" s="68"/>
    </row>
    <row r="1045" spans="1:51" ht="13" customHeight="1">
      <c r="A1045" s="14"/>
      <c r="B1045" s="73"/>
      <c r="C1045" s="476"/>
      <c r="D1045" s="1695" t="s">
        <v>1411</v>
      </c>
      <c r="E1045" s="1696"/>
      <c r="F1045" s="1696"/>
      <c r="G1045" s="1696"/>
      <c r="H1045" s="1696"/>
      <c r="I1045" s="1696"/>
      <c r="J1045" s="1696"/>
      <c r="K1045" s="1696"/>
      <c r="L1045" s="1696"/>
      <c r="M1045" s="1696"/>
      <c r="N1045" s="1696"/>
      <c r="O1045" s="1696"/>
      <c r="P1045" s="1696"/>
      <c r="Q1045" s="1696"/>
      <c r="R1045" s="1696"/>
      <c r="S1045" s="1696"/>
      <c r="T1045" s="1696"/>
      <c r="U1045" s="1696"/>
      <c r="V1045" s="1696"/>
      <c r="W1045" s="1696"/>
      <c r="X1045" s="1696"/>
      <c r="Y1045" s="1696"/>
      <c r="Z1045" s="1696"/>
      <c r="AA1045" s="1696"/>
      <c r="AB1045" s="1696"/>
      <c r="AC1045" s="1696"/>
      <c r="AD1045" s="1696"/>
      <c r="AE1045" s="1697"/>
      <c r="AF1045" s="73"/>
      <c r="AG1045" s="477"/>
      <c r="AH1045" s="477"/>
      <c r="AI1045" s="83"/>
      <c r="AJ1045" s="1705"/>
      <c r="AK1045" s="1706"/>
      <c r="AL1045" s="1706"/>
      <c r="AM1045" s="1706"/>
      <c r="AN1045" s="1706"/>
      <c r="AO1045" s="1706"/>
      <c r="AP1045" s="1706"/>
      <c r="AQ1045" s="1707"/>
      <c r="AR1045" s="68"/>
      <c r="AS1045" s="68"/>
      <c r="AT1045" s="68"/>
      <c r="AU1045" s="13"/>
      <c r="AV1045" s="68"/>
      <c r="AW1045" s="68"/>
      <c r="AX1045" s="68"/>
      <c r="AY1045" s="68"/>
    </row>
    <row r="1046" spans="1:51" ht="13" customHeight="1">
      <c r="A1046" s="14"/>
      <c r="B1046" s="73"/>
      <c r="C1046" s="476"/>
      <c r="D1046" s="1695"/>
      <c r="E1046" s="1696"/>
      <c r="F1046" s="1696"/>
      <c r="G1046" s="1696"/>
      <c r="H1046" s="1696"/>
      <c r="I1046" s="1696"/>
      <c r="J1046" s="1696"/>
      <c r="K1046" s="1696"/>
      <c r="L1046" s="1696"/>
      <c r="M1046" s="1696"/>
      <c r="N1046" s="1696"/>
      <c r="O1046" s="1696"/>
      <c r="P1046" s="1696"/>
      <c r="Q1046" s="1696"/>
      <c r="R1046" s="1696"/>
      <c r="S1046" s="1696"/>
      <c r="T1046" s="1696"/>
      <c r="U1046" s="1696"/>
      <c r="V1046" s="1696"/>
      <c r="W1046" s="1696"/>
      <c r="X1046" s="1696"/>
      <c r="Y1046" s="1696"/>
      <c r="Z1046" s="1696"/>
      <c r="AA1046" s="1696"/>
      <c r="AB1046" s="1696"/>
      <c r="AC1046" s="1696"/>
      <c r="AD1046" s="1696"/>
      <c r="AE1046" s="1697"/>
      <c r="AF1046" s="73"/>
      <c r="AG1046" s="477"/>
      <c r="AH1046" s="477"/>
      <c r="AI1046" s="83"/>
      <c r="AJ1046" s="1705"/>
      <c r="AK1046" s="1706"/>
      <c r="AL1046" s="1706"/>
      <c r="AM1046" s="1706"/>
      <c r="AN1046" s="1706"/>
      <c r="AO1046" s="1706"/>
      <c r="AP1046" s="1706"/>
      <c r="AQ1046" s="1707"/>
      <c r="AR1046" s="68"/>
      <c r="AS1046" s="68"/>
      <c r="AT1046" s="68"/>
      <c r="AU1046" s="13"/>
      <c r="AV1046" s="68"/>
      <c r="AW1046" s="68"/>
      <c r="AX1046" s="68"/>
      <c r="AY1046" s="68"/>
    </row>
    <row r="1047" spans="1:51" ht="13" customHeight="1">
      <c r="A1047" s="14"/>
      <c r="B1047" s="77"/>
      <c r="C1047" s="78"/>
      <c r="D1047" s="132" t="s">
        <v>992</v>
      </c>
      <c r="E1047" s="133"/>
      <c r="F1047" s="133"/>
      <c r="G1047" s="133"/>
      <c r="H1047" s="133"/>
      <c r="I1047" s="1700">
        <f>AY1002</f>
        <v>140</v>
      </c>
      <c r="J1047" s="1701"/>
      <c r="K1047" s="7"/>
      <c r="L1047" s="133"/>
      <c r="M1047" s="133"/>
      <c r="N1047" s="133"/>
      <c r="O1047" s="133"/>
      <c r="P1047" s="133"/>
      <c r="Q1047" s="133"/>
      <c r="R1047" s="133"/>
      <c r="S1047" s="133"/>
      <c r="T1047" s="133"/>
      <c r="U1047" s="133"/>
      <c r="V1047" s="134" t="s">
        <v>993</v>
      </c>
      <c r="W1047" s="48"/>
      <c r="X1047" s="1698">
        <f>BG632</f>
        <v>68</v>
      </c>
      <c r="Y1047" s="1699"/>
      <c r="Z1047" s="48"/>
      <c r="AA1047" s="48"/>
      <c r="AB1047" s="48"/>
      <c r="AC1047" s="48"/>
      <c r="AD1047" s="48"/>
      <c r="AE1047" s="49"/>
      <c r="AF1047" s="959"/>
      <c r="AG1047" s="960"/>
      <c r="AH1047" s="960"/>
      <c r="AI1047" s="961"/>
      <c r="AJ1047" s="1708"/>
      <c r="AK1047" s="1709"/>
      <c r="AL1047" s="1709"/>
      <c r="AM1047" s="1709"/>
      <c r="AN1047" s="1709"/>
      <c r="AO1047" s="1709"/>
      <c r="AP1047" s="1709"/>
      <c r="AQ1047" s="1710"/>
      <c r="AR1047" s="68"/>
      <c r="AS1047" s="68"/>
      <c r="AT1047" s="68"/>
      <c r="AU1047" s="14"/>
      <c r="AV1047" s="68"/>
      <c r="AW1047" s="68"/>
      <c r="AX1047" s="68"/>
      <c r="AY1047" s="68"/>
    </row>
    <row r="1048" spans="1:51" ht="13" customHeight="1">
      <c r="A1048" s="14"/>
      <c r="B1048" s="79"/>
      <c r="C1048" s="131" t="s">
        <v>1876</v>
      </c>
      <c r="D1048" s="1656" t="s">
        <v>2536</v>
      </c>
      <c r="E1048" s="1657"/>
      <c r="F1048" s="1657"/>
      <c r="G1048" s="1657"/>
      <c r="H1048" s="1657"/>
      <c r="I1048" s="1657"/>
      <c r="J1048" s="1657"/>
      <c r="K1048" s="1657"/>
      <c r="L1048" s="1657"/>
      <c r="M1048" s="1657"/>
      <c r="N1048" s="1657"/>
      <c r="O1048" s="1657"/>
      <c r="P1048" s="1657"/>
      <c r="Q1048" s="1657"/>
      <c r="R1048" s="1657"/>
      <c r="S1048" s="1657"/>
      <c r="T1048" s="1657"/>
      <c r="U1048" s="1657"/>
      <c r="V1048" s="1657"/>
      <c r="W1048" s="1657"/>
      <c r="X1048" s="1657"/>
      <c r="Y1048" s="1657"/>
      <c r="Z1048" s="1657"/>
      <c r="AA1048" s="1657"/>
      <c r="AB1048" s="1657"/>
      <c r="AC1048" s="1657"/>
      <c r="AD1048" s="1657"/>
      <c r="AE1048" s="1658"/>
      <c r="AF1048" s="73"/>
      <c r="AG1048" s="1725" t="str">
        <f>IF(X1051&gt;0,"Yes","No")</f>
        <v>Yes</v>
      </c>
      <c r="AH1048" s="1726"/>
      <c r="AI1048" s="83"/>
      <c r="AJ1048" s="1702">
        <f>IF((X1051=0),0,(2*AY1005)*AJ991)</f>
        <v>68156822.280000001</v>
      </c>
      <c r="AK1048" s="1703"/>
      <c r="AL1048" s="1703"/>
      <c r="AM1048" s="1703"/>
      <c r="AN1048" s="1703"/>
      <c r="AO1048" s="1703"/>
      <c r="AP1048" s="1703"/>
      <c r="AQ1048" s="1704"/>
      <c r="AR1048" s="68"/>
      <c r="AS1048" s="68"/>
      <c r="AT1048" s="68"/>
      <c r="AU1048" s="14"/>
      <c r="AV1048" s="68"/>
      <c r="AW1048" s="68"/>
      <c r="AX1048" s="68"/>
      <c r="AY1048" s="68"/>
    </row>
    <row r="1049" spans="1:51" ht="13" customHeight="1">
      <c r="A1049" s="14"/>
      <c r="B1049" s="73"/>
      <c r="C1049" s="476"/>
      <c r="D1049" s="1695" t="s">
        <v>1410</v>
      </c>
      <c r="E1049" s="1696"/>
      <c r="F1049" s="1696"/>
      <c r="G1049" s="1696"/>
      <c r="H1049" s="1696"/>
      <c r="I1049" s="1696"/>
      <c r="J1049" s="1696"/>
      <c r="K1049" s="1696"/>
      <c r="L1049" s="1696"/>
      <c r="M1049" s="1696"/>
      <c r="N1049" s="1696"/>
      <c r="O1049" s="1696"/>
      <c r="P1049" s="1696"/>
      <c r="Q1049" s="1696"/>
      <c r="R1049" s="1696"/>
      <c r="S1049" s="1696"/>
      <c r="T1049" s="1696"/>
      <c r="U1049" s="1696"/>
      <c r="V1049" s="1696"/>
      <c r="W1049" s="1696"/>
      <c r="X1049" s="1696"/>
      <c r="Y1049" s="1696"/>
      <c r="Z1049" s="1696"/>
      <c r="AA1049" s="1696"/>
      <c r="AB1049" s="1696"/>
      <c r="AC1049" s="1696"/>
      <c r="AD1049" s="1696"/>
      <c r="AE1049" s="1697"/>
      <c r="AF1049" s="73"/>
      <c r="AG1049" s="477"/>
      <c r="AH1049" s="477"/>
      <c r="AI1049" s="83"/>
      <c r="AJ1049" s="1705"/>
      <c r="AK1049" s="1706"/>
      <c r="AL1049" s="1706"/>
      <c r="AM1049" s="1706"/>
      <c r="AN1049" s="1706"/>
      <c r="AO1049" s="1706"/>
      <c r="AP1049" s="1706"/>
      <c r="AQ1049" s="1707"/>
      <c r="AR1049" s="68"/>
      <c r="AS1049" s="68"/>
      <c r="AT1049" s="68"/>
      <c r="AU1049" s="68"/>
      <c r="AV1049" s="68"/>
      <c r="AW1049" s="68"/>
      <c r="AX1049" s="68"/>
      <c r="AY1049" s="68"/>
    </row>
    <row r="1050" spans="1:51" ht="13" customHeight="1">
      <c r="A1050" s="14"/>
      <c r="B1050" s="73"/>
      <c r="C1050" s="83"/>
      <c r="D1050" s="1695"/>
      <c r="E1050" s="1696"/>
      <c r="F1050" s="1696"/>
      <c r="G1050" s="1696"/>
      <c r="H1050" s="1696"/>
      <c r="I1050" s="1696"/>
      <c r="J1050" s="1696"/>
      <c r="K1050" s="1696"/>
      <c r="L1050" s="1696"/>
      <c r="M1050" s="1696"/>
      <c r="N1050" s="1696"/>
      <c r="O1050" s="1696"/>
      <c r="P1050" s="1696"/>
      <c r="Q1050" s="1696"/>
      <c r="R1050" s="1696"/>
      <c r="S1050" s="1696"/>
      <c r="T1050" s="1696"/>
      <c r="U1050" s="1696"/>
      <c r="V1050" s="1696"/>
      <c r="W1050" s="1696"/>
      <c r="X1050" s="1696"/>
      <c r="Y1050" s="1696"/>
      <c r="Z1050" s="1696"/>
      <c r="AA1050" s="1696"/>
      <c r="AB1050" s="1696"/>
      <c r="AC1050" s="1696"/>
      <c r="AD1050" s="1696"/>
      <c r="AE1050" s="1697"/>
      <c r="AF1050" s="956"/>
      <c r="AG1050" s="957"/>
      <c r="AH1050" s="957"/>
      <c r="AI1050" s="958"/>
      <c r="AJ1050" s="1705"/>
      <c r="AK1050" s="1706"/>
      <c r="AL1050" s="1706"/>
      <c r="AM1050" s="1706"/>
      <c r="AN1050" s="1706"/>
      <c r="AO1050" s="1706"/>
      <c r="AP1050" s="1706"/>
      <c r="AQ1050" s="1707"/>
      <c r="AR1050" s="68"/>
      <c r="AS1050" s="68"/>
      <c r="AT1050" s="68"/>
      <c r="AU1050" s="68"/>
      <c r="AV1050" s="68"/>
      <c r="AW1050" s="68"/>
      <c r="AX1050" s="68"/>
      <c r="AY1050" s="68"/>
    </row>
    <row r="1051" spans="1:51" ht="13" customHeight="1">
      <c r="A1051" s="14"/>
      <c r="B1051" s="77"/>
      <c r="C1051" s="78"/>
      <c r="D1051" s="132" t="s">
        <v>992</v>
      </c>
      <c r="E1051" s="133"/>
      <c r="F1051" s="133"/>
      <c r="G1051" s="133"/>
      <c r="H1051" s="133"/>
      <c r="I1051" s="1700">
        <f>AY1002</f>
        <v>140</v>
      </c>
      <c r="J1051" s="1701"/>
      <c r="K1051" s="14"/>
      <c r="L1051" s="133"/>
      <c r="M1051" s="133"/>
      <c r="N1051" s="133"/>
      <c r="O1051" s="133"/>
      <c r="P1051" s="133"/>
      <c r="Q1051" s="133"/>
      <c r="R1051" s="133"/>
      <c r="S1051" s="133"/>
      <c r="T1051" s="133"/>
      <c r="U1051" s="133"/>
      <c r="V1051" s="134" t="s">
        <v>994</v>
      </c>
      <c r="X1051" s="1698">
        <f>BK632</f>
        <v>72</v>
      </c>
      <c r="Y1051" s="1699"/>
      <c r="AF1051" s="959"/>
      <c r="AG1051" s="960"/>
      <c r="AH1051" s="960"/>
      <c r="AI1051" s="961"/>
      <c r="AJ1051" s="1708"/>
      <c r="AK1051" s="1709"/>
      <c r="AL1051" s="1709"/>
      <c r="AM1051" s="1709"/>
      <c r="AN1051" s="1709"/>
      <c r="AO1051" s="1709"/>
      <c r="AP1051" s="1709"/>
      <c r="AQ1051" s="1710"/>
      <c r="AR1051" s="68"/>
      <c r="AS1051" s="68"/>
      <c r="AT1051" s="68"/>
      <c r="AU1051" s="68"/>
      <c r="AV1051" s="68"/>
      <c r="AW1051" s="68"/>
      <c r="AX1051" s="68"/>
      <c r="AY1051" s="68"/>
    </row>
    <row r="1052" spans="1:51" ht="13" customHeight="1">
      <c r="A1052" s="14"/>
      <c r="B1052" s="102"/>
      <c r="C1052" s="103"/>
      <c r="D1052" s="1713" t="s">
        <v>522</v>
      </c>
      <c r="E1052" s="1713"/>
      <c r="F1052" s="1713"/>
      <c r="G1052" s="1713"/>
      <c r="H1052" s="1713"/>
      <c r="I1052" s="1713"/>
      <c r="J1052" s="1713"/>
      <c r="K1052" s="1713"/>
      <c r="L1052" s="1713"/>
      <c r="M1052" s="1713"/>
      <c r="N1052" s="1713"/>
      <c r="O1052" s="1713"/>
      <c r="P1052" s="1713"/>
      <c r="Q1052" s="1713"/>
      <c r="R1052" s="1713"/>
      <c r="S1052" s="1713"/>
      <c r="T1052" s="1713"/>
      <c r="U1052" s="1713"/>
      <c r="V1052" s="1713"/>
      <c r="W1052" s="1713"/>
      <c r="X1052" s="1713"/>
      <c r="Y1052" s="1713"/>
      <c r="Z1052" s="1713"/>
      <c r="AA1052" s="1713"/>
      <c r="AB1052" s="1713"/>
      <c r="AC1052" s="1713"/>
      <c r="AD1052" s="1713"/>
      <c r="AE1052" s="1713"/>
      <c r="AF1052" s="1713"/>
      <c r="AG1052" s="1713"/>
      <c r="AH1052" s="1713"/>
      <c r="AI1052" s="1714"/>
      <c r="AJ1052" s="1719">
        <f>SUM(AJ991:AQ1051)</f>
        <v>177074097</v>
      </c>
      <c r="AK1052" s="1720"/>
      <c r="AL1052" s="1720"/>
      <c r="AM1052" s="1720"/>
      <c r="AN1052" s="1720"/>
      <c r="AO1052" s="1720"/>
      <c r="AP1052" s="1720"/>
      <c r="AQ1052" s="1721"/>
      <c r="AR1052" s="68"/>
      <c r="AS1052" s="68"/>
      <c r="AT1052" s="68"/>
      <c r="AU1052" s="68"/>
      <c r="AV1052" s="68"/>
      <c r="AW1052" s="68"/>
      <c r="AX1052" s="68"/>
      <c r="AY1052" s="68"/>
    </row>
    <row r="1053" spans="1:51" ht="13"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 customHeight="1">
      <c r="A1059" s="88"/>
      <c r="B1059" s="1865">
        <f>IF(ISNA(IF((AJ1019&gt;(AJ991*0.15)),"(f) cannot be greater than 15% of unadjusted eligible basis.",0)),"",(IF((AJ1019&gt;(AJ991*0.15)),"(f) cannot be greater than 15% of unadjusted eligible basis.",0)))</f>
        <v>0</v>
      </c>
      <c r="C1059" s="1865"/>
      <c r="D1059" s="1865"/>
      <c r="E1059" s="1865"/>
      <c r="F1059" s="1865"/>
      <c r="G1059" s="1865"/>
      <c r="H1059" s="1865"/>
      <c r="I1059" s="1865"/>
      <c r="J1059" s="1865"/>
      <c r="K1059" s="1865"/>
      <c r="L1059" s="1865"/>
      <c r="M1059" s="1865"/>
      <c r="N1059" s="1865"/>
      <c r="O1059" s="1865"/>
      <c r="P1059" s="1865"/>
      <c r="Q1059" s="1865"/>
      <c r="R1059" s="1865"/>
      <c r="S1059" s="1865"/>
      <c r="T1059" s="1865"/>
      <c r="U1059" s="1865"/>
      <c r="V1059" s="1865"/>
      <c r="W1059" s="1865"/>
      <c r="X1059" s="1865"/>
      <c r="Y1059" s="1865"/>
      <c r="Z1059" s="1865"/>
      <c r="AA1059" s="1865"/>
      <c r="AB1059" s="1865"/>
      <c r="AC1059" s="1865"/>
      <c r="AD1059" s="1865"/>
      <c r="AE1059" s="1865"/>
      <c r="AF1059" s="1865"/>
      <c r="AG1059" s="1865"/>
      <c r="AH1059" s="1865"/>
      <c r="AI1059" s="1865"/>
      <c r="AJ1059" s="1865"/>
      <c r="AK1059" s="1865"/>
      <c r="AL1059" s="1865"/>
      <c r="AM1059" s="1865"/>
      <c r="AN1059" s="1865"/>
      <c r="AO1059" s="1865"/>
      <c r="AP1059" s="1865"/>
      <c r="AQ1059" s="68"/>
      <c r="AR1059" s="68"/>
      <c r="AS1059" s="68"/>
      <c r="AT1059" s="68"/>
      <c r="AU1059" s="68"/>
      <c r="AV1059" s="68"/>
      <c r="AW1059" s="68"/>
      <c r="AX1059" s="68"/>
      <c r="AY1059" s="68"/>
    </row>
    <row r="1060" spans="1:51" ht="13" customHeight="1">
      <c r="A1060" s="1307" t="s">
        <v>804</v>
      </c>
      <c r="B1060" s="1307"/>
      <c r="C1060" s="1307"/>
      <c r="D1060" s="1307"/>
      <c r="E1060" s="1307"/>
      <c r="F1060" s="1307"/>
      <c r="G1060" s="1307"/>
      <c r="H1060" s="1307"/>
      <c r="I1060" s="1307"/>
      <c r="J1060" s="1307"/>
      <c r="K1060" s="1307"/>
      <c r="L1060" s="1307"/>
      <c r="M1060" s="1307"/>
      <c r="N1060" s="1307"/>
      <c r="O1060" s="1307"/>
      <c r="P1060" s="1307"/>
      <c r="Q1060" s="1307"/>
      <c r="R1060" s="1307"/>
      <c r="S1060" s="1307"/>
      <c r="T1060" s="1307"/>
      <c r="U1060" s="1307"/>
      <c r="V1060" s="1307"/>
      <c r="W1060" s="1307"/>
      <c r="X1060" s="1307"/>
      <c r="Y1060" s="1307"/>
      <c r="Z1060" s="1307"/>
      <c r="AA1060" s="1307"/>
      <c r="AB1060" s="1307"/>
      <c r="AC1060" s="1307"/>
      <c r="AD1060" s="1307"/>
      <c r="AE1060" s="1307"/>
      <c r="AF1060" s="1307"/>
      <c r="AG1060" s="1307"/>
      <c r="AH1060" s="1307"/>
      <c r="AI1060" s="1307"/>
      <c r="AJ1060" s="1307"/>
      <c r="AK1060" s="1307"/>
      <c r="AL1060" s="1307"/>
      <c r="AM1060" s="1307"/>
      <c r="AN1060" s="1307"/>
      <c r="AO1060" s="1307"/>
      <c r="AP1060" s="1307"/>
      <c r="AQ1060" s="1307"/>
      <c r="AR1060" s="13"/>
      <c r="AS1060" s="13"/>
      <c r="AT1060" s="13"/>
      <c r="AV1060" s="68"/>
      <c r="AW1060" s="68"/>
      <c r="AX1060" s="68"/>
      <c r="AY1060" s="68"/>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 customHeight="1">
      <c r="A1064" s="1381" t="s">
        <v>600</v>
      </c>
      <c r="B1064" s="1381"/>
      <c r="C1064" s="8">
        <v>1</v>
      </c>
      <c r="D1064" s="1267" t="s">
        <v>1134</v>
      </c>
      <c r="E1064" s="1267"/>
      <c r="F1064" s="1267"/>
      <c r="G1064" s="1267"/>
      <c r="H1064" s="1267"/>
      <c r="I1064" s="1267"/>
      <c r="J1064" s="1267"/>
      <c r="K1064" s="1267"/>
      <c r="L1064" s="1267"/>
      <c r="M1064" s="1267"/>
      <c r="N1064" s="1267"/>
      <c r="O1064" s="1267"/>
      <c r="P1064" s="1267"/>
      <c r="Q1064" s="1267"/>
      <c r="R1064" s="1267"/>
      <c r="S1064" s="1267"/>
      <c r="T1064" s="1267"/>
      <c r="U1064" s="1267"/>
      <c r="V1064" s="1267"/>
      <c r="W1064" s="1267"/>
      <c r="X1064" s="1267"/>
      <c r="Y1064" s="1267"/>
      <c r="Z1064" s="1267"/>
      <c r="AA1064" s="1267"/>
      <c r="AB1064" s="1267"/>
      <c r="AC1064" s="1267"/>
      <c r="AD1064" s="1267"/>
      <c r="AE1064" s="1267"/>
      <c r="AF1064" s="1267"/>
      <c r="AG1064" s="1267"/>
      <c r="AH1064" s="1267"/>
      <c r="AI1064" s="1267"/>
      <c r="AJ1064" s="1267"/>
      <c r="AK1064" s="1267"/>
      <c r="AL1064" s="68"/>
      <c r="AM1064" s="68"/>
      <c r="AN1064" s="68"/>
      <c r="AO1064" s="68"/>
      <c r="AP1064" s="68"/>
      <c r="AQ1064" s="68"/>
      <c r="AR1064" s="68"/>
      <c r="AS1064" s="68"/>
      <c r="AT1064" s="68"/>
      <c r="AV1064" s="68"/>
      <c r="AW1064" s="68"/>
      <c r="AX1064" s="68"/>
      <c r="AY1064" s="68"/>
    </row>
    <row r="1065" spans="1:51" ht="13" customHeight="1">
      <c r="A1065" s="1"/>
      <c r="B1065" s="1"/>
      <c r="C1065" s="8"/>
      <c r="D1065" s="1267"/>
      <c r="E1065" s="1267"/>
      <c r="F1065" s="1267"/>
      <c r="G1065" s="1267"/>
      <c r="H1065" s="1267"/>
      <c r="I1065" s="1267"/>
      <c r="J1065" s="1267"/>
      <c r="K1065" s="1267"/>
      <c r="L1065" s="1267"/>
      <c r="M1065" s="1267"/>
      <c r="N1065" s="1267"/>
      <c r="O1065" s="1267"/>
      <c r="P1065" s="1267"/>
      <c r="Q1065" s="1267"/>
      <c r="R1065" s="1267"/>
      <c r="S1065" s="1267"/>
      <c r="T1065" s="1267"/>
      <c r="U1065" s="1267"/>
      <c r="V1065" s="1267"/>
      <c r="W1065" s="1267"/>
      <c r="X1065" s="1267"/>
      <c r="Y1065" s="1267"/>
      <c r="Z1065" s="1267"/>
      <c r="AA1065" s="1267"/>
      <c r="AB1065" s="1267"/>
      <c r="AC1065" s="1267"/>
      <c r="AD1065" s="1267"/>
      <c r="AE1065" s="1267"/>
      <c r="AF1065" s="1267"/>
      <c r="AG1065" s="1267"/>
      <c r="AH1065" s="1267"/>
      <c r="AI1065" s="1267"/>
      <c r="AJ1065" s="1267"/>
      <c r="AK1065" s="1267"/>
      <c r="AL1065" s="68"/>
      <c r="AM1065" s="68"/>
      <c r="AN1065" s="68"/>
      <c r="AO1065" s="68"/>
      <c r="AP1065" s="68"/>
      <c r="AQ1065" s="68"/>
      <c r="AR1065" s="68"/>
      <c r="AS1065" s="68"/>
      <c r="AT1065" s="68"/>
      <c r="AV1065" s="68"/>
      <c r="AW1065" s="68"/>
      <c r="AX1065" s="68"/>
      <c r="AY1065" s="68"/>
    </row>
    <row r="1066" spans="1:51" ht="13" customHeight="1">
      <c r="A1066" s="1"/>
      <c r="B1066" s="1"/>
      <c r="C1066" s="8"/>
      <c r="D1066" s="1267"/>
      <c r="E1066" s="1267"/>
      <c r="F1066" s="1267"/>
      <c r="G1066" s="1267"/>
      <c r="H1066" s="1267"/>
      <c r="I1066" s="1267"/>
      <c r="J1066" s="1267"/>
      <c r="K1066" s="1267"/>
      <c r="L1066" s="1267"/>
      <c r="M1066" s="1267"/>
      <c r="N1066" s="1267"/>
      <c r="O1066" s="1267"/>
      <c r="P1066" s="1267"/>
      <c r="Q1066" s="1267"/>
      <c r="R1066" s="1267"/>
      <c r="S1066" s="1267"/>
      <c r="T1066" s="1267"/>
      <c r="U1066" s="1267"/>
      <c r="V1066" s="1267"/>
      <c r="W1066" s="1267"/>
      <c r="X1066" s="1267"/>
      <c r="Y1066" s="1267"/>
      <c r="Z1066" s="1267"/>
      <c r="AA1066" s="1267"/>
      <c r="AB1066" s="1267"/>
      <c r="AC1066" s="1267"/>
      <c r="AD1066" s="1267"/>
      <c r="AE1066" s="1267"/>
      <c r="AF1066" s="1267"/>
      <c r="AG1066" s="1267"/>
      <c r="AH1066" s="1267"/>
      <c r="AI1066" s="1267"/>
      <c r="AJ1066" s="1267"/>
      <c r="AK1066" s="1267"/>
      <c r="AL1066" s="68"/>
      <c r="AM1066" s="68"/>
      <c r="AN1066" s="68"/>
      <c r="AO1066" s="68"/>
      <c r="AP1066" s="68"/>
      <c r="AQ1066" s="68"/>
      <c r="AR1066" s="68"/>
      <c r="AS1066" s="68"/>
      <c r="AT1066" s="68"/>
      <c r="AV1066" s="68"/>
      <c r="AW1066" s="68"/>
      <c r="AX1066" s="68"/>
      <c r="AY1066" s="68"/>
    </row>
    <row r="1067" spans="1:51" ht="13" customHeight="1">
      <c r="A1067" s="1"/>
      <c r="B1067" s="1"/>
      <c r="C1067" s="8"/>
      <c r="D1067" s="1267"/>
      <c r="E1067" s="1267"/>
      <c r="F1067" s="1267"/>
      <c r="G1067" s="1267"/>
      <c r="H1067" s="1267"/>
      <c r="I1067" s="1267"/>
      <c r="J1067" s="1267"/>
      <c r="K1067" s="1267"/>
      <c r="L1067" s="1267"/>
      <c r="M1067" s="1267"/>
      <c r="N1067" s="1267"/>
      <c r="O1067" s="1267"/>
      <c r="P1067" s="1267"/>
      <c r="Q1067" s="1267"/>
      <c r="R1067" s="1267"/>
      <c r="S1067" s="1267"/>
      <c r="T1067" s="1267"/>
      <c r="U1067" s="1267"/>
      <c r="V1067" s="1267"/>
      <c r="W1067" s="1267"/>
      <c r="X1067" s="1267"/>
      <c r="Y1067" s="1267"/>
      <c r="Z1067" s="1267"/>
      <c r="AA1067" s="1267"/>
      <c r="AB1067" s="1267"/>
      <c r="AC1067" s="1267"/>
      <c r="AD1067" s="1267"/>
      <c r="AE1067" s="1267"/>
      <c r="AF1067" s="1267"/>
      <c r="AG1067" s="1267"/>
      <c r="AH1067" s="1267"/>
      <c r="AI1067" s="1267"/>
      <c r="AJ1067" s="1267"/>
      <c r="AK1067" s="1267"/>
      <c r="AL1067" s="68"/>
      <c r="AM1067" s="68"/>
      <c r="AN1067" s="68"/>
      <c r="AO1067" s="68"/>
      <c r="AP1067" s="68"/>
      <c r="AQ1067" s="68"/>
      <c r="AR1067" s="68"/>
      <c r="AS1067" s="68"/>
      <c r="AT1067" s="68"/>
      <c r="AV1067" s="68"/>
      <c r="AW1067" s="68"/>
      <c r="AX1067" s="68"/>
      <c r="AY1067" s="68"/>
    </row>
    <row r="1068" spans="1:51" ht="13" customHeight="1">
      <c r="A1068" s="1"/>
      <c r="B1068" s="1"/>
      <c r="C1068" s="8"/>
      <c r="D1068" s="1267"/>
      <c r="E1068" s="1267"/>
      <c r="F1068" s="1267"/>
      <c r="G1068" s="1267"/>
      <c r="H1068" s="1267"/>
      <c r="I1068" s="1267"/>
      <c r="J1068" s="1267"/>
      <c r="K1068" s="1267"/>
      <c r="L1068" s="1267"/>
      <c r="M1068" s="1267"/>
      <c r="N1068" s="1267"/>
      <c r="O1068" s="1267"/>
      <c r="P1068" s="1267"/>
      <c r="Q1068" s="1267"/>
      <c r="R1068" s="1267"/>
      <c r="S1068" s="1267"/>
      <c r="T1068" s="1267"/>
      <c r="U1068" s="1267"/>
      <c r="V1068" s="1267"/>
      <c r="W1068" s="1267"/>
      <c r="X1068" s="1267"/>
      <c r="Y1068" s="1267"/>
      <c r="Z1068" s="1267"/>
      <c r="AA1068" s="1267"/>
      <c r="AB1068" s="1267"/>
      <c r="AC1068" s="1267"/>
      <c r="AD1068" s="1267"/>
      <c r="AE1068" s="1267"/>
      <c r="AF1068" s="1267"/>
      <c r="AG1068" s="1267"/>
      <c r="AH1068" s="1267"/>
      <c r="AI1068" s="1267"/>
      <c r="AJ1068" s="1267"/>
      <c r="AK1068" s="1267"/>
      <c r="AL1068" s="68"/>
      <c r="AM1068" s="68"/>
      <c r="AN1068" s="68"/>
      <c r="AO1068" s="68"/>
      <c r="AP1068" s="68"/>
      <c r="AQ1068" s="68"/>
      <c r="AR1068" s="68"/>
      <c r="AS1068" s="68"/>
      <c r="AT1068" s="68"/>
      <c r="AV1068" s="68"/>
      <c r="AW1068" s="68"/>
      <c r="AX1068" s="68"/>
      <c r="AY1068" s="68"/>
    </row>
    <row r="1069" spans="1:51" ht="13" customHeight="1">
      <c r="A1069" s="2"/>
      <c r="B1069" s="25"/>
      <c r="C1069" s="8"/>
      <c r="D1069" s="1267"/>
      <c r="E1069" s="1267"/>
      <c r="F1069" s="1267"/>
      <c r="G1069" s="1267"/>
      <c r="H1069" s="1267"/>
      <c r="I1069" s="1267"/>
      <c r="J1069" s="1267"/>
      <c r="K1069" s="1267"/>
      <c r="L1069" s="1267"/>
      <c r="M1069" s="1267"/>
      <c r="N1069" s="1267"/>
      <c r="O1069" s="1267"/>
      <c r="P1069" s="1267"/>
      <c r="Q1069" s="1267"/>
      <c r="R1069" s="1267"/>
      <c r="S1069" s="1267"/>
      <c r="T1069" s="1267"/>
      <c r="U1069" s="1267"/>
      <c r="V1069" s="1267"/>
      <c r="W1069" s="1267"/>
      <c r="X1069" s="1267"/>
      <c r="Y1069" s="1267"/>
      <c r="Z1069" s="1267"/>
      <c r="AA1069" s="1267"/>
      <c r="AB1069" s="1267"/>
      <c r="AC1069" s="1267"/>
      <c r="AD1069" s="1267"/>
      <c r="AE1069" s="1267"/>
      <c r="AF1069" s="1267"/>
      <c r="AG1069" s="1267"/>
      <c r="AH1069" s="1267"/>
      <c r="AI1069" s="1267"/>
      <c r="AJ1069" s="1267"/>
      <c r="AK1069" s="1267"/>
      <c r="AL1069" s="68"/>
      <c r="AM1069" s="68"/>
      <c r="AN1069" s="68"/>
      <c r="AO1069" s="68"/>
      <c r="AP1069" s="68"/>
      <c r="AQ1069" s="68"/>
      <c r="AR1069" s="68"/>
      <c r="AS1069" s="68"/>
      <c r="AT1069" s="68"/>
      <c r="AV1069" s="68"/>
      <c r="AW1069" s="68"/>
      <c r="AX1069" s="68"/>
      <c r="AY1069" s="68"/>
    </row>
    <row r="1070" spans="1:51" ht="13" customHeight="1">
      <c r="A1070" s="1381" t="s">
        <v>600</v>
      </c>
      <c r="B1070" s="1381"/>
      <c r="C1070" s="8">
        <v>2</v>
      </c>
      <c r="D1070" s="1267" t="s">
        <v>1133</v>
      </c>
      <c r="E1070" s="1267"/>
      <c r="F1070" s="1267"/>
      <c r="G1070" s="1267"/>
      <c r="H1070" s="1267"/>
      <c r="I1070" s="1267"/>
      <c r="J1070" s="1267"/>
      <c r="K1070" s="1267"/>
      <c r="L1070" s="1267"/>
      <c r="M1070" s="1267"/>
      <c r="N1070" s="1267"/>
      <c r="O1070" s="1267"/>
      <c r="P1070" s="1267"/>
      <c r="Q1070" s="1267"/>
      <c r="R1070" s="1267"/>
      <c r="S1070" s="1267"/>
      <c r="T1070" s="1267"/>
      <c r="U1070" s="1267"/>
      <c r="V1070" s="1267"/>
      <c r="W1070" s="1267"/>
      <c r="X1070" s="1267"/>
      <c r="Y1070" s="1267"/>
      <c r="Z1070" s="1267"/>
      <c r="AA1070" s="1267"/>
      <c r="AB1070" s="1267"/>
      <c r="AC1070" s="1267"/>
      <c r="AD1070" s="1267"/>
      <c r="AE1070" s="1267"/>
      <c r="AF1070" s="1267"/>
      <c r="AG1070" s="1267"/>
      <c r="AH1070" s="1267"/>
      <c r="AI1070" s="1267"/>
      <c r="AJ1070" s="1267"/>
      <c r="AK1070" s="1267"/>
      <c r="AL1070" s="68"/>
      <c r="AM1070" s="68"/>
      <c r="AN1070" s="68"/>
      <c r="AO1070" s="68"/>
      <c r="AP1070" s="68"/>
      <c r="AQ1070" s="68"/>
      <c r="AR1070" s="68"/>
      <c r="AS1070" s="68"/>
      <c r="AT1070" s="68"/>
    </row>
    <row r="1071" spans="1:51" ht="13" customHeight="1">
      <c r="A1071" s="1"/>
      <c r="B1071" s="1"/>
      <c r="C1071" s="8"/>
      <c r="D1071" s="1267"/>
      <c r="E1071" s="1267"/>
      <c r="F1071" s="1267"/>
      <c r="G1071" s="1267"/>
      <c r="H1071" s="1267"/>
      <c r="I1071" s="1267"/>
      <c r="J1071" s="1267"/>
      <c r="K1071" s="1267"/>
      <c r="L1071" s="1267"/>
      <c r="M1071" s="1267"/>
      <c r="N1071" s="1267"/>
      <c r="O1071" s="1267"/>
      <c r="P1071" s="1267"/>
      <c r="Q1071" s="1267"/>
      <c r="R1071" s="1267"/>
      <c r="S1071" s="1267"/>
      <c r="T1071" s="1267"/>
      <c r="U1071" s="1267"/>
      <c r="V1071" s="1267"/>
      <c r="W1071" s="1267"/>
      <c r="X1071" s="1267"/>
      <c r="Y1071" s="1267"/>
      <c r="Z1071" s="1267"/>
      <c r="AA1071" s="1267"/>
      <c r="AB1071" s="1267"/>
      <c r="AC1071" s="1267"/>
      <c r="AD1071" s="1267"/>
      <c r="AE1071" s="1267"/>
      <c r="AF1071" s="1267"/>
      <c r="AG1071" s="1267"/>
      <c r="AH1071" s="1267"/>
      <c r="AI1071" s="1267"/>
      <c r="AJ1071" s="1267"/>
      <c r="AK1071" s="1267"/>
      <c r="AL1071" s="68"/>
      <c r="AM1071" s="68"/>
      <c r="AN1071" s="68"/>
      <c r="AO1071" s="68"/>
      <c r="AP1071" s="68"/>
      <c r="AQ1071" s="68"/>
      <c r="AR1071" s="68"/>
      <c r="AS1071" s="68"/>
      <c r="AT1071" s="68"/>
    </row>
    <row r="1072" spans="1:51" ht="13" customHeight="1">
      <c r="A1072" s="1"/>
      <c r="B1072" s="1"/>
      <c r="C1072" s="8"/>
      <c r="D1072" s="1267"/>
      <c r="E1072" s="1267"/>
      <c r="F1072" s="1267"/>
      <c r="G1072" s="1267"/>
      <c r="H1072" s="1267"/>
      <c r="I1072" s="1267"/>
      <c r="J1072" s="1267"/>
      <c r="K1072" s="1267"/>
      <c r="L1072" s="1267"/>
      <c r="M1072" s="1267"/>
      <c r="N1072" s="1267"/>
      <c r="O1072" s="1267"/>
      <c r="P1072" s="1267"/>
      <c r="Q1072" s="1267"/>
      <c r="R1072" s="1267"/>
      <c r="S1072" s="1267"/>
      <c r="T1072" s="1267"/>
      <c r="U1072" s="1267"/>
      <c r="V1072" s="1267"/>
      <c r="W1072" s="1267"/>
      <c r="X1072" s="1267"/>
      <c r="Y1072" s="1267"/>
      <c r="Z1072" s="1267"/>
      <c r="AA1072" s="1267"/>
      <c r="AB1072" s="1267"/>
      <c r="AC1072" s="1267"/>
      <c r="AD1072" s="1267"/>
      <c r="AE1072" s="1267"/>
      <c r="AF1072" s="1267"/>
      <c r="AG1072" s="1267"/>
      <c r="AH1072" s="1267"/>
      <c r="AI1072" s="1267"/>
      <c r="AJ1072" s="1267"/>
      <c r="AK1072" s="1267"/>
      <c r="AL1072" s="68"/>
      <c r="AM1072" s="68"/>
      <c r="AN1072" s="68"/>
      <c r="AO1072" s="68"/>
      <c r="AP1072" s="68"/>
      <c r="AQ1072" s="68"/>
      <c r="AR1072" s="68"/>
      <c r="AS1072" s="68"/>
      <c r="AT1072" s="68"/>
    </row>
    <row r="1073" spans="1:46" ht="13" customHeight="1">
      <c r="A1073" s="1"/>
      <c r="B1073" s="1"/>
      <c r="C1073" s="8"/>
      <c r="D1073" s="1267"/>
      <c r="E1073" s="1267"/>
      <c r="F1073" s="1267"/>
      <c r="G1073" s="1267"/>
      <c r="H1073" s="1267"/>
      <c r="I1073" s="1267"/>
      <c r="J1073" s="1267"/>
      <c r="K1073" s="1267"/>
      <c r="L1073" s="1267"/>
      <c r="M1073" s="1267"/>
      <c r="N1073" s="1267"/>
      <c r="O1073" s="1267"/>
      <c r="P1073" s="1267"/>
      <c r="Q1073" s="1267"/>
      <c r="R1073" s="1267"/>
      <c r="S1073" s="1267"/>
      <c r="T1073" s="1267"/>
      <c r="U1073" s="1267"/>
      <c r="V1073" s="1267"/>
      <c r="W1073" s="1267"/>
      <c r="X1073" s="1267"/>
      <c r="Y1073" s="1267"/>
      <c r="Z1073" s="1267"/>
      <c r="AA1073" s="1267"/>
      <c r="AB1073" s="1267"/>
      <c r="AC1073" s="1267"/>
      <c r="AD1073" s="1267"/>
      <c r="AE1073" s="1267"/>
      <c r="AF1073" s="1267"/>
      <c r="AG1073" s="1267"/>
      <c r="AH1073" s="1267"/>
      <c r="AI1073" s="1267"/>
      <c r="AJ1073" s="1267"/>
      <c r="AK1073" s="1267"/>
      <c r="AL1073" s="68"/>
      <c r="AM1073" s="68"/>
      <c r="AN1073" s="68"/>
      <c r="AO1073" s="68"/>
      <c r="AP1073" s="68"/>
      <c r="AQ1073" s="68"/>
      <c r="AR1073" s="68"/>
      <c r="AS1073" s="68"/>
      <c r="AT1073" s="68"/>
    </row>
    <row r="1074" spans="1:46" ht="13" hidden="1" customHeight="1">
      <c r="A1074" s="1"/>
      <c r="B1074" s="1"/>
      <c r="C1074" s="8"/>
      <c r="D1074" s="1267"/>
      <c r="E1074" s="1267"/>
      <c r="F1074" s="1267"/>
      <c r="G1074" s="1267"/>
      <c r="H1074" s="1267"/>
      <c r="I1074" s="1267"/>
      <c r="J1074" s="1267"/>
      <c r="K1074" s="1267"/>
      <c r="L1074" s="1267"/>
      <c r="M1074" s="1267"/>
      <c r="N1074" s="1267"/>
      <c r="O1074" s="1267"/>
      <c r="P1074" s="1267"/>
      <c r="Q1074" s="1267"/>
      <c r="R1074" s="1267"/>
      <c r="S1074" s="1267"/>
      <c r="T1074" s="1267"/>
      <c r="U1074" s="1267"/>
      <c r="V1074" s="1267"/>
      <c r="W1074" s="1267"/>
      <c r="X1074" s="1267"/>
      <c r="Y1074" s="1267"/>
      <c r="Z1074" s="1267"/>
      <c r="AA1074" s="1267"/>
      <c r="AB1074" s="1267"/>
      <c r="AC1074" s="1267"/>
      <c r="AD1074" s="1267"/>
      <c r="AE1074" s="1267"/>
      <c r="AF1074" s="1267"/>
      <c r="AG1074" s="1267"/>
      <c r="AH1074" s="1267"/>
      <c r="AI1074" s="1267"/>
      <c r="AJ1074" s="1267"/>
      <c r="AK1074" s="1267"/>
      <c r="AL1074" s="68"/>
      <c r="AM1074" s="68"/>
      <c r="AN1074" s="68"/>
      <c r="AO1074" s="68"/>
      <c r="AP1074" s="68"/>
      <c r="AQ1074" s="68"/>
      <c r="AR1074" s="68"/>
      <c r="AS1074" s="68"/>
      <c r="AT1074" s="68"/>
    </row>
    <row r="1075" spans="1:46" ht="13" customHeight="1">
      <c r="A1075" s="1"/>
      <c r="B1075" s="1"/>
      <c r="C1075" s="8"/>
      <c r="D1075" s="1267"/>
      <c r="E1075" s="1267"/>
      <c r="F1075" s="1267"/>
      <c r="G1075" s="1267"/>
      <c r="H1075" s="1267"/>
      <c r="I1075" s="1267"/>
      <c r="J1075" s="1267"/>
      <c r="K1075" s="1267"/>
      <c r="L1075" s="1267"/>
      <c r="M1075" s="1267"/>
      <c r="N1075" s="1267"/>
      <c r="O1075" s="1267"/>
      <c r="P1075" s="1267"/>
      <c r="Q1075" s="1267"/>
      <c r="R1075" s="1267"/>
      <c r="S1075" s="1267"/>
      <c r="T1075" s="1267"/>
      <c r="U1075" s="1267"/>
      <c r="V1075" s="1267"/>
      <c r="W1075" s="1267"/>
      <c r="X1075" s="1267"/>
      <c r="Y1075" s="1267"/>
      <c r="Z1075" s="1267"/>
      <c r="AA1075" s="1267"/>
      <c r="AB1075" s="1267"/>
      <c r="AC1075" s="1267"/>
      <c r="AD1075" s="1267"/>
      <c r="AE1075" s="1267"/>
      <c r="AF1075" s="1267"/>
      <c r="AG1075" s="1267"/>
      <c r="AH1075" s="1267"/>
      <c r="AI1075" s="1267"/>
      <c r="AJ1075" s="1267"/>
      <c r="AK1075" s="1267"/>
    </row>
    <row r="1076" spans="1:46" ht="13" customHeight="1">
      <c r="A1076" s="1381" t="s">
        <v>600</v>
      </c>
      <c r="B1076" s="1381"/>
      <c r="C1076" s="8">
        <v>3</v>
      </c>
      <c r="D1076" s="1267" t="s">
        <v>2459</v>
      </c>
      <c r="E1076" s="1267"/>
      <c r="F1076" s="1267"/>
      <c r="G1076" s="1267"/>
      <c r="H1076" s="1267"/>
      <c r="I1076" s="1267"/>
      <c r="J1076" s="1267"/>
      <c r="K1076" s="1267"/>
      <c r="L1076" s="1267"/>
      <c r="M1076" s="1267"/>
      <c r="N1076" s="1267"/>
      <c r="O1076" s="1267"/>
      <c r="P1076" s="1267"/>
      <c r="Q1076" s="1267"/>
      <c r="R1076" s="1267"/>
      <c r="S1076" s="1267"/>
      <c r="T1076" s="1267"/>
      <c r="U1076" s="1267"/>
      <c r="V1076" s="1267"/>
      <c r="W1076" s="1267"/>
      <c r="X1076" s="1267"/>
      <c r="Y1076" s="1267"/>
      <c r="Z1076" s="1267"/>
      <c r="AA1076" s="1267"/>
      <c r="AB1076" s="1267"/>
      <c r="AC1076" s="1267"/>
      <c r="AD1076" s="1267"/>
      <c r="AE1076" s="1267"/>
      <c r="AF1076" s="1267"/>
      <c r="AG1076" s="1267"/>
      <c r="AH1076" s="1267"/>
      <c r="AI1076" s="1267"/>
      <c r="AJ1076" s="1267"/>
      <c r="AK1076" s="1267"/>
    </row>
    <row r="1077" spans="1:46" ht="13" customHeight="1">
      <c r="A1077" s="4"/>
      <c r="B1077" s="4"/>
      <c r="C1077" s="8"/>
      <c r="D1077" s="1267"/>
      <c r="E1077" s="1267"/>
      <c r="F1077" s="1267"/>
      <c r="G1077" s="1267"/>
      <c r="H1077" s="1267"/>
      <c r="I1077" s="1267"/>
      <c r="J1077" s="1267"/>
      <c r="K1077" s="1267"/>
      <c r="L1077" s="1267"/>
      <c r="M1077" s="1267"/>
      <c r="N1077" s="1267"/>
      <c r="O1077" s="1267"/>
      <c r="P1077" s="1267"/>
      <c r="Q1077" s="1267"/>
      <c r="R1077" s="1267"/>
      <c r="S1077" s="1267"/>
      <c r="T1077" s="1267"/>
      <c r="U1077" s="1267"/>
      <c r="V1077" s="1267"/>
      <c r="W1077" s="1267"/>
      <c r="X1077" s="1267"/>
      <c r="Y1077" s="1267"/>
      <c r="Z1077" s="1267"/>
      <c r="AA1077" s="1267"/>
      <c r="AB1077" s="1267"/>
      <c r="AC1077" s="1267"/>
      <c r="AD1077" s="1267"/>
      <c r="AE1077" s="1267"/>
      <c r="AF1077" s="1267"/>
      <c r="AG1077" s="1267"/>
      <c r="AH1077" s="1267"/>
      <c r="AI1077" s="1267"/>
      <c r="AJ1077" s="1267"/>
      <c r="AK1077" s="1267"/>
    </row>
    <row r="1078" spans="1:46" ht="13" customHeight="1">
      <c r="A1078" s="4"/>
      <c r="B1078" s="4"/>
      <c r="C1078" s="8"/>
      <c r="D1078" s="1267"/>
      <c r="E1078" s="1267"/>
      <c r="F1078" s="1267"/>
      <c r="G1078" s="1267"/>
      <c r="H1078" s="1267"/>
      <c r="I1078" s="1267"/>
      <c r="J1078" s="1267"/>
      <c r="K1078" s="1267"/>
      <c r="L1078" s="1267"/>
      <c r="M1078" s="1267"/>
      <c r="N1078" s="1267"/>
      <c r="O1078" s="1267"/>
      <c r="P1078" s="1267"/>
      <c r="Q1078" s="1267"/>
      <c r="R1078" s="1267"/>
      <c r="S1078" s="1267"/>
      <c r="T1078" s="1267"/>
      <c r="U1078" s="1267"/>
      <c r="V1078" s="1267"/>
      <c r="W1078" s="1267"/>
      <c r="X1078" s="1267"/>
      <c r="Y1078" s="1267"/>
      <c r="Z1078" s="1267"/>
      <c r="AA1078" s="1267"/>
      <c r="AB1078" s="1267"/>
      <c r="AC1078" s="1267"/>
      <c r="AD1078" s="1267"/>
      <c r="AE1078" s="1267"/>
      <c r="AF1078" s="1267"/>
      <c r="AG1078" s="1267"/>
      <c r="AH1078" s="1267"/>
      <c r="AI1078" s="1267"/>
      <c r="AJ1078" s="1267"/>
      <c r="AK1078" s="1267"/>
    </row>
    <row r="1079" spans="1:46" ht="13" customHeight="1">
      <c r="A1079" s="35"/>
      <c r="B1079" s="25"/>
      <c r="C1079" s="8"/>
      <c r="D1079" s="1267"/>
      <c r="E1079" s="1267"/>
      <c r="F1079" s="1267"/>
      <c r="G1079" s="1267"/>
      <c r="H1079" s="1267"/>
      <c r="I1079" s="1267"/>
      <c r="J1079" s="1267"/>
      <c r="K1079" s="1267"/>
      <c r="L1079" s="1267"/>
      <c r="M1079" s="1267"/>
      <c r="N1079" s="1267"/>
      <c r="O1079" s="1267"/>
      <c r="P1079" s="1267"/>
      <c r="Q1079" s="1267"/>
      <c r="R1079" s="1267"/>
      <c r="S1079" s="1267"/>
      <c r="T1079" s="1267"/>
      <c r="U1079" s="1267"/>
      <c r="V1079" s="1267"/>
      <c r="W1079" s="1267"/>
      <c r="X1079" s="1267"/>
      <c r="Y1079" s="1267"/>
      <c r="Z1079" s="1267"/>
      <c r="AA1079" s="1267"/>
      <c r="AB1079" s="1267"/>
      <c r="AC1079" s="1267"/>
      <c r="AD1079" s="1267"/>
      <c r="AE1079" s="1267"/>
      <c r="AF1079" s="1267"/>
      <c r="AG1079" s="1267"/>
      <c r="AH1079" s="1267"/>
      <c r="AI1079" s="1267"/>
      <c r="AJ1079" s="1267"/>
      <c r="AK1079" s="1267"/>
    </row>
    <row r="1080" spans="1:46" ht="13" customHeight="1">
      <c r="A1080" s="35"/>
      <c r="B1080" s="25"/>
      <c r="C1080" s="8"/>
      <c r="D1080" s="1267"/>
      <c r="E1080" s="1267"/>
      <c r="F1080" s="1267"/>
      <c r="G1080" s="1267"/>
      <c r="H1080" s="1267"/>
      <c r="I1080" s="1267"/>
      <c r="J1080" s="1267"/>
      <c r="K1080" s="1267"/>
      <c r="L1080" s="1267"/>
      <c r="M1080" s="1267"/>
      <c r="N1080" s="1267"/>
      <c r="O1080" s="1267"/>
      <c r="P1080" s="1267"/>
      <c r="Q1080" s="1267"/>
      <c r="R1080" s="1267"/>
      <c r="S1080" s="1267"/>
      <c r="T1080" s="1267"/>
      <c r="U1080" s="1267"/>
      <c r="V1080" s="1267"/>
      <c r="W1080" s="1267"/>
      <c r="X1080" s="1267"/>
      <c r="Y1080" s="1267"/>
      <c r="Z1080" s="1267"/>
      <c r="AA1080" s="1267"/>
      <c r="AB1080" s="1267"/>
      <c r="AC1080" s="1267"/>
      <c r="AD1080" s="1267"/>
      <c r="AE1080" s="1267"/>
      <c r="AF1080" s="1267"/>
      <c r="AG1080" s="1267"/>
      <c r="AH1080" s="1267"/>
      <c r="AI1080" s="1267"/>
      <c r="AJ1080" s="1267"/>
      <c r="AK1080" s="1267"/>
    </row>
    <row r="1081" spans="1:46" ht="13" customHeight="1">
      <c r="A1081" s="35"/>
      <c r="B1081" s="25"/>
      <c r="C1081" s="8"/>
      <c r="D1081" s="1267"/>
      <c r="E1081" s="1267"/>
      <c r="F1081" s="1267"/>
      <c r="G1081" s="1267"/>
      <c r="H1081" s="1267"/>
      <c r="I1081" s="1267"/>
      <c r="J1081" s="1267"/>
      <c r="K1081" s="1267"/>
      <c r="L1081" s="1267"/>
      <c r="M1081" s="1267"/>
      <c r="N1081" s="1267"/>
      <c r="O1081" s="1267"/>
      <c r="P1081" s="1267"/>
      <c r="Q1081" s="1267"/>
      <c r="R1081" s="1267"/>
      <c r="S1081" s="1267"/>
      <c r="T1081" s="1267"/>
      <c r="U1081" s="1267"/>
      <c r="V1081" s="1267"/>
      <c r="W1081" s="1267"/>
      <c r="X1081" s="1267"/>
      <c r="Y1081" s="1267"/>
      <c r="Z1081" s="1267"/>
      <c r="AA1081" s="1267"/>
      <c r="AB1081" s="1267"/>
      <c r="AC1081" s="1267"/>
      <c r="AD1081" s="1267"/>
      <c r="AE1081" s="1267"/>
      <c r="AF1081" s="1267"/>
      <c r="AG1081" s="1267"/>
      <c r="AH1081" s="1267"/>
      <c r="AI1081" s="1267"/>
      <c r="AJ1081" s="1267"/>
      <c r="AK1081" s="1267"/>
    </row>
    <row r="1082" spans="1:46" ht="13" customHeight="1">
      <c r="A1082" s="35"/>
      <c r="B1082" s="25"/>
      <c r="C1082" s="8"/>
      <c r="D1082" s="1267"/>
      <c r="E1082" s="1267"/>
      <c r="F1082" s="1267"/>
      <c r="G1082" s="1267"/>
      <c r="H1082" s="1267"/>
      <c r="I1082" s="1267"/>
      <c r="J1082" s="1267"/>
      <c r="K1082" s="1267"/>
      <c r="L1082" s="1267"/>
      <c r="M1082" s="1267"/>
      <c r="N1082" s="1267"/>
      <c r="O1082" s="1267"/>
      <c r="P1082" s="1267"/>
      <c r="Q1082" s="1267"/>
      <c r="R1082" s="1267"/>
      <c r="S1082" s="1267"/>
      <c r="T1082" s="1267"/>
      <c r="U1082" s="1267"/>
      <c r="V1082" s="1267"/>
      <c r="W1082" s="1267"/>
      <c r="X1082" s="1267"/>
      <c r="Y1082" s="1267"/>
      <c r="Z1082" s="1267"/>
      <c r="AA1082" s="1267"/>
      <c r="AB1082" s="1267"/>
      <c r="AC1082" s="1267"/>
      <c r="AD1082" s="1267"/>
      <c r="AE1082" s="1267"/>
      <c r="AF1082" s="1267"/>
      <c r="AG1082" s="1267"/>
      <c r="AH1082" s="1267"/>
      <c r="AI1082" s="1267"/>
      <c r="AJ1082" s="1267"/>
      <c r="AK1082" s="1267"/>
    </row>
    <row r="1083" spans="1:46" ht="13" customHeight="1">
      <c r="A1083" s="1381" t="s">
        <v>600</v>
      </c>
      <c r="B1083" s="1381"/>
      <c r="C1083" s="8">
        <v>4</v>
      </c>
      <c r="D1083" s="1267" t="s">
        <v>1119</v>
      </c>
      <c r="E1083" s="1267"/>
      <c r="F1083" s="1267"/>
      <c r="G1083" s="1267"/>
      <c r="H1083" s="1267"/>
      <c r="I1083" s="1267"/>
      <c r="J1083" s="1267"/>
      <c r="K1083" s="1267"/>
      <c r="L1083" s="1267"/>
      <c r="M1083" s="1267"/>
      <c r="N1083" s="1267"/>
      <c r="O1083" s="1267"/>
      <c r="P1083" s="1267"/>
      <c r="Q1083" s="1267"/>
      <c r="R1083" s="1267"/>
      <c r="S1083" s="1267"/>
      <c r="T1083" s="1267"/>
      <c r="U1083" s="1267"/>
      <c r="V1083" s="1267"/>
      <c r="W1083" s="1267"/>
      <c r="X1083" s="1267"/>
      <c r="Y1083" s="1267"/>
      <c r="Z1083" s="1267"/>
      <c r="AA1083" s="1267"/>
      <c r="AB1083" s="1267"/>
      <c r="AC1083" s="1267"/>
      <c r="AD1083" s="1267"/>
      <c r="AE1083" s="1267"/>
      <c r="AF1083" s="1267"/>
      <c r="AG1083" s="1267"/>
      <c r="AH1083" s="1267"/>
      <c r="AI1083" s="1267"/>
      <c r="AJ1083" s="1267"/>
      <c r="AK1083" s="1267"/>
    </row>
    <row r="1084" spans="1:46" ht="13" customHeight="1">
      <c r="A1084" s="1"/>
      <c r="B1084" s="1"/>
      <c r="C1084" s="8"/>
      <c r="D1084" s="1267"/>
      <c r="E1084" s="1267"/>
      <c r="F1084" s="1267"/>
      <c r="G1084" s="1267"/>
      <c r="H1084" s="1267"/>
      <c r="I1084" s="1267"/>
      <c r="J1084" s="1267"/>
      <c r="K1084" s="1267"/>
      <c r="L1084" s="1267"/>
      <c r="M1084" s="1267"/>
      <c r="N1084" s="1267"/>
      <c r="O1084" s="1267"/>
      <c r="P1084" s="1267"/>
      <c r="Q1084" s="1267"/>
      <c r="R1084" s="1267"/>
      <c r="S1084" s="1267"/>
      <c r="T1084" s="1267"/>
      <c r="U1084" s="1267"/>
      <c r="V1084" s="1267"/>
      <c r="W1084" s="1267"/>
      <c r="X1084" s="1267"/>
      <c r="Y1084" s="1267"/>
      <c r="Z1084" s="1267"/>
      <c r="AA1084" s="1267"/>
      <c r="AB1084" s="1267"/>
      <c r="AC1084" s="1267"/>
      <c r="AD1084" s="1267"/>
      <c r="AE1084" s="1267"/>
      <c r="AF1084" s="1267"/>
      <c r="AG1084" s="1267"/>
      <c r="AH1084" s="1267"/>
      <c r="AI1084" s="1267"/>
      <c r="AJ1084" s="1267"/>
      <c r="AK1084" s="1267"/>
    </row>
    <row r="1085" spans="1:46" ht="13" customHeight="1">
      <c r="A1085" s="35"/>
      <c r="B1085" s="25"/>
      <c r="C1085" s="8"/>
      <c r="D1085" s="1267"/>
      <c r="E1085" s="1267"/>
      <c r="F1085" s="1267"/>
      <c r="G1085" s="1267"/>
      <c r="H1085" s="1267"/>
      <c r="I1085" s="1267"/>
      <c r="J1085" s="1267"/>
      <c r="K1085" s="1267"/>
      <c r="L1085" s="1267"/>
      <c r="M1085" s="1267"/>
      <c r="N1085" s="1267"/>
      <c r="O1085" s="1267"/>
      <c r="P1085" s="1267"/>
      <c r="Q1085" s="1267"/>
      <c r="R1085" s="1267"/>
      <c r="S1085" s="1267"/>
      <c r="T1085" s="1267"/>
      <c r="U1085" s="1267"/>
      <c r="V1085" s="1267"/>
      <c r="W1085" s="1267"/>
      <c r="X1085" s="1267"/>
      <c r="Y1085" s="1267"/>
      <c r="Z1085" s="1267"/>
      <c r="AA1085" s="1267"/>
      <c r="AB1085" s="1267"/>
      <c r="AC1085" s="1267"/>
      <c r="AD1085" s="1267"/>
      <c r="AE1085" s="1267"/>
      <c r="AF1085" s="1267"/>
      <c r="AG1085" s="1267"/>
      <c r="AH1085" s="1267"/>
      <c r="AI1085" s="1267"/>
      <c r="AJ1085" s="1267"/>
      <c r="AK1085" s="1267"/>
    </row>
    <row r="1086" spans="1:46" ht="13" customHeight="1">
      <c r="A1086" s="1381" t="s">
        <v>600</v>
      </c>
      <c r="B1086" s="1381"/>
      <c r="C1086" s="8">
        <v>5</v>
      </c>
      <c r="D1086" s="1267" t="s">
        <v>2460</v>
      </c>
      <c r="E1086" s="1267"/>
      <c r="F1086" s="1267"/>
      <c r="G1086" s="1267"/>
      <c r="H1086" s="1267"/>
      <c r="I1086" s="1267"/>
      <c r="J1086" s="1267"/>
      <c r="K1086" s="1267"/>
      <c r="L1086" s="1267"/>
      <c r="M1086" s="1267"/>
      <c r="N1086" s="1267"/>
      <c r="O1086" s="1267"/>
      <c r="P1086" s="1267"/>
      <c r="Q1086" s="1267"/>
      <c r="R1086" s="1267"/>
      <c r="S1086" s="1267"/>
      <c r="T1086" s="1267"/>
      <c r="U1086" s="1267"/>
      <c r="V1086" s="1267"/>
      <c r="W1086" s="1267"/>
      <c r="X1086" s="1267"/>
      <c r="Y1086" s="1267"/>
      <c r="Z1086" s="1267"/>
      <c r="AA1086" s="1267"/>
      <c r="AB1086" s="1267"/>
      <c r="AC1086" s="1267"/>
      <c r="AD1086" s="1267"/>
      <c r="AE1086" s="1267"/>
      <c r="AF1086" s="1267"/>
      <c r="AG1086" s="1267"/>
      <c r="AH1086" s="1267"/>
      <c r="AI1086" s="1267"/>
      <c r="AJ1086" s="1267"/>
      <c r="AK1086" s="1267"/>
    </row>
    <row r="1087" spans="1:46" ht="13" customHeight="1">
      <c r="A1087" s="1"/>
      <c r="B1087" s="1"/>
      <c r="C1087" s="8"/>
      <c r="D1087" s="1267"/>
      <c r="E1087" s="1267"/>
      <c r="F1087" s="1267"/>
      <c r="G1087" s="1267"/>
      <c r="H1087" s="1267"/>
      <c r="I1087" s="1267"/>
      <c r="J1087" s="1267"/>
      <c r="K1087" s="1267"/>
      <c r="L1087" s="1267"/>
      <c r="M1087" s="1267"/>
      <c r="N1087" s="1267"/>
      <c r="O1087" s="1267"/>
      <c r="P1087" s="1267"/>
      <c r="Q1087" s="1267"/>
      <c r="R1087" s="1267"/>
      <c r="S1087" s="1267"/>
      <c r="T1087" s="1267"/>
      <c r="U1087" s="1267"/>
      <c r="V1087" s="1267"/>
      <c r="W1087" s="1267"/>
      <c r="X1087" s="1267"/>
      <c r="Y1087" s="1267"/>
      <c r="Z1087" s="1267"/>
      <c r="AA1087" s="1267"/>
      <c r="AB1087" s="1267"/>
      <c r="AC1087" s="1267"/>
      <c r="AD1087" s="1267"/>
      <c r="AE1087" s="1267"/>
      <c r="AF1087" s="1267"/>
      <c r="AG1087" s="1267"/>
      <c r="AH1087" s="1267"/>
      <c r="AI1087" s="1267"/>
      <c r="AJ1087" s="1267"/>
      <c r="AK1087" s="1267"/>
    </row>
    <row r="1088" spans="1:46" ht="13" customHeight="1">
      <c r="A1088" s="1"/>
      <c r="B1088" s="1"/>
      <c r="C1088" s="8"/>
      <c r="D1088" s="1267"/>
      <c r="E1088" s="1267"/>
      <c r="F1088" s="1267"/>
      <c r="G1088" s="1267"/>
      <c r="H1088" s="1267"/>
      <c r="I1088" s="1267"/>
      <c r="J1088" s="1267"/>
      <c r="K1088" s="1267"/>
      <c r="L1088" s="1267"/>
      <c r="M1088" s="1267"/>
      <c r="N1088" s="1267"/>
      <c r="O1088" s="1267"/>
      <c r="P1088" s="1267"/>
      <c r="Q1088" s="1267"/>
      <c r="R1088" s="1267"/>
      <c r="S1088" s="1267"/>
      <c r="T1088" s="1267"/>
      <c r="U1088" s="1267"/>
      <c r="V1088" s="1267"/>
      <c r="W1088" s="1267"/>
      <c r="X1088" s="1267"/>
      <c r="Y1088" s="1267"/>
      <c r="Z1088" s="1267"/>
      <c r="AA1088" s="1267"/>
      <c r="AB1088" s="1267"/>
      <c r="AC1088" s="1267"/>
      <c r="AD1088" s="1267"/>
      <c r="AE1088" s="1267"/>
      <c r="AF1088" s="1267"/>
      <c r="AG1088" s="1267"/>
      <c r="AH1088" s="1267"/>
      <c r="AI1088" s="1267"/>
      <c r="AJ1088" s="1267"/>
      <c r="AK1088" s="1267"/>
    </row>
    <row r="1089" spans="1:37" ht="13" hidden="1" customHeight="1">
      <c r="A1089" s="1"/>
      <c r="B1089" s="1"/>
      <c r="C1089" s="8"/>
      <c r="D1089" s="1267"/>
      <c r="E1089" s="1267"/>
      <c r="F1089" s="1267"/>
      <c r="G1089" s="1267"/>
      <c r="H1089" s="1267"/>
      <c r="I1089" s="1267"/>
      <c r="J1089" s="1267"/>
      <c r="K1089" s="1267"/>
      <c r="L1089" s="1267"/>
      <c r="M1089" s="1267"/>
      <c r="N1089" s="1267"/>
      <c r="O1089" s="1267"/>
      <c r="P1089" s="1267"/>
      <c r="Q1089" s="1267"/>
      <c r="R1089" s="1267"/>
      <c r="S1089" s="1267"/>
      <c r="T1089" s="1267"/>
      <c r="U1089" s="1267"/>
      <c r="V1089" s="1267"/>
      <c r="W1089" s="1267"/>
      <c r="X1089" s="1267"/>
      <c r="Y1089" s="1267"/>
      <c r="Z1089" s="1267"/>
      <c r="AA1089" s="1267"/>
      <c r="AB1089" s="1267"/>
      <c r="AC1089" s="1267"/>
      <c r="AD1089" s="1267"/>
      <c r="AE1089" s="1267"/>
      <c r="AF1089" s="1267"/>
      <c r="AG1089" s="1267"/>
      <c r="AH1089" s="1267"/>
      <c r="AI1089" s="1267"/>
      <c r="AJ1089" s="1267"/>
      <c r="AK1089" s="1267"/>
    </row>
    <row r="1090" spans="1:37" ht="13" customHeight="1">
      <c r="A1090" s="35"/>
      <c r="B1090" s="25"/>
      <c r="C1090" s="8"/>
      <c r="D1090" s="1267"/>
      <c r="E1090" s="1267"/>
      <c r="F1090" s="1267"/>
      <c r="G1090" s="1267"/>
      <c r="H1090" s="1267"/>
      <c r="I1090" s="1267"/>
      <c r="J1090" s="1267"/>
      <c r="K1090" s="1267"/>
      <c r="L1090" s="1267"/>
      <c r="M1090" s="1267"/>
      <c r="N1090" s="1267"/>
      <c r="O1090" s="1267"/>
      <c r="P1090" s="1267"/>
      <c r="Q1090" s="1267"/>
      <c r="R1090" s="1267"/>
      <c r="S1090" s="1267"/>
      <c r="T1090" s="1267"/>
      <c r="U1090" s="1267"/>
      <c r="V1090" s="1267"/>
      <c r="W1090" s="1267"/>
      <c r="X1090" s="1267"/>
      <c r="Y1090" s="1267"/>
      <c r="Z1090" s="1267"/>
      <c r="AA1090" s="1267"/>
      <c r="AB1090" s="1267"/>
      <c r="AC1090" s="1267"/>
      <c r="AD1090" s="1267"/>
      <c r="AE1090" s="1267"/>
      <c r="AF1090" s="1267"/>
      <c r="AG1090" s="1267"/>
      <c r="AH1090" s="1267"/>
      <c r="AI1090" s="1267"/>
      <c r="AJ1090" s="1267"/>
      <c r="AK1090" s="1267"/>
    </row>
    <row r="1091" spans="1:37" ht="13" customHeight="1">
      <c r="A1091" s="1381" t="s">
        <v>600</v>
      </c>
      <c r="B1091" s="1381"/>
      <c r="C1091" s="8">
        <v>6</v>
      </c>
      <c r="D1091" s="1267" t="s">
        <v>1120</v>
      </c>
      <c r="E1091" s="1267"/>
      <c r="F1091" s="1267"/>
      <c r="G1091" s="1267"/>
      <c r="H1091" s="1267"/>
      <c r="I1091" s="1267"/>
      <c r="J1091" s="1267"/>
      <c r="K1091" s="1267"/>
      <c r="L1091" s="1267"/>
      <c r="M1091" s="1267"/>
      <c r="N1091" s="1267"/>
      <c r="O1091" s="1267"/>
      <c r="P1091" s="1267"/>
      <c r="Q1091" s="1267"/>
      <c r="R1091" s="1267"/>
      <c r="S1091" s="1267"/>
      <c r="T1091" s="1267"/>
      <c r="U1091" s="1267"/>
      <c r="V1091" s="1267"/>
      <c r="W1091" s="1267"/>
      <c r="X1091" s="1267"/>
      <c r="Y1091" s="1267"/>
      <c r="Z1091" s="1267"/>
      <c r="AA1091" s="1267"/>
      <c r="AB1091" s="1267"/>
      <c r="AC1091" s="1267"/>
      <c r="AD1091" s="1267"/>
      <c r="AE1091" s="1267"/>
      <c r="AF1091" s="1267"/>
      <c r="AG1091" s="1267"/>
      <c r="AH1091" s="1267"/>
      <c r="AI1091" s="1267"/>
      <c r="AJ1091" s="1267"/>
      <c r="AK1091" s="1267"/>
    </row>
    <row r="1092" spans="1:37" ht="13" customHeight="1">
      <c r="A1092" s="35"/>
      <c r="B1092" s="25"/>
      <c r="C1092" s="8"/>
      <c r="D1092" s="1267"/>
      <c r="E1092" s="1267"/>
      <c r="F1092" s="1267"/>
      <c r="G1092" s="1267"/>
      <c r="H1092" s="1267"/>
      <c r="I1092" s="1267"/>
      <c r="J1092" s="1267"/>
      <c r="K1092" s="1267"/>
      <c r="L1092" s="1267"/>
      <c r="M1092" s="1267"/>
      <c r="N1092" s="1267"/>
      <c r="O1092" s="1267"/>
      <c r="P1092" s="1267"/>
      <c r="Q1092" s="1267"/>
      <c r="R1092" s="1267"/>
      <c r="S1092" s="1267"/>
      <c r="T1092" s="1267"/>
      <c r="U1092" s="1267"/>
      <c r="V1092" s="1267"/>
      <c r="W1092" s="1267"/>
      <c r="X1092" s="1267"/>
      <c r="Y1092" s="1267"/>
      <c r="Z1092" s="1267"/>
      <c r="AA1092" s="1267"/>
      <c r="AB1092" s="1267"/>
      <c r="AC1092" s="1267"/>
      <c r="AD1092" s="1267"/>
      <c r="AE1092" s="1267"/>
      <c r="AF1092" s="1267"/>
      <c r="AG1092" s="1267"/>
      <c r="AH1092" s="1267"/>
      <c r="AI1092" s="1267"/>
      <c r="AJ1092" s="1267"/>
      <c r="AK1092" s="1267"/>
    </row>
    <row r="1093" spans="1:37" ht="13" customHeight="1">
      <c r="A1093" s="35"/>
      <c r="B1093" s="25"/>
      <c r="C1093" s="8"/>
      <c r="D1093" s="1267"/>
      <c r="E1093" s="1267"/>
      <c r="F1093" s="1267"/>
      <c r="G1093" s="1267"/>
      <c r="H1093" s="1267"/>
      <c r="I1093" s="1267"/>
      <c r="J1093" s="1267"/>
      <c r="K1093" s="1267"/>
      <c r="L1093" s="1267"/>
      <c r="M1093" s="1267"/>
      <c r="N1093" s="1267"/>
      <c r="O1093" s="1267"/>
      <c r="P1093" s="1267"/>
      <c r="Q1093" s="1267"/>
      <c r="R1093" s="1267"/>
      <c r="S1093" s="1267"/>
      <c r="T1093" s="1267"/>
      <c r="U1093" s="1267"/>
      <c r="V1093" s="1267"/>
      <c r="W1093" s="1267"/>
      <c r="X1093" s="1267"/>
      <c r="Y1093" s="1267"/>
      <c r="Z1093" s="1267"/>
      <c r="AA1093" s="1267"/>
      <c r="AB1093" s="1267"/>
      <c r="AC1093" s="1267"/>
      <c r="AD1093" s="1267"/>
      <c r="AE1093" s="1267"/>
      <c r="AF1093" s="1267"/>
      <c r="AG1093" s="1267"/>
      <c r="AH1093" s="1267"/>
      <c r="AI1093" s="1267"/>
      <c r="AJ1093" s="1267"/>
      <c r="AK1093" s="1267"/>
    </row>
    <row r="1094" spans="1:37" ht="13" customHeight="1">
      <c r="A1094" s="1381" t="s">
        <v>600</v>
      </c>
      <c r="B1094" s="1381"/>
      <c r="C1094" s="212">
        <v>7</v>
      </c>
      <c r="D1094" s="1267" t="s">
        <v>1122</v>
      </c>
      <c r="E1094" s="1267"/>
      <c r="F1094" s="1267"/>
      <c r="G1094" s="1267"/>
      <c r="H1094" s="1267"/>
      <c r="I1094" s="1267"/>
      <c r="J1094" s="1267"/>
      <c r="K1094" s="1267"/>
      <c r="L1094" s="1267"/>
      <c r="M1094" s="1267"/>
      <c r="N1094" s="1267"/>
      <c r="O1094" s="1267"/>
      <c r="P1094" s="1267"/>
      <c r="Q1094" s="1267"/>
      <c r="R1094" s="1267"/>
      <c r="S1094" s="1267"/>
      <c r="T1094" s="1267"/>
      <c r="U1094" s="1267"/>
      <c r="V1094" s="1267"/>
      <c r="W1094" s="1267"/>
      <c r="X1094" s="1267"/>
      <c r="Y1094" s="1267"/>
      <c r="Z1094" s="1267"/>
      <c r="AA1094" s="1267"/>
      <c r="AB1094" s="1267"/>
      <c r="AC1094" s="1267"/>
      <c r="AD1094" s="1267"/>
      <c r="AE1094" s="1267"/>
      <c r="AF1094" s="1267"/>
      <c r="AG1094" s="1267"/>
      <c r="AH1094" s="1267"/>
      <c r="AI1094" s="1267"/>
      <c r="AJ1094" s="1267"/>
      <c r="AK1094" s="1267"/>
    </row>
    <row r="1095" spans="1:37" ht="13" customHeight="1">
      <c r="A1095" s="1"/>
      <c r="B1095" s="1"/>
      <c r="C1095" s="212"/>
      <c r="D1095" s="1267"/>
      <c r="E1095" s="1267"/>
      <c r="F1095" s="1267"/>
      <c r="G1095" s="1267"/>
      <c r="H1095" s="1267"/>
      <c r="I1095" s="1267"/>
      <c r="J1095" s="1267"/>
      <c r="K1095" s="1267"/>
      <c r="L1095" s="1267"/>
      <c r="M1095" s="1267"/>
      <c r="N1095" s="1267"/>
      <c r="O1095" s="1267"/>
      <c r="P1095" s="1267"/>
      <c r="Q1095" s="1267"/>
      <c r="R1095" s="1267"/>
      <c r="S1095" s="1267"/>
      <c r="T1095" s="1267"/>
      <c r="U1095" s="1267"/>
      <c r="V1095" s="1267"/>
      <c r="W1095" s="1267"/>
      <c r="X1095" s="1267"/>
      <c r="Y1095" s="1267"/>
      <c r="Z1095" s="1267"/>
      <c r="AA1095" s="1267"/>
      <c r="AB1095" s="1267"/>
      <c r="AC1095" s="1267"/>
      <c r="AD1095" s="1267"/>
      <c r="AE1095" s="1267"/>
      <c r="AF1095" s="1267"/>
      <c r="AG1095" s="1267"/>
      <c r="AH1095" s="1267"/>
      <c r="AI1095" s="1267"/>
      <c r="AJ1095" s="1267"/>
      <c r="AK1095" s="1267"/>
    </row>
    <row r="1096" spans="1:37" ht="13" customHeight="1">
      <c r="A1096" s="1"/>
      <c r="B1096" s="1"/>
      <c r="C1096" s="212"/>
      <c r="D1096" s="1267"/>
      <c r="E1096" s="1267"/>
      <c r="F1096" s="1267"/>
      <c r="G1096" s="1267"/>
      <c r="H1096" s="1267"/>
      <c r="I1096" s="1267"/>
      <c r="J1096" s="1267"/>
      <c r="K1096" s="1267"/>
      <c r="L1096" s="1267"/>
      <c r="M1096" s="1267"/>
      <c r="N1096" s="1267"/>
      <c r="O1096" s="1267"/>
      <c r="P1096" s="1267"/>
      <c r="Q1096" s="1267"/>
      <c r="R1096" s="1267"/>
      <c r="S1096" s="1267"/>
      <c r="T1096" s="1267"/>
      <c r="U1096" s="1267"/>
      <c r="V1096" s="1267"/>
      <c r="W1096" s="1267"/>
      <c r="X1096" s="1267"/>
      <c r="Y1096" s="1267"/>
      <c r="Z1096" s="1267"/>
      <c r="AA1096" s="1267"/>
      <c r="AB1096" s="1267"/>
      <c r="AC1096" s="1267"/>
      <c r="AD1096" s="1267"/>
      <c r="AE1096" s="1267"/>
      <c r="AF1096" s="1267"/>
      <c r="AG1096" s="1267"/>
      <c r="AH1096" s="1267"/>
      <c r="AI1096" s="1267"/>
      <c r="AJ1096" s="1267"/>
      <c r="AK1096" s="1267"/>
    </row>
    <row r="1097" spans="1:37" ht="13" customHeight="1">
      <c r="A1097" s="35"/>
      <c r="B1097" s="25"/>
      <c r="C1097" s="212"/>
      <c r="D1097" s="1267"/>
      <c r="E1097" s="1267"/>
      <c r="F1097" s="1267"/>
      <c r="G1097" s="1267"/>
      <c r="H1097" s="1267"/>
      <c r="I1097" s="1267"/>
      <c r="J1097" s="1267"/>
      <c r="K1097" s="1267"/>
      <c r="L1097" s="1267"/>
      <c r="M1097" s="1267"/>
      <c r="N1097" s="1267"/>
      <c r="O1097" s="1267"/>
      <c r="P1097" s="1267"/>
      <c r="Q1097" s="1267"/>
      <c r="R1097" s="1267"/>
      <c r="S1097" s="1267"/>
      <c r="T1097" s="1267"/>
      <c r="U1097" s="1267"/>
      <c r="V1097" s="1267"/>
      <c r="W1097" s="1267"/>
      <c r="X1097" s="1267"/>
      <c r="Y1097" s="1267"/>
      <c r="Z1097" s="1267"/>
      <c r="AA1097" s="1267"/>
      <c r="AB1097" s="1267"/>
      <c r="AC1097" s="1267"/>
      <c r="AD1097" s="1267"/>
      <c r="AE1097" s="1267"/>
      <c r="AF1097" s="1267"/>
      <c r="AG1097" s="1267"/>
      <c r="AH1097" s="1267"/>
      <c r="AI1097" s="1267"/>
      <c r="AJ1097" s="1267"/>
      <c r="AK1097" s="1267"/>
    </row>
    <row r="1098" spans="1:37" ht="13" customHeight="1">
      <c r="A1098" s="1381" t="s">
        <v>600</v>
      </c>
      <c r="B1098" s="1381"/>
      <c r="C1098" s="212">
        <v>8</v>
      </c>
      <c r="D1098" s="1351" t="s">
        <v>1873</v>
      </c>
      <c r="E1098" s="1351"/>
      <c r="F1098" s="1351"/>
      <c r="G1098" s="1351"/>
      <c r="H1098" s="1351"/>
      <c r="I1098" s="1351"/>
      <c r="J1098" s="1351"/>
      <c r="K1098" s="1351"/>
      <c r="L1098" s="1351"/>
      <c r="M1098" s="1351"/>
      <c r="N1098" s="1351"/>
      <c r="O1098" s="1351"/>
      <c r="P1098" s="1351"/>
      <c r="Q1098" s="1351"/>
      <c r="R1098" s="1351"/>
      <c r="S1098" s="1351"/>
      <c r="T1098" s="1351"/>
      <c r="U1098" s="1351"/>
      <c r="V1098" s="1351"/>
      <c r="W1098" s="1351"/>
      <c r="X1098" s="1351"/>
      <c r="Y1098" s="1351"/>
      <c r="Z1098" s="1351"/>
      <c r="AA1098" s="1351"/>
      <c r="AB1098" s="1351"/>
      <c r="AC1098" s="1351"/>
      <c r="AD1098" s="1351"/>
      <c r="AE1098" s="1351"/>
      <c r="AF1098" s="1351"/>
      <c r="AG1098" s="1351"/>
      <c r="AH1098" s="1351"/>
      <c r="AI1098" s="1351"/>
      <c r="AJ1098" s="1351"/>
      <c r="AK1098" s="1351"/>
    </row>
    <row r="1099" spans="1:37" ht="13" customHeight="1">
      <c r="A1099" s="1"/>
      <c r="B1099" s="1"/>
      <c r="C1099" s="212"/>
      <c r="D1099" s="1351"/>
      <c r="E1099" s="1351"/>
      <c r="F1099" s="1351"/>
      <c r="G1099" s="1351"/>
      <c r="H1099" s="1351"/>
      <c r="I1099" s="1351"/>
      <c r="J1099" s="1351"/>
      <c r="K1099" s="1351"/>
      <c r="L1099" s="1351"/>
      <c r="M1099" s="1351"/>
      <c r="N1099" s="1351"/>
      <c r="O1099" s="1351"/>
      <c r="P1099" s="1351"/>
      <c r="Q1099" s="1351"/>
      <c r="R1099" s="1351"/>
      <c r="S1099" s="1351"/>
      <c r="T1099" s="1351"/>
      <c r="U1099" s="1351"/>
      <c r="V1099" s="1351"/>
      <c r="W1099" s="1351"/>
      <c r="X1099" s="1351"/>
      <c r="Y1099" s="1351"/>
      <c r="Z1099" s="1351"/>
      <c r="AA1099" s="1351"/>
      <c r="AB1099" s="1351"/>
      <c r="AC1099" s="1351"/>
      <c r="AD1099" s="1351"/>
      <c r="AE1099" s="1351"/>
      <c r="AF1099" s="1351"/>
      <c r="AG1099" s="1351"/>
      <c r="AH1099" s="1351"/>
      <c r="AI1099" s="1351"/>
      <c r="AJ1099" s="1351"/>
      <c r="AK1099" s="1351"/>
    </row>
    <row r="1100" spans="1:37" ht="13" customHeight="1">
      <c r="A1100" s="1"/>
      <c r="B1100" s="1"/>
      <c r="C1100" s="212"/>
      <c r="D1100" s="1351"/>
      <c r="E1100" s="1351"/>
      <c r="F1100" s="1351"/>
      <c r="G1100" s="1351"/>
      <c r="H1100" s="1351"/>
      <c r="I1100" s="1351"/>
      <c r="J1100" s="1351"/>
      <c r="K1100" s="1351"/>
      <c r="L1100" s="1351"/>
      <c r="M1100" s="1351"/>
      <c r="N1100" s="1351"/>
      <c r="O1100" s="1351"/>
      <c r="P1100" s="1351"/>
      <c r="Q1100" s="1351"/>
      <c r="R1100" s="1351"/>
      <c r="S1100" s="1351"/>
      <c r="T1100" s="1351"/>
      <c r="U1100" s="1351"/>
      <c r="V1100" s="1351"/>
      <c r="W1100" s="1351"/>
      <c r="X1100" s="1351"/>
      <c r="Y1100" s="1351"/>
      <c r="Z1100" s="1351"/>
      <c r="AA1100" s="1351"/>
      <c r="AB1100" s="1351"/>
      <c r="AC1100" s="1351"/>
      <c r="AD1100" s="1351"/>
      <c r="AE1100" s="1351"/>
      <c r="AF1100" s="1351"/>
      <c r="AG1100" s="1351"/>
      <c r="AH1100" s="1351"/>
      <c r="AI1100" s="1351"/>
      <c r="AJ1100" s="1351"/>
      <c r="AK1100" s="1351"/>
    </row>
    <row r="1101" spans="1:37" ht="0" hidden="1" customHeight="1">
      <c r="A1101" s="1"/>
      <c r="B1101" s="1"/>
      <c r="C1101" s="212"/>
      <c r="D1101" s="1351"/>
      <c r="E1101" s="1351"/>
      <c r="F1101" s="1351"/>
      <c r="G1101" s="1351"/>
      <c r="H1101" s="1351"/>
      <c r="I1101" s="1351"/>
      <c r="J1101" s="1351"/>
      <c r="K1101" s="1351"/>
      <c r="L1101" s="1351"/>
      <c r="M1101" s="1351"/>
      <c r="N1101" s="1351"/>
      <c r="O1101" s="1351"/>
      <c r="P1101" s="1351"/>
      <c r="Q1101" s="1351"/>
      <c r="R1101" s="1351"/>
      <c r="S1101" s="1351"/>
      <c r="T1101" s="1351"/>
      <c r="U1101" s="1351"/>
      <c r="V1101" s="1351"/>
      <c r="W1101" s="1351"/>
      <c r="X1101" s="1351"/>
      <c r="Y1101" s="1351"/>
      <c r="Z1101" s="1351"/>
      <c r="AA1101" s="1351"/>
      <c r="AB1101" s="1351"/>
      <c r="AC1101" s="1351"/>
      <c r="AD1101" s="1351"/>
      <c r="AE1101" s="1351"/>
      <c r="AF1101" s="1351"/>
      <c r="AG1101" s="1351"/>
      <c r="AH1101" s="1351"/>
      <c r="AI1101" s="1351"/>
      <c r="AJ1101" s="1351"/>
      <c r="AK1101" s="1351"/>
    </row>
    <row r="1102" spans="1:37" ht="0" hidden="1" customHeight="1">
      <c r="A1102" s="35"/>
      <c r="B1102" s="25"/>
      <c r="C1102" s="212"/>
      <c r="D1102" s="1351"/>
      <c r="E1102" s="1351"/>
      <c r="F1102" s="1351"/>
      <c r="G1102" s="1351"/>
      <c r="H1102" s="1351"/>
      <c r="I1102" s="1351"/>
      <c r="J1102" s="1351"/>
      <c r="K1102" s="1351"/>
      <c r="L1102" s="1351"/>
      <c r="M1102" s="1351"/>
      <c r="N1102" s="1351"/>
      <c r="O1102" s="1351"/>
      <c r="P1102" s="1351"/>
      <c r="Q1102" s="1351"/>
      <c r="R1102" s="1351"/>
      <c r="S1102" s="1351"/>
      <c r="T1102" s="1351"/>
      <c r="U1102" s="1351"/>
      <c r="V1102" s="1351"/>
      <c r="W1102" s="1351"/>
      <c r="X1102" s="1351"/>
      <c r="Y1102" s="1351"/>
      <c r="Z1102" s="1351"/>
      <c r="AA1102" s="1351"/>
      <c r="AB1102" s="1351"/>
      <c r="AC1102" s="1351"/>
      <c r="AD1102" s="1351"/>
      <c r="AE1102" s="1351"/>
      <c r="AF1102" s="1351"/>
      <c r="AG1102" s="1351"/>
      <c r="AH1102" s="1351"/>
      <c r="AI1102" s="1351"/>
      <c r="AJ1102" s="1351"/>
      <c r="AK1102" s="1351"/>
    </row>
    <row r="1103" spans="1:37" ht="0" hidden="1" customHeight="1">
      <c r="A1103" s="1381" t="s">
        <v>600</v>
      </c>
      <c r="B1103" s="1381"/>
      <c r="C1103" s="212">
        <v>9</v>
      </c>
      <c r="D1103" s="1267" t="s">
        <v>1121</v>
      </c>
      <c r="E1103" s="1267"/>
      <c r="F1103" s="1267"/>
      <c r="G1103" s="1267"/>
      <c r="H1103" s="1267"/>
      <c r="I1103" s="1267"/>
      <c r="J1103" s="1267"/>
      <c r="K1103" s="1267"/>
      <c r="L1103" s="1267"/>
      <c r="M1103" s="1267"/>
      <c r="N1103" s="1267"/>
      <c r="O1103" s="1267"/>
      <c r="P1103" s="1267"/>
      <c r="Q1103" s="1267"/>
      <c r="R1103" s="1267"/>
      <c r="S1103" s="1267"/>
      <c r="T1103" s="1267"/>
      <c r="U1103" s="1267"/>
      <c r="V1103" s="1267"/>
      <c r="W1103" s="1267"/>
      <c r="X1103" s="1267"/>
      <c r="Y1103" s="1267"/>
      <c r="Z1103" s="1267"/>
      <c r="AA1103" s="1267"/>
      <c r="AB1103" s="1267"/>
      <c r="AC1103" s="1267"/>
      <c r="AD1103" s="1267"/>
      <c r="AE1103" s="1267"/>
      <c r="AF1103" s="1267"/>
      <c r="AG1103" s="1267"/>
      <c r="AH1103" s="1267"/>
      <c r="AI1103" s="1267"/>
      <c r="AJ1103" s="1267"/>
      <c r="AK1103" s="1267"/>
    </row>
    <row r="1104" spans="1:37" ht="0" hidden="1" customHeight="1">
      <c r="A1104" s="35"/>
      <c r="B1104" s="25"/>
      <c r="C1104" s="212"/>
      <c r="D1104" s="1267"/>
      <c r="E1104" s="1267"/>
      <c r="F1104" s="1267"/>
      <c r="G1104" s="1267"/>
      <c r="H1104" s="1267"/>
      <c r="I1104" s="1267"/>
      <c r="J1104" s="1267"/>
      <c r="K1104" s="1267"/>
      <c r="L1104" s="1267"/>
      <c r="M1104" s="1267"/>
      <c r="N1104" s="1267"/>
      <c r="O1104" s="1267"/>
      <c r="P1104" s="1267"/>
      <c r="Q1104" s="1267"/>
      <c r="R1104" s="1267"/>
      <c r="S1104" s="1267"/>
      <c r="T1104" s="1267"/>
      <c r="U1104" s="1267"/>
      <c r="V1104" s="1267"/>
      <c r="W1104" s="1267"/>
      <c r="X1104" s="1267"/>
      <c r="Y1104" s="1267"/>
      <c r="Z1104" s="1267"/>
      <c r="AA1104" s="1267"/>
      <c r="AB1104" s="1267"/>
      <c r="AC1104" s="1267"/>
      <c r="AD1104" s="1267"/>
      <c r="AE1104" s="1267"/>
      <c r="AF1104" s="1267"/>
      <c r="AG1104" s="1267"/>
      <c r="AH1104" s="1267"/>
      <c r="AI1104" s="1267"/>
      <c r="AJ1104" s="1267"/>
      <c r="AK1104" s="1267"/>
    </row>
    <row r="1105" spans="4:37" ht="0" hidden="1" customHeight="1">
      <c r="D1105" s="1267"/>
      <c r="E1105" s="1267"/>
      <c r="F1105" s="1267"/>
      <c r="G1105" s="1267"/>
      <c r="H1105" s="1267"/>
      <c r="I1105" s="1267"/>
      <c r="J1105" s="1267"/>
      <c r="K1105" s="1267"/>
      <c r="L1105" s="1267"/>
      <c r="M1105" s="1267"/>
      <c r="N1105" s="1267"/>
      <c r="O1105" s="1267"/>
      <c r="P1105" s="1267"/>
      <c r="Q1105" s="1267"/>
      <c r="R1105" s="1267"/>
      <c r="S1105" s="1267"/>
      <c r="T1105" s="1267"/>
      <c r="U1105" s="1267"/>
      <c r="V1105" s="1267"/>
      <c r="W1105" s="1267"/>
      <c r="X1105" s="1267"/>
      <c r="Y1105" s="1267"/>
      <c r="Z1105" s="1267"/>
      <c r="AA1105" s="1267"/>
      <c r="AB1105" s="1267"/>
      <c r="AC1105" s="1267"/>
      <c r="AD1105" s="1267"/>
      <c r="AE1105" s="1267"/>
      <c r="AF1105" s="1267"/>
      <c r="AG1105" s="1267"/>
      <c r="AH1105" s="1267"/>
      <c r="AI1105" s="1267"/>
      <c r="AJ1105" s="1267"/>
      <c r="AK1105" s="1267"/>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29">
    <mergeCell ref="G741:J741"/>
    <mergeCell ref="AK750:AO750"/>
    <mergeCell ref="AK751:AO751"/>
    <mergeCell ref="Z612:AK612"/>
    <mergeCell ref="M358:N358"/>
    <mergeCell ref="P424:Q424"/>
    <mergeCell ref="Q492:AK492"/>
    <mergeCell ref="AF418:AH418"/>
    <mergeCell ref="H606:R606"/>
    <mergeCell ref="AC627:AE627"/>
    <mergeCell ref="B566:AL566"/>
    <mergeCell ref="AM561:AS561"/>
    <mergeCell ref="G740:J740"/>
    <mergeCell ref="AH739:AJ739"/>
    <mergeCell ref="O739:S739"/>
    <mergeCell ref="O740:S740"/>
    <mergeCell ref="AC735:AG735"/>
    <mergeCell ref="O743:S743"/>
    <mergeCell ref="T743:W743"/>
    <mergeCell ref="K744:N744"/>
    <mergeCell ref="O744:S744"/>
    <mergeCell ref="K747:N747"/>
    <mergeCell ref="G738:J738"/>
    <mergeCell ref="T747:W747"/>
    <mergeCell ref="T739:W739"/>
    <mergeCell ref="AH735:AJ735"/>
    <mergeCell ref="P421:R421"/>
    <mergeCell ref="G586:R586"/>
    <mergeCell ref="AC517:AF517"/>
    <mergeCell ref="O526:AA526"/>
    <mergeCell ref="Z557:AD557"/>
    <mergeCell ref="Q551:S553"/>
    <mergeCell ref="O161:AH161"/>
    <mergeCell ref="Z686:AK686"/>
    <mergeCell ref="AK732:AO732"/>
    <mergeCell ref="AK733:AO733"/>
    <mergeCell ref="AK734:AO734"/>
    <mergeCell ref="AK725:AO725"/>
    <mergeCell ref="X732:AB732"/>
    <mergeCell ref="AC733:AG733"/>
    <mergeCell ref="AH733:AJ733"/>
    <mergeCell ref="G727:J727"/>
    <mergeCell ref="AH734:AJ734"/>
    <mergeCell ref="AH729:AJ729"/>
    <mergeCell ref="T729:W729"/>
    <mergeCell ref="K720:N720"/>
    <mergeCell ref="G719:J719"/>
    <mergeCell ref="K740:N740"/>
    <mergeCell ref="K730:N730"/>
    <mergeCell ref="K731:N731"/>
    <mergeCell ref="Z670:AK670"/>
    <mergeCell ref="G730:J730"/>
    <mergeCell ref="X730:AB730"/>
    <mergeCell ref="X731:AB731"/>
    <mergeCell ref="G609:R609"/>
    <mergeCell ref="Z601:AK601"/>
    <mergeCell ref="T555:V555"/>
    <mergeCell ref="W559:Y559"/>
    <mergeCell ref="G594:R594"/>
    <mergeCell ref="AK629:AN629"/>
    <mergeCell ref="AH519:AK519"/>
    <mergeCell ref="AH536:AK536"/>
    <mergeCell ref="T558:V558"/>
    <mergeCell ref="G580:R580"/>
    <mergeCell ref="G753:J753"/>
    <mergeCell ref="O749:S749"/>
    <mergeCell ref="M961:S961"/>
    <mergeCell ref="F831:L831"/>
    <mergeCell ref="F935:T935"/>
    <mergeCell ref="U935:Z935"/>
    <mergeCell ref="F936:T936"/>
    <mergeCell ref="F941:T941"/>
    <mergeCell ref="F943:T943"/>
    <mergeCell ref="T793:W793"/>
    <mergeCell ref="G739:J739"/>
    <mergeCell ref="T745:W745"/>
    <mergeCell ref="B739:F739"/>
    <mergeCell ref="K735:N735"/>
    <mergeCell ref="K736:N736"/>
    <mergeCell ref="B731:F731"/>
    <mergeCell ref="B740:F740"/>
    <mergeCell ref="X735:AB735"/>
    <mergeCell ref="B743:F743"/>
    <mergeCell ref="B744:F744"/>
    <mergeCell ref="B745:F745"/>
    <mergeCell ref="T776:W776"/>
    <mergeCell ref="J779:K779"/>
    <mergeCell ref="O791:S791"/>
    <mergeCell ref="G737:J737"/>
    <mergeCell ref="G735:J735"/>
    <mergeCell ref="G736:J736"/>
    <mergeCell ref="T737:W737"/>
    <mergeCell ref="U941:Z941"/>
    <mergeCell ref="B747:F747"/>
    <mergeCell ref="B748:F748"/>
    <mergeCell ref="B749:F749"/>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T773:W773"/>
    <mergeCell ref="C826:H826"/>
    <mergeCell ref="O752:S752"/>
    <mergeCell ref="AK752:AO752"/>
    <mergeCell ref="U938:Z938"/>
    <mergeCell ref="F930:T930"/>
    <mergeCell ref="AA930:AF930"/>
    <mergeCell ref="I949:T949"/>
    <mergeCell ref="AH749:AJ749"/>
    <mergeCell ref="AC736:AG736"/>
    <mergeCell ref="O736:S736"/>
    <mergeCell ref="K738:N738"/>
    <mergeCell ref="X739:AB739"/>
    <mergeCell ref="O154:AH154"/>
    <mergeCell ref="O156:AH156"/>
    <mergeCell ref="O159:T159"/>
    <mergeCell ref="O160:T160"/>
    <mergeCell ref="AM556:AS556"/>
    <mergeCell ref="AJ1028:AQ1030"/>
    <mergeCell ref="D1031:AE1031"/>
    <mergeCell ref="D1032:AE1034"/>
    <mergeCell ref="AJ1031:AQ1034"/>
    <mergeCell ref="B754:AH755"/>
    <mergeCell ref="B742:F742"/>
    <mergeCell ref="M631:P631"/>
    <mergeCell ref="M632:P632"/>
    <mergeCell ref="AA688:AK688"/>
    <mergeCell ref="AC719:AG719"/>
    <mergeCell ref="O720:S720"/>
    <mergeCell ref="G714:J717"/>
    <mergeCell ref="W632:Y632"/>
    <mergeCell ref="C633:L633"/>
    <mergeCell ref="Q635:S635"/>
    <mergeCell ref="AJ1012:AQ1014"/>
    <mergeCell ref="AJ1015:AQ1018"/>
    <mergeCell ref="J956:S956"/>
    <mergeCell ref="AA948:AF948"/>
    <mergeCell ref="F945:H945"/>
    <mergeCell ref="D1021:AE1022"/>
    <mergeCell ref="G611:R611"/>
    <mergeCell ref="Z586:AK586"/>
    <mergeCell ref="H573:R573"/>
    <mergeCell ref="M624:P626"/>
    <mergeCell ref="P597:R597"/>
    <mergeCell ref="M554:P554"/>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O33:P33"/>
    <mergeCell ref="A13:AT14"/>
    <mergeCell ref="A69:AT70"/>
    <mergeCell ref="G613:L613"/>
    <mergeCell ref="W624:Y626"/>
    <mergeCell ref="Z605:AE605"/>
    <mergeCell ref="Z609:AK609"/>
    <mergeCell ref="A72:AT73"/>
    <mergeCell ref="A544:AT545"/>
    <mergeCell ref="A480:AT481"/>
    <mergeCell ref="A351:AT352"/>
    <mergeCell ref="A282:AT283"/>
    <mergeCell ref="A222:AT223"/>
    <mergeCell ref="A169:AT170"/>
    <mergeCell ref="N363:O363"/>
    <mergeCell ref="I392:N392"/>
    <mergeCell ref="AM558:AS558"/>
    <mergeCell ref="M627:P627"/>
    <mergeCell ref="M628:P628"/>
    <mergeCell ref="AD377:AE377"/>
    <mergeCell ref="Q390:U390"/>
    <mergeCell ref="S392:U392"/>
    <mergeCell ref="R411:S411"/>
    <mergeCell ref="Q389:U389"/>
    <mergeCell ref="Z434:AA434"/>
    <mergeCell ref="G572:L572"/>
    <mergeCell ref="AI562:AL562"/>
    <mergeCell ref="D438:AF438"/>
    <mergeCell ref="T559:V559"/>
    <mergeCell ref="S402:U402"/>
    <mergeCell ref="P425:Q425"/>
    <mergeCell ref="AH540:AK540"/>
    <mergeCell ref="M557:P557"/>
    <mergeCell ref="AE563:AH563"/>
    <mergeCell ref="M629:P629"/>
    <mergeCell ref="T627:V627"/>
    <mergeCell ref="G612:R612"/>
    <mergeCell ref="M633:P633"/>
    <mergeCell ref="M634:P634"/>
    <mergeCell ref="G610:R610"/>
    <mergeCell ref="Z588:AK588"/>
    <mergeCell ref="Z578:AK578"/>
    <mergeCell ref="Z603:AK603"/>
    <mergeCell ref="T624:V626"/>
    <mergeCell ref="M630:P630"/>
    <mergeCell ref="Q627:S627"/>
    <mergeCell ref="Q628:S628"/>
    <mergeCell ref="Q629:S629"/>
    <mergeCell ref="P613:R613"/>
    <mergeCell ref="W627:Y627"/>
    <mergeCell ref="Z624:AB626"/>
    <mergeCell ref="W629:Y629"/>
    <mergeCell ref="G603:R603"/>
    <mergeCell ref="N607:O607"/>
    <mergeCell ref="AC633:AE633"/>
    <mergeCell ref="AC634:AE634"/>
    <mergeCell ref="Z594:AK594"/>
    <mergeCell ref="G601:R601"/>
    <mergeCell ref="W634:Y634"/>
    <mergeCell ref="H590:R590"/>
    <mergeCell ref="G587:R587"/>
    <mergeCell ref="G578:R578"/>
    <mergeCell ref="Z602:AK602"/>
    <mergeCell ref="AK627:AN627"/>
    <mergeCell ref="G595:R595"/>
    <mergeCell ref="G596:R596"/>
    <mergeCell ref="B714:F717"/>
    <mergeCell ref="G675:R675"/>
    <mergeCell ref="AK741:AO741"/>
    <mergeCell ref="Q630:S630"/>
    <mergeCell ref="AG649:AH649"/>
    <mergeCell ref="C634:L634"/>
    <mergeCell ref="Z636:AB636"/>
    <mergeCell ref="Z637:AB637"/>
    <mergeCell ref="Z638:AB638"/>
    <mergeCell ref="AC636:AE636"/>
    <mergeCell ref="AC637:AE637"/>
    <mergeCell ref="AC638:AE638"/>
    <mergeCell ref="C638:L638"/>
    <mergeCell ref="AC635:AE635"/>
    <mergeCell ref="G676:R676"/>
    <mergeCell ref="N665:O665"/>
    <mergeCell ref="H672:R672"/>
    <mergeCell ref="AK735:AO735"/>
    <mergeCell ref="AK736:AO736"/>
    <mergeCell ref="AK730:AO730"/>
    <mergeCell ref="AH727:AJ727"/>
    <mergeCell ref="AC724:AG724"/>
    <mergeCell ref="AC730:AG730"/>
    <mergeCell ref="AG689:AH689"/>
    <mergeCell ref="W703:AK703"/>
    <mergeCell ref="Z676:AK676"/>
    <mergeCell ref="W700:AK700"/>
    <mergeCell ref="C636:L636"/>
    <mergeCell ref="C637:L637"/>
    <mergeCell ref="O718:S718"/>
    <mergeCell ref="Z679:AE679"/>
    <mergeCell ref="H680:R680"/>
    <mergeCell ref="AK728:AO728"/>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DX656:EB656"/>
    <mergeCell ref="EC656:EG656"/>
    <mergeCell ref="EH656:EL656"/>
    <mergeCell ref="CC660:CG660"/>
    <mergeCell ref="BS660:BW660"/>
    <mergeCell ref="DX668:EB668"/>
    <mergeCell ref="EC668:EG668"/>
    <mergeCell ref="EH668:EL668"/>
    <mergeCell ref="H688:R688"/>
    <mergeCell ref="Z675:AK675"/>
    <mergeCell ref="AE702:AF702"/>
    <mergeCell ref="AE693:AF693"/>
    <mergeCell ref="B719:F719"/>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AE698:AI698"/>
    <mergeCell ref="AC714:AG717"/>
    <mergeCell ref="AC720:AG720"/>
    <mergeCell ref="X719:AB719"/>
    <mergeCell ref="AG673:AH673"/>
    <mergeCell ref="AH720:AJ720"/>
    <mergeCell ref="X718:AB718"/>
    <mergeCell ref="CM652:CQ652"/>
    <mergeCell ref="CM653:CQ653"/>
    <mergeCell ref="CM654:CQ654"/>
    <mergeCell ref="BS651:BW651"/>
    <mergeCell ref="CS652:CW652"/>
    <mergeCell ref="CM655:CQ655"/>
    <mergeCell ref="CS651:CW651"/>
    <mergeCell ref="BX653:CB653"/>
    <mergeCell ref="BS650:BW650"/>
    <mergeCell ref="DM650:DQ650"/>
    <mergeCell ref="DC651:DG651"/>
    <mergeCell ref="DM648:DQ648"/>
    <mergeCell ref="DR648:DV648"/>
    <mergeCell ref="CS649:CW649"/>
    <mergeCell ref="CS654:CW654"/>
    <mergeCell ref="CX654:DB654"/>
    <mergeCell ref="DC654:DG654"/>
    <mergeCell ref="BS653:BW653"/>
    <mergeCell ref="BX651:CB651"/>
    <mergeCell ref="CM648:CQ648"/>
    <mergeCell ref="CC651:CG651"/>
    <mergeCell ref="BX649:CB649"/>
    <mergeCell ref="BX650:CB650"/>
    <mergeCell ref="CH648:CL648"/>
    <mergeCell ref="CC648:CG648"/>
    <mergeCell ref="DM651:DQ651"/>
    <mergeCell ref="BS648:BW648"/>
    <mergeCell ref="CX649:DB649"/>
    <mergeCell ref="CX651:DB651"/>
    <mergeCell ref="BS654:BW654"/>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CC655:CG655"/>
    <mergeCell ref="CH655:CL655"/>
    <mergeCell ref="CH652:CL652"/>
    <mergeCell ref="CH653:CL653"/>
    <mergeCell ref="CH654:CL654"/>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CX648:DB648"/>
    <mergeCell ref="CC638:CG638"/>
    <mergeCell ref="CH641:CL641"/>
    <mergeCell ref="BX638:CB638"/>
    <mergeCell ref="BX632:CB632"/>
    <mergeCell ref="DC649:DG649"/>
    <mergeCell ref="CM631:CQ631"/>
    <mergeCell ref="CC649:CG649"/>
    <mergeCell ref="CH649:CL649"/>
    <mergeCell ref="CM641:CQ641"/>
    <mergeCell ref="CC637:CG637"/>
    <mergeCell ref="BX641:CB641"/>
    <mergeCell ref="CC641:CG641"/>
    <mergeCell ref="CC639:CG639"/>
    <mergeCell ref="CX631:DB631"/>
    <mergeCell ref="DC647:DG647"/>
    <mergeCell ref="DR620:DV620"/>
    <mergeCell ref="CS621:CW621"/>
    <mergeCell ref="CX621:DB621"/>
    <mergeCell ref="CM619:CQ619"/>
    <mergeCell ref="CH619:CL619"/>
    <mergeCell ref="DM621:DQ621"/>
    <mergeCell ref="DR621:DV621"/>
    <mergeCell ref="CS622:CW622"/>
    <mergeCell ref="CX622:DB622"/>
    <mergeCell ref="DC622:DG622"/>
    <mergeCell ref="DH622:DL622"/>
    <mergeCell ref="DM622:DQ622"/>
    <mergeCell ref="DR622:DV622"/>
    <mergeCell ref="CS623:CW623"/>
    <mergeCell ref="DM619:DQ619"/>
    <mergeCell ref="DC620:DG620"/>
    <mergeCell ref="DH620:DL620"/>
    <mergeCell ref="CS620:CW620"/>
    <mergeCell ref="A617:AT618"/>
    <mergeCell ref="B624:L626"/>
    <mergeCell ref="CH615:CL615"/>
    <mergeCell ref="CC615:CG615"/>
    <mergeCell ref="DM617:DQ617"/>
    <mergeCell ref="Q636:S636"/>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T634:V634"/>
    <mergeCell ref="W628:Y628"/>
    <mergeCell ref="CX620:DB620"/>
    <mergeCell ref="CM618:CQ618"/>
    <mergeCell ref="BG619:BH619"/>
    <mergeCell ref="DR617:DV617"/>
    <mergeCell ref="CS617:CW617"/>
    <mergeCell ref="CX617:DB617"/>
    <mergeCell ref="DC617:DG617"/>
    <mergeCell ref="DH617:DL617"/>
    <mergeCell ref="DH618:DL618"/>
    <mergeCell ref="CM617:CQ617"/>
    <mergeCell ref="CC617:CG617"/>
    <mergeCell ref="BN645:BR645"/>
    <mergeCell ref="BS640:BW640"/>
    <mergeCell ref="BX639:CB639"/>
    <mergeCell ref="BX640:CB640"/>
    <mergeCell ref="CM629:CQ629"/>
    <mergeCell ref="CH626:CL626"/>
    <mergeCell ref="CM626:CQ626"/>
    <mergeCell ref="EC630:EG630"/>
    <mergeCell ref="EH630:EL630"/>
    <mergeCell ref="CH618:CL618"/>
    <mergeCell ref="DR630:DV630"/>
    <mergeCell ref="EM612:EQ612"/>
    <mergeCell ref="BN617:BR617"/>
    <mergeCell ref="DR619:DV619"/>
    <mergeCell ref="DC645:DG645"/>
    <mergeCell ref="CS646:CW646"/>
    <mergeCell ref="BX645:CB645"/>
    <mergeCell ref="CH640:CL640"/>
    <mergeCell ref="CM640:CQ640"/>
    <mergeCell ref="CM639:CQ639"/>
    <mergeCell ref="BS645:BW645"/>
    <mergeCell ref="CH645:CL645"/>
    <mergeCell ref="DC646:DG646"/>
    <mergeCell ref="DC628:DG628"/>
    <mergeCell ref="DH628:DL628"/>
    <mergeCell ref="DM628:DQ628"/>
    <mergeCell ref="BX646:CB646"/>
    <mergeCell ref="BS629:BW629"/>
    <mergeCell ref="BX629:CB629"/>
    <mergeCell ref="DX632:EB632"/>
    <mergeCell ref="EC632:EG632"/>
    <mergeCell ref="CM616:CQ616"/>
    <mergeCell ref="BE626:BF626"/>
    <mergeCell ref="BG626:BH626"/>
    <mergeCell ref="BI626:BJ626"/>
    <mergeCell ref="BK626:BL626"/>
    <mergeCell ref="BS625:BW625"/>
    <mergeCell ref="BX623:CB623"/>
    <mergeCell ref="BN621:BR621"/>
    <mergeCell ref="BE627:BF627"/>
    <mergeCell ref="BS621:BW621"/>
    <mergeCell ref="BX621:CB621"/>
    <mergeCell ref="CH627:CL627"/>
    <mergeCell ref="DH630:DL630"/>
    <mergeCell ref="BE623:BF623"/>
    <mergeCell ref="BG623:BH623"/>
    <mergeCell ref="BS627:BW627"/>
    <mergeCell ref="BN628:BR628"/>
    <mergeCell ref="BS628:BW628"/>
    <mergeCell ref="BX628:CB628"/>
    <mergeCell ref="BX627:CB627"/>
    <mergeCell ref="BS626:BW626"/>
    <mergeCell ref="BX626:CB626"/>
    <mergeCell ref="BN623:BR623"/>
    <mergeCell ref="BX625:CB625"/>
    <mergeCell ref="CM630:CQ630"/>
    <mergeCell ref="CH621:CL621"/>
    <mergeCell ref="CM621:CQ621"/>
    <mergeCell ref="CM623:CQ623"/>
    <mergeCell ref="DC630:DG630"/>
    <mergeCell ref="CS630:CW630"/>
    <mergeCell ref="CX630:DB630"/>
    <mergeCell ref="CM628:CQ628"/>
    <mergeCell ref="CM627:CQ627"/>
    <mergeCell ref="BN639:BR639"/>
    <mergeCell ref="BN640:BR640"/>
    <mergeCell ref="EC609:EG609"/>
    <mergeCell ref="EH609:EL609"/>
    <mergeCell ref="EM609:EQ609"/>
    <mergeCell ref="ER609:EV609"/>
    <mergeCell ref="DM616:DQ616"/>
    <mergeCell ref="CS616:CW616"/>
    <mergeCell ref="DC632:DG632"/>
    <mergeCell ref="DH632:DL632"/>
    <mergeCell ref="DH614:DL614"/>
    <mergeCell ref="DM614:DQ614"/>
    <mergeCell ref="CX614:DB614"/>
    <mergeCell ref="DX615:EB615"/>
    <mergeCell ref="EC615:EG615"/>
    <mergeCell ref="EH615:EL615"/>
    <mergeCell ref="DH609:DL609"/>
    <mergeCell ref="CS611:CW611"/>
    <mergeCell ref="CX611:DB611"/>
    <mergeCell ref="DC611:DG611"/>
    <mergeCell ref="DH611:DL611"/>
    <mergeCell ref="BX622:CB622"/>
    <mergeCell ref="CH638:CL638"/>
    <mergeCell ref="CM638:CQ638"/>
    <mergeCell ref="CH630:CL630"/>
    <mergeCell ref="DM618:DQ618"/>
    <mergeCell ref="DR618:DV618"/>
    <mergeCell ref="CH637:CL637"/>
    <mergeCell ref="DH625:DL625"/>
    <mergeCell ref="DM625:DQ625"/>
    <mergeCell ref="EH631:EL631"/>
    <mergeCell ref="DX620:EB620"/>
    <mergeCell ref="CS618:CW618"/>
    <mergeCell ref="CX618:DB618"/>
    <mergeCell ref="DC618:DG618"/>
    <mergeCell ref="DC631:DG631"/>
    <mergeCell ref="DM631:DQ631"/>
    <mergeCell ref="DH631:DL631"/>
    <mergeCell ref="DM620:DQ620"/>
    <mergeCell ref="BK630:BL630"/>
    <mergeCell ref="BS630:BW630"/>
    <mergeCell ref="BG632:BH632"/>
    <mergeCell ref="BK632:BL632"/>
    <mergeCell ref="BN632:BR632"/>
    <mergeCell ref="CC626:CG626"/>
    <mergeCell ref="BS631:BW631"/>
    <mergeCell ref="CC629:CG629"/>
    <mergeCell ref="CH629:CL629"/>
    <mergeCell ref="CC630:CG630"/>
    <mergeCell ref="CX623:DB623"/>
    <mergeCell ref="DC623:DG623"/>
    <mergeCell ref="DH623:DL623"/>
    <mergeCell ref="DM623:DQ623"/>
    <mergeCell ref="CS631:CW631"/>
    <mergeCell ref="CX626:DB626"/>
    <mergeCell ref="CS624:CW624"/>
    <mergeCell ref="CM624:CQ624"/>
    <mergeCell ref="CM620:CQ620"/>
    <mergeCell ref="CM625:CQ625"/>
    <mergeCell ref="CC622:CG622"/>
    <mergeCell ref="CH622:CL622"/>
    <mergeCell ref="CM622:CQ622"/>
    <mergeCell ref="CH623:CL623"/>
    <mergeCell ref="CH625:CL625"/>
    <mergeCell ref="EW661:FA661"/>
    <mergeCell ref="ER653:EV653"/>
    <mergeCell ref="EM659:EQ659"/>
    <mergeCell ref="ER659:EV659"/>
    <mergeCell ref="EW659:FA659"/>
    <mergeCell ref="EW655:FA655"/>
    <mergeCell ref="EW650:FA650"/>
    <mergeCell ref="EW648:FA648"/>
    <mergeCell ref="ER619:EV619"/>
    <mergeCell ref="ER612:EV612"/>
    <mergeCell ref="CX624:DB624"/>
    <mergeCell ref="DC625:DG625"/>
    <mergeCell ref="DM630:DQ630"/>
    <mergeCell ref="DX631:EB631"/>
    <mergeCell ref="EC631:EG631"/>
    <mergeCell ref="BN647:BR647"/>
    <mergeCell ref="DX647:EB647"/>
    <mergeCell ref="EC647:EG647"/>
    <mergeCell ref="BS647:BW647"/>
    <mergeCell ref="EM646:EQ646"/>
    <mergeCell ref="EM617:EQ617"/>
    <mergeCell ref="ER617:EV617"/>
    <mergeCell ref="BS638:BW638"/>
    <mergeCell ref="BS646:BW646"/>
    <mergeCell ref="DR612:DV612"/>
    <mergeCell ref="DM612:DQ612"/>
    <mergeCell ref="DC616:DG616"/>
    <mergeCell ref="DH616:DL616"/>
    <mergeCell ref="CS615:CW615"/>
    <mergeCell ref="DM613:DQ613"/>
    <mergeCell ref="DR613:DV613"/>
    <mergeCell ref="BN627:BR627"/>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R657:EV657"/>
    <mergeCell ref="DX660:EB660"/>
    <mergeCell ref="EC660:EG660"/>
    <mergeCell ref="DX653:EB653"/>
    <mergeCell ref="ER660:EV660"/>
    <mergeCell ref="DX659:EB659"/>
    <mergeCell ref="DX658:EB658"/>
    <mergeCell ref="EC658:EG65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ER669:EV669"/>
    <mergeCell ref="ER668:EV668"/>
    <mergeCell ref="EM670:EQ670"/>
    <mergeCell ref="DX664:EB664"/>
    <mergeCell ref="EC664:EG664"/>
    <mergeCell ref="EH664:EL664"/>
    <mergeCell ref="EW665:FA665"/>
    <mergeCell ref="EW651:FA651"/>
    <mergeCell ref="EW649:FA649"/>
    <mergeCell ref="EW652:FA652"/>
    <mergeCell ref="EW641:FA641"/>
    <mergeCell ref="DX642:EB642"/>
    <mergeCell ref="EC642:EG642"/>
    <mergeCell ref="EH642:EL642"/>
    <mergeCell ref="EM642:EQ642"/>
    <mergeCell ref="ER642:EV642"/>
    <mergeCell ref="EW645:FA645"/>
    <mergeCell ref="EW646:FA646"/>
    <mergeCell ref="EW653:FA653"/>
    <mergeCell ref="DX649:EB649"/>
    <mergeCell ref="EH653:EL653"/>
    <mergeCell ref="EM653:EQ653"/>
    <mergeCell ref="DX644:EB644"/>
    <mergeCell ref="EC644:EG644"/>
    <mergeCell ref="EH644:EL644"/>
    <mergeCell ref="EW642:FA642"/>
    <mergeCell ref="EW643:FA643"/>
    <mergeCell ref="EW644:FA644"/>
    <mergeCell ref="EC641:EG641"/>
    <mergeCell ref="DX641:EB641"/>
    <mergeCell ref="EH649:EL649"/>
    <mergeCell ref="EM652:EQ652"/>
    <mergeCell ref="DX650:EB650"/>
    <mergeCell ref="EW660:FA660"/>
    <mergeCell ref="EW657:FA657"/>
    <mergeCell ref="EW654:FA654"/>
    <mergeCell ref="EM660:EQ660"/>
    <mergeCell ref="ER637:EV637"/>
    <mergeCell ref="EH640:EL640"/>
    <mergeCell ref="EM640:EQ640"/>
    <mergeCell ref="DX655:EB655"/>
    <mergeCell ref="EC650:EG650"/>
    <mergeCell ref="EC655:EG655"/>
    <mergeCell ref="EC653:EG653"/>
    <mergeCell ref="ER656:EV656"/>
    <mergeCell ref="ER646:EV646"/>
    <mergeCell ref="ER661:EV661"/>
    <mergeCell ref="EH639:EL639"/>
    <mergeCell ref="EM639:EQ639"/>
    <mergeCell ref="EC639:EG639"/>
    <mergeCell ref="EC643:EG643"/>
    <mergeCell ref="EH643:EL643"/>
    <mergeCell ref="EM643:EQ643"/>
    <mergeCell ref="EC648:EG648"/>
    <mergeCell ref="DX643:EB643"/>
    <mergeCell ref="EC649:EG649"/>
    <mergeCell ref="EH655:EL655"/>
    <mergeCell ref="EM655:EQ655"/>
    <mergeCell ref="EH647:EL647"/>
    <mergeCell ref="EM647:EQ647"/>
    <mergeCell ref="DX648:EB648"/>
    <mergeCell ref="EC640:EG640"/>
    <mergeCell ref="DX645:EB645"/>
    <mergeCell ref="EM654:EQ654"/>
    <mergeCell ref="ER654:EV654"/>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18:EG618"/>
    <mergeCell ref="EH618:EL618"/>
    <mergeCell ref="EM618:EQ618"/>
    <mergeCell ref="ER618:EV618"/>
    <mergeCell ref="EM619:EQ619"/>
    <mergeCell ref="EC621:EG621"/>
    <mergeCell ref="EW619:FA619"/>
    <mergeCell ref="EH621:EL621"/>
    <mergeCell ref="EM621:EQ621"/>
    <mergeCell ref="ER621:EV621"/>
    <mergeCell ref="EW621:FA621"/>
    <mergeCell ref="DX622:EB622"/>
    <mergeCell ref="EH619:EL619"/>
    <mergeCell ref="EC620:EG620"/>
    <mergeCell ref="EH620:EL620"/>
    <mergeCell ref="DX618:EB618"/>
    <mergeCell ref="EC622:EG622"/>
    <mergeCell ref="EH622:EL622"/>
    <mergeCell ref="EW611:FA611"/>
    <mergeCell ref="ER607:EV607"/>
    <mergeCell ref="EW607:FA607"/>
    <mergeCell ref="DX608:EB608"/>
    <mergeCell ref="EC608:EG608"/>
    <mergeCell ref="EW617:FA617"/>
    <mergeCell ref="EW616:FA616"/>
    <mergeCell ref="ER630:EV630"/>
    <mergeCell ref="EW630:FA630"/>
    <mergeCell ref="EM620:EQ620"/>
    <mergeCell ref="ER620:EV620"/>
    <mergeCell ref="EW620:FA620"/>
    <mergeCell ref="DX621:EB621"/>
    <mergeCell ref="DX612:EB612"/>
    <mergeCell ref="EH614:EL614"/>
    <mergeCell ref="EM630:EQ630"/>
    <mergeCell ref="DX617:EB617"/>
    <mergeCell ref="EC617:EG617"/>
    <mergeCell ref="EH617:EL617"/>
    <mergeCell ref="EM615:EQ615"/>
    <mergeCell ref="ER615:EV61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01:EQ601"/>
    <mergeCell ref="ER601:EV601"/>
    <mergeCell ref="EW601:FA601"/>
    <mergeCell ref="DX602:EB602"/>
    <mergeCell ref="EC602:EG602"/>
    <mergeCell ref="EH602:EL602"/>
    <mergeCell ref="EM602:EQ602"/>
    <mergeCell ref="ER602:EV602"/>
    <mergeCell ref="EW602:FA602"/>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6:EB606"/>
    <mergeCell ref="EC606:EG606"/>
    <mergeCell ref="EH606:EL606"/>
    <mergeCell ref="EM606:EQ606"/>
    <mergeCell ref="ER606:EV606"/>
    <mergeCell ref="EW606:FA606"/>
    <mergeCell ref="EW609:FA609"/>
    <mergeCell ref="DX610:EB610"/>
    <mergeCell ref="DX599:EB599"/>
    <mergeCell ref="EC599:EG599"/>
    <mergeCell ref="EH599:EL599"/>
    <mergeCell ref="EM599:EQ599"/>
    <mergeCell ref="ER599:EV599"/>
    <mergeCell ref="EW599:FA599"/>
    <mergeCell ref="EW600:FA600"/>
    <mergeCell ref="DX601:EB601"/>
    <mergeCell ref="EW603:FA603"/>
    <mergeCell ref="EH608:EL608"/>
    <mergeCell ref="EM608:EQ608"/>
    <mergeCell ref="ER608:EV608"/>
    <mergeCell ref="EW608:FA608"/>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EC601:EG601"/>
    <mergeCell ref="EH601:EL601"/>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R603:EV603"/>
    <mergeCell ref="ER610:EV610"/>
    <mergeCell ref="AA941:AF941"/>
    <mergeCell ref="W871:AC871"/>
    <mergeCell ref="F925:T925"/>
    <mergeCell ref="D987:Q987"/>
    <mergeCell ref="D988:Q988"/>
    <mergeCell ref="G732:J732"/>
    <mergeCell ref="O728:S728"/>
    <mergeCell ref="G725:J725"/>
    <mergeCell ref="K725:N725"/>
    <mergeCell ref="K728:N728"/>
    <mergeCell ref="O730:S730"/>
    <mergeCell ref="B730:F730"/>
    <mergeCell ref="O733:S733"/>
    <mergeCell ref="O732:S732"/>
    <mergeCell ref="DX603:EB603"/>
    <mergeCell ref="EC603:EG603"/>
    <mergeCell ref="EC610:EG610"/>
    <mergeCell ref="EH610:EL610"/>
    <mergeCell ref="EM610:EQ610"/>
    <mergeCell ref="ER611:EV611"/>
    <mergeCell ref="EM627:EQ627"/>
    <mergeCell ref="ER627:EV627"/>
    <mergeCell ref="ER628:EV628"/>
    <mergeCell ref="EH625:EL625"/>
    <mergeCell ref="EM625:EQ625"/>
    <mergeCell ref="DX654:EB654"/>
    <mergeCell ref="EC654:EG654"/>
    <mergeCell ref="EH654:EL654"/>
    <mergeCell ref="EM649:EQ649"/>
    <mergeCell ref="EM662:EQ662"/>
    <mergeCell ref="D1001:AE1005"/>
    <mergeCell ref="U940:Z940"/>
    <mergeCell ref="F931:T931"/>
    <mergeCell ref="EH603:EL603"/>
    <mergeCell ref="EM603:EQ603"/>
    <mergeCell ref="U946:Z946"/>
    <mergeCell ref="U944:Z944"/>
    <mergeCell ref="AA966:AG966"/>
    <mergeCell ref="AB956:AK956"/>
    <mergeCell ref="U948:Z948"/>
    <mergeCell ref="AE954:AK954"/>
    <mergeCell ref="U945:Z945"/>
    <mergeCell ref="AA945:AF945"/>
    <mergeCell ref="AJ986:AQ986"/>
    <mergeCell ref="AJ987:AQ987"/>
    <mergeCell ref="B991:AI991"/>
    <mergeCell ref="DX639:EB639"/>
    <mergeCell ref="DX646:EB646"/>
    <mergeCell ref="EC646:EG646"/>
    <mergeCell ref="EH646:EL646"/>
    <mergeCell ref="EM668:EQ668"/>
    <mergeCell ref="EH662:EL662"/>
    <mergeCell ref="CS645:CW645"/>
    <mergeCell ref="CX645:DB645"/>
    <mergeCell ref="EM636:EQ636"/>
    <mergeCell ref="DX637:EB637"/>
    <mergeCell ref="CS614:CW614"/>
    <mergeCell ref="DH646:DL646"/>
    <mergeCell ref="DM646:DQ646"/>
    <mergeCell ref="CX613:DB613"/>
    <mergeCell ref="BE631:BF631"/>
    <mergeCell ref="AB989:AI989"/>
    <mergeCell ref="EW610:FA610"/>
    <mergeCell ref="DX611:EB611"/>
    <mergeCell ref="EC611:EG611"/>
    <mergeCell ref="EH611:EL611"/>
    <mergeCell ref="EM611:EQ611"/>
    <mergeCell ref="EC612:EG612"/>
    <mergeCell ref="EH612:EL612"/>
    <mergeCell ref="DX607:EB607"/>
    <mergeCell ref="EC607:EG607"/>
    <mergeCell ref="EH607:EL607"/>
    <mergeCell ref="EM607:EQ607"/>
    <mergeCell ref="M960:S960"/>
    <mergeCell ref="AJ991:AQ991"/>
    <mergeCell ref="AJ992:AQ992"/>
    <mergeCell ref="D1012:AE1012"/>
    <mergeCell ref="AF992:AI992"/>
    <mergeCell ref="AC886:AH886"/>
    <mergeCell ref="W874:AC874"/>
    <mergeCell ref="W857:AC857"/>
    <mergeCell ref="AC894:AH894"/>
    <mergeCell ref="AA932:AF932"/>
    <mergeCell ref="AC883:AH883"/>
    <mergeCell ref="W863:AC863"/>
    <mergeCell ref="C893:AB893"/>
    <mergeCell ref="M974:S974"/>
    <mergeCell ref="D984:Q984"/>
    <mergeCell ref="AC890:AH890"/>
    <mergeCell ref="AC888:AH888"/>
    <mergeCell ref="M878:V878"/>
    <mergeCell ref="Z899:AE899"/>
    <mergeCell ref="AB987:AI987"/>
    <mergeCell ref="B746:F746"/>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1024:AH1024"/>
    <mergeCell ref="AJ1024:AQ1027"/>
    <mergeCell ref="AJ985:AQ985"/>
    <mergeCell ref="D986:Q986"/>
    <mergeCell ref="D985:Q985"/>
    <mergeCell ref="AA972:AG972"/>
    <mergeCell ref="AG1035:AH1035"/>
    <mergeCell ref="D1025:AE1027"/>
    <mergeCell ref="AA974:AG974"/>
    <mergeCell ref="T972:Z972"/>
    <mergeCell ref="W973:AG973"/>
    <mergeCell ref="M972:S972"/>
    <mergeCell ref="M971:S971"/>
    <mergeCell ref="D1010:AE1010"/>
    <mergeCell ref="D1011:AE1011"/>
    <mergeCell ref="AF1026:AI1027"/>
    <mergeCell ref="D1016:AE1018"/>
    <mergeCell ref="R986:AA986"/>
    <mergeCell ref="AB984:AI984"/>
    <mergeCell ref="AB985:AI985"/>
    <mergeCell ref="B750:F750"/>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H737:AJ737"/>
    <mergeCell ref="AH738:AJ738"/>
    <mergeCell ref="AG449:AJ449"/>
    <mergeCell ref="Z597:AE597"/>
    <mergeCell ref="Z683:AK683"/>
    <mergeCell ref="Z678:AK678"/>
    <mergeCell ref="Z669:AK669"/>
    <mergeCell ref="E707:AK707"/>
    <mergeCell ref="W706:AK706"/>
    <mergeCell ref="W561:Y561"/>
    <mergeCell ref="W562:Y562"/>
    <mergeCell ref="C560:L560"/>
    <mergeCell ref="P418:R418"/>
    <mergeCell ref="D1091:AK1093"/>
    <mergeCell ref="G686:R686"/>
    <mergeCell ref="N689:O689"/>
    <mergeCell ref="G734:J734"/>
    <mergeCell ref="AJ988:AQ988"/>
    <mergeCell ref="O737:S737"/>
    <mergeCell ref="O738:S738"/>
    <mergeCell ref="AG993:AH993"/>
    <mergeCell ref="O783:S786"/>
    <mergeCell ref="K741:N741"/>
    <mergeCell ref="B752:F752"/>
    <mergeCell ref="B753:F753"/>
    <mergeCell ref="O735:S735"/>
    <mergeCell ref="T738:W738"/>
    <mergeCell ref="B735:F735"/>
    <mergeCell ref="B738:F738"/>
    <mergeCell ref="T733:W733"/>
    <mergeCell ref="O734:S734"/>
    <mergeCell ref="K739:N739"/>
    <mergeCell ref="T749:W749"/>
    <mergeCell ref="K750:N750"/>
    <mergeCell ref="B733:F733"/>
    <mergeCell ref="O746:S746"/>
    <mergeCell ref="T742:W742"/>
    <mergeCell ref="O747:S747"/>
    <mergeCell ref="M831:P831"/>
    <mergeCell ref="B734:F734"/>
    <mergeCell ref="W855:AC855"/>
    <mergeCell ref="AC892:AH892"/>
    <mergeCell ref="Z687:AE687"/>
    <mergeCell ref="AH718:AJ718"/>
    <mergeCell ref="B741:F741"/>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40:AB740"/>
    <mergeCell ref="C828:H828"/>
    <mergeCell ref="M828:P828"/>
    <mergeCell ref="C827:H827"/>
    <mergeCell ref="K743:N743"/>
    <mergeCell ref="O773:S773"/>
    <mergeCell ref="O793:S793"/>
    <mergeCell ref="J790:N790"/>
    <mergeCell ref="AC789:AG789"/>
    <mergeCell ref="AC790:AG790"/>
    <mergeCell ref="A1103:B1103"/>
    <mergeCell ref="BG975:BL975"/>
    <mergeCell ref="AA949:AF949"/>
    <mergeCell ref="Y830:AB830"/>
    <mergeCell ref="U921:Z921"/>
    <mergeCell ref="AA923:AF923"/>
    <mergeCell ref="M968:S968"/>
    <mergeCell ref="M846:V846"/>
    <mergeCell ref="W843:AC843"/>
    <mergeCell ref="J849:V849"/>
    <mergeCell ref="AC893:AH893"/>
    <mergeCell ref="AA943:AF943"/>
    <mergeCell ref="M957:S957"/>
    <mergeCell ref="AA970:AG970"/>
    <mergeCell ref="AE957:AK957"/>
    <mergeCell ref="AE955:AK955"/>
    <mergeCell ref="AA946:AF946"/>
    <mergeCell ref="AE961:AK961"/>
    <mergeCell ref="U949:Z949"/>
    <mergeCell ref="AA944:AF944"/>
    <mergeCell ref="U943:Z943"/>
    <mergeCell ref="F915:T916"/>
    <mergeCell ref="Q830:T830"/>
    <mergeCell ref="M958:S958"/>
    <mergeCell ref="U930:Z930"/>
    <mergeCell ref="AA935:AF935"/>
    <mergeCell ref="AA933:AF933"/>
    <mergeCell ref="U920:Z920"/>
    <mergeCell ref="AA920:AF920"/>
    <mergeCell ref="BD909:BE909"/>
    <mergeCell ref="M959:S959"/>
    <mergeCell ref="Z900:AE900"/>
    <mergeCell ref="W878:AC878"/>
    <mergeCell ref="BG848:BL848"/>
    <mergeCell ref="AH731:AJ731"/>
    <mergeCell ref="G655:L655"/>
    <mergeCell ref="M875:V875"/>
    <mergeCell ref="O790:S790"/>
    <mergeCell ref="O731:S731"/>
    <mergeCell ref="AA664:AK664"/>
    <mergeCell ref="P655:R655"/>
    <mergeCell ref="AB916:AE916"/>
    <mergeCell ref="AA921:AF921"/>
    <mergeCell ref="AA924:AF924"/>
    <mergeCell ref="AA919:AF919"/>
    <mergeCell ref="AA918:AF918"/>
    <mergeCell ref="AK738:AO738"/>
    <mergeCell ref="AG829:AJ829"/>
    <mergeCell ref="AC748:AG748"/>
    <mergeCell ref="AC749:AG749"/>
    <mergeCell ref="U831:X831"/>
    <mergeCell ref="Q831:T831"/>
    <mergeCell ref="BD903:BE903"/>
    <mergeCell ref="U919:Z919"/>
    <mergeCell ref="U914:Z916"/>
    <mergeCell ref="U917:Z917"/>
    <mergeCell ref="W849:AC849"/>
    <mergeCell ref="M877:V877"/>
    <mergeCell ref="W869:AC869"/>
    <mergeCell ref="AZ851:BA851"/>
    <mergeCell ref="W876:AC876"/>
    <mergeCell ref="Z817:AE817"/>
    <mergeCell ref="X795:AB795"/>
    <mergeCell ref="J783:N786"/>
    <mergeCell ref="O741:S741"/>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AC744:AG744"/>
    <mergeCell ref="AC745:AG745"/>
    <mergeCell ref="AC746:AG746"/>
    <mergeCell ref="U827:X827"/>
    <mergeCell ref="X788:AB788"/>
    <mergeCell ref="T734:W734"/>
    <mergeCell ref="X737:AB737"/>
    <mergeCell ref="T736:W736"/>
    <mergeCell ref="AK731:AO731"/>
    <mergeCell ref="Z807:AE807"/>
    <mergeCell ref="AD759:AF759"/>
    <mergeCell ref="AH736:AJ736"/>
    <mergeCell ref="AA672:AK672"/>
    <mergeCell ref="Z684:AK684"/>
    <mergeCell ref="T721:W721"/>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CB796:CH796"/>
    <mergeCell ref="BN796:BO796"/>
    <mergeCell ref="BN638:BR638"/>
    <mergeCell ref="BE625:BF625"/>
    <mergeCell ref="BG628:BH628"/>
    <mergeCell ref="BI628:BJ628"/>
    <mergeCell ref="O725:S725"/>
    <mergeCell ref="B726:F726"/>
    <mergeCell ref="T752:W752"/>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R616:DV616"/>
    <mergeCell ref="CX616:DB616"/>
    <mergeCell ref="DM609:DQ609"/>
    <mergeCell ref="DR609:DV609"/>
    <mergeCell ref="CS609:CW609"/>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04:DV604"/>
    <mergeCell ref="DR602:DV602"/>
    <mergeCell ref="DC604:DG604"/>
    <mergeCell ref="DH604:DL604"/>
    <mergeCell ref="DR597:DV597"/>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1:CW601"/>
    <mergeCell ref="CX598:DB598"/>
    <mergeCell ref="DM599:DQ599"/>
    <mergeCell ref="DM601:DQ601"/>
    <mergeCell ref="DM597:DQ597"/>
    <mergeCell ref="DM600:DQ600"/>
    <mergeCell ref="CS599:CW599"/>
    <mergeCell ref="CS597:CW597"/>
    <mergeCell ref="DH600:DL600"/>
    <mergeCell ref="DM603:DQ603"/>
    <mergeCell ref="CX603:DB603"/>
    <mergeCell ref="DR603:DV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CS605:CW605"/>
    <mergeCell ref="CX605:DB605"/>
    <mergeCell ref="DC605:DG605"/>
    <mergeCell ref="DC609:DG609"/>
    <mergeCell ref="CH605:CL605"/>
    <mergeCell ref="CM604:CQ604"/>
    <mergeCell ref="CM600:CQ600"/>
    <mergeCell ref="CM608:CQ608"/>
    <mergeCell ref="CM609:CQ609"/>
    <mergeCell ref="CM610:CQ610"/>
    <mergeCell ref="CX609:DB609"/>
    <mergeCell ref="CH604:CL604"/>
    <mergeCell ref="CS600:CW600"/>
    <mergeCell ref="DC600:DG600"/>
    <mergeCell ref="CX600:DB600"/>
    <mergeCell ref="CX601:DB601"/>
    <mergeCell ref="CS603:CW603"/>
    <mergeCell ref="CS596:CW596"/>
    <mergeCell ref="CS598:CW598"/>
    <mergeCell ref="BS601:BW601"/>
    <mergeCell ref="BX601:CB601"/>
    <mergeCell ref="CX607:DB607"/>
    <mergeCell ref="DC607:DG607"/>
    <mergeCell ref="DH607:DL607"/>
    <mergeCell ref="DM606:DQ606"/>
    <mergeCell ref="BS600:BW600"/>
    <mergeCell ref="CS607:CW607"/>
    <mergeCell ref="CM596:CQ596"/>
    <mergeCell ref="CM597:CQ597"/>
    <mergeCell ref="CM598:CQ598"/>
    <mergeCell ref="CM599:CQ599"/>
    <mergeCell ref="DH602:DL602"/>
    <mergeCell ref="DM604:DQ604"/>
    <mergeCell ref="DH605:DL605"/>
    <mergeCell ref="CC601:CG601"/>
    <mergeCell ref="CH596:CL596"/>
    <mergeCell ref="CH601:CL601"/>
    <mergeCell ref="DH596:DL596"/>
    <mergeCell ref="CC599:CG599"/>
    <mergeCell ref="CC603:CG603"/>
    <mergeCell ref="DC596:DG596"/>
    <mergeCell ref="CC602:CG602"/>
    <mergeCell ref="CH599:CL599"/>
    <mergeCell ref="CH602:CL602"/>
    <mergeCell ref="CH603:CL603"/>
    <mergeCell ref="DM605:DQ605"/>
    <mergeCell ref="CX596:DB596"/>
    <mergeCell ref="CC596:CG596"/>
    <mergeCell ref="CS604:CW604"/>
    <mergeCell ref="G589:L589"/>
    <mergeCell ref="G581:L581"/>
    <mergeCell ref="P572:R572"/>
    <mergeCell ref="AM563:AS563"/>
    <mergeCell ref="T551:V553"/>
    <mergeCell ref="AM566:AS566"/>
    <mergeCell ref="Z572:AE572"/>
    <mergeCell ref="AM562:AS562"/>
    <mergeCell ref="Z581:AE581"/>
    <mergeCell ref="BG597:BH597"/>
    <mergeCell ref="BI597:BJ597"/>
    <mergeCell ref="BG601:BH601"/>
    <mergeCell ref="BE601:BF601"/>
    <mergeCell ref="AH542:AK542"/>
    <mergeCell ref="AE565:AH565"/>
    <mergeCell ref="Z561:AD561"/>
    <mergeCell ref="AE561:AH561"/>
    <mergeCell ref="T563:V563"/>
    <mergeCell ref="Q560:S560"/>
    <mergeCell ref="Q565:S565"/>
    <mergeCell ref="Q561:S561"/>
    <mergeCell ref="AE554:AH554"/>
    <mergeCell ref="Z556:AD556"/>
    <mergeCell ref="AI555:AL555"/>
    <mergeCell ref="C558:L558"/>
    <mergeCell ref="W551:Y553"/>
    <mergeCell ref="AE558:AH558"/>
    <mergeCell ref="AG450:AJ450"/>
    <mergeCell ref="AC455:AF455"/>
    <mergeCell ref="M355:N355"/>
    <mergeCell ref="D439:AF439"/>
    <mergeCell ref="H331:M331"/>
    <mergeCell ref="W565:Y565"/>
    <mergeCell ref="H341:R341"/>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AH529:AK529"/>
    <mergeCell ref="O535:AA535"/>
    <mergeCell ref="O532:AA532"/>
    <mergeCell ref="AH539:AK539"/>
    <mergeCell ref="AH541:AK541"/>
    <mergeCell ref="AC535:AF535"/>
    <mergeCell ref="AI554:AL554"/>
    <mergeCell ref="W557:Y557"/>
    <mergeCell ref="AH533:AK533"/>
    <mergeCell ref="Z554:AD554"/>
    <mergeCell ref="C562:L562"/>
    <mergeCell ref="BE605:BF605"/>
    <mergeCell ref="CH597:CL597"/>
    <mergeCell ref="CH598:CL598"/>
    <mergeCell ref="BX610:CB610"/>
    <mergeCell ref="BI610:BJ610"/>
    <mergeCell ref="BK610:BL610"/>
    <mergeCell ref="BN610:BR610"/>
    <mergeCell ref="AM557:AS557"/>
    <mergeCell ref="AM554:AS554"/>
    <mergeCell ref="Z585:AK585"/>
    <mergeCell ref="BE598:BF598"/>
    <mergeCell ref="BG600:BH600"/>
    <mergeCell ref="AG599:AH599"/>
    <mergeCell ref="AI597:AK597"/>
    <mergeCell ref="P581:R581"/>
    <mergeCell ref="AA582:AK582"/>
    <mergeCell ref="BX599:CB599"/>
    <mergeCell ref="CC600:CG600"/>
    <mergeCell ref="BN596:BR596"/>
    <mergeCell ref="CC598:CG598"/>
    <mergeCell ref="BK598:BL598"/>
    <mergeCell ref="BK600:BL600"/>
    <mergeCell ref="BE597:BF597"/>
    <mergeCell ref="CC597:CG597"/>
    <mergeCell ref="Z559:AD559"/>
    <mergeCell ref="Z560:AD560"/>
    <mergeCell ref="T554:V554"/>
    <mergeCell ref="Q554:S554"/>
    <mergeCell ref="W558:Y558"/>
    <mergeCell ref="CC607:CG607"/>
    <mergeCell ref="CC609:CG609"/>
    <mergeCell ref="BK609:BL609"/>
    <mergeCell ref="Z627:AB627"/>
    <mergeCell ref="BK613:BL613"/>
    <mergeCell ref="Z613:AE613"/>
    <mergeCell ref="AA614:AK614"/>
    <mergeCell ref="BE614:BF614"/>
    <mergeCell ref="BE622:BF622"/>
    <mergeCell ref="BN597:BR597"/>
    <mergeCell ref="BX611:CB611"/>
    <mergeCell ref="BX614:CB614"/>
    <mergeCell ref="BE621:BF621"/>
    <mergeCell ref="BG608:BH608"/>
    <mergeCell ref="BK605:BL605"/>
    <mergeCell ref="CH617:CL617"/>
    <mergeCell ref="BE616:BF616"/>
    <mergeCell ref="BE613:BF613"/>
    <mergeCell ref="BN626:BR626"/>
    <mergeCell ref="BI618:BJ618"/>
    <mergeCell ref="BK618:BL618"/>
    <mergeCell ref="BX613:CB613"/>
    <mergeCell ref="CC613:CG613"/>
    <mergeCell ref="BG614:BH614"/>
    <mergeCell ref="CH611:CL611"/>
    <mergeCell ref="BS611:BW611"/>
    <mergeCell ref="BG609:BH609"/>
    <mergeCell ref="BK616:BL616"/>
    <mergeCell ref="BS616:BW616"/>
    <mergeCell ref="BI625:BJ625"/>
    <mergeCell ref="BK625:BL625"/>
    <mergeCell ref="BX600:CB600"/>
    <mergeCell ref="BG602:BH602"/>
    <mergeCell ref="BK602:BL602"/>
    <mergeCell ref="CH607:CL607"/>
    <mergeCell ref="BE630:BF630"/>
    <mergeCell ref="BS617:BW617"/>
    <mergeCell ref="BG615:BH615"/>
    <mergeCell ref="CH610:CL610"/>
    <mergeCell ref="CH608:CL608"/>
    <mergeCell ref="BX616:CB616"/>
    <mergeCell ref="BS614:BW614"/>
    <mergeCell ref="BX630:CB630"/>
    <mergeCell ref="BI608:BJ608"/>
    <mergeCell ref="BG610:BH610"/>
    <mergeCell ref="BN605:BR605"/>
    <mergeCell ref="CC608:CG608"/>
    <mergeCell ref="CH606:CL606"/>
    <mergeCell ref="CH616:CL616"/>
    <mergeCell ref="CH614:CL614"/>
    <mergeCell ref="CH624:CL624"/>
    <mergeCell ref="CH620:CL620"/>
    <mergeCell ref="CC605:CG605"/>
    <mergeCell ref="BN629:BR629"/>
    <mergeCell ref="BX618:CB618"/>
    <mergeCell ref="BS608:BW608"/>
    <mergeCell ref="BN608:BR608"/>
    <mergeCell ref="BX608:CB608"/>
    <mergeCell ref="CC610:CG610"/>
    <mergeCell ref="BK621:BL621"/>
    <mergeCell ref="BG627:BH627"/>
    <mergeCell ref="BI627:BJ627"/>
    <mergeCell ref="BK627:BL627"/>
    <mergeCell ref="BG613:BH613"/>
    <mergeCell ref="BK615:BL615"/>
    <mergeCell ref="CC614:CG614"/>
    <mergeCell ref="BN615:BR615"/>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19:CG619"/>
    <mergeCell ref="BE617:BF617"/>
    <mergeCell ref="CH613:CL613"/>
    <mergeCell ref="BE620:BF620"/>
    <mergeCell ref="BG620:BH620"/>
    <mergeCell ref="BI620:BJ620"/>
    <mergeCell ref="BK620:BL620"/>
    <mergeCell ref="BI615:BJ615"/>
    <mergeCell ref="BK611:BL611"/>
    <mergeCell ref="CM612:CQ612"/>
    <mergeCell ref="CM613:CQ613"/>
    <mergeCell ref="CM614:CQ614"/>
    <mergeCell ref="CM615:CQ615"/>
    <mergeCell ref="CH612:CL612"/>
    <mergeCell ref="CC612:CG612"/>
    <mergeCell ref="BX619:CB619"/>
    <mergeCell ref="BX615:CB615"/>
    <mergeCell ref="BG611:BH611"/>
    <mergeCell ref="BI612:BJ612"/>
    <mergeCell ref="BN618:BR618"/>
    <mergeCell ref="BK617:BL617"/>
    <mergeCell ref="BS620:BW620"/>
    <mergeCell ref="BX620:CB620"/>
    <mergeCell ref="CC616:CG616"/>
    <mergeCell ref="CC618:CG618"/>
    <mergeCell ref="BG622:BH622"/>
    <mergeCell ref="BI622:BJ622"/>
    <mergeCell ref="BS613:BW613"/>
    <mergeCell ref="CC623:CG623"/>
    <mergeCell ref="BG616:BH616"/>
    <mergeCell ref="BI619:BJ619"/>
    <mergeCell ref="BS624:BW624"/>
    <mergeCell ref="BN620:BR620"/>
    <mergeCell ref="BG621:BH621"/>
    <mergeCell ref="BS623:BW623"/>
    <mergeCell ref="BK624:BL624"/>
    <mergeCell ref="BN624:BR624"/>
    <mergeCell ref="BN625:BR625"/>
    <mergeCell ref="BN622:BR622"/>
    <mergeCell ref="BS622:BW622"/>
    <mergeCell ref="CC621:CG621"/>
    <mergeCell ref="BI621:BJ621"/>
    <mergeCell ref="CC620:CG620"/>
    <mergeCell ref="BX624:CB624"/>
    <mergeCell ref="BG625:BH625"/>
    <mergeCell ref="BI614:BJ614"/>
    <mergeCell ref="BS619:BW619"/>
    <mergeCell ref="CC625:CG625"/>
    <mergeCell ref="BG624:BH624"/>
    <mergeCell ref="BI624:BJ624"/>
    <mergeCell ref="BK622:BL622"/>
    <mergeCell ref="BK628:BL628"/>
    <mergeCell ref="AF632:AJ632"/>
    <mergeCell ref="AC630:AE630"/>
    <mergeCell ref="AC631:AE631"/>
    <mergeCell ref="AC632:AE632"/>
    <mergeCell ref="W636:Y636"/>
    <mergeCell ref="Q631:S631"/>
    <mergeCell ref="Q632:S632"/>
    <mergeCell ref="Q633:S633"/>
    <mergeCell ref="BI630:BJ630"/>
    <mergeCell ref="W637:Y637"/>
    <mergeCell ref="AO633:AS633"/>
    <mergeCell ref="Z628:AB628"/>
    <mergeCell ref="Z629:AB629"/>
    <mergeCell ref="T635:V635"/>
    <mergeCell ref="AO624:AS626"/>
    <mergeCell ref="AF635:AJ635"/>
    <mergeCell ref="AO635:AS635"/>
    <mergeCell ref="Z635:AB635"/>
    <mergeCell ref="AO637:AS637"/>
    <mergeCell ref="AO632:AS632"/>
    <mergeCell ref="AO628:AS628"/>
    <mergeCell ref="AO631:AS631"/>
    <mergeCell ref="AO630:AS630"/>
    <mergeCell ref="AO636:AS636"/>
    <mergeCell ref="AO627:AS627"/>
    <mergeCell ref="BE624:BF624"/>
    <mergeCell ref="Z634:AB634"/>
    <mergeCell ref="AF637:AJ637"/>
    <mergeCell ref="BG630:BH630"/>
    <mergeCell ref="AF624:AJ626"/>
    <mergeCell ref="BE628:BF628"/>
    <mergeCell ref="T628:V628"/>
    <mergeCell ref="Q624:S626"/>
    <mergeCell ref="AK624:AN626"/>
    <mergeCell ref="Q634:S634"/>
    <mergeCell ref="AK633:AN633"/>
    <mergeCell ref="D1070:AK1075"/>
    <mergeCell ref="U942:Z942"/>
    <mergeCell ref="AA971:AG971"/>
    <mergeCell ref="R987:AA987"/>
    <mergeCell ref="M955:S955"/>
    <mergeCell ref="R984:AA984"/>
    <mergeCell ref="A978:AT980"/>
    <mergeCell ref="AJ984:AQ984"/>
    <mergeCell ref="U939:Z939"/>
    <mergeCell ref="D1036:AE1039"/>
    <mergeCell ref="I945:T945"/>
    <mergeCell ref="AC624:AE626"/>
    <mergeCell ref="AK628:AN628"/>
    <mergeCell ref="AK637:AN637"/>
    <mergeCell ref="AK638:AN638"/>
    <mergeCell ref="AF633:AJ633"/>
    <mergeCell ref="AC629:AE629"/>
    <mergeCell ref="G646:R646"/>
    <mergeCell ref="Z644:AK644"/>
    <mergeCell ref="T636:V636"/>
    <mergeCell ref="T637:V637"/>
    <mergeCell ref="T631:V631"/>
    <mergeCell ref="T632:V632"/>
    <mergeCell ref="T633:V633"/>
    <mergeCell ref="F928:T928"/>
    <mergeCell ref="F929:T929"/>
    <mergeCell ref="T774:W774"/>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D1083:AK1085"/>
    <mergeCell ref="AJ1052:AQ1052"/>
    <mergeCell ref="AA968:AG968"/>
    <mergeCell ref="T971:Z971"/>
    <mergeCell ref="AA940:AF940"/>
    <mergeCell ref="U937:Z937"/>
    <mergeCell ref="D1086:AK1090"/>
    <mergeCell ref="AG1048:AH1048"/>
    <mergeCell ref="AG1040:AH1040"/>
    <mergeCell ref="AJ1000:AQ1005"/>
    <mergeCell ref="AJ1019:AQ1023"/>
    <mergeCell ref="D1019:AE1020"/>
    <mergeCell ref="AB990:AI990"/>
    <mergeCell ref="D1024:AE1024"/>
    <mergeCell ref="AF1025:AI1025"/>
    <mergeCell ref="AA967:AG967"/>
    <mergeCell ref="D994:AE997"/>
    <mergeCell ref="W842:AC842"/>
    <mergeCell ref="W847:AC847"/>
    <mergeCell ref="D1064:AK1069"/>
    <mergeCell ref="J773:N773"/>
    <mergeCell ref="D1076:AK1082"/>
    <mergeCell ref="M967:S967"/>
    <mergeCell ref="R985:AA985"/>
    <mergeCell ref="D1049:AE1050"/>
    <mergeCell ref="X1047:Y1047"/>
    <mergeCell ref="X1051:Y1051"/>
    <mergeCell ref="I1047:J1047"/>
    <mergeCell ref="I1051:J1051"/>
    <mergeCell ref="AJ993:AQ999"/>
    <mergeCell ref="AJ1006:AQ1009"/>
    <mergeCell ref="AJ1010:AQ1011"/>
    <mergeCell ref="AG1031:AH1031"/>
    <mergeCell ref="D1000:AE1000"/>
    <mergeCell ref="F938:T938"/>
    <mergeCell ref="F939:T939"/>
    <mergeCell ref="U936:Z936"/>
    <mergeCell ref="AA936:AF936"/>
    <mergeCell ref="U928:Z928"/>
    <mergeCell ref="AA928:AF928"/>
    <mergeCell ref="U929:Z929"/>
    <mergeCell ref="AA929:AF929"/>
    <mergeCell ref="D1052:AI1052"/>
    <mergeCell ref="D1048:AE1048"/>
    <mergeCell ref="U947:Z947"/>
    <mergeCell ref="D1045:AE1046"/>
    <mergeCell ref="U925:Z925"/>
    <mergeCell ref="AA925:AF925"/>
    <mergeCell ref="X783:AB786"/>
    <mergeCell ref="T638:V638"/>
    <mergeCell ref="AF634:AJ634"/>
    <mergeCell ref="AF638:AJ638"/>
    <mergeCell ref="W635:Y635"/>
    <mergeCell ref="B639:AN639"/>
    <mergeCell ref="B640:AN640"/>
    <mergeCell ref="G684:R684"/>
    <mergeCell ref="AC718:AG718"/>
    <mergeCell ref="X741:AB741"/>
    <mergeCell ref="T727:W727"/>
    <mergeCell ref="U826:X826"/>
    <mergeCell ref="AK714:AO717"/>
    <mergeCell ref="AK718:AO718"/>
    <mergeCell ref="AK719:AO719"/>
    <mergeCell ref="C830:H830"/>
    <mergeCell ref="K737:N737"/>
    <mergeCell ref="AH740:AJ740"/>
    <mergeCell ref="Y825:AB825"/>
    <mergeCell ref="K727:N727"/>
    <mergeCell ref="AG825:AJ825"/>
    <mergeCell ref="O797:S797"/>
    <mergeCell ref="Z813:AE813"/>
    <mergeCell ref="M829:P829"/>
    <mergeCell ref="Z815:AE815"/>
    <mergeCell ref="Z808:AE808"/>
    <mergeCell ref="O727:S727"/>
    <mergeCell ref="O726:S726"/>
    <mergeCell ref="B737:F737"/>
    <mergeCell ref="AC753:AG753"/>
    <mergeCell ref="O753:S753"/>
    <mergeCell ref="Z814:AE814"/>
    <mergeCell ref="K733:N733"/>
    <mergeCell ref="U926:Z926"/>
    <mergeCell ref="AA926:AF926"/>
    <mergeCell ref="AA927:AF927"/>
    <mergeCell ref="D1035:AE1035"/>
    <mergeCell ref="D1006:AE1006"/>
    <mergeCell ref="R989:AA989"/>
    <mergeCell ref="D1028:AE1028"/>
    <mergeCell ref="B990:AA990"/>
    <mergeCell ref="D993:AE993"/>
    <mergeCell ref="D999:AE999"/>
    <mergeCell ref="BD905:BF905"/>
    <mergeCell ref="BD904:BF904"/>
    <mergeCell ref="Z901:AE901"/>
    <mergeCell ref="AC891:AH891"/>
    <mergeCell ref="A909:AT910"/>
    <mergeCell ref="BD906:BE906"/>
    <mergeCell ref="BD907:BE907"/>
    <mergeCell ref="U918:Z918"/>
    <mergeCell ref="U927:Z927"/>
    <mergeCell ref="AA922:AF922"/>
    <mergeCell ref="F926:T926"/>
    <mergeCell ref="F927:T927"/>
    <mergeCell ref="D998:AE998"/>
    <mergeCell ref="AA942:AF942"/>
    <mergeCell ref="I946:T946"/>
    <mergeCell ref="U934:Z934"/>
    <mergeCell ref="AE958:AK958"/>
    <mergeCell ref="AB986:AI986"/>
    <mergeCell ref="R988:AA988"/>
    <mergeCell ref="AJ989:AQ989"/>
    <mergeCell ref="F937:T937"/>
    <mergeCell ref="J1023:AE1023"/>
    <mergeCell ref="AC887:AH887"/>
    <mergeCell ref="BD902:BE902"/>
    <mergeCell ref="Z898:AE898"/>
    <mergeCell ref="U931:Z931"/>
    <mergeCell ref="AA931:AF931"/>
    <mergeCell ref="U923:Z923"/>
    <mergeCell ref="U922:Z922"/>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M861:V861"/>
    <mergeCell ref="M874:V874"/>
    <mergeCell ref="E885:AB885"/>
    <mergeCell ref="W859:AC859"/>
    <mergeCell ref="W877:AC877"/>
    <mergeCell ref="W853:AC853"/>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6:AJ826"/>
    <mergeCell ref="AG831:AJ831"/>
    <mergeCell ref="M830:P830"/>
    <mergeCell ref="T791:W791"/>
    <mergeCell ref="T787:W787"/>
    <mergeCell ref="T788:W788"/>
    <mergeCell ref="T789:W789"/>
    <mergeCell ref="Y831:AB831"/>
    <mergeCell ref="AC776:AG776"/>
    <mergeCell ref="Q828:T828"/>
    <mergeCell ref="M827:P827"/>
    <mergeCell ref="M823:P824"/>
    <mergeCell ref="Q827:T827"/>
    <mergeCell ref="Q825:T825"/>
    <mergeCell ref="AC828:AF828"/>
    <mergeCell ref="AG827:AJ827"/>
    <mergeCell ref="X790:AB790"/>
    <mergeCell ref="X791:AB791"/>
    <mergeCell ref="Y826:AB826"/>
    <mergeCell ref="T794:W794"/>
    <mergeCell ref="T792:W792"/>
    <mergeCell ref="AG828:AJ828"/>
    <mergeCell ref="O794:S794"/>
    <mergeCell ref="AC793:AG793"/>
    <mergeCell ref="X776:AB776"/>
    <mergeCell ref="AC783:AG786"/>
    <mergeCell ref="J791:N791"/>
    <mergeCell ref="X792:AB792"/>
    <mergeCell ref="X793:AB793"/>
    <mergeCell ref="T783:W786"/>
    <mergeCell ref="J794:N794"/>
    <mergeCell ref="J789:N789"/>
    <mergeCell ref="T790:W790"/>
    <mergeCell ref="K752:N752"/>
    <mergeCell ref="O750:S750"/>
    <mergeCell ref="O774:S774"/>
    <mergeCell ref="AC750:AG750"/>
    <mergeCell ref="AC751:AG751"/>
    <mergeCell ref="O745:S745"/>
    <mergeCell ref="Z818:AE818"/>
    <mergeCell ref="AC826:AF826"/>
    <mergeCell ref="O769:S772"/>
    <mergeCell ref="U823:X824"/>
    <mergeCell ref="Z806:AE806"/>
    <mergeCell ref="O777:S777"/>
    <mergeCell ref="T744:W744"/>
    <mergeCell ref="K745:N745"/>
    <mergeCell ref="K734:N734"/>
    <mergeCell ref="AC739:AG739"/>
    <mergeCell ref="AC825:AF825"/>
    <mergeCell ref="M826:P826"/>
    <mergeCell ref="X789:AB789"/>
    <mergeCell ref="X734:AB734"/>
    <mergeCell ref="T769:W772"/>
    <mergeCell ref="X787:AB787"/>
    <mergeCell ref="X796:AB796"/>
    <mergeCell ref="K746:N746"/>
    <mergeCell ref="X751:AB751"/>
    <mergeCell ref="T740:W740"/>
    <mergeCell ref="G729:J729"/>
    <mergeCell ref="AC742:AG742"/>
    <mergeCell ref="AC743:AG743"/>
    <mergeCell ref="B727:F727"/>
    <mergeCell ref="AC752:AG752"/>
    <mergeCell ref="P816:Y816"/>
    <mergeCell ref="O788:S788"/>
    <mergeCell ref="O795:S795"/>
    <mergeCell ref="AC791:AG791"/>
    <mergeCell ref="AC792:AG792"/>
    <mergeCell ref="O787:S787"/>
    <mergeCell ref="Q826:T826"/>
    <mergeCell ref="Y823:AB824"/>
    <mergeCell ref="AC747:AG747"/>
    <mergeCell ref="K748:N748"/>
    <mergeCell ref="O748:S748"/>
    <mergeCell ref="T775:W775"/>
    <mergeCell ref="C763:AR765"/>
    <mergeCell ref="C766:AR768"/>
    <mergeCell ref="K749:N749"/>
    <mergeCell ref="X752:AB752"/>
    <mergeCell ref="B751:F751"/>
    <mergeCell ref="O756:R756"/>
    <mergeCell ref="AG756:AJ756"/>
    <mergeCell ref="B736:F736"/>
    <mergeCell ref="T746:W746"/>
    <mergeCell ref="B732:F732"/>
    <mergeCell ref="AK742:AO742"/>
    <mergeCell ref="X742:AB742"/>
    <mergeCell ref="J792:N792"/>
    <mergeCell ref="J793:N793"/>
    <mergeCell ref="AC729:AG729"/>
    <mergeCell ref="O729:S729"/>
    <mergeCell ref="M825:P825"/>
    <mergeCell ref="C825:H825"/>
    <mergeCell ref="G752:J752"/>
    <mergeCell ref="Y801:AC801"/>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X723:AB723"/>
    <mergeCell ref="T722:W722"/>
    <mergeCell ref="T720:W720"/>
    <mergeCell ref="O789:S789"/>
    <mergeCell ref="J775:N775"/>
    <mergeCell ref="K726:N726"/>
    <mergeCell ref="AH714:AJ717"/>
    <mergeCell ref="AH725:AJ725"/>
    <mergeCell ref="O775:S775"/>
    <mergeCell ref="O776:S776"/>
    <mergeCell ref="X769:AB772"/>
    <mergeCell ref="X775:AB775"/>
    <mergeCell ref="AC775:AG775"/>
    <mergeCell ref="X773:AB773"/>
    <mergeCell ref="K729:N729"/>
    <mergeCell ref="AG823:AJ824"/>
    <mergeCell ref="AC797:AG797"/>
    <mergeCell ref="AC787:AG787"/>
    <mergeCell ref="AH726:AJ726"/>
    <mergeCell ref="Z646:AK646"/>
    <mergeCell ref="M638:P638"/>
    <mergeCell ref="I418:K418"/>
    <mergeCell ref="G647:L647"/>
    <mergeCell ref="Z631:AB631"/>
    <mergeCell ref="AE559:AH559"/>
    <mergeCell ref="AI559:AL559"/>
    <mergeCell ref="P663:R663"/>
    <mergeCell ref="G659:R659"/>
    <mergeCell ref="G721:J721"/>
    <mergeCell ref="G722:J722"/>
    <mergeCell ref="P647:R647"/>
    <mergeCell ref="AI647:AK647"/>
    <mergeCell ref="M635:P635"/>
    <mergeCell ref="M636:P636"/>
    <mergeCell ref="Z654:AK654"/>
    <mergeCell ref="Z677:AK677"/>
    <mergeCell ref="I421:K421"/>
    <mergeCell ref="T564:V564"/>
    <mergeCell ref="C629:L629"/>
    <mergeCell ref="T728:W728"/>
    <mergeCell ref="AC740:AG740"/>
    <mergeCell ref="AC741:AG741"/>
    <mergeCell ref="AC737:AG737"/>
    <mergeCell ref="J769:N772"/>
    <mergeCell ref="N657:O657"/>
    <mergeCell ref="Z660:AK660"/>
    <mergeCell ref="C829:H829"/>
    <mergeCell ref="J776:N776"/>
    <mergeCell ref="AM555:AS555"/>
    <mergeCell ref="AG607:AH607"/>
    <mergeCell ref="AI558:AL558"/>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687:L687"/>
    <mergeCell ref="T719:W719"/>
    <mergeCell ref="O724:S724"/>
    <mergeCell ref="T725:W725"/>
    <mergeCell ref="H664:R664"/>
    <mergeCell ref="G724:J724"/>
    <mergeCell ref="K724:N724"/>
    <mergeCell ref="AH535:AK535"/>
    <mergeCell ref="AH526:AK526"/>
    <mergeCell ref="AH520:AK520"/>
    <mergeCell ref="AC537:AF537"/>
    <mergeCell ref="D470:V470"/>
    <mergeCell ref="AH504:AK504"/>
    <mergeCell ref="AC518:AF518"/>
    <mergeCell ref="AC526:AF526"/>
    <mergeCell ref="AH531:AK531"/>
    <mergeCell ref="O523:AA523"/>
    <mergeCell ref="AC519:AF519"/>
    <mergeCell ref="AC529:AF529"/>
    <mergeCell ref="AH530:AK530"/>
    <mergeCell ref="AH506:AK506"/>
    <mergeCell ref="AH508:AK508"/>
    <mergeCell ref="Q494:AK494"/>
    <mergeCell ref="AC528:AF528"/>
    <mergeCell ref="AH528:AK528"/>
    <mergeCell ref="AC525:AF525"/>
    <mergeCell ref="AH510:AK510"/>
    <mergeCell ref="AH532:AK532"/>
    <mergeCell ref="AC521:AF521"/>
    <mergeCell ref="AH516:AK516"/>
    <mergeCell ref="AC507:AF507"/>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G588:R588"/>
    <mergeCell ref="Z663:AE663"/>
    <mergeCell ref="Q559:S559"/>
    <mergeCell ref="AI556:AL556"/>
    <mergeCell ref="AC541:AF541"/>
    <mergeCell ref="Z633:AB633"/>
    <mergeCell ref="AF636:AJ636"/>
    <mergeCell ref="B641:AN641"/>
    <mergeCell ref="W633:Y633"/>
    <mergeCell ref="C630:L630"/>
    <mergeCell ref="W564:Y564"/>
    <mergeCell ref="T561:V561"/>
    <mergeCell ref="T565:V565"/>
    <mergeCell ref="G643:R643"/>
    <mergeCell ref="AK630:AN630"/>
    <mergeCell ref="AK631:AN631"/>
    <mergeCell ref="AK632:AN632"/>
    <mergeCell ref="Q638:S638"/>
    <mergeCell ref="C635:L635"/>
    <mergeCell ref="P315:R315"/>
    <mergeCell ref="AI339:AK339"/>
    <mergeCell ref="H329:R329"/>
    <mergeCell ref="M563:P563"/>
    <mergeCell ref="AM564:AS564"/>
    <mergeCell ref="Z662:AK662"/>
    <mergeCell ref="Z653:AK653"/>
    <mergeCell ref="Z647:AE647"/>
    <mergeCell ref="AA327:AK327"/>
    <mergeCell ref="H332:M332"/>
    <mergeCell ref="H335:R335"/>
    <mergeCell ref="AA329:AK329"/>
    <mergeCell ref="P331:R331"/>
    <mergeCell ref="H328:R328"/>
    <mergeCell ref="H339:M339"/>
    <mergeCell ref="AA335:AK335"/>
    <mergeCell ref="P343:AE343"/>
    <mergeCell ref="M555:P555"/>
    <mergeCell ref="C556:L556"/>
    <mergeCell ref="M556:P556"/>
    <mergeCell ref="AC533:AF533"/>
    <mergeCell ref="Z555:AD555"/>
    <mergeCell ref="AE556:AH556"/>
    <mergeCell ref="Q558:S558"/>
    <mergeCell ref="AH527:AK527"/>
    <mergeCell ref="AH534:AK534"/>
    <mergeCell ref="Z630:AB630"/>
    <mergeCell ref="Z610:AK610"/>
    <mergeCell ref="G568:R568"/>
    <mergeCell ref="M574:R574"/>
    <mergeCell ref="C627:L627"/>
    <mergeCell ref="AC628:AE628"/>
    <mergeCell ref="AC524:AF524"/>
    <mergeCell ref="AC536:AF536"/>
    <mergeCell ref="AH515:AK515"/>
    <mergeCell ref="B517:H519"/>
    <mergeCell ref="C628:L628"/>
    <mergeCell ref="AI605:AK605"/>
    <mergeCell ref="Z604:AK604"/>
    <mergeCell ref="N615:O615"/>
    <mergeCell ref="H614:R614"/>
    <mergeCell ref="AI581:AK581"/>
    <mergeCell ref="AG615:AH615"/>
    <mergeCell ref="T557:V557"/>
    <mergeCell ref="N591:O591"/>
    <mergeCell ref="AA590:AK590"/>
    <mergeCell ref="T629:V629"/>
    <mergeCell ref="T630:V630"/>
    <mergeCell ref="G579:R579"/>
    <mergeCell ref="AE557:AH557"/>
    <mergeCell ref="AC531:AF531"/>
    <mergeCell ref="G577:R577"/>
    <mergeCell ref="AA573:AK573"/>
    <mergeCell ref="C564:L564"/>
    <mergeCell ref="M564:P564"/>
    <mergeCell ref="C565:L565"/>
    <mergeCell ref="AG591:AH591"/>
    <mergeCell ref="P605:R605"/>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C631:L631"/>
    <mergeCell ref="C632:L632"/>
    <mergeCell ref="W638:Y638"/>
    <mergeCell ref="Z643:AK643"/>
    <mergeCell ref="G644:R644"/>
    <mergeCell ref="Z645:AK645"/>
    <mergeCell ref="M637:P637"/>
    <mergeCell ref="AI560:AL560"/>
    <mergeCell ref="T562:V562"/>
    <mergeCell ref="AI563:AL563"/>
    <mergeCell ref="Z562:AD562"/>
    <mergeCell ref="Z563:AD563"/>
    <mergeCell ref="AI564:AL564"/>
    <mergeCell ref="AI572:AK572"/>
    <mergeCell ref="AF574:AK574"/>
    <mergeCell ref="G597:L597"/>
    <mergeCell ref="AG583:AH583"/>
    <mergeCell ref="AC539:AF539"/>
    <mergeCell ref="AH262:AK262"/>
    <mergeCell ref="AI291:AK291"/>
    <mergeCell ref="AI299:AK299"/>
    <mergeCell ref="AA296:AK296"/>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AA319:AK319"/>
    <mergeCell ref="AA323:AF323"/>
    <mergeCell ref="H320:R320"/>
    <mergeCell ref="H296:R296"/>
    <mergeCell ref="H323:M323"/>
    <mergeCell ref="AA330:AK330"/>
    <mergeCell ref="H324:M324"/>
    <mergeCell ref="AA325:AK325"/>
    <mergeCell ref="H315:M315"/>
    <mergeCell ref="H321:R321"/>
    <mergeCell ref="H322:R322"/>
    <mergeCell ref="M251:AE251"/>
    <mergeCell ref="AA301:AK301"/>
    <mergeCell ref="H301:R301"/>
    <mergeCell ref="AA249:AK249"/>
    <mergeCell ref="O155:AH155"/>
    <mergeCell ref="O153:AH153"/>
    <mergeCell ref="O157:X157"/>
    <mergeCell ref="O158:R158"/>
    <mergeCell ref="W159:X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W253:X253"/>
    <mergeCell ref="M232:AK232"/>
    <mergeCell ref="M233:AE233"/>
    <mergeCell ref="N191:AE192"/>
    <mergeCell ref="L113:O113"/>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T193:AI193"/>
    <mergeCell ref="I190:N190"/>
    <mergeCell ref="AH246:AK246"/>
    <mergeCell ref="J173:S173"/>
    <mergeCell ref="Z263:AE26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AI178:AK178"/>
    <mergeCell ref="F150:T150"/>
    <mergeCell ref="AF178:AG178"/>
    <mergeCell ref="A83:AT84"/>
    <mergeCell ref="G113:H113"/>
    <mergeCell ref="C115:K115"/>
    <mergeCell ref="D164:AH164"/>
    <mergeCell ref="P204:U204"/>
    <mergeCell ref="AH195:AI195"/>
    <mergeCell ref="AH196:AI196"/>
    <mergeCell ref="U176:V176"/>
    <mergeCell ref="A105:AT106"/>
    <mergeCell ref="AA308:AF308"/>
    <mergeCell ref="AA305:AK305"/>
    <mergeCell ref="AA290:AK290"/>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W261:X261"/>
    <mergeCell ref="U263:W263"/>
    <mergeCell ref="M257:T257"/>
    <mergeCell ref="M256:AE256"/>
    <mergeCell ref="AA257:AK257"/>
    <mergeCell ref="M260:AE260"/>
    <mergeCell ref="AA265:AK265"/>
    <mergeCell ref="M261:T261"/>
    <mergeCell ref="D270:H270"/>
    <mergeCell ref="AA340:AF340"/>
    <mergeCell ref="X270:AC270"/>
    <mergeCell ref="AA306:AK306"/>
    <mergeCell ref="AA303:AK303"/>
    <mergeCell ref="L280:AD280"/>
    <mergeCell ref="AA300:AF300"/>
    <mergeCell ref="L275:AD275"/>
    <mergeCell ref="H290:R290"/>
    <mergeCell ref="V276:W276"/>
    <mergeCell ref="M254:AE254"/>
    <mergeCell ref="H333:R333"/>
    <mergeCell ref="AA288:AK288"/>
    <mergeCell ref="H287:R287"/>
    <mergeCell ref="AA299:AF299"/>
    <mergeCell ref="AA287:AK287"/>
    <mergeCell ref="T267:X267"/>
    <mergeCell ref="AI315:AK315"/>
    <mergeCell ref="AA312:AK312"/>
    <mergeCell ref="AA324:AF324"/>
    <mergeCell ref="AA317:AK317"/>
    <mergeCell ref="AI323:AK323"/>
    <mergeCell ref="AA320:AK320"/>
    <mergeCell ref="H297:R297"/>
    <mergeCell ref="AA298:AK298"/>
    <mergeCell ref="H317:R317"/>
    <mergeCell ref="L276:S276"/>
    <mergeCell ref="L278:Q278"/>
    <mergeCell ref="AA333:AK333"/>
    <mergeCell ref="AA289:AK289"/>
    <mergeCell ref="P323:R323"/>
    <mergeCell ref="AA315:AF315"/>
    <mergeCell ref="H306:R306"/>
    <mergeCell ref="L274:AJ274"/>
    <mergeCell ref="H289:R289"/>
    <mergeCell ref="H291:M291"/>
    <mergeCell ref="H299:M299"/>
    <mergeCell ref="H300:M300"/>
    <mergeCell ref="AI307:AK307"/>
    <mergeCell ref="L279:AD279"/>
    <mergeCell ref="H314:R314"/>
    <mergeCell ref="H316:M316"/>
    <mergeCell ref="AA322:AK322"/>
    <mergeCell ref="H292:M292"/>
    <mergeCell ref="H309:R309"/>
    <mergeCell ref="AA309:AK309"/>
    <mergeCell ref="AA307:AF307"/>
    <mergeCell ref="H313:R313"/>
    <mergeCell ref="H304:R304"/>
    <mergeCell ref="H295:R295"/>
    <mergeCell ref="H311:R311"/>
    <mergeCell ref="AA304:AK304"/>
    <mergeCell ref="H288:R288"/>
    <mergeCell ref="P291:R291"/>
    <mergeCell ref="AA311:AK311"/>
    <mergeCell ref="AA291:AF291"/>
    <mergeCell ref="H298:R298"/>
    <mergeCell ref="H312:R312"/>
    <mergeCell ref="H303:R303"/>
    <mergeCell ref="H308:M308"/>
    <mergeCell ref="P307:R307"/>
    <mergeCell ref="H305:R305"/>
    <mergeCell ref="AA293:AK293"/>
    <mergeCell ref="CC606:CG606"/>
    <mergeCell ref="BS603:BW603"/>
    <mergeCell ref="BN604:BR604"/>
    <mergeCell ref="BK608:BL608"/>
    <mergeCell ref="BK603:BL603"/>
    <mergeCell ref="BS597:BW597"/>
    <mergeCell ref="BS609:BW609"/>
    <mergeCell ref="BX609:CB609"/>
    <mergeCell ref="CC604:CG604"/>
    <mergeCell ref="BX598:CB598"/>
    <mergeCell ref="AA336:AK336"/>
    <mergeCell ref="H338:R338"/>
    <mergeCell ref="P346:AE346"/>
    <mergeCell ref="P344:AE344"/>
    <mergeCell ref="W469:Y469"/>
    <mergeCell ref="AH523:AK523"/>
    <mergeCell ref="AG401:AJ401"/>
    <mergeCell ref="D445:AF445"/>
    <mergeCell ref="D446:AF446"/>
    <mergeCell ref="D447:AF447"/>
    <mergeCell ref="J388:U388"/>
    <mergeCell ref="AC515:AF515"/>
    <mergeCell ref="AC514:AF514"/>
    <mergeCell ref="AI397:AJ397"/>
    <mergeCell ref="T399:AJ399"/>
    <mergeCell ref="T398:AJ398"/>
    <mergeCell ref="N370:Q370"/>
    <mergeCell ref="AA339:AF339"/>
    <mergeCell ref="J367:K367"/>
    <mergeCell ref="BS596:BW596"/>
    <mergeCell ref="BX597:CB597"/>
    <mergeCell ref="BI607:BJ607"/>
    <mergeCell ref="BS605:BW605"/>
    <mergeCell ref="BI601:BJ601"/>
    <mergeCell ref="BI600:BJ600"/>
    <mergeCell ref="BN603:BR603"/>
    <mergeCell ref="BN606:BR606"/>
    <mergeCell ref="BK606:BL606"/>
    <mergeCell ref="BI605:BJ605"/>
    <mergeCell ref="BI606:BJ606"/>
    <mergeCell ref="BG605:BH605"/>
    <mergeCell ref="BS607:BW607"/>
    <mergeCell ref="BN609:BR609"/>
    <mergeCell ref="BI604:BJ604"/>
    <mergeCell ref="BN602:BR602"/>
    <mergeCell ref="BS606:BW606"/>
    <mergeCell ref="BK599:BL599"/>
    <mergeCell ref="BN599:BR599"/>
    <mergeCell ref="BK604:BL604"/>
    <mergeCell ref="BI603:BJ603"/>
    <mergeCell ref="BS599:BW599"/>
    <mergeCell ref="BK607:BL607"/>
    <mergeCell ref="BN607:BR607"/>
    <mergeCell ref="BS604:BW604"/>
    <mergeCell ref="BS602:BW602"/>
    <mergeCell ref="BN600:BR600"/>
    <mergeCell ref="BX607:CB607"/>
    <mergeCell ref="BX612:CB612"/>
    <mergeCell ref="BX606:CB606"/>
    <mergeCell ref="C557:L557"/>
    <mergeCell ref="Q557:S557"/>
    <mergeCell ref="BE603:BF603"/>
    <mergeCell ref="BE600:BF600"/>
    <mergeCell ref="BN601:BR601"/>
    <mergeCell ref="BK601:BL601"/>
    <mergeCell ref="BS610:BW610"/>
    <mergeCell ref="BE607:BF607"/>
    <mergeCell ref="BE608:BF608"/>
    <mergeCell ref="BE610:BF610"/>
    <mergeCell ref="G604:R604"/>
    <mergeCell ref="BI602:BJ602"/>
    <mergeCell ref="BI598:BJ598"/>
    <mergeCell ref="Z564:AD564"/>
    <mergeCell ref="Z565:AD565"/>
    <mergeCell ref="Z579:AK579"/>
    <mergeCell ref="BX596:CB596"/>
    <mergeCell ref="BS598:BW598"/>
    <mergeCell ref="BX602:CB602"/>
    <mergeCell ref="BX605:CB605"/>
    <mergeCell ref="BX603:CB603"/>
    <mergeCell ref="BG606:BH606"/>
    <mergeCell ref="BX604:CB604"/>
    <mergeCell ref="BK596:BL596"/>
    <mergeCell ref="BE609:BF609"/>
    <mergeCell ref="BI611:BJ611"/>
    <mergeCell ref="AM559:AS559"/>
    <mergeCell ref="W560:Y560"/>
    <mergeCell ref="Z577:AK577"/>
    <mergeCell ref="BS639:BW639"/>
    <mergeCell ref="BS641:BW641"/>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E629:BF629"/>
    <mergeCell ref="BG629:BH629"/>
    <mergeCell ref="BI629:BJ629"/>
    <mergeCell ref="BK629:BL629"/>
    <mergeCell ref="Z632:AB632"/>
    <mergeCell ref="Z659:AK659"/>
    <mergeCell ref="BN655:BR655"/>
    <mergeCell ref="BG631:BH631"/>
    <mergeCell ref="BI631:BJ631"/>
    <mergeCell ref="AO640:AS640"/>
    <mergeCell ref="AK634:AN634"/>
    <mergeCell ref="AK635:AN635"/>
    <mergeCell ref="AK636:AN636"/>
    <mergeCell ref="AF631:AJ631"/>
    <mergeCell ref="AF629:AJ629"/>
    <mergeCell ref="AO641:AS641"/>
    <mergeCell ref="AO639:AS639"/>
    <mergeCell ref="BN630:BR630"/>
    <mergeCell ref="AA606:AK606"/>
    <mergeCell ref="W563:Y563"/>
    <mergeCell ref="BG618:BH618"/>
    <mergeCell ref="Z570:AK570"/>
    <mergeCell ref="BN614:BR614"/>
    <mergeCell ref="BK619:BL619"/>
    <mergeCell ref="BK614:BL614"/>
    <mergeCell ref="BI613:BJ613"/>
    <mergeCell ref="BG607:BH607"/>
    <mergeCell ref="BG598:BH598"/>
    <mergeCell ref="BG599:BH599"/>
    <mergeCell ref="BN619:BR619"/>
    <mergeCell ref="BI623:BJ623"/>
    <mergeCell ref="BK623:BL623"/>
    <mergeCell ref="BI617:BJ617"/>
    <mergeCell ref="BK612:BL612"/>
    <mergeCell ref="BG612:BH612"/>
    <mergeCell ref="BN611:BR611"/>
    <mergeCell ref="BE602:BF602"/>
    <mergeCell ref="BE599:BF599"/>
    <mergeCell ref="BN598:BR598"/>
    <mergeCell ref="BK597:BL597"/>
    <mergeCell ref="BG596:BH596"/>
    <mergeCell ref="BN612:BR612"/>
    <mergeCell ref="Z611:AK611"/>
    <mergeCell ref="Z595:AK595"/>
    <mergeCell ref="Z589:AE589"/>
    <mergeCell ref="AM565:AS565"/>
    <mergeCell ref="BE615:BF615"/>
    <mergeCell ref="BG604:BH604"/>
    <mergeCell ref="BI599:BJ599"/>
    <mergeCell ref="BG603:BH603"/>
    <mergeCell ref="P349:AE349"/>
    <mergeCell ref="AC370:AF370"/>
    <mergeCell ref="P348:Z348"/>
    <mergeCell ref="N373:AF374"/>
    <mergeCell ref="AJ355:AK355"/>
    <mergeCell ref="AC371:AF371"/>
    <mergeCell ref="E368:AH369"/>
    <mergeCell ref="Q365:AG365"/>
    <mergeCell ref="AI331:AK331"/>
    <mergeCell ref="P339:R339"/>
    <mergeCell ref="AG377:AH377"/>
    <mergeCell ref="M356:N356"/>
    <mergeCell ref="AJ356:AK356"/>
    <mergeCell ref="BE612:BF612"/>
    <mergeCell ref="BE604:BF604"/>
    <mergeCell ref="BE606:BF606"/>
    <mergeCell ref="BI609:BJ609"/>
    <mergeCell ref="AI589:AK589"/>
    <mergeCell ref="Z596:AK596"/>
    <mergeCell ref="S489:AK490"/>
    <mergeCell ref="AG393:AJ393"/>
    <mergeCell ref="H336:R336"/>
    <mergeCell ref="AC347:AE347"/>
    <mergeCell ref="H340:M340"/>
    <mergeCell ref="AA337:AK337"/>
    <mergeCell ref="AG441:AJ441"/>
    <mergeCell ref="AG438:AJ438"/>
    <mergeCell ref="AG439:AJ439"/>
    <mergeCell ref="S413:T413"/>
    <mergeCell ref="AG390:AJ390"/>
    <mergeCell ref="Q391:U391"/>
    <mergeCell ref="D406:AJ407"/>
    <mergeCell ref="AH538:AK538"/>
    <mergeCell ref="Z551:AD553"/>
    <mergeCell ref="M551:P553"/>
    <mergeCell ref="B503:H508"/>
    <mergeCell ref="C554:L554"/>
    <mergeCell ref="C555:L555"/>
    <mergeCell ref="AH509:AK509"/>
    <mergeCell ref="AC503:AF503"/>
    <mergeCell ref="AG442:AJ442"/>
    <mergeCell ref="AC502:AF502"/>
    <mergeCell ref="M495:P495"/>
    <mergeCell ref="AC501:AF501"/>
    <mergeCell ref="AC523:AF523"/>
    <mergeCell ref="H327:R327"/>
    <mergeCell ref="S401:U401"/>
    <mergeCell ref="AA332:AF332"/>
    <mergeCell ref="AA328:AK328"/>
    <mergeCell ref="N371:Q371"/>
    <mergeCell ref="V382:W382"/>
    <mergeCell ref="Y364:Z364"/>
    <mergeCell ref="N378:P378"/>
    <mergeCell ref="AC386:AJ386"/>
    <mergeCell ref="Q393:U393"/>
    <mergeCell ref="AG380:AH380"/>
    <mergeCell ref="AA331:AF331"/>
    <mergeCell ref="AJ357:AK357"/>
    <mergeCell ref="M357:N357"/>
    <mergeCell ref="AG395:AJ395"/>
    <mergeCell ref="AI392:AJ392"/>
    <mergeCell ref="AG391:AJ391"/>
    <mergeCell ref="Q394:U394"/>
    <mergeCell ref="AG379:AH379"/>
    <mergeCell ref="I410:AE410"/>
    <mergeCell ref="J385:U385"/>
    <mergeCell ref="V381:W381"/>
    <mergeCell ref="AG394:AJ394"/>
    <mergeCell ref="E420:AJ420"/>
    <mergeCell ref="AE402:AJ402"/>
    <mergeCell ref="AC385:AJ385"/>
    <mergeCell ref="K404:AJ404"/>
    <mergeCell ref="E418:G418"/>
    <mergeCell ref="AF430:AG430"/>
    <mergeCell ref="AG437:AJ437"/>
    <mergeCell ref="S405:AJ405"/>
    <mergeCell ref="AC387:AJ387"/>
    <mergeCell ref="V388:AJ388"/>
    <mergeCell ref="Z432:AA432"/>
    <mergeCell ref="N372:Q372"/>
    <mergeCell ref="F457:AB458"/>
    <mergeCell ref="D441:AF441"/>
    <mergeCell ref="R412:S412"/>
    <mergeCell ref="Q429:R429"/>
    <mergeCell ref="D448:AF448"/>
    <mergeCell ref="AG445:AJ445"/>
    <mergeCell ref="AG443:AJ443"/>
    <mergeCell ref="AG444:AJ444"/>
    <mergeCell ref="D444:AF444"/>
    <mergeCell ref="AC456:AF456"/>
    <mergeCell ref="AD411:AE411"/>
    <mergeCell ref="F427:AH428"/>
    <mergeCell ref="V377:W377"/>
    <mergeCell ref="S377:T377"/>
    <mergeCell ref="D437:AF437"/>
    <mergeCell ref="J387:U387"/>
    <mergeCell ref="AG440:AJ440"/>
    <mergeCell ref="G474:V474"/>
    <mergeCell ref="AG447:AJ447"/>
    <mergeCell ref="AH495:AK495"/>
    <mergeCell ref="D465:V465"/>
    <mergeCell ref="D443:AF443"/>
    <mergeCell ref="AH502:AK502"/>
    <mergeCell ref="AC499:AK499"/>
    <mergeCell ref="W468:Y468"/>
    <mergeCell ref="AC522:AF522"/>
    <mergeCell ref="D451:AJ452"/>
    <mergeCell ref="D450:AF450"/>
    <mergeCell ref="AC513:AF513"/>
    <mergeCell ref="D473:V473"/>
    <mergeCell ref="AG448:AJ448"/>
    <mergeCell ref="AH505:AK505"/>
    <mergeCell ref="D469:V469"/>
    <mergeCell ref="D468:V468"/>
    <mergeCell ref="L508:AB508"/>
    <mergeCell ref="AC505:AF505"/>
    <mergeCell ref="W467:Y467"/>
    <mergeCell ref="W474:Y474"/>
    <mergeCell ref="AC508:AF508"/>
    <mergeCell ref="AC504:AF504"/>
    <mergeCell ref="AC509:AF509"/>
    <mergeCell ref="AH517:AK517"/>
    <mergeCell ref="AH500:AK500"/>
    <mergeCell ref="AH513:AK513"/>
    <mergeCell ref="AC510:AF510"/>
    <mergeCell ref="AC512:AF512"/>
    <mergeCell ref="AH512:AK512"/>
    <mergeCell ref="AC516:AF516"/>
    <mergeCell ref="W466:Y466"/>
    <mergeCell ref="W470:Y470"/>
    <mergeCell ref="B489:P490"/>
    <mergeCell ref="AC506:AF506"/>
    <mergeCell ref="Q489:R490"/>
    <mergeCell ref="Q488:AK488"/>
    <mergeCell ref="Q493:AK493"/>
    <mergeCell ref="Q487:AK487"/>
    <mergeCell ref="Q486:AK486"/>
    <mergeCell ref="T724:W724"/>
    <mergeCell ref="AM551:AS553"/>
    <mergeCell ref="D472:V472"/>
    <mergeCell ref="W472:Y472"/>
    <mergeCell ref="AE551:AH553"/>
    <mergeCell ref="AI551:AL553"/>
    <mergeCell ref="O520:AA520"/>
    <mergeCell ref="AE555:AH555"/>
    <mergeCell ref="AH518:AK518"/>
    <mergeCell ref="AH514:AK514"/>
    <mergeCell ref="Q555:S555"/>
    <mergeCell ref="D466:V466"/>
    <mergeCell ref="H598:R598"/>
    <mergeCell ref="T560:V560"/>
    <mergeCell ref="G570:R570"/>
    <mergeCell ref="M562:P562"/>
    <mergeCell ref="AH503:AK503"/>
    <mergeCell ref="AC500:AF500"/>
    <mergeCell ref="Q485:AK485"/>
    <mergeCell ref="O529:AA529"/>
    <mergeCell ref="AC532:AF532"/>
    <mergeCell ref="Z593:AK593"/>
    <mergeCell ref="D471:V471"/>
    <mergeCell ref="W418:Y418"/>
    <mergeCell ref="AM560:AS560"/>
    <mergeCell ref="AG446:AJ446"/>
    <mergeCell ref="D440:AF440"/>
    <mergeCell ref="D449:AF449"/>
    <mergeCell ref="B501:H502"/>
    <mergeCell ref="AC454:AF454"/>
    <mergeCell ref="B725:F725"/>
    <mergeCell ref="B724:F724"/>
    <mergeCell ref="B728:F728"/>
    <mergeCell ref="X728:AB728"/>
    <mergeCell ref="AE424:AF424"/>
    <mergeCell ref="D442:AF442"/>
    <mergeCell ref="AH521:AK521"/>
    <mergeCell ref="AC530:AF530"/>
    <mergeCell ref="B551:L553"/>
    <mergeCell ref="AH507:AK507"/>
    <mergeCell ref="Q491:AK491"/>
    <mergeCell ref="W473:Y473"/>
    <mergeCell ref="B514:H516"/>
    <mergeCell ref="P687:R687"/>
    <mergeCell ref="J705:O705"/>
    <mergeCell ref="J704:X704"/>
    <mergeCell ref="O722:S722"/>
    <mergeCell ref="B721:F721"/>
    <mergeCell ref="G723:J723"/>
    <mergeCell ref="AH524:AK524"/>
    <mergeCell ref="AH525:AK525"/>
    <mergeCell ref="AH501:AK501"/>
    <mergeCell ref="AH522:AK522"/>
    <mergeCell ref="W471:Y471"/>
    <mergeCell ref="D467:V467"/>
    <mergeCell ref="CC628:CG628"/>
    <mergeCell ref="CC627:CG627"/>
    <mergeCell ref="DR625:DV625"/>
    <mergeCell ref="CS626:CW626"/>
    <mergeCell ref="DC626:DG626"/>
    <mergeCell ref="DC621:DG621"/>
    <mergeCell ref="DH621:DL621"/>
    <mergeCell ref="DM626:DQ626"/>
    <mergeCell ref="DR626:DV626"/>
    <mergeCell ref="CS627:CW627"/>
    <mergeCell ref="CX627:DB627"/>
    <mergeCell ref="DC627:DG627"/>
    <mergeCell ref="DH627:DL627"/>
    <mergeCell ref="DM627:DQ627"/>
    <mergeCell ref="DR627:DV627"/>
    <mergeCell ref="CH628:CL628"/>
    <mergeCell ref="DM624:DQ624"/>
    <mergeCell ref="DC624:DG624"/>
    <mergeCell ref="DH624:DL624"/>
    <mergeCell ref="DH626:DL626"/>
    <mergeCell ref="CC624:CG624"/>
    <mergeCell ref="DR623:DV623"/>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EW628:FA628"/>
    <mergeCell ref="EC625:EG625"/>
    <mergeCell ref="ER629:EV629"/>
    <mergeCell ref="EW629:FA629"/>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H645:EL645"/>
    <mergeCell ref="EM645:EQ645"/>
    <mergeCell ref="DX640:EB640"/>
    <mergeCell ref="EW631:FA631"/>
    <mergeCell ref="EC636:EG636"/>
    <mergeCell ref="EH636:EL636"/>
    <mergeCell ref="DX636:EB636"/>
    <mergeCell ref="ER636:EV636"/>
    <mergeCell ref="DX629:EB629"/>
    <mergeCell ref="EC629:EG629"/>
    <mergeCell ref="EH629:EL629"/>
    <mergeCell ref="EM629:EQ629"/>
    <mergeCell ref="EW636:FA636"/>
    <mergeCell ref="EM637:EQ637"/>
    <mergeCell ref="EM644:EQ644"/>
    <mergeCell ref="ER644:EV644"/>
    <mergeCell ref="EH650:EL650"/>
    <mergeCell ref="EM650:EQ650"/>
    <mergeCell ref="EW638:FA638"/>
    <mergeCell ref="EW640:FA640"/>
    <mergeCell ref="ER643:EV643"/>
    <mergeCell ref="ER640:EV640"/>
    <mergeCell ref="ER639:EV639"/>
    <mergeCell ref="EW637:FA637"/>
    <mergeCell ref="EC645:EG645"/>
    <mergeCell ref="ER645:EV645"/>
    <mergeCell ref="ER641:EV641"/>
    <mergeCell ref="EH641:EL641"/>
    <mergeCell ref="EM641:EQ641"/>
    <mergeCell ref="EC637:EG637"/>
    <mergeCell ref="EH637:EL637"/>
    <mergeCell ref="EW639:FA639"/>
    <mergeCell ref="EW647:FA647"/>
    <mergeCell ref="ER648:EV648"/>
    <mergeCell ref="ER647:EV647"/>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G665:AH665"/>
    <mergeCell ref="AH728:AJ728"/>
    <mergeCell ref="Z671:AE671"/>
    <mergeCell ref="Z668:AK668"/>
    <mergeCell ref="X733:AB733"/>
    <mergeCell ref="EW670:FA670"/>
    <mergeCell ref="AH730:AJ730"/>
    <mergeCell ref="AC723:AG723"/>
    <mergeCell ref="AH721:AJ721"/>
    <mergeCell ref="AC721:AG721"/>
    <mergeCell ref="AC722:AG722"/>
    <mergeCell ref="AK726:AO726"/>
    <mergeCell ref="AK722:AO722"/>
    <mergeCell ref="AA680:AK680"/>
    <mergeCell ref="AH742:AJ742"/>
    <mergeCell ref="EW662:FA662"/>
    <mergeCell ref="DX663:EB663"/>
    <mergeCell ref="EC663:EG663"/>
    <mergeCell ref="EH663:EL663"/>
    <mergeCell ref="EM663:EQ663"/>
    <mergeCell ref="ER663:EV663"/>
    <mergeCell ref="EW663:FA663"/>
    <mergeCell ref="EC659:EG659"/>
    <mergeCell ref="EH659:EL659"/>
    <mergeCell ref="K714:N717"/>
    <mergeCell ref="G651:R651"/>
    <mergeCell ref="G652:R652"/>
    <mergeCell ref="G663:L663"/>
    <mergeCell ref="N649:O649"/>
    <mergeCell ref="G653:R653"/>
    <mergeCell ref="H648:R648"/>
    <mergeCell ref="G654:R654"/>
    <mergeCell ref="H656:R656"/>
    <mergeCell ref="EW656:FA656"/>
    <mergeCell ref="DX657:EB657"/>
    <mergeCell ref="EC657:EG657"/>
    <mergeCell ref="EH657:EL657"/>
    <mergeCell ref="EM657:EQ657"/>
    <mergeCell ref="AI679:AK679"/>
    <mergeCell ref="N673:O673"/>
    <mergeCell ref="EH658:EL658"/>
    <mergeCell ref="EM658:EQ658"/>
    <mergeCell ref="ER658:EV658"/>
    <mergeCell ref="EW658:FA658"/>
    <mergeCell ref="O714:S717"/>
    <mergeCell ref="ER662:EV662"/>
    <mergeCell ref="EH660:EL660"/>
    <mergeCell ref="AH746:AJ746"/>
    <mergeCell ref="AH747:AJ747"/>
    <mergeCell ref="AH748:AJ748"/>
    <mergeCell ref="AK739:AO73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AK748:AO748"/>
    <mergeCell ref="B718:F718"/>
    <mergeCell ref="G720:J720"/>
    <mergeCell ref="K719:N719"/>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H84" workbookViewId="0">
      <selection activeCell="S97" sqref="S97:T97"/>
    </sheetView>
  </sheetViews>
  <sheetFormatPr defaultColWidth="0" defaultRowHeight="11.6" zeroHeight="1"/>
  <cols>
    <col min="1" max="1" width="35.69140625" style="199" customWidth="1"/>
    <col min="2" max="12" width="12.15234375" style="158" customWidth="1"/>
    <col min="13" max="17" width="11.23046875" style="158" customWidth="1"/>
    <col min="18" max="18" width="12.69140625" style="158" customWidth="1"/>
    <col min="19" max="20" width="12.15234375" style="158" customWidth="1"/>
    <col min="21" max="21" width="0.23046875" style="161" customWidth="1"/>
    <col min="22" max="16383" width="8.84375" style="158" hidden="1"/>
    <col min="16384" max="16384" width="0.15234375" style="158" customWidth="1"/>
  </cols>
  <sheetData>
    <row r="1" spans="1:21" s="110" customFormat="1" ht="12.9">
      <c r="A1" s="168" t="s">
        <v>558</v>
      </c>
      <c r="B1" s="125"/>
      <c r="C1" s="125"/>
      <c r="D1" s="125"/>
      <c r="E1" s="126"/>
      <c r="F1" s="1880" t="s">
        <v>630</v>
      </c>
      <c r="G1" s="1881"/>
      <c r="H1" s="1881"/>
      <c r="I1" s="1881"/>
      <c r="J1" s="1881"/>
      <c r="K1" s="1881"/>
      <c r="L1" s="1881"/>
      <c r="M1" s="1881"/>
      <c r="N1" s="1881"/>
      <c r="O1" s="1881"/>
      <c r="P1" s="1881"/>
      <c r="Q1" s="1881"/>
      <c r="R1" s="1882"/>
      <c r="S1" s="112"/>
      <c r="T1" s="111"/>
      <c r="U1" s="113"/>
    </row>
    <row r="2" spans="1:21" s="138" customFormat="1" ht="71.25" customHeight="1">
      <c r="A2" s="137"/>
      <c r="B2" s="138" t="s">
        <v>23</v>
      </c>
      <c r="C2" s="138" t="s">
        <v>375</v>
      </c>
      <c r="D2" s="138" t="s">
        <v>374</v>
      </c>
      <c r="E2" s="138" t="s">
        <v>24</v>
      </c>
      <c r="F2" s="139" t="str">
        <f>Application!B627&amp;Application!C627</f>
        <v>1)GreyStone[GHI] - Tax Exempt</v>
      </c>
      <c r="G2" s="139" t="str">
        <f>Application!B628&amp;Application!C628</f>
        <v>2)GreyStone[GHII] - B-Bond</v>
      </c>
      <c r="H2" s="139" t="str">
        <f>Application!B629&amp;Application!C629</f>
        <v>3)Seller Carryback</v>
      </c>
      <c r="I2" s="139" t="str">
        <f>Application!B630&amp;Application!C630</f>
        <v>4)Deferred Developer Fee</v>
      </c>
      <c r="J2" s="139" t="str">
        <f>Application!B631&amp;Application!C631</f>
        <v>5)Income from Operations</v>
      </c>
      <c r="K2" s="139" t="str">
        <f>Application!B632&amp;Application!C632</f>
        <v>6)Property Donation</v>
      </c>
      <c r="L2" s="139" t="str">
        <f>Application!B633&amp;Application!C633</f>
        <v>7)GP Equity</v>
      </c>
      <c r="M2" s="139" t="str">
        <f>Application!B634&amp;Application!C634</f>
        <v>8)Philanthropic Loan</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3248711</v>
      </c>
      <c r="C4" s="147">
        <v>3248711</v>
      </c>
      <c r="D4" s="147"/>
      <c r="E4" s="147">
        <f>C4-SUM(F4:K4)</f>
        <v>3248711</v>
      </c>
      <c r="F4" s="147"/>
      <c r="G4" s="147"/>
      <c r="H4" s="147"/>
      <c r="I4" s="147"/>
      <c r="J4" s="147"/>
      <c r="K4" s="147"/>
      <c r="L4" s="147"/>
      <c r="M4" s="147"/>
      <c r="N4" s="147"/>
      <c r="O4" s="147"/>
      <c r="P4" s="147"/>
      <c r="Q4" s="147"/>
      <c r="R4" s="550">
        <f>SUM(E4:Q4)</f>
        <v>3248711</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3248711</v>
      </c>
      <c r="C8" s="146">
        <f t="shared" ref="C8:Q8" si="0">SUM(C4:C7)</f>
        <v>3248711</v>
      </c>
      <c r="D8" s="146">
        <f t="shared" si="0"/>
        <v>0</v>
      </c>
      <c r="E8" s="146">
        <f t="shared" si="0"/>
        <v>3248711</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3248711</v>
      </c>
      <c r="S8" s="148"/>
      <c r="T8" s="148"/>
      <c r="U8" s="143"/>
    </row>
    <row r="9" spans="1:21" s="144" customFormat="1">
      <c r="A9" s="145" t="s">
        <v>603</v>
      </c>
      <c r="B9" s="146">
        <f>SUM(C9+D9)</f>
        <v>20069444</v>
      </c>
      <c r="C9" s="147">
        <v>20069444</v>
      </c>
      <c r="D9" s="147"/>
      <c r="E9" s="147">
        <f>C9-SUM(F9:K9)</f>
        <v>8891359.645678753</v>
      </c>
      <c r="F9" s="147">
        <v>4000000</v>
      </c>
      <c r="G9" s="147"/>
      <c r="H9" s="147"/>
      <c r="I9" s="147"/>
      <c r="J9" s="147"/>
      <c r="K9" s="147">
        <f>Application!AO632-K4</f>
        <v>7178084.354321247</v>
      </c>
      <c r="L9" s="147"/>
      <c r="M9" s="147"/>
      <c r="N9" s="147"/>
      <c r="O9" s="147"/>
      <c r="P9" s="147"/>
      <c r="Q9" s="147"/>
      <c r="R9" s="550">
        <f>SUM(E9:Q9)</f>
        <v>20069444</v>
      </c>
      <c r="S9" s="148"/>
      <c r="T9" s="147">
        <f>R9</f>
        <v>20069444</v>
      </c>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20069444</v>
      </c>
      <c r="C11" s="146">
        <f t="shared" ref="C11:Q11" si="1">SUM(C9:C10)</f>
        <v>20069444</v>
      </c>
      <c r="D11" s="146">
        <f t="shared" si="1"/>
        <v>0</v>
      </c>
      <c r="E11" s="146">
        <f t="shared" si="1"/>
        <v>8891359.645678753</v>
      </c>
      <c r="F11" s="146">
        <f t="shared" si="1"/>
        <v>4000000</v>
      </c>
      <c r="G11" s="146">
        <f t="shared" si="1"/>
        <v>0</v>
      </c>
      <c r="H11" s="146">
        <f t="shared" si="1"/>
        <v>0</v>
      </c>
      <c r="I11" s="146">
        <f t="shared" si="1"/>
        <v>0</v>
      </c>
      <c r="J11" s="146">
        <f t="shared" si="1"/>
        <v>0</v>
      </c>
      <c r="K11" s="146">
        <f t="shared" si="1"/>
        <v>7178084.354321247</v>
      </c>
      <c r="L11" s="146">
        <f t="shared" si="1"/>
        <v>0</v>
      </c>
      <c r="M11" s="146">
        <f t="shared" si="1"/>
        <v>0</v>
      </c>
      <c r="N11" s="146">
        <f t="shared" si="1"/>
        <v>0</v>
      </c>
      <c r="O11" s="146">
        <f t="shared" si="1"/>
        <v>0</v>
      </c>
      <c r="P11" s="146"/>
      <c r="Q11" s="146">
        <f t="shared" si="1"/>
        <v>0</v>
      </c>
      <c r="R11" s="370">
        <f>SUM(R9:R10)</f>
        <v>20069444</v>
      </c>
      <c r="S11" s="148"/>
      <c r="T11" s="150">
        <f>SUM(T9:T10)</f>
        <v>20069444</v>
      </c>
      <c r="U11" s="143"/>
    </row>
    <row r="12" spans="1:21" s="144" customFormat="1">
      <c r="A12" s="149" t="s">
        <v>84</v>
      </c>
      <c r="B12" s="146">
        <f t="shared" ref="B12:Q12" si="2">SUM(B8+B11)</f>
        <v>23318155</v>
      </c>
      <c r="C12" s="146">
        <f t="shared" si="2"/>
        <v>23318155</v>
      </c>
      <c r="D12" s="146">
        <f t="shared" si="2"/>
        <v>0</v>
      </c>
      <c r="E12" s="146">
        <f t="shared" si="2"/>
        <v>12140070.645678753</v>
      </c>
      <c r="F12" s="146">
        <f t="shared" si="2"/>
        <v>4000000</v>
      </c>
      <c r="G12" s="146">
        <f t="shared" si="2"/>
        <v>0</v>
      </c>
      <c r="H12" s="146">
        <f t="shared" si="2"/>
        <v>0</v>
      </c>
      <c r="I12" s="146">
        <f t="shared" si="2"/>
        <v>0</v>
      </c>
      <c r="J12" s="146">
        <f t="shared" si="2"/>
        <v>0</v>
      </c>
      <c r="K12" s="146">
        <f t="shared" si="2"/>
        <v>7178084.354321247</v>
      </c>
      <c r="L12" s="146">
        <f t="shared" si="2"/>
        <v>0</v>
      </c>
      <c r="M12" s="146">
        <f t="shared" si="2"/>
        <v>0</v>
      </c>
      <c r="N12" s="146">
        <f t="shared" si="2"/>
        <v>0</v>
      </c>
      <c r="O12" s="146">
        <f t="shared" si="2"/>
        <v>0</v>
      </c>
      <c r="P12" s="146"/>
      <c r="Q12" s="146">
        <f t="shared" si="2"/>
        <v>0</v>
      </c>
      <c r="R12" s="370">
        <f>SUM(R8+R11)</f>
        <v>23318155</v>
      </c>
      <c r="S12" s="148"/>
      <c r="T12" s="148"/>
      <c r="U12" s="143"/>
    </row>
    <row r="13" spans="1:21" s="144" customFormat="1">
      <c r="A13" s="309" t="s">
        <v>918</v>
      </c>
      <c r="B13" s="146">
        <f>SUM(C13+D13)</f>
        <v>0</v>
      </c>
      <c r="C13" s="147"/>
      <c r="D13" s="147"/>
      <c r="E13" s="147">
        <f>C13</f>
        <v>0</v>
      </c>
      <c r="F13" s="147"/>
      <c r="G13" s="147"/>
      <c r="H13" s="147"/>
      <c r="I13" s="147"/>
      <c r="J13" s="147"/>
      <c r="K13" s="147"/>
      <c r="L13" s="147"/>
      <c r="M13" s="147"/>
      <c r="N13" s="147"/>
      <c r="O13" s="147"/>
      <c r="P13" s="147"/>
      <c r="Q13" s="147"/>
      <c r="R13" s="550">
        <f>SUM(E13:Q13)</f>
        <v>0</v>
      </c>
      <c r="S13" s="147">
        <f>R13</f>
        <v>0</v>
      </c>
      <c r="T13" s="147"/>
      <c r="U13" s="143"/>
    </row>
    <row r="14" spans="1:21" s="144" customFormat="1" ht="23.15">
      <c r="A14" s="310" t="s">
        <v>1757</v>
      </c>
      <c r="B14" s="146">
        <f>SUM(C14+D14)</f>
        <v>0</v>
      </c>
      <c r="C14" s="147"/>
      <c r="D14" s="147"/>
      <c r="E14" s="147"/>
      <c r="F14" s="147"/>
      <c r="G14" s="147"/>
      <c r="H14" s="147"/>
      <c r="I14" s="147"/>
      <c r="J14" s="147"/>
      <c r="K14" s="147"/>
      <c r="L14" s="147"/>
      <c r="M14" s="147"/>
      <c r="N14" s="147"/>
      <c r="O14" s="147"/>
      <c r="P14" s="147"/>
      <c r="Q14" s="147"/>
      <c r="R14" s="550">
        <f>SUM(E14:Q14)</f>
        <v>0</v>
      </c>
      <c r="S14" s="147">
        <f>R14</f>
        <v>0</v>
      </c>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1754</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718862</v>
      </c>
      <c r="C29" s="147">
        <v>718862</v>
      </c>
      <c r="D29" s="147"/>
      <c r="E29" s="147">
        <f>C29-SUM(F29:J29)</f>
        <v>718862</v>
      </c>
      <c r="F29" s="147"/>
      <c r="G29" s="147"/>
      <c r="H29" s="147"/>
      <c r="I29" s="147"/>
      <c r="J29" s="147"/>
      <c r="K29" s="147"/>
      <c r="L29" s="147"/>
      <c r="M29" s="147"/>
      <c r="N29" s="147"/>
      <c r="O29" s="147"/>
      <c r="P29" s="147"/>
      <c r="Q29" s="147"/>
      <c r="R29" s="550">
        <f t="shared" ref="R29:R37" si="7">SUM(E29:Q29)</f>
        <v>718862</v>
      </c>
      <c r="S29" s="147">
        <f>R29</f>
        <v>718862</v>
      </c>
      <c r="T29" s="147"/>
      <c r="U29" s="143"/>
    </row>
    <row r="30" spans="1:21" s="144" customFormat="1">
      <c r="A30" s="145" t="s">
        <v>608</v>
      </c>
      <c r="B30" s="146">
        <f t="shared" si="6"/>
        <v>17967614</v>
      </c>
      <c r="C30" s="147">
        <v>17967614</v>
      </c>
      <c r="D30" s="147"/>
      <c r="E30" s="147">
        <f>C30-SUM(F30:K30)</f>
        <v>5642614</v>
      </c>
      <c r="F30" s="147">
        <f>Application!AO627-F9</f>
        <v>4025000</v>
      </c>
      <c r="G30" s="147">
        <f>Application!AO628</f>
        <v>6800000</v>
      </c>
      <c r="H30" s="147">
        <f>Application!AO629-H76</f>
        <v>1500000</v>
      </c>
      <c r="I30" s="147"/>
      <c r="J30" s="147"/>
      <c r="K30" s="147"/>
      <c r="L30" s="147"/>
      <c r="M30" s="147"/>
      <c r="N30" s="147"/>
      <c r="O30" s="147"/>
      <c r="P30" s="147"/>
      <c r="Q30" s="147"/>
      <c r="R30" s="550">
        <f t="shared" si="7"/>
        <v>17967614</v>
      </c>
      <c r="S30" s="147">
        <f t="shared" ref="S30:S37" si="8">R30</f>
        <v>17967614</v>
      </c>
      <c r="T30" s="147"/>
      <c r="U30" s="143"/>
    </row>
    <row r="31" spans="1:21" s="144" customFormat="1">
      <c r="A31" s="145" t="s">
        <v>609</v>
      </c>
      <c r="B31" s="146">
        <f t="shared" si="6"/>
        <v>673021</v>
      </c>
      <c r="C31" s="147">
        <v>673021</v>
      </c>
      <c r="D31" s="147"/>
      <c r="E31" s="147">
        <f>C31-SUM(F31:J31)</f>
        <v>673021</v>
      </c>
      <c r="F31" s="147"/>
      <c r="G31" s="147"/>
      <c r="H31" s="147"/>
      <c r="I31" s="147"/>
      <c r="J31" s="147"/>
      <c r="K31" s="147"/>
      <c r="L31" s="147"/>
      <c r="M31" s="147"/>
      <c r="N31" s="147"/>
      <c r="O31" s="147"/>
      <c r="P31" s="147"/>
      <c r="Q31" s="147"/>
      <c r="R31" s="550">
        <f t="shared" si="7"/>
        <v>673021</v>
      </c>
      <c r="S31" s="147">
        <f t="shared" si="8"/>
        <v>673021</v>
      </c>
      <c r="T31" s="147"/>
      <c r="U31" s="143"/>
    </row>
    <row r="32" spans="1:21" s="144" customFormat="1">
      <c r="A32" s="145" t="s">
        <v>137</v>
      </c>
      <c r="B32" s="146">
        <f t="shared" si="6"/>
        <v>876966</v>
      </c>
      <c r="C32" s="147">
        <v>876966</v>
      </c>
      <c r="D32" s="147"/>
      <c r="E32" s="147">
        <f>C32-SUM(F32:J32)</f>
        <v>876966</v>
      </c>
      <c r="F32" s="147"/>
      <c r="G32" s="147"/>
      <c r="H32" s="147"/>
      <c r="I32" s="147"/>
      <c r="J32" s="147"/>
      <c r="K32" s="147"/>
      <c r="L32" s="147"/>
      <c r="M32" s="147"/>
      <c r="N32" s="147"/>
      <c r="O32" s="147"/>
      <c r="P32" s="147"/>
      <c r="Q32" s="147"/>
      <c r="R32" s="550">
        <f t="shared" si="7"/>
        <v>876966</v>
      </c>
      <c r="S32" s="147">
        <f t="shared" si="8"/>
        <v>876966</v>
      </c>
      <c r="T32" s="147"/>
      <c r="U32" s="143"/>
    </row>
    <row r="33" spans="1:21" s="144" customFormat="1">
      <c r="A33" s="145" t="s">
        <v>138</v>
      </c>
      <c r="B33" s="146">
        <f t="shared" si="6"/>
        <v>876966</v>
      </c>
      <c r="C33" s="147">
        <v>876966</v>
      </c>
      <c r="D33" s="147"/>
      <c r="E33" s="147">
        <f>C33-SUM(F33:J33)</f>
        <v>876966</v>
      </c>
      <c r="F33" s="147"/>
      <c r="G33" s="147"/>
      <c r="H33" s="147"/>
      <c r="I33" s="147"/>
      <c r="J33" s="147"/>
      <c r="K33" s="147"/>
      <c r="L33" s="147"/>
      <c r="M33" s="147"/>
      <c r="N33" s="147"/>
      <c r="O33" s="147"/>
      <c r="P33" s="147"/>
      <c r="Q33" s="147"/>
      <c r="R33" s="550">
        <f t="shared" si="7"/>
        <v>876966</v>
      </c>
      <c r="S33" s="147">
        <f t="shared" si="8"/>
        <v>876966</v>
      </c>
      <c r="T33" s="147"/>
      <c r="U33" s="143"/>
    </row>
    <row r="34" spans="1:21" s="144" customFormat="1">
      <c r="A34" s="145" t="s">
        <v>139</v>
      </c>
      <c r="B34" s="146">
        <f t="shared" si="6"/>
        <v>0</v>
      </c>
      <c r="C34" s="147"/>
      <c r="D34" s="147"/>
      <c r="E34" s="147">
        <f>C34-SUM(F34:J34)</f>
        <v>0</v>
      </c>
      <c r="F34" s="147"/>
      <c r="G34" s="147"/>
      <c r="H34" s="147"/>
      <c r="I34" s="147"/>
      <c r="J34" s="147"/>
      <c r="K34" s="147"/>
      <c r="L34" s="147"/>
      <c r="M34" s="147"/>
      <c r="N34" s="147"/>
      <c r="O34" s="147"/>
      <c r="P34" s="147"/>
      <c r="Q34" s="147"/>
      <c r="R34" s="550">
        <f t="shared" si="7"/>
        <v>0</v>
      </c>
      <c r="S34" s="147">
        <f t="shared" si="8"/>
        <v>0</v>
      </c>
      <c r="T34" s="147"/>
      <c r="U34" s="143"/>
    </row>
    <row r="35" spans="1:21" s="144" customFormat="1">
      <c r="A35" s="145" t="s">
        <v>140</v>
      </c>
      <c r="B35" s="146">
        <f t="shared" si="6"/>
        <v>328452</v>
      </c>
      <c r="C35" s="147">
        <v>328452</v>
      </c>
      <c r="D35" s="147"/>
      <c r="E35" s="147">
        <f>C35-SUM(F35:J35)</f>
        <v>328452</v>
      </c>
      <c r="F35" s="147"/>
      <c r="G35" s="147"/>
      <c r="H35" s="147"/>
      <c r="I35" s="147"/>
      <c r="J35" s="147"/>
      <c r="K35" s="147"/>
      <c r="L35" s="147"/>
      <c r="M35" s="147"/>
      <c r="N35" s="147"/>
      <c r="O35" s="147"/>
      <c r="P35" s="147"/>
      <c r="Q35" s="147"/>
      <c r="R35" s="550">
        <f t="shared" si="7"/>
        <v>328452</v>
      </c>
      <c r="S35" s="147">
        <f t="shared" si="8"/>
        <v>328452</v>
      </c>
      <c r="T35" s="147"/>
      <c r="U35" s="143"/>
    </row>
    <row r="36" spans="1:21" s="144" customFormat="1">
      <c r="A36" s="304" t="s">
        <v>1754</v>
      </c>
      <c r="B36" s="146">
        <f t="shared" si="6"/>
        <v>0</v>
      </c>
      <c r="C36" s="147"/>
      <c r="D36" s="147"/>
      <c r="E36" s="147"/>
      <c r="F36" s="147"/>
      <c r="G36" s="147"/>
      <c r="H36" s="147"/>
      <c r="I36" s="147"/>
      <c r="J36" s="147"/>
      <c r="K36" s="147"/>
      <c r="L36" s="147"/>
      <c r="M36" s="147"/>
      <c r="N36" s="147"/>
      <c r="O36" s="147"/>
      <c r="P36" s="147"/>
      <c r="Q36" s="147"/>
      <c r="R36" s="550">
        <f t="shared" si="7"/>
        <v>0</v>
      </c>
      <c r="S36" s="147">
        <f t="shared" si="8"/>
        <v>0</v>
      </c>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f t="shared" si="8"/>
        <v>0</v>
      </c>
      <c r="T37" s="147"/>
      <c r="U37" s="143"/>
    </row>
    <row r="38" spans="1:21" s="144" customFormat="1">
      <c r="A38" s="149" t="s">
        <v>143</v>
      </c>
      <c r="B38" s="146">
        <f t="shared" si="6"/>
        <v>21441881</v>
      </c>
      <c r="C38" s="146">
        <f>SUM(C29:C37)</f>
        <v>21441881</v>
      </c>
      <c r="D38" s="146">
        <f t="shared" ref="D38:Q38" si="9">SUM(D29:D37)</f>
        <v>0</v>
      </c>
      <c r="E38" s="146">
        <f t="shared" si="9"/>
        <v>9116881</v>
      </c>
      <c r="F38" s="146">
        <f t="shared" si="9"/>
        <v>4025000</v>
      </c>
      <c r="G38" s="146">
        <f t="shared" si="9"/>
        <v>6800000</v>
      </c>
      <c r="H38" s="146">
        <f t="shared" si="9"/>
        <v>1500000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0">
        <f>SUM(R29:R37)</f>
        <v>21441881</v>
      </c>
      <c r="S38" s="150">
        <f>SUM(S29:S37)</f>
        <v>21441881</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354000</v>
      </c>
      <c r="C40" s="147">
        <v>354000</v>
      </c>
      <c r="D40" s="147"/>
      <c r="E40" s="147">
        <f>C40</f>
        <v>354000</v>
      </c>
      <c r="F40" s="147"/>
      <c r="G40" s="147"/>
      <c r="H40" s="147"/>
      <c r="I40" s="147"/>
      <c r="J40" s="147"/>
      <c r="K40" s="147"/>
      <c r="L40" s="147"/>
      <c r="M40" s="147"/>
      <c r="N40" s="147"/>
      <c r="O40" s="147"/>
      <c r="P40" s="147"/>
      <c r="Q40" s="147"/>
      <c r="R40" s="550">
        <f>SUM(E40:Q40)</f>
        <v>354000</v>
      </c>
      <c r="S40" s="147">
        <f>R40</f>
        <v>354000</v>
      </c>
      <c r="T40" s="147"/>
      <c r="U40" s="143"/>
    </row>
    <row r="41" spans="1:21" s="144" customFormat="1">
      <c r="A41" s="145" t="s">
        <v>146</v>
      </c>
      <c r="B41" s="146">
        <f>SUM(C41+D41)</f>
        <v>188000</v>
      </c>
      <c r="C41" s="147">
        <v>188000</v>
      </c>
      <c r="D41" s="147"/>
      <c r="E41" s="147">
        <f>C41</f>
        <v>188000</v>
      </c>
      <c r="F41" s="147"/>
      <c r="G41" s="147"/>
      <c r="H41" s="147"/>
      <c r="I41" s="147"/>
      <c r="J41" s="147"/>
      <c r="K41" s="147"/>
      <c r="L41" s="147"/>
      <c r="M41" s="147"/>
      <c r="N41" s="147"/>
      <c r="O41" s="147"/>
      <c r="P41" s="147"/>
      <c r="Q41" s="147"/>
      <c r="R41" s="550">
        <f>SUM(E41:Q41)</f>
        <v>188000</v>
      </c>
      <c r="S41" s="147">
        <f>R41</f>
        <v>188000</v>
      </c>
      <c r="T41" s="147"/>
      <c r="U41" s="143"/>
    </row>
    <row r="42" spans="1:21" s="144" customFormat="1">
      <c r="A42" s="149" t="s">
        <v>147</v>
      </c>
      <c r="B42" s="146">
        <f>SUM(C42:D42)</f>
        <v>542000</v>
      </c>
      <c r="C42" s="146">
        <f>SUM(C39:C41)</f>
        <v>542000</v>
      </c>
      <c r="D42" s="146">
        <f>SUM(D39:D41)</f>
        <v>0</v>
      </c>
      <c r="E42" s="146">
        <f t="shared" ref="E42:T42" si="10">SUM(E40:E41)</f>
        <v>542000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0">
        <f>SUM(R40:R41)</f>
        <v>542000</v>
      </c>
      <c r="S42" s="150">
        <f t="shared" si="10"/>
        <v>542000</v>
      </c>
      <c r="T42" s="150">
        <f t="shared" si="10"/>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50">
        <f>SUM(E43:Q43)</f>
        <v>0</v>
      </c>
      <c r="S43" s="147">
        <f>R43</f>
        <v>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3335000</v>
      </c>
      <c r="C45" s="147">
        <v>3335000</v>
      </c>
      <c r="D45" s="147"/>
      <c r="E45" s="147">
        <f>B45-SUM(F45:M45)</f>
        <v>3335000</v>
      </c>
      <c r="F45" s="147"/>
      <c r="G45" s="147"/>
      <c r="H45" s="147"/>
      <c r="I45" s="147"/>
      <c r="J45" s="147"/>
      <c r="K45" s="147"/>
      <c r="L45" s="147"/>
      <c r="M45" s="147"/>
      <c r="N45" s="147"/>
      <c r="O45" s="147"/>
      <c r="P45" s="147"/>
      <c r="Q45" s="147"/>
      <c r="R45" s="550">
        <f t="shared" ref="R45:R53" si="12">SUM(E45:Q45)</f>
        <v>3335000</v>
      </c>
      <c r="S45" s="147">
        <f>R45</f>
        <v>3335000</v>
      </c>
      <c r="T45" s="147"/>
      <c r="U45" s="143"/>
    </row>
    <row r="46" spans="1:21" s="144" customFormat="1">
      <c r="A46" s="145" t="s">
        <v>151</v>
      </c>
      <c r="B46" s="146">
        <f t="shared" si="11"/>
        <v>234750</v>
      </c>
      <c r="C46" s="147">
        <v>234750</v>
      </c>
      <c r="D46" s="147"/>
      <c r="E46" s="147">
        <f>B46-SUM(F46:M46)</f>
        <v>234750</v>
      </c>
      <c r="F46" s="147"/>
      <c r="G46" s="147"/>
      <c r="H46" s="147"/>
      <c r="I46" s="147"/>
      <c r="J46" s="147"/>
      <c r="K46" s="147"/>
      <c r="L46" s="147"/>
      <c r="M46" s="147"/>
      <c r="N46" s="147"/>
      <c r="O46" s="147"/>
      <c r="P46" s="147"/>
      <c r="Q46" s="147"/>
      <c r="R46" s="550">
        <f t="shared" si="12"/>
        <v>234750</v>
      </c>
      <c r="S46" s="147">
        <f>R46</f>
        <v>234750</v>
      </c>
      <c r="T46" s="147"/>
      <c r="U46" s="143"/>
    </row>
    <row r="47" spans="1:21" s="144" customFormat="1">
      <c r="A47" s="198" t="s">
        <v>152</v>
      </c>
      <c r="B47" s="146">
        <f t="shared" si="11"/>
        <v>0</v>
      </c>
      <c r="C47" s="147"/>
      <c r="D47" s="147"/>
      <c r="E47" s="147">
        <f t="shared" ref="E47:E53" si="13">C47</f>
        <v>0</v>
      </c>
      <c r="F47" s="147"/>
      <c r="G47" s="147"/>
      <c r="H47" s="147"/>
      <c r="I47" s="147"/>
      <c r="J47" s="147"/>
      <c r="K47" s="147"/>
      <c r="L47" s="147"/>
      <c r="M47" s="147"/>
      <c r="N47" s="147"/>
      <c r="O47" s="147"/>
      <c r="P47" s="147"/>
      <c r="Q47" s="147"/>
      <c r="R47" s="550">
        <f t="shared" si="12"/>
        <v>0</v>
      </c>
      <c r="S47" s="147">
        <f t="shared" ref="S47:S53" si="14">R47</f>
        <v>0</v>
      </c>
      <c r="T47" s="147"/>
      <c r="U47" s="143"/>
    </row>
    <row r="48" spans="1:21" s="144" customFormat="1">
      <c r="A48" s="145" t="s">
        <v>153</v>
      </c>
      <c r="B48" s="146">
        <f t="shared" si="11"/>
        <v>0</v>
      </c>
      <c r="C48" s="147"/>
      <c r="D48" s="147"/>
      <c r="E48" s="147">
        <f t="shared" si="13"/>
        <v>0</v>
      </c>
      <c r="F48" s="147"/>
      <c r="G48" s="147"/>
      <c r="H48" s="147"/>
      <c r="I48" s="147"/>
      <c r="J48" s="147"/>
      <c r="K48" s="147"/>
      <c r="L48" s="147"/>
      <c r="M48" s="147"/>
      <c r="N48" s="147"/>
      <c r="O48" s="147"/>
      <c r="P48" s="147"/>
      <c r="Q48" s="147"/>
      <c r="R48" s="550">
        <f t="shared" si="12"/>
        <v>0</v>
      </c>
      <c r="S48" s="147">
        <f t="shared" si="14"/>
        <v>0</v>
      </c>
      <c r="T48" s="147"/>
      <c r="U48" s="143"/>
    </row>
    <row r="49" spans="1:21" s="144" customFormat="1">
      <c r="A49" s="145" t="s">
        <v>57</v>
      </c>
      <c r="B49" s="146">
        <f t="shared" si="11"/>
        <v>0</v>
      </c>
      <c r="C49" s="147">
        <v>0</v>
      </c>
      <c r="D49" s="147"/>
      <c r="E49" s="147">
        <f t="shared" si="13"/>
        <v>0</v>
      </c>
      <c r="F49" s="147"/>
      <c r="G49" s="147"/>
      <c r="H49" s="147"/>
      <c r="I49" s="147"/>
      <c r="J49" s="147"/>
      <c r="K49" s="147"/>
      <c r="L49" s="147"/>
      <c r="M49" s="147"/>
      <c r="N49" s="147"/>
      <c r="O49" s="147"/>
      <c r="P49" s="147"/>
      <c r="Q49" s="147"/>
      <c r="R49" s="550">
        <f t="shared" si="12"/>
        <v>0</v>
      </c>
      <c r="S49" s="147">
        <f t="shared" si="14"/>
        <v>0</v>
      </c>
      <c r="T49" s="147"/>
      <c r="U49" s="143"/>
    </row>
    <row r="50" spans="1:21" s="144" customFormat="1">
      <c r="A50" s="145" t="s">
        <v>156</v>
      </c>
      <c r="B50" s="146">
        <f t="shared" si="11"/>
        <v>75000</v>
      </c>
      <c r="C50" s="147">
        <v>75000</v>
      </c>
      <c r="D50" s="147"/>
      <c r="E50" s="147">
        <f t="shared" si="13"/>
        <v>75000</v>
      </c>
      <c r="F50" s="147"/>
      <c r="G50" s="147"/>
      <c r="H50" s="147"/>
      <c r="I50" s="147"/>
      <c r="J50" s="147"/>
      <c r="K50" s="147"/>
      <c r="L50" s="147"/>
      <c r="M50" s="147"/>
      <c r="N50" s="147"/>
      <c r="O50" s="147"/>
      <c r="P50" s="147"/>
      <c r="Q50" s="147"/>
      <c r="R50" s="550">
        <f t="shared" si="12"/>
        <v>75000</v>
      </c>
      <c r="S50" s="147">
        <f t="shared" si="14"/>
        <v>75000</v>
      </c>
      <c r="T50" s="147"/>
      <c r="U50" s="143"/>
    </row>
    <row r="51" spans="1:21" s="144" customFormat="1">
      <c r="A51" s="304" t="s">
        <v>154</v>
      </c>
      <c r="B51" s="146">
        <f t="shared" si="11"/>
        <v>0</v>
      </c>
      <c r="C51" s="147"/>
      <c r="D51" s="147"/>
      <c r="E51" s="147">
        <f t="shared" si="13"/>
        <v>0</v>
      </c>
      <c r="F51" s="147"/>
      <c r="G51" s="147"/>
      <c r="H51" s="147"/>
      <c r="I51" s="147"/>
      <c r="J51" s="147"/>
      <c r="K51" s="147"/>
      <c r="L51" s="147"/>
      <c r="M51" s="147"/>
      <c r="N51" s="147"/>
      <c r="O51" s="147"/>
      <c r="P51" s="147"/>
      <c r="Q51" s="147"/>
      <c r="R51" s="550">
        <f t="shared" si="12"/>
        <v>0</v>
      </c>
      <c r="S51" s="147">
        <f t="shared" si="14"/>
        <v>0</v>
      </c>
      <c r="T51" s="147"/>
      <c r="U51" s="143"/>
    </row>
    <row r="52" spans="1:21" s="144" customFormat="1">
      <c r="A52" s="145" t="s">
        <v>155</v>
      </c>
      <c r="B52" s="146">
        <f t="shared" si="11"/>
        <v>350000</v>
      </c>
      <c r="C52" s="147">
        <v>350000</v>
      </c>
      <c r="D52" s="147"/>
      <c r="E52" s="147">
        <f t="shared" si="13"/>
        <v>350000</v>
      </c>
      <c r="F52" s="147"/>
      <c r="G52" s="147"/>
      <c r="H52" s="147"/>
      <c r="I52" s="147"/>
      <c r="J52" s="147"/>
      <c r="K52" s="147"/>
      <c r="L52" s="147"/>
      <c r="M52" s="147"/>
      <c r="N52" s="147"/>
      <c r="O52" s="147"/>
      <c r="P52" s="147"/>
      <c r="Q52" s="147"/>
      <c r="R52" s="550">
        <f t="shared" si="12"/>
        <v>350000</v>
      </c>
      <c r="S52" s="147">
        <f t="shared" si="14"/>
        <v>350000</v>
      </c>
      <c r="T52" s="147"/>
      <c r="U52" s="143"/>
    </row>
    <row r="53" spans="1:21" s="144" customFormat="1">
      <c r="A53" s="1193" t="s">
        <v>34</v>
      </c>
      <c r="B53" s="146">
        <f t="shared" si="11"/>
        <v>0</v>
      </c>
      <c r="C53" s="147"/>
      <c r="D53" s="147"/>
      <c r="E53" s="147">
        <f t="shared" si="13"/>
        <v>0</v>
      </c>
      <c r="F53" s="147"/>
      <c r="G53" s="147"/>
      <c r="H53" s="147"/>
      <c r="I53" s="147"/>
      <c r="J53" s="147"/>
      <c r="K53" s="147"/>
      <c r="L53" s="147"/>
      <c r="M53" s="147"/>
      <c r="N53" s="147"/>
      <c r="O53" s="147"/>
      <c r="P53" s="147"/>
      <c r="Q53" s="147"/>
      <c r="R53" s="550">
        <f t="shared" si="12"/>
        <v>0</v>
      </c>
      <c r="S53" s="147">
        <f t="shared" si="14"/>
        <v>0</v>
      </c>
      <c r="T53" s="147"/>
      <c r="U53" s="143"/>
    </row>
    <row r="54" spans="1:21" s="153" customFormat="1">
      <c r="A54" s="149" t="s">
        <v>157</v>
      </c>
      <c r="B54" s="150">
        <f>SUM(C54:D54)</f>
        <v>3994750</v>
      </c>
      <c r="C54" s="150">
        <f t="shared" ref="C54:T54" si="15">SUM(C45:C53)</f>
        <v>3994750</v>
      </c>
      <c r="D54" s="150">
        <f t="shared" si="15"/>
        <v>0</v>
      </c>
      <c r="E54" s="150">
        <f t="shared" si="15"/>
        <v>3994750</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70">
        <f t="shared" si="15"/>
        <v>3994750</v>
      </c>
      <c r="S54" s="150">
        <f t="shared" si="15"/>
        <v>3994750</v>
      </c>
      <c r="T54" s="150">
        <f t="shared" si="15"/>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85000</v>
      </c>
      <c r="C56" s="147">
        <v>85000</v>
      </c>
      <c r="D56" s="147"/>
      <c r="E56" s="147">
        <f t="shared" ref="E56:E61" si="17">B56-SUM(F56:M56)</f>
        <v>85000</v>
      </c>
      <c r="F56" s="147"/>
      <c r="G56" s="147"/>
      <c r="H56" s="147"/>
      <c r="I56" s="147"/>
      <c r="J56" s="147"/>
      <c r="K56" s="147"/>
      <c r="L56" s="147"/>
      <c r="M56" s="147"/>
      <c r="N56" s="147"/>
      <c r="O56" s="147"/>
      <c r="P56" s="147"/>
      <c r="Q56" s="147"/>
      <c r="R56" s="550">
        <f t="shared" ref="R56:R61" si="18">SUM(E56:Q56)</f>
        <v>85000</v>
      </c>
      <c r="S56" s="148"/>
      <c r="T56" s="148"/>
      <c r="U56" s="143"/>
    </row>
    <row r="57" spans="1:21" s="204" customFormat="1">
      <c r="A57" s="198" t="s">
        <v>152</v>
      </c>
      <c r="B57" s="205">
        <f t="shared" si="16"/>
        <v>0</v>
      </c>
      <c r="C57" s="202"/>
      <c r="D57" s="202"/>
      <c r="E57" s="202">
        <f t="shared" si="17"/>
        <v>0</v>
      </c>
      <c r="F57" s="202"/>
      <c r="G57" s="202"/>
      <c r="H57" s="202"/>
      <c r="I57" s="202"/>
      <c r="J57" s="202"/>
      <c r="K57" s="202"/>
      <c r="L57" s="202"/>
      <c r="M57" s="202"/>
      <c r="N57" s="202"/>
      <c r="O57" s="202"/>
      <c r="P57" s="202"/>
      <c r="Q57" s="202"/>
      <c r="R57" s="550">
        <f t="shared" si="18"/>
        <v>0</v>
      </c>
      <c r="S57" s="206"/>
      <c r="T57" s="206"/>
      <c r="U57" s="203"/>
    </row>
    <row r="58" spans="1:21" s="144" customFormat="1">
      <c r="A58" s="145" t="s">
        <v>156</v>
      </c>
      <c r="B58" s="146">
        <f t="shared" si="16"/>
        <v>10000</v>
      </c>
      <c r="C58" s="147">
        <v>10000</v>
      </c>
      <c r="D58" s="147"/>
      <c r="E58" s="147">
        <f t="shared" si="17"/>
        <v>10000</v>
      </c>
      <c r="F58" s="147"/>
      <c r="G58" s="147"/>
      <c r="H58" s="147"/>
      <c r="I58" s="147"/>
      <c r="J58" s="147"/>
      <c r="K58" s="147"/>
      <c r="L58" s="147"/>
      <c r="M58" s="147"/>
      <c r="N58" s="147"/>
      <c r="O58" s="147"/>
      <c r="P58" s="147"/>
      <c r="Q58" s="147"/>
      <c r="R58" s="550">
        <f t="shared" si="18"/>
        <v>10000</v>
      </c>
      <c r="S58" s="148"/>
      <c r="T58" s="148"/>
      <c r="U58" s="143"/>
    </row>
    <row r="59" spans="1:21" s="144" customFormat="1">
      <c r="A59" s="304" t="s">
        <v>154</v>
      </c>
      <c r="B59" s="146">
        <f t="shared" si="16"/>
        <v>0</v>
      </c>
      <c r="C59" s="147"/>
      <c r="D59" s="147"/>
      <c r="E59" s="147">
        <f t="shared" si="17"/>
        <v>0</v>
      </c>
      <c r="F59" s="147"/>
      <c r="G59" s="147"/>
      <c r="H59" s="147"/>
      <c r="I59" s="147"/>
      <c r="J59" s="147"/>
      <c r="K59" s="147"/>
      <c r="L59" s="147"/>
      <c r="M59" s="147"/>
      <c r="N59" s="147"/>
      <c r="O59" s="147"/>
      <c r="P59" s="147"/>
      <c r="Q59" s="147"/>
      <c r="R59" s="550">
        <f t="shared" si="18"/>
        <v>0</v>
      </c>
      <c r="S59" s="148"/>
      <c r="T59" s="148"/>
      <c r="U59" s="143"/>
    </row>
    <row r="60" spans="1:21" s="144" customFormat="1">
      <c r="A60" s="145" t="s">
        <v>155</v>
      </c>
      <c r="B60" s="146">
        <f t="shared" si="16"/>
        <v>0</v>
      </c>
      <c r="C60" s="147"/>
      <c r="D60" s="147"/>
      <c r="E60" s="147">
        <f t="shared" si="17"/>
        <v>0</v>
      </c>
      <c r="F60" s="147"/>
      <c r="G60" s="147"/>
      <c r="H60" s="147"/>
      <c r="I60" s="147"/>
      <c r="J60" s="147"/>
      <c r="K60" s="147"/>
      <c r="L60" s="147"/>
      <c r="M60" s="147"/>
      <c r="N60" s="147"/>
      <c r="O60" s="147"/>
      <c r="P60" s="147"/>
      <c r="Q60" s="147"/>
      <c r="R60" s="550">
        <f t="shared" si="18"/>
        <v>0</v>
      </c>
      <c r="S60" s="148"/>
      <c r="T60" s="148"/>
      <c r="U60" s="143"/>
    </row>
    <row r="61" spans="1:21" s="144" customFormat="1">
      <c r="A61" s="1193" t="s">
        <v>2706</v>
      </c>
      <c r="B61" s="146">
        <f t="shared" si="16"/>
        <v>22000</v>
      </c>
      <c r="C61" s="147">
        <v>22000</v>
      </c>
      <c r="D61" s="147"/>
      <c r="E61" s="147">
        <f t="shared" si="17"/>
        <v>22000</v>
      </c>
      <c r="F61" s="147"/>
      <c r="G61" s="147"/>
      <c r="H61" s="147"/>
      <c r="I61" s="147"/>
      <c r="J61" s="147"/>
      <c r="K61" s="147"/>
      <c r="L61" s="147"/>
      <c r="M61" s="147"/>
      <c r="N61" s="147"/>
      <c r="O61" s="147"/>
      <c r="P61" s="147"/>
      <c r="Q61" s="147"/>
      <c r="R61" s="550">
        <f t="shared" si="18"/>
        <v>22000</v>
      </c>
      <c r="S61" s="148"/>
      <c r="T61" s="148"/>
      <c r="U61" s="143"/>
    </row>
    <row r="62" spans="1:21" s="144" customFormat="1" ht="13.75" customHeight="1">
      <c r="A62" s="149" t="s">
        <v>302</v>
      </c>
      <c r="B62" s="146">
        <f>SUM(C62:D62)</f>
        <v>117000</v>
      </c>
      <c r="C62" s="146">
        <f t="shared" ref="C62:R62" si="19">SUM(C56:C61)</f>
        <v>117000</v>
      </c>
      <c r="D62" s="146">
        <f t="shared" si="19"/>
        <v>0</v>
      </c>
      <c r="E62" s="146">
        <f t="shared" si="19"/>
        <v>117000</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70">
        <f t="shared" si="19"/>
        <v>117000</v>
      </c>
      <c r="S62" s="148"/>
      <c r="T62" s="148"/>
      <c r="U62" s="143"/>
    </row>
    <row r="63" spans="1:21" s="144" customFormat="1">
      <c r="A63" s="154" t="s">
        <v>303</v>
      </c>
      <c r="B63" s="146">
        <f t="shared" ref="B63:R63" si="20">SUM(B8+B11+B13+B14+B15+B26+B27+B38+B42+B43+B54+B62)</f>
        <v>49413786</v>
      </c>
      <c r="C63" s="146">
        <f t="shared" si="20"/>
        <v>49413786</v>
      </c>
      <c r="D63" s="146">
        <f t="shared" si="20"/>
        <v>0</v>
      </c>
      <c r="E63" s="146">
        <f t="shared" si="20"/>
        <v>25910701.645678751</v>
      </c>
      <c r="F63" s="146">
        <f t="shared" si="20"/>
        <v>8025000</v>
      </c>
      <c r="G63" s="146">
        <f t="shared" si="20"/>
        <v>6800000</v>
      </c>
      <c r="H63" s="146">
        <f t="shared" si="20"/>
        <v>1500000</v>
      </c>
      <c r="I63" s="146">
        <f t="shared" si="20"/>
        <v>0</v>
      </c>
      <c r="J63" s="146">
        <f t="shared" si="20"/>
        <v>0</v>
      </c>
      <c r="K63" s="146">
        <f t="shared" si="20"/>
        <v>7178084.354321247</v>
      </c>
      <c r="L63" s="146">
        <f t="shared" si="20"/>
        <v>0</v>
      </c>
      <c r="M63" s="146">
        <f t="shared" si="20"/>
        <v>0</v>
      </c>
      <c r="N63" s="146">
        <f t="shared" si="20"/>
        <v>0</v>
      </c>
      <c r="O63" s="146">
        <f t="shared" si="20"/>
        <v>0</v>
      </c>
      <c r="P63" s="146">
        <f t="shared" si="20"/>
        <v>0</v>
      </c>
      <c r="Q63" s="146">
        <f t="shared" si="20"/>
        <v>0</v>
      </c>
      <c r="R63" s="370">
        <f t="shared" si="20"/>
        <v>49413786</v>
      </c>
      <c r="S63" s="146">
        <f>SUM(S10+S13+S14+S15+S26+S27+S38+S42+S43+S54)</f>
        <v>25978631</v>
      </c>
      <c r="T63" s="146">
        <f>SUM(T11+T13+T14+T15+T26+T27+T38+T42+T43+T54)</f>
        <v>20069444</v>
      </c>
      <c r="U63" s="143"/>
    </row>
    <row r="64" spans="1:21" s="144" customFormat="1" ht="23.15">
      <c r="A64" s="141" t="s">
        <v>1758</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0</v>
      </c>
      <c r="C65" s="147"/>
      <c r="D65" s="147"/>
      <c r="E65" s="147"/>
      <c r="F65" s="147"/>
      <c r="G65" s="147"/>
      <c r="H65" s="147"/>
      <c r="I65" s="147"/>
      <c r="J65" s="147"/>
      <c r="K65" s="147"/>
      <c r="L65" s="147"/>
      <c r="M65" s="147"/>
      <c r="N65" s="147"/>
      <c r="O65" s="147"/>
      <c r="P65" s="147"/>
      <c r="Q65" s="147"/>
      <c r="R65" s="550">
        <f>SUM(E65:Q65)</f>
        <v>0</v>
      </c>
      <c r="S65" s="147">
        <f>R65</f>
        <v>0</v>
      </c>
      <c r="T65" s="147"/>
      <c r="U65" s="143"/>
    </row>
    <row r="66" spans="1:21" s="144" customFormat="1" ht="24" customHeight="1">
      <c r="A66" s="304" t="s">
        <v>1755</v>
      </c>
      <c r="B66" s="146">
        <f>SUM(C66+D66)</f>
        <v>0</v>
      </c>
      <c r="C66" s="147"/>
      <c r="D66" s="147"/>
      <c r="E66" s="147"/>
      <c r="F66" s="147"/>
      <c r="G66" s="147"/>
      <c r="H66" s="147"/>
      <c r="I66" s="147"/>
      <c r="J66" s="147"/>
      <c r="K66" s="147"/>
      <c r="L66" s="147"/>
      <c r="M66" s="147"/>
      <c r="N66" s="147"/>
      <c r="O66" s="147"/>
      <c r="P66" s="147"/>
      <c r="Q66" s="147"/>
      <c r="R66" s="550">
        <f>SUM(E66:Q66)</f>
        <v>0</v>
      </c>
      <c r="S66" s="147">
        <f>R66</f>
        <v>0</v>
      </c>
      <c r="T66" s="147"/>
      <c r="U66" s="143"/>
    </row>
    <row r="67" spans="1:21" s="144" customFormat="1" ht="24" customHeight="1">
      <c r="A67" s="304" t="s">
        <v>1756</v>
      </c>
      <c r="B67" s="146">
        <f>SUM(C67+D67)</f>
        <v>0</v>
      </c>
      <c r="C67" s="147"/>
      <c r="D67" s="147"/>
      <c r="E67" s="147"/>
      <c r="F67" s="147"/>
      <c r="G67" s="147"/>
      <c r="H67" s="147"/>
      <c r="I67" s="147"/>
      <c r="J67" s="147"/>
      <c r="K67" s="147"/>
      <c r="L67" s="147"/>
      <c r="M67" s="147"/>
      <c r="N67" s="147"/>
      <c r="O67" s="147"/>
      <c r="P67" s="147"/>
      <c r="Q67" s="147"/>
      <c r="R67" s="550">
        <f>SUM(E67:Q67)</f>
        <v>0</v>
      </c>
      <c r="S67" s="147">
        <f>R67</f>
        <v>0</v>
      </c>
      <c r="T67" s="147"/>
      <c r="U67" s="143"/>
    </row>
    <row r="68" spans="1:21" s="144" customFormat="1" ht="12" customHeight="1">
      <c r="A68" s="304" t="s">
        <v>1762</v>
      </c>
      <c r="B68" s="146">
        <f>SUM(C68+D68)</f>
        <v>0</v>
      </c>
      <c r="C68" s="147"/>
      <c r="D68" s="147"/>
      <c r="E68" s="147"/>
      <c r="F68" s="147"/>
      <c r="G68" s="147"/>
      <c r="H68" s="147"/>
      <c r="I68" s="147"/>
      <c r="J68" s="147"/>
      <c r="K68" s="147"/>
      <c r="L68" s="147"/>
      <c r="M68" s="147"/>
      <c r="N68" s="147"/>
      <c r="O68" s="147"/>
      <c r="P68" s="147"/>
      <c r="Q68" s="147"/>
      <c r="R68" s="550">
        <f>SUM(E68:Q68)</f>
        <v>0</v>
      </c>
      <c r="S68" s="147">
        <f>R68</f>
        <v>0</v>
      </c>
      <c r="T68" s="147"/>
      <c r="U68" s="143"/>
    </row>
    <row r="69" spans="1:21" s="144" customFormat="1">
      <c r="A69" s="1193" t="s">
        <v>2699</v>
      </c>
      <c r="B69" s="146">
        <f>SUM(C69+D69)</f>
        <v>60000</v>
      </c>
      <c r="C69" s="147">
        <v>60000</v>
      </c>
      <c r="D69" s="147"/>
      <c r="E69" s="147">
        <f>B69-SUM(F69:M69)</f>
        <v>60000</v>
      </c>
      <c r="F69" s="147"/>
      <c r="G69" s="147"/>
      <c r="H69" s="147"/>
      <c r="I69" s="147"/>
      <c r="J69" s="147"/>
      <c r="K69" s="147"/>
      <c r="L69" s="147"/>
      <c r="M69" s="147"/>
      <c r="N69" s="147"/>
      <c r="O69" s="147"/>
      <c r="P69" s="147"/>
      <c r="Q69" s="147"/>
      <c r="R69" s="550">
        <f>SUM(E69:Q69)</f>
        <v>60000</v>
      </c>
      <c r="S69" s="147">
        <f>R69</f>
        <v>60000</v>
      </c>
      <c r="T69" s="147"/>
      <c r="U69" s="143"/>
    </row>
    <row r="70" spans="1:21" s="144" customFormat="1">
      <c r="A70" s="149" t="s">
        <v>1759</v>
      </c>
      <c r="B70" s="146">
        <f>SUM(C70:D70)</f>
        <v>60000</v>
      </c>
      <c r="C70" s="146">
        <f>SUM(C65:C69)</f>
        <v>60000</v>
      </c>
      <c r="D70" s="146">
        <f>SUM(D65:D69)</f>
        <v>0</v>
      </c>
      <c r="E70" s="146">
        <f t="shared" ref="E70:T70" si="21">SUM(E65:E69)</f>
        <v>60000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70">
        <f t="shared" si="21"/>
        <v>60000</v>
      </c>
      <c r="S70" s="150">
        <f t="shared" si="21"/>
        <v>60000</v>
      </c>
      <c r="T70" s="150">
        <f t="shared" si="21"/>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v>0</v>
      </c>
      <c r="D74" s="147"/>
      <c r="E74" s="147">
        <f>B74-SUM(F74:M74)</f>
        <v>0</v>
      </c>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769784</v>
      </c>
      <c r="C75" s="147">
        <v>769784</v>
      </c>
      <c r="D75" s="147"/>
      <c r="E75" s="147">
        <f>B75-SUM(F75:M75)</f>
        <v>419684</v>
      </c>
      <c r="F75" s="147"/>
      <c r="G75" s="147"/>
      <c r="H75" s="147"/>
      <c r="I75" s="147"/>
      <c r="J75" s="147"/>
      <c r="K75" s="147"/>
      <c r="L75" s="147">
        <f>Application!AO633</f>
        <v>100</v>
      </c>
      <c r="M75" s="147">
        <v>350000</v>
      </c>
      <c r="N75" s="147"/>
      <c r="O75" s="147"/>
      <c r="P75" s="147"/>
      <c r="Q75" s="147"/>
      <c r="R75" s="550">
        <f>SUM(E75:Q75)</f>
        <v>769784</v>
      </c>
      <c r="S75" s="148"/>
      <c r="T75" s="148"/>
      <c r="U75" s="143"/>
    </row>
    <row r="76" spans="1:21" s="144" customFormat="1">
      <c r="A76" s="1193" t="s">
        <v>2709</v>
      </c>
      <c r="B76" s="146">
        <f>SUM(C76+D76)</f>
        <v>2331667</v>
      </c>
      <c r="C76" s="147">
        <v>2331667</v>
      </c>
      <c r="D76" s="147"/>
      <c r="E76" s="147">
        <f>B76-SUM(F76:M76)</f>
        <v>812375</v>
      </c>
      <c r="F76" s="147"/>
      <c r="G76" s="147"/>
      <c r="H76" s="147"/>
      <c r="I76" s="147"/>
      <c r="J76" s="147">
        <f>Application!AO631</f>
        <v>769292</v>
      </c>
      <c r="K76" s="147"/>
      <c r="L76" s="147"/>
      <c r="M76" s="147">
        <f>Application!AO634-M75</f>
        <v>750000</v>
      </c>
      <c r="N76" s="147"/>
      <c r="O76" s="147"/>
      <c r="P76" s="147"/>
      <c r="Q76" s="147"/>
      <c r="R76" s="550">
        <f>SUM(E76:Q76)</f>
        <v>2331667</v>
      </c>
      <c r="S76" s="148"/>
      <c r="T76" s="148"/>
      <c r="U76" s="143"/>
    </row>
    <row r="77" spans="1:21" s="144" customFormat="1">
      <c r="A77" s="149" t="s">
        <v>615</v>
      </c>
      <c r="B77" s="146">
        <f>SUM(C77:D77)</f>
        <v>3101451</v>
      </c>
      <c r="C77" s="146">
        <f>SUM(C72:C76)</f>
        <v>3101451</v>
      </c>
      <c r="D77" s="146">
        <f>SUM(D72:D76)</f>
        <v>0</v>
      </c>
      <c r="E77" s="146">
        <f t="shared" ref="E77:Q77" si="22">SUM(E72:E76)</f>
        <v>1232059</v>
      </c>
      <c r="F77" s="146">
        <f t="shared" si="22"/>
        <v>0</v>
      </c>
      <c r="G77" s="146">
        <f t="shared" si="22"/>
        <v>0</v>
      </c>
      <c r="H77" s="146">
        <f t="shared" si="22"/>
        <v>0</v>
      </c>
      <c r="I77" s="146">
        <f t="shared" si="22"/>
        <v>0</v>
      </c>
      <c r="J77" s="146">
        <f t="shared" si="22"/>
        <v>769292</v>
      </c>
      <c r="K77" s="146">
        <f t="shared" si="22"/>
        <v>0</v>
      </c>
      <c r="L77" s="146">
        <f t="shared" si="22"/>
        <v>100</v>
      </c>
      <c r="M77" s="146">
        <f t="shared" si="22"/>
        <v>1100000</v>
      </c>
      <c r="N77" s="146">
        <f t="shared" si="22"/>
        <v>0</v>
      </c>
      <c r="O77" s="146">
        <f t="shared" si="22"/>
        <v>0</v>
      </c>
      <c r="P77" s="146">
        <f t="shared" si="22"/>
        <v>0</v>
      </c>
      <c r="Q77" s="146">
        <f t="shared" si="22"/>
        <v>0</v>
      </c>
      <c r="R77" s="370">
        <f>SUM(R72:R76)</f>
        <v>3101451</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1897068</v>
      </c>
      <c r="C79" s="147">
        <v>1897068</v>
      </c>
      <c r="D79" s="147"/>
      <c r="E79" s="147">
        <f>B79-SUM(F79:M79)</f>
        <v>1897068</v>
      </c>
      <c r="F79" s="147"/>
      <c r="G79" s="147"/>
      <c r="H79" s="147"/>
      <c r="I79" s="147"/>
      <c r="J79" s="147"/>
      <c r="K79" s="147"/>
      <c r="L79" s="147"/>
      <c r="M79" s="147"/>
      <c r="N79" s="147"/>
      <c r="O79" s="147"/>
      <c r="P79" s="147"/>
      <c r="Q79" s="147"/>
      <c r="R79" s="550">
        <f>SUM(E79:Q79)</f>
        <v>1897068</v>
      </c>
      <c r="S79" s="147">
        <f>R79</f>
        <v>1897068</v>
      </c>
      <c r="T79" s="147"/>
      <c r="U79" s="143"/>
    </row>
    <row r="80" spans="1:21" s="144" customFormat="1">
      <c r="A80" s="304" t="s">
        <v>58</v>
      </c>
      <c r="B80" s="146">
        <f>SUM(C80:D80)</f>
        <v>240000</v>
      </c>
      <c r="C80" s="147">
        <v>240000</v>
      </c>
      <c r="D80" s="147"/>
      <c r="E80" s="147">
        <f>B80-SUM(F80:M80)</f>
        <v>240000</v>
      </c>
      <c r="F80" s="147"/>
      <c r="G80" s="147"/>
      <c r="H80" s="147"/>
      <c r="I80" s="147"/>
      <c r="J80" s="147"/>
      <c r="K80" s="147"/>
      <c r="L80" s="147"/>
      <c r="M80" s="147"/>
      <c r="N80" s="147"/>
      <c r="O80" s="147"/>
      <c r="P80" s="147"/>
      <c r="Q80" s="147"/>
      <c r="R80" s="550">
        <f>SUM(E80:Q80)</f>
        <v>240000</v>
      </c>
      <c r="S80" s="147">
        <f>R80</f>
        <v>240000</v>
      </c>
      <c r="T80" s="147"/>
      <c r="U80" s="143"/>
    </row>
    <row r="81" spans="1:21" s="144" customFormat="1">
      <c r="A81" s="149" t="s">
        <v>1316</v>
      </c>
      <c r="B81" s="146">
        <f>SUM(C81:D81)</f>
        <v>2137068</v>
      </c>
      <c r="C81" s="543">
        <f>SUM(C79:C80)</f>
        <v>2137068</v>
      </c>
      <c r="D81" s="543">
        <f t="shared" ref="D81:T81" si="23">SUM(D79:D80)</f>
        <v>0</v>
      </c>
      <c r="E81" s="543">
        <f t="shared" si="23"/>
        <v>2137068</v>
      </c>
      <c r="F81" s="543">
        <f t="shared" si="23"/>
        <v>0</v>
      </c>
      <c r="G81" s="543">
        <f t="shared" si="23"/>
        <v>0</v>
      </c>
      <c r="H81" s="543">
        <f t="shared" si="23"/>
        <v>0</v>
      </c>
      <c r="I81" s="543">
        <f t="shared" si="23"/>
        <v>0</v>
      </c>
      <c r="J81" s="543">
        <f t="shared" si="23"/>
        <v>0</v>
      </c>
      <c r="K81" s="543">
        <f t="shared" si="23"/>
        <v>0</v>
      </c>
      <c r="L81" s="543">
        <f t="shared" si="23"/>
        <v>0</v>
      </c>
      <c r="M81" s="543">
        <f t="shared" si="23"/>
        <v>0</v>
      </c>
      <c r="N81" s="543">
        <f t="shared" si="23"/>
        <v>0</v>
      </c>
      <c r="O81" s="543">
        <f t="shared" si="23"/>
        <v>0</v>
      </c>
      <c r="P81" s="543">
        <f t="shared" si="23"/>
        <v>0</v>
      </c>
      <c r="Q81" s="543">
        <f t="shared" si="23"/>
        <v>0</v>
      </c>
      <c r="R81" s="543">
        <f t="shared" si="23"/>
        <v>2137068</v>
      </c>
      <c r="S81" s="543">
        <f t="shared" si="23"/>
        <v>2137068</v>
      </c>
      <c r="T81" s="543">
        <f t="shared" si="23"/>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2412</v>
      </c>
      <c r="B83" s="146">
        <f t="shared" ref="B83:B95" si="24">SUM(C83+D83)</f>
        <v>85000</v>
      </c>
      <c r="C83" s="147">
        <v>85000</v>
      </c>
      <c r="D83" s="147"/>
      <c r="E83" s="147">
        <f t="shared" ref="E83:E95" si="25">B83-SUM(F83:M83)</f>
        <v>85000</v>
      </c>
      <c r="F83" s="147"/>
      <c r="G83" s="147"/>
      <c r="H83" s="147"/>
      <c r="I83" s="147"/>
      <c r="J83" s="147"/>
      <c r="K83" s="147"/>
      <c r="L83" s="147"/>
      <c r="M83" s="147"/>
      <c r="N83" s="147"/>
      <c r="O83" s="147"/>
      <c r="P83" s="147"/>
      <c r="Q83" s="147"/>
      <c r="R83" s="550">
        <f t="shared" ref="R83:R95" si="26">SUM(E83:Q83)</f>
        <v>85000</v>
      </c>
      <c r="S83" s="148"/>
      <c r="T83" s="148"/>
      <c r="U83" s="143"/>
    </row>
    <row r="84" spans="1:21" s="144" customFormat="1">
      <c r="A84" s="145" t="s">
        <v>777</v>
      </c>
      <c r="B84" s="146">
        <f t="shared" si="24"/>
        <v>15000</v>
      </c>
      <c r="C84" s="147">
        <v>15000</v>
      </c>
      <c r="D84" s="147"/>
      <c r="E84" s="147">
        <f>C84</f>
        <v>15000</v>
      </c>
      <c r="F84" s="147"/>
      <c r="G84" s="147"/>
      <c r="H84" s="147"/>
      <c r="I84" s="147"/>
      <c r="J84" s="147"/>
      <c r="K84" s="147"/>
      <c r="L84" s="147"/>
      <c r="M84" s="147"/>
      <c r="N84" s="147"/>
      <c r="O84" s="147"/>
      <c r="P84" s="147"/>
      <c r="Q84" s="147"/>
      <c r="R84" s="550">
        <f t="shared" si="26"/>
        <v>15000</v>
      </c>
      <c r="S84" s="147">
        <f>R84</f>
        <v>15000</v>
      </c>
      <c r="T84" s="147"/>
      <c r="U84" s="143"/>
    </row>
    <row r="85" spans="1:21" s="144" customFormat="1">
      <c r="A85" s="145" t="s">
        <v>778</v>
      </c>
      <c r="B85" s="146">
        <f t="shared" si="24"/>
        <v>285384</v>
      </c>
      <c r="C85" s="147">
        <v>285384</v>
      </c>
      <c r="D85" s="147"/>
      <c r="E85" s="147">
        <f t="shared" si="25"/>
        <v>285384</v>
      </c>
      <c r="F85" s="147"/>
      <c r="G85" s="147"/>
      <c r="H85" s="147"/>
      <c r="I85" s="147"/>
      <c r="J85" s="147"/>
      <c r="K85" s="147"/>
      <c r="L85" s="147"/>
      <c r="M85" s="147"/>
      <c r="N85" s="147"/>
      <c r="O85" s="147"/>
      <c r="P85" s="147"/>
      <c r="Q85" s="147"/>
      <c r="R85" s="550">
        <f t="shared" si="26"/>
        <v>285384</v>
      </c>
      <c r="S85" s="147">
        <f>R85</f>
        <v>285384</v>
      </c>
      <c r="T85" s="147"/>
      <c r="U85" s="143"/>
    </row>
    <row r="86" spans="1:21" s="144" customFormat="1">
      <c r="A86" s="145" t="s">
        <v>779</v>
      </c>
      <c r="B86" s="146">
        <f t="shared" si="24"/>
        <v>0</v>
      </c>
      <c r="C86" s="147">
        <v>0</v>
      </c>
      <c r="D86" s="147"/>
      <c r="E86" s="147">
        <f t="shared" si="25"/>
        <v>0</v>
      </c>
      <c r="F86" s="147"/>
      <c r="G86" s="147"/>
      <c r="H86" s="147"/>
      <c r="I86" s="147"/>
      <c r="J86" s="147"/>
      <c r="K86" s="147"/>
      <c r="L86" s="147"/>
      <c r="M86" s="147"/>
      <c r="N86" s="147"/>
      <c r="O86" s="147"/>
      <c r="P86" s="147"/>
      <c r="Q86" s="147"/>
      <c r="R86" s="550">
        <f t="shared" si="26"/>
        <v>0</v>
      </c>
      <c r="S86" s="147">
        <f>R86</f>
        <v>0</v>
      </c>
      <c r="T86" s="147"/>
      <c r="U86" s="143"/>
    </row>
    <row r="87" spans="1:21" s="144" customFormat="1">
      <c r="A87" s="145" t="s">
        <v>780</v>
      </c>
      <c r="B87" s="146">
        <f t="shared" si="24"/>
        <v>0</v>
      </c>
      <c r="C87" s="147">
        <v>0</v>
      </c>
      <c r="D87" s="147"/>
      <c r="E87" s="147">
        <f t="shared" si="25"/>
        <v>0</v>
      </c>
      <c r="F87" s="147"/>
      <c r="G87" s="147"/>
      <c r="H87" s="147"/>
      <c r="I87" s="147"/>
      <c r="J87" s="147"/>
      <c r="K87" s="147"/>
      <c r="L87" s="147"/>
      <c r="M87" s="147"/>
      <c r="N87" s="147"/>
      <c r="O87" s="147"/>
      <c r="P87" s="147"/>
      <c r="Q87" s="147"/>
      <c r="R87" s="550">
        <f t="shared" si="26"/>
        <v>0</v>
      </c>
      <c r="S87" s="147">
        <f>R87</f>
        <v>0</v>
      </c>
      <c r="T87" s="147"/>
      <c r="U87" s="143"/>
    </row>
    <row r="88" spans="1:21" s="144" customFormat="1">
      <c r="A88" s="145" t="s">
        <v>781</v>
      </c>
      <c r="B88" s="146">
        <f t="shared" si="24"/>
        <v>0</v>
      </c>
      <c r="C88" s="147">
        <v>0</v>
      </c>
      <c r="D88" s="147"/>
      <c r="E88" s="147">
        <f t="shared" si="25"/>
        <v>0</v>
      </c>
      <c r="F88" s="147"/>
      <c r="G88" s="147"/>
      <c r="H88" s="147"/>
      <c r="I88" s="147"/>
      <c r="J88" s="147"/>
      <c r="K88" s="147"/>
      <c r="L88" s="147"/>
      <c r="M88" s="147"/>
      <c r="N88" s="147"/>
      <c r="O88" s="147"/>
      <c r="P88" s="147"/>
      <c r="Q88" s="147"/>
      <c r="R88" s="550">
        <f t="shared" si="26"/>
        <v>0</v>
      </c>
      <c r="S88" s="148"/>
      <c r="T88" s="148"/>
      <c r="U88" s="143"/>
    </row>
    <row r="89" spans="1:21" s="144" customFormat="1">
      <c r="A89" s="145" t="s">
        <v>782</v>
      </c>
      <c r="B89" s="146">
        <f t="shared" si="24"/>
        <v>0</v>
      </c>
      <c r="C89" s="147">
        <v>0</v>
      </c>
      <c r="D89" s="147"/>
      <c r="E89" s="147">
        <f t="shared" si="25"/>
        <v>0</v>
      </c>
      <c r="F89" s="147"/>
      <c r="G89" s="147"/>
      <c r="H89" s="147"/>
      <c r="I89" s="147"/>
      <c r="J89" s="147"/>
      <c r="K89" s="147"/>
      <c r="L89" s="147"/>
      <c r="M89" s="147"/>
      <c r="N89" s="147"/>
      <c r="O89" s="147"/>
      <c r="P89" s="147"/>
      <c r="Q89" s="147"/>
      <c r="R89" s="550">
        <f t="shared" si="26"/>
        <v>0</v>
      </c>
      <c r="S89" s="147">
        <f t="shared" ref="S89:S95" si="27">R89</f>
        <v>0</v>
      </c>
      <c r="T89" s="147"/>
      <c r="U89" s="143"/>
    </row>
    <row r="90" spans="1:21" s="144" customFormat="1">
      <c r="A90" s="145" t="s">
        <v>783</v>
      </c>
      <c r="B90" s="146">
        <f t="shared" si="24"/>
        <v>5750</v>
      </c>
      <c r="C90" s="147">
        <v>5750</v>
      </c>
      <c r="D90" s="147"/>
      <c r="E90" s="147">
        <f t="shared" si="25"/>
        <v>5750</v>
      </c>
      <c r="F90" s="147"/>
      <c r="G90" s="147"/>
      <c r="H90" s="147"/>
      <c r="I90" s="147"/>
      <c r="J90" s="147"/>
      <c r="K90" s="147"/>
      <c r="L90" s="147"/>
      <c r="M90" s="147"/>
      <c r="N90" s="147"/>
      <c r="O90" s="147"/>
      <c r="P90" s="147"/>
      <c r="Q90" s="147"/>
      <c r="R90" s="550">
        <f t="shared" si="26"/>
        <v>5750</v>
      </c>
      <c r="S90" s="147">
        <f t="shared" si="27"/>
        <v>5750</v>
      </c>
      <c r="T90" s="147"/>
      <c r="U90" s="143"/>
    </row>
    <row r="91" spans="1:21" s="144" customFormat="1">
      <c r="A91" s="145" t="s">
        <v>373</v>
      </c>
      <c r="B91" s="146">
        <f t="shared" si="24"/>
        <v>0</v>
      </c>
      <c r="C91" s="147">
        <v>0</v>
      </c>
      <c r="D91" s="147"/>
      <c r="E91" s="147">
        <f t="shared" si="25"/>
        <v>0</v>
      </c>
      <c r="F91" s="147"/>
      <c r="G91" s="147"/>
      <c r="H91" s="147"/>
      <c r="I91" s="147"/>
      <c r="J91" s="147"/>
      <c r="K91" s="147"/>
      <c r="L91" s="147"/>
      <c r="M91" s="147"/>
      <c r="N91" s="147"/>
      <c r="O91" s="147"/>
      <c r="P91" s="147"/>
      <c r="Q91" s="147"/>
      <c r="R91" s="550">
        <f t="shared" si="26"/>
        <v>0</v>
      </c>
      <c r="S91" s="147">
        <f t="shared" si="27"/>
        <v>0</v>
      </c>
      <c r="T91" s="147"/>
      <c r="U91" s="143"/>
    </row>
    <row r="92" spans="1:21" s="144" customFormat="1">
      <c r="A92" s="304" t="s">
        <v>1318</v>
      </c>
      <c r="B92" s="146">
        <f t="shared" si="24"/>
        <v>6600</v>
      </c>
      <c r="C92" s="147">
        <v>6600</v>
      </c>
      <c r="D92" s="147"/>
      <c r="E92" s="147">
        <f t="shared" si="25"/>
        <v>6600</v>
      </c>
      <c r="F92" s="147"/>
      <c r="G92" s="147"/>
      <c r="H92" s="147"/>
      <c r="I92" s="147"/>
      <c r="J92" s="147"/>
      <c r="K92" s="147"/>
      <c r="L92" s="147"/>
      <c r="M92" s="147"/>
      <c r="N92" s="147"/>
      <c r="O92" s="147"/>
      <c r="P92" s="147"/>
      <c r="Q92" s="147"/>
      <c r="R92" s="550">
        <f t="shared" si="26"/>
        <v>6600</v>
      </c>
      <c r="S92" s="147">
        <f t="shared" si="27"/>
        <v>6600</v>
      </c>
      <c r="T92" s="147"/>
      <c r="U92" s="143"/>
    </row>
    <row r="93" spans="1:21" s="144" customFormat="1">
      <c r="A93" s="1193" t="s">
        <v>2767</v>
      </c>
      <c r="B93" s="146">
        <f t="shared" si="24"/>
        <v>15000</v>
      </c>
      <c r="C93" s="147">
        <v>15000</v>
      </c>
      <c r="D93" s="147"/>
      <c r="E93" s="147">
        <f t="shared" si="25"/>
        <v>15000</v>
      </c>
      <c r="F93" s="147"/>
      <c r="G93" s="147"/>
      <c r="H93" s="147"/>
      <c r="I93" s="147"/>
      <c r="J93" s="147"/>
      <c r="K93" s="147"/>
      <c r="L93" s="147"/>
      <c r="M93" s="147"/>
      <c r="N93" s="147"/>
      <c r="O93" s="147"/>
      <c r="P93" s="147"/>
      <c r="Q93" s="147"/>
      <c r="R93" s="550">
        <f t="shared" si="26"/>
        <v>15000</v>
      </c>
      <c r="S93" s="147">
        <f t="shared" si="27"/>
        <v>15000</v>
      </c>
      <c r="T93" s="147"/>
      <c r="U93" s="143"/>
    </row>
    <row r="94" spans="1:21" s="144" customFormat="1">
      <c r="A94" s="1193" t="s">
        <v>2768</v>
      </c>
      <c r="B94" s="146">
        <f t="shared" si="24"/>
        <v>25000</v>
      </c>
      <c r="C94" s="147">
        <v>25000</v>
      </c>
      <c r="D94" s="147"/>
      <c r="E94" s="147">
        <f t="shared" si="25"/>
        <v>25000</v>
      </c>
      <c r="F94" s="147"/>
      <c r="G94" s="147"/>
      <c r="H94" s="147"/>
      <c r="I94" s="147"/>
      <c r="J94" s="147"/>
      <c r="K94" s="147"/>
      <c r="L94" s="147"/>
      <c r="M94" s="147"/>
      <c r="N94" s="147"/>
      <c r="O94" s="147"/>
      <c r="P94" s="147"/>
      <c r="Q94" s="147"/>
      <c r="R94" s="550">
        <f t="shared" si="26"/>
        <v>25000</v>
      </c>
      <c r="S94" s="147">
        <f t="shared" si="27"/>
        <v>25000</v>
      </c>
      <c r="T94" s="147"/>
      <c r="U94" s="143"/>
    </row>
    <row r="95" spans="1:21" s="144" customFormat="1">
      <c r="A95" s="1193" t="s">
        <v>2769</v>
      </c>
      <c r="B95" s="146">
        <f t="shared" si="24"/>
        <v>36000</v>
      </c>
      <c r="C95" s="147">
        <v>36000</v>
      </c>
      <c r="D95" s="147"/>
      <c r="E95" s="147">
        <f t="shared" si="25"/>
        <v>36000</v>
      </c>
      <c r="F95" s="147"/>
      <c r="G95" s="147"/>
      <c r="H95" s="147"/>
      <c r="I95" s="147"/>
      <c r="J95" s="147"/>
      <c r="K95" s="147"/>
      <c r="L95" s="147"/>
      <c r="M95" s="147"/>
      <c r="N95" s="147"/>
      <c r="O95" s="147"/>
      <c r="P95" s="147"/>
      <c r="Q95" s="147"/>
      <c r="R95" s="550">
        <f t="shared" si="26"/>
        <v>36000</v>
      </c>
      <c r="S95" s="147">
        <f t="shared" si="27"/>
        <v>36000</v>
      </c>
      <c r="T95" s="147"/>
      <c r="U95" s="143"/>
    </row>
    <row r="96" spans="1:21" s="144" customFormat="1">
      <c r="A96" s="149" t="s">
        <v>784</v>
      </c>
      <c r="B96" s="146">
        <f>SUM(C96:D96)</f>
        <v>473734</v>
      </c>
      <c r="C96" s="146">
        <f t="shared" ref="C96:R96" si="28">SUM(C83:C95)</f>
        <v>473734</v>
      </c>
      <c r="D96" s="146">
        <f t="shared" si="28"/>
        <v>0</v>
      </c>
      <c r="E96" s="146">
        <f t="shared" si="28"/>
        <v>473734</v>
      </c>
      <c r="F96" s="146">
        <f t="shared" si="28"/>
        <v>0</v>
      </c>
      <c r="G96" s="146">
        <f t="shared" si="28"/>
        <v>0</v>
      </c>
      <c r="H96" s="146">
        <f t="shared" si="28"/>
        <v>0</v>
      </c>
      <c r="I96" s="146">
        <f t="shared" si="28"/>
        <v>0</v>
      </c>
      <c r="J96" s="146">
        <f t="shared" si="28"/>
        <v>0</v>
      </c>
      <c r="K96" s="146">
        <f t="shared" si="28"/>
        <v>0</v>
      </c>
      <c r="L96" s="146">
        <f t="shared" si="28"/>
        <v>0</v>
      </c>
      <c r="M96" s="146">
        <f t="shared" si="28"/>
        <v>0</v>
      </c>
      <c r="N96" s="146">
        <f t="shared" si="28"/>
        <v>0</v>
      </c>
      <c r="O96" s="146">
        <f t="shared" si="28"/>
        <v>0</v>
      </c>
      <c r="P96" s="146">
        <f t="shared" si="28"/>
        <v>0</v>
      </c>
      <c r="Q96" s="146">
        <f t="shared" si="28"/>
        <v>0</v>
      </c>
      <c r="R96" s="370">
        <f t="shared" si="28"/>
        <v>473734</v>
      </c>
      <c r="S96" s="150">
        <f>SUM(S84:S87,S89:S95)</f>
        <v>388734</v>
      </c>
      <c r="T96" s="146">
        <f>SUM(T84:T87,T89:T95)</f>
        <v>0</v>
      </c>
      <c r="U96" s="143"/>
    </row>
    <row r="97" spans="1:21" s="144" customFormat="1">
      <c r="A97" s="149" t="s">
        <v>785</v>
      </c>
      <c r="B97" s="146">
        <f>SUM(C97:D97)</f>
        <v>55186039</v>
      </c>
      <c r="C97" s="146">
        <f t="shared" ref="C97:R97" si="29">SUM(C63+C70+C77+C81+C96)</f>
        <v>55186039</v>
      </c>
      <c r="D97" s="146">
        <f t="shared" si="29"/>
        <v>0</v>
      </c>
      <c r="E97" s="146">
        <f t="shared" si="29"/>
        <v>29813562.645678751</v>
      </c>
      <c r="F97" s="146">
        <f t="shared" si="29"/>
        <v>8025000</v>
      </c>
      <c r="G97" s="146">
        <f t="shared" si="29"/>
        <v>6800000</v>
      </c>
      <c r="H97" s="146">
        <f t="shared" si="29"/>
        <v>1500000</v>
      </c>
      <c r="I97" s="146">
        <f t="shared" si="29"/>
        <v>0</v>
      </c>
      <c r="J97" s="146">
        <f t="shared" si="29"/>
        <v>769292</v>
      </c>
      <c r="K97" s="146">
        <f t="shared" si="29"/>
        <v>7178084.354321247</v>
      </c>
      <c r="L97" s="146">
        <f t="shared" si="29"/>
        <v>100</v>
      </c>
      <c r="M97" s="146">
        <f t="shared" si="29"/>
        <v>1100000</v>
      </c>
      <c r="N97" s="146">
        <f t="shared" si="29"/>
        <v>0</v>
      </c>
      <c r="O97" s="146">
        <f t="shared" si="29"/>
        <v>0</v>
      </c>
      <c r="P97" s="146">
        <f t="shared" si="29"/>
        <v>0</v>
      </c>
      <c r="Q97" s="146">
        <f t="shared" si="29"/>
        <v>0</v>
      </c>
      <c r="R97" s="146">
        <f t="shared" si="29"/>
        <v>55186039</v>
      </c>
      <c r="S97" s="146">
        <f>SUM(S63+S70+S81+S96)</f>
        <v>28564433</v>
      </c>
      <c r="T97" s="146">
        <f>SUM(T63+T70+T81+T96)</f>
        <v>20069444</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6716360</v>
      </c>
      <c r="C99" s="1014">
        <v>6716360</v>
      </c>
      <c r="D99" s="1014"/>
      <c r="E99" s="1014">
        <f>C99-I99</f>
        <v>2916667</v>
      </c>
      <c r="F99" s="147"/>
      <c r="G99" s="147"/>
      <c r="H99" s="147"/>
      <c r="I99" s="147">
        <f>Application!AO630</f>
        <v>3799693</v>
      </c>
      <c r="J99" s="147"/>
      <c r="K99" s="147"/>
      <c r="L99" s="147"/>
      <c r="M99" s="147"/>
      <c r="N99" s="147"/>
      <c r="O99" s="147"/>
      <c r="P99" s="147"/>
      <c r="Q99" s="147"/>
      <c r="R99" s="550">
        <f>SUM(E99:Q99)</f>
        <v>6716360</v>
      </c>
      <c r="S99" s="147">
        <f>ROUND(S97*0.2,0)</f>
        <v>5712887</v>
      </c>
      <c r="T99" s="147">
        <f>CEILING(0.05*T97,1)</f>
        <v>1003473</v>
      </c>
      <c r="U99" s="143"/>
    </row>
    <row r="100" spans="1:21" s="144" customFormat="1">
      <c r="A100" s="304" t="s">
        <v>1760</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1761</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6716360</v>
      </c>
      <c r="C104" s="146">
        <f>SUM(C99:C103)</f>
        <v>6716360</v>
      </c>
      <c r="D104" s="146">
        <f t="shared" ref="D104:T104" si="30">SUM(D99:D103)</f>
        <v>0</v>
      </c>
      <c r="E104" s="146">
        <f t="shared" si="30"/>
        <v>2916667</v>
      </c>
      <c r="F104" s="146">
        <f t="shared" si="30"/>
        <v>0</v>
      </c>
      <c r="G104" s="146">
        <f t="shared" si="30"/>
        <v>0</v>
      </c>
      <c r="H104" s="146">
        <f t="shared" si="30"/>
        <v>0</v>
      </c>
      <c r="I104" s="146">
        <f t="shared" si="30"/>
        <v>3799693</v>
      </c>
      <c r="J104" s="146">
        <f t="shared" si="30"/>
        <v>0</v>
      </c>
      <c r="K104" s="146">
        <f t="shared" si="30"/>
        <v>0</v>
      </c>
      <c r="L104" s="146">
        <f t="shared" si="30"/>
        <v>0</v>
      </c>
      <c r="M104" s="146">
        <f t="shared" si="30"/>
        <v>0</v>
      </c>
      <c r="N104" s="146">
        <f t="shared" si="30"/>
        <v>0</v>
      </c>
      <c r="O104" s="146">
        <f t="shared" si="30"/>
        <v>0</v>
      </c>
      <c r="P104" s="146">
        <f t="shared" si="30"/>
        <v>0</v>
      </c>
      <c r="Q104" s="146">
        <f t="shared" si="30"/>
        <v>0</v>
      </c>
      <c r="R104" s="370">
        <f t="shared" si="30"/>
        <v>6716360</v>
      </c>
      <c r="S104" s="150">
        <f t="shared" si="30"/>
        <v>5712887</v>
      </c>
      <c r="T104" s="150">
        <f t="shared" si="30"/>
        <v>1003473</v>
      </c>
      <c r="U104" s="143"/>
    </row>
    <row r="105" spans="1:21" s="144" customFormat="1">
      <c r="A105" s="149" t="s">
        <v>790</v>
      </c>
      <c r="B105" s="150">
        <f>SUM(C105:D105)</f>
        <v>61902399</v>
      </c>
      <c r="C105" s="150">
        <f t="shared" ref="C105:R105" si="31">SUM(C97+C104)</f>
        <v>61902399</v>
      </c>
      <c r="D105" s="150">
        <f t="shared" si="31"/>
        <v>0</v>
      </c>
      <c r="E105" s="150">
        <f t="shared" si="31"/>
        <v>32730229.645678751</v>
      </c>
      <c r="F105" s="150">
        <f t="shared" si="31"/>
        <v>8025000</v>
      </c>
      <c r="G105" s="150">
        <f t="shared" si="31"/>
        <v>6800000</v>
      </c>
      <c r="H105" s="150">
        <f t="shared" si="31"/>
        <v>1500000</v>
      </c>
      <c r="I105" s="150">
        <f t="shared" si="31"/>
        <v>3799693</v>
      </c>
      <c r="J105" s="150">
        <f t="shared" si="31"/>
        <v>769292</v>
      </c>
      <c r="K105" s="150">
        <f t="shared" si="31"/>
        <v>7178084.354321247</v>
      </c>
      <c r="L105" s="150">
        <f t="shared" si="31"/>
        <v>100</v>
      </c>
      <c r="M105" s="150">
        <f t="shared" si="31"/>
        <v>1100000</v>
      </c>
      <c r="N105" s="150">
        <f t="shared" si="31"/>
        <v>0</v>
      </c>
      <c r="O105" s="150">
        <f t="shared" si="31"/>
        <v>0</v>
      </c>
      <c r="P105" s="150">
        <f t="shared" si="31"/>
        <v>0</v>
      </c>
      <c r="Q105" s="150">
        <f t="shared" si="31"/>
        <v>0</v>
      </c>
      <c r="R105" s="370">
        <f t="shared" si="31"/>
        <v>61902399</v>
      </c>
      <c r="S105" s="150">
        <f>S97+S104</f>
        <v>34277320</v>
      </c>
      <c r="T105" s="150">
        <f>T97+T104</f>
        <v>21072917</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34277320</v>
      </c>
      <c r="T107" s="150">
        <f>T105+T106</f>
        <v>21072917</v>
      </c>
    </row>
    <row r="108" spans="1:21" s="201" customFormat="1">
      <c r="A108" s="162" t="s">
        <v>892</v>
      </c>
      <c r="B108" s="157"/>
      <c r="C108" s="157"/>
      <c r="D108" s="157"/>
      <c r="E108" s="323">
        <f>Application!AO640</f>
        <v>32730229.645678751</v>
      </c>
      <c r="F108" s="323">
        <f>Application!AO627</f>
        <v>8025000</v>
      </c>
      <c r="G108" s="323">
        <f>Application!AO628</f>
        <v>6800000</v>
      </c>
      <c r="H108" s="323">
        <f>Application!AO629</f>
        <v>1500000</v>
      </c>
      <c r="I108" s="323">
        <f>Application!AO630</f>
        <v>3799693</v>
      </c>
      <c r="J108" s="323">
        <f>Application!AO631</f>
        <v>769292</v>
      </c>
      <c r="K108" s="323">
        <f>Application!AO632</f>
        <v>7178084.354321247</v>
      </c>
      <c r="L108" s="323">
        <f>Application!AO633</f>
        <v>100</v>
      </c>
      <c r="M108" s="323">
        <f>Application!AO634</f>
        <v>1100000</v>
      </c>
      <c r="N108" s="323">
        <f>Application!AO635</f>
        <v>0</v>
      </c>
      <c r="O108" s="323">
        <f>Application!AO636</f>
        <v>0</v>
      </c>
      <c r="P108" s="323">
        <f>Application!AO637</f>
        <v>0</v>
      </c>
      <c r="Q108" s="323">
        <f>Application!AO638</f>
        <v>0</v>
      </c>
      <c r="R108" s="158"/>
      <c r="S108" s="158"/>
      <c r="T108" s="158"/>
      <c r="U108" s="200"/>
    </row>
    <row r="109" spans="1:21" ht="10.3"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2413</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45">
      <c r="A121" s="366" t="s">
        <v>1030</v>
      </c>
      <c r="B121" s="157"/>
      <c r="C121" s="157"/>
      <c r="D121" s="157"/>
    </row>
    <row r="122" spans="1:21">
      <c r="A122" s="353" t="s">
        <v>1014</v>
      </c>
      <c r="B122" s="352"/>
      <c r="C122" s="352"/>
      <c r="D122" s="1884" t="s">
        <v>1015</v>
      </c>
      <c r="E122" s="1884"/>
      <c r="F122" s="1884"/>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76" t="s">
        <v>1332</v>
      </c>
      <c r="E123" s="1564"/>
      <c r="F123" s="1564"/>
      <c r="G123" s="1564"/>
      <c r="H123" s="1564"/>
      <c r="I123" s="1564"/>
      <c r="J123" s="1564"/>
      <c r="K123" s="1564"/>
      <c r="L123" s="1564"/>
      <c r="M123" s="1564"/>
      <c r="N123" s="1564"/>
      <c r="O123" s="1564"/>
      <c r="P123" s="1564"/>
      <c r="Q123" s="1564"/>
      <c r="R123" s="1564"/>
      <c r="S123" s="1564"/>
      <c r="T123" s="352"/>
      <c r="U123" s="354"/>
    </row>
    <row r="124" spans="1:21" ht="12.45">
      <c r="A124" s="117" t="s">
        <v>1017</v>
      </c>
      <c r="B124" s="361"/>
      <c r="C124" s="117"/>
      <c r="D124" s="1564"/>
      <c r="E124" s="1564"/>
      <c r="F124" s="1564"/>
      <c r="G124" s="1564"/>
      <c r="H124" s="1564"/>
      <c r="I124" s="1564"/>
      <c r="J124" s="1564"/>
      <c r="K124" s="1564"/>
      <c r="L124" s="1564"/>
      <c r="M124" s="1564"/>
      <c r="N124" s="1564"/>
      <c r="O124" s="1564"/>
      <c r="P124" s="1564"/>
      <c r="Q124" s="1564"/>
      <c r="R124" s="1564"/>
      <c r="S124" s="1564"/>
      <c r="T124" s="352"/>
      <c r="U124" s="354"/>
    </row>
    <row r="125" spans="1:21" ht="12.45">
      <c r="A125" s="117" t="s">
        <v>1018</v>
      </c>
      <c r="B125" s="361"/>
      <c r="C125" s="117"/>
      <c r="D125" s="1564"/>
      <c r="E125" s="1564"/>
      <c r="F125" s="1564"/>
      <c r="G125" s="1564"/>
      <c r="H125" s="1564"/>
      <c r="I125" s="1564"/>
      <c r="J125" s="1564"/>
      <c r="K125" s="1564"/>
      <c r="L125" s="1564"/>
      <c r="M125" s="1564"/>
      <c r="N125" s="1564"/>
      <c r="O125" s="1564"/>
      <c r="P125" s="1564"/>
      <c r="Q125" s="1564"/>
      <c r="R125" s="1564"/>
      <c r="S125" s="1564"/>
      <c r="T125" s="352"/>
      <c r="U125" s="354"/>
    </row>
    <row r="126" spans="1:21" ht="12.4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4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45">
      <c r="A128" s="117" t="s">
        <v>1021</v>
      </c>
      <c r="B128" s="361"/>
      <c r="C128" s="117"/>
      <c r="D128" s="1879"/>
      <c r="E128" s="1879"/>
      <c r="F128" s="1879"/>
      <c r="G128" s="1879"/>
      <c r="H128" s="1879"/>
      <c r="I128" s="117"/>
      <c r="J128" s="1875"/>
      <c r="K128" s="1875"/>
      <c r="L128" s="117"/>
      <c r="M128" s="117"/>
      <c r="N128" s="117"/>
      <c r="O128" s="117"/>
      <c r="P128" s="117"/>
      <c r="Q128" s="117"/>
      <c r="R128" s="117"/>
      <c r="S128" s="117"/>
      <c r="T128" s="352"/>
      <c r="U128" s="354"/>
    </row>
    <row r="129" spans="1:21" ht="12.45">
      <c r="A129" s="117" t="s">
        <v>301</v>
      </c>
      <c r="B129" s="361"/>
      <c r="C129" s="117"/>
      <c r="D129" s="1883" t="s">
        <v>1022</v>
      </c>
      <c r="E129" s="1883"/>
      <c r="F129" s="1883"/>
      <c r="G129" s="1883"/>
      <c r="H129" s="1883"/>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45">
      <c r="A131" s="363" t="s">
        <v>1024</v>
      </c>
      <c r="B131" s="362">
        <f>SUM(B123:B129)</f>
        <v>0</v>
      </c>
      <c r="C131" s="117"/>
      <c r="D131" s="1510"/>
      <c r="E131" s="1510"/>
      <c r="F131" s="1510"/>
      <c r="G131" s="1510"/>
      <c r="H131" s="1510"/>
      <c r="I131" s="117"/>
      <c r="J131" s="1510"/>
      <c r="K131" s="1510"/>
      <c r="L131" s="1510"/>
      <c r="M131" s="1510"/>
      <c r="N131" s="117"/>
      <c r="O131" s="117"/>
      <c r="P131" s="117"/>
      <c r="Q131" s="117"/>
      <c r="R131" s="117"/>
      <c r="S131" s="117"/>
      <c r="T131" s="352"/>
      <c r="U131" s="354"/>
    </row>
    <row r="132" spans="1:21" ht="12" customHeight="1">
      <c r="A132" s="364"/>
      <c r="B132" s="117"/>
      <c r="C132" s="117"/>
      <c r="D132" s="1877" t="s">
        <v>1025</v>
      </c>
      <c r="E132" s="1877"/>
      <c r="F132" s="1877"/>
      <c r="G132" s="1877"/>
      <c r="H132" s="1877"/>
      <c r="I132" s="117"/>
      <c r="J132" s="1877" t="s">
        <v>1026</v>
      </c>
      <c r="K132" s="1877"/>
      <c r="L132" s="1877"/>
      <c r="M132" s="1877"/>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4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4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4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8"/>
      <c r="B138" s="1879"/>
      <c r="C138" s="1879"/>
      <c r="D138" s="356"/>
      <c r="E138" s="1875"/>
      <c r="F138" s="1875"/>
      <c r="G138" s="117"/>
      <c r="H138" s="117"/>
      <c r="I138" s="117"/>
      <c r="J138" s="117"/>
      <c r="K138" s="117"/>
      <c r="L138" s="117"/>
      <c r="M138" s="117"/>
      <c r="N138" s="117"/>
      <c r="O138" s="117"/>
      <c r="P138" s="117"/>
      <c r="Q138" s="117"/>
      <c r="R138" s="117"/>
      <c r="S138" s="117"/>
      <c r="T138" s="358"/>
      <c r="U138" s="359"/>
    </row>
    <row r="139" spans="1:21" ht="12.9">
      <c r="A139" s="1874" t="s">
        <v>1029</v>
      </c>
      <c r="B139" s="1874"/>
      <c r="C139" s="1874"/>
      <c r="D139" s="356"/>
      <c r="E139" s="117" t="s">
        <v>1023</v>
      </c>
      <c r="F139" s="117"/>
      <c r="G139" s="117"/>
      <c r="H139" s="117"/>
      <c r="I139" s="117"/>
      <c r="J139" s="117"/>
      <c r="K139" s="117"/>
      <c r="L139" s="117"/>
      <c r="M139" s="117"/>
      <c r="N139" s="117"/>
      <c r="O139" s="117"/>
      <c r="P139" s="117"/>
      <c r="Q139" s="117"/>
      <c r="R139" s="117"/>
      <c r="S139" s="117"/>
      <c r="T139" s="358"/>
      <c r="U139" s="359"/>
    </row>
    <row r="140" spans="1:21" ht="12.9">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80" workbookViewId="0">
      <selection activeCell="G114" sqref="G114"/>
    </sheetView>
  </sheetViews>
  <sheetFormatPr defaultColWidth="0" defaultRowHeight="11.6" zeroHeight="1"/>
  <cols>
    <col min="1" max="1" width="32.69140625" style="428" customWidth="1"/>
    <col min="2" max="3" width="12.15234375" style="424" customWidth="1"/>
    <col min="4" max="6" width="12.84375" style="424" customWidth="1"/>
    <col min="7" max="9" width="12.15234375" style="424" customWidth="1"/>
    <col min="10" max="10" width="12.15234375" style="425" customWidth="1"/>
    <col min="11" max="11" width="8.84375" style="426" hidden="1" customWidth="1"/>
    <col min="12" max="21" width="8.84375" style="424" hidden="1" customWidth="1"/>
    <col min="22" max="23" width="0" style="424" hidden="1"/>
    <col min="24" max="256" width="8.84375" style="424" hidden="1"/>
    <col min="257" max="257" width="32.69140625" style="424" hidden="1" customWidth="1"/>
    <col min="258" max="259" width="12.15234375" style="424" hidden="1" customWidth="1"/>
    <col min="260" max="260" width="12.84375" style="424" hidden="1" customWidth="1"/>
    <col min="261" max="266" width="12.15234375" style="424" hidden="1" customWidth="1"/>
    <col min="267" max="277" width="8.84375" style="424" hidden="1" customWidth="1"/>
    <col min="278" max="512" width="8.84375" style="424" hidden="1"/>
    <col min="513" max="513" width="32.69140625" style="424" hidden="1" customWidth="1"/>
    <col min="514" max="515" width="12.15234375" style="424" hidden="1" customWidth="1"/>
    <col min="516" max="516" width="12.84375" style="424" hidden="1" customWidth="1"/>
    <col min="517" max="522" width="12.15234375" style="424" hidden="1" customWidth="1"/>
    <col min="523" max="533" width="8.84375" style="424" hidden="1" customWidth="1"/>
    <col min="534" max="768" width="8.84375" style="424" hidden="1"/>
    <col min="769" max="769" width="32.69140625" style="424" hidden="1" customWidth="1"/>
    <col min="770" max="771" width="12.15234375" style="424" hidden="1" customWidth="1"/>
    <col min="772" max="772" width="12.84375" style="424" hidden="1" customWidth="1"/>
    <col min="773" max="778" width="12.15234375" style="424" hidden="1" customWidth="1"/>
    <col min="779" max="789" width="8.84375" style="424" hidden="1" customWidth="1"/>
    <col min="790" max="1024" width="8.84375" style="424" hidden="1"/>
    <col min="1025" max="1025" width="32.69140625" style="424" hidden="1" customWidth="1"/>
    <col min="1026" max="1027" width="12.15234375" style="424" hidden="1" customWidth="1"/>
    <col min="1028" max="1028" width="12.84375" style="424" hidden="1" customWidth="1"/>
    <col min="1029" max="1034" width="12.15234375" style="424" hidden="1" customWidth="1"/>
    <col min="1035" max="1045" width="8.84375" style="424" hidden="1" customWidth="1"/>
    <col min="1046" max="1280" width="8.84375" style="424" hidden="1"/>
    <col min="1281" max="1281" width="32.69140625" style="424" hidden="1" customWidth="1"/>
    <col min="1282" max="1283" width="12.15234375" style="424" hidden="1" customWidth="1"/>
    <col min="1284" max="1284" width="12.84375" style="424" hidden="1" customWidth="1"/>
    <col min="1285" max="1290" width="12.15234375" style="424" hidden="1" customWidth="1"/>
    <col min="1291" max="1301" width="8.84375" style="424" hidden="1" customWidth="1"/>
    <col min="1302" max="1536" width="8.84375" style="424" hidden="1"/>
    <col min="1537" max="1537" width="32.69140625" style="424" hidden="1" customWidth="1"/>
    <col min="1538" max="1539" width="12.15234375" style="424" hidden="1" customWidth="1"/>
    <col min="1540" max="1540" width="12.84375" style="424" hidden="1" customWidth="1"/>
    <col min="1541" max="1546" width="12.15234375" style="424" hidden="1" customWidth="1"/>
    <col min="1547" max="1557" width="8.84375" style="424" hidden="1" customWidth="1"/>
    <col min="1558" max="1792" width="8.84375" style="424" hidden="1"/>
    <col min="1793" max="1793" width="32.69140625" style="424" hidden="1" customWidth="1"/>
    <col min="1794" max="1795" width="12.15234375" style="424" hidden="1" customWidth="1"/>
    <col min="1796" max="1796" width="12.84375" style="424" hidden="1" customWidth="1"/>
    <col min="1797" max="1802" width="12.15234375" style="424" hidden="1" customWidth="1"/>
    <col min="1803" max="1813" width="8.84375" style="424" hidden="1" customWidth="1"/>
    <col min="1814" max="2048" width="8.84375" style="424" hidden="1"/>
    <col min="2049" max="2049" width="32.69140625" style="424" hidden="1" customWidth="1"/>
    <col min="2050" max="2051" width="12.15234375" style="424" hidden="1" customWidth="1"/>
    <col min="2052" max="2052" width="12.84375" style="424" hidden="1" customWidth="1"/>
    <col min="2053" max="2058" width="12.15234375" style="424" hidden="1" customWidth="1"/>
    <col min="2059" max="2069" width="8.84375" style="424" hidden="1" customWidth="1"/>
    <col min="2070" max="2304" width="8.84375" style="424" hidden="1"/>
    <col min="2305" max="2305" width="32.69140625" style="424" hidden="1" customWidth="1"/>
    <col min="2306" max="2307" width="12.15234375" style="424" hidden="1" customWidth="1"/>
    <col min="2308" max="2308" width="12.84375" style="424" hidden="1" customWidth="1"/>
    <col min="2309" max="2314" width="12.15234375" style="424" hidden="1" customWidth="1"/>
    <col min="2315" max="2325" width="8.84375" style="424" hidden="1" customWidth="1"/>
    <col min="2326" max="2560" width="8.84375" style="424" hidden="1"/>
    <col min="2561" max="2561" width="32.69140625" style="424" hidden="1" customWidth="1"/>
    <col min="2562" max="2563" width="12.15234375" style="424" hidden="1" customWidth="1"/>
    <col min="2564" max="2564" width="12.84375" style="424" hidden="1" customWidth="1"/>
    <col min="2565" max="2570" width="12.15234375" style="424" hidden="1" customWidth="1"/>
    <col min="2571" max="2581" width="8.84375" style="424" hidden="1" customWidth="1"/>
    <col min="2582" max="2816" width="8.84375" style="424" hidden="1"/>
    <col min="2817" max="2817" width="32.69140625" style="424" hidden="1" customWidth="1"/>
    <col min="2818" max="2819" width="12.15234375" style="424" hidden="1" customWidth="1"/>
    <col min="2820" max="2820" width="12.84375" style="424" hidden="1" customWidth="1"/>
    <col min="2821" max="2826" width="12.15234375" style="424" hidden="1" customWidth="1"/>
    <col min="2827" max="2837" width="8.84375" style="424" hidden="1" customWidth="1"/>
    <col min="2838" max="3072" width="8.84375" style="424" hidden="1"/>
    <col min="3073" max="3073" width="32.69140625" style="424" hidden="1" customWidth="1"/>
    <col min="3074" max="3075" width="12.15234375" style="424" hidden="1" customWidth="1"/>
    <col min="3076" max="3076" width="12.84375" style="424" hidden="1" customWidth="1"/>
    <col min="3077" max="3082" width="12.15234375" style="424" hidden="1" customWidth="1"/>
    <col min="3083" max="3093" width="8.84375" style="424" hidden="1" customWidth="1"/>
    <col min="3094" max="3328" width="8.84375" style="424" hidden="1"/>
    <col min="3329" max="3329" width="32.69140625" style="424" hidden="1" customWidth="1"/>
    <col min="3330" max="3331" width="12.15234375" style="424" hidden="1" customWidth="1"/>
    <col min="3332" max="3332" width="12.84375" style="424" hidden="1" customWidth="1"/>
    <col min="3333" max="3338" width="12.15234375" style="424" hidden="1" customWidth="1"/>
    <col min="3339" max="3349" width="8.84375" style="424" hidden="1" customWidth="1"/>
    <col min="3350" max="3584" width="8.84375" style="424" hidden="1"/>
    <col min="3585" max="3585" width="32.69140625" style="424" hidden="1" customWidth="1"/>
    <col min="3586" max="3587" width="12.15234375" style="424" hidden="1" customWidth="1"/>
    <col min="3588" max="3588" width="12.84375" style="424" hidden="1" customWidth="1"/>
    <col min="3589" max="3594" width="12.15234375" style="424" hidden="1" customWidth="1"/>
    <col min="3595" max="3605" width="8.84375" style="424" hidden="1" customWidth="1"/>
    <col min="3606" max="3840" width="8.84375" style="424" hidden="1"/>
    <col min="3841" max="3841" width="32.69140625" style="424" hidden="1" customWidth="1"/>
    <col min="3842" max="3843" width="12.15234375" style="424" hidden="1" customWidth="1"/>
    <col min="3844" max="3844" width="12.84375" style="424" hidden="1" customWidth="1"/>
    <col min="3845" max="3850" width="12.15234375" style="424" hidden="1" customWidth="1"/>
    <col min="3851" max="3861" width="8.84375" style="424" hidden="1" customWidth="1"/>
    <col min="3862" max="4096" width="8.84375" style="424" hidden="1"/>
    <col min="4097" max="4097" width="32.69140625" style="424" hidden="1" customWidth="1"/>
    <col min="4098" max="4099" width="12.15234375" style="424" hidden="1" customWidth="1"/>
    <col min="4100" max="4100" width="12.84375" style="424" hidden="1" customWidth="1"/>
    <col min="4101" max="4106" width="12.15234375" style="424" hidden="1" customWidth="1"/>
    <col min="4107" max="4117" width="8.84375" style="424" hidden="1" customWidth="1"/>
    <col min="4118" max="4352" width="8.84375" style="424" hidden="1"/>
    <col min="4353" max="4353" width="32.69140625" style="424" hidden="1" customWidth="1"/>
    <col min="4354" max="4355" width="12.15234375" style="424" hidden="1" customWidth="1"/>
    <col min="4356" max="4356" width="12.84375" style="424" hidden="1" customWidth="1"/>
    <col min="4357" max="4362" width="12.15234375" style="424" hidden="1" customWidth="1"/>
    <col min="4363" max="4373" width="8.84375" style="424" hidden="1" customWidth="1"/>
    <col min="4374" max="4608" width="8.84375" style="424" hidden="1"/>
    <col min="4609" max="4609" width="32.69140625" style="424" hidden="1" customWidth="1"/>
    <col min="4610" max="4611" width="12.15234375" style="424" hidden="1" customWidth="1"/>
    <col min="4612" max="4612" width="12.84375" style="424" hidden="1" customWidth="1"/>
    <col min="4613" max="4618" width="12.15234375" style="424" hidden="1" customWidth="1"/>
    <col min="4619" max="4629" width="8.84375" style="424" hidden="1" customWidth="1"/>
    <col min="4630" max="4864" width="8.84375" style="424" hidden="1"/>
    <col min="4865" max="4865" width="32.69140625" style="424" hidden="1" customWidth="1"/>
    <col min="4866" max="4867" width="12.15234375" style="424" hidden="1" customWidth="1"/>
    <col min="4868" max="4868" width="12.84375" style="424" hidden="1" customWidth="1"/>
    <col min="4869" max="4874" width="12.15234375" style="424" hidden="1" customWidth="1"/>
    <col min="4875" max="4885" width="8.84375" style="424" hidden="1" customWidth="1"/>
    <col min="4886" max="5120" width="8.84375" style="424" hidden="1"/>
    <col min="5121" max="5121" width="32.69140625" style="424" hidden="1" customWidth="1"/>
    <col min="5122" max="5123" width="12.15234375" style="424" hidden="1" customWidth="1"/>
    <col min="5124" max="5124" width="12.84375" style="424" hidden="1" customWidth="1"/>
    <col min="5125" max="5130" width="12.15234375" style="424" hidden="1" customWidth="1"/>
    <col min="5131" max="5141" width="8.84375" style="424" hidden="1" customWidth="1"/>
    <col min="5142" max="5376" width="8.84375" style="424" hidden="1"/>
    <col min="5377" max="5377" width="32.69140625" style="424" hidden="1" customWidth="1"/>
    <col min="5378" max="5379" width="12.15234375" style="424" hidden="1" customWidth="1"/>
    <col min="5380" max="5380" width="12.84375" style="424" hidden="1" customWidth="1"/>
    <col min="5381" max="5386" width="12.15234375" style="424" hidden="1" customWidth="1"/>
    <col min="5387" max="5397" width="8.84375" style="424" hidden="1" customWidth="1"/>
    <col min="5398" max="5632" width="8.84375" style="424" hidden="1"/>
    <col min="5633" max="5633" width="32.69140625" style="424" hidden="1" customWidth="1"/>
    <col min="5634" max="5635" width="12.15234375" style="424" hidden="1" customWidth="1"/>
    <col min="5636" max="5636" width="12.84375" style="424" hidden="1" customWidth="1"/>
    <col min="5637" max="5642" width="12.15234375" style="424" hidden="1" customWidth="1"/>
    <col min="5643" max="5653" width="8.84375" style="424" hidden="1" customWidth="1"/>
    <col min="5654" max="5888" width="8.84375" style="424" hidden="1"/>
    <col min="5889" max="5889" width="32.69140625" style="424" hidden="1" customWidth="1"/>
    <col min="5890" max="5891" width="12.15234375" style="424" hidden="1" customWidth="1"/>
    <col min="5892" max="5892" width="12.84375" style="424" hidden="1" customWidth="1"/>
    <col min="5893" max="5898" width="12.15234375" style="424" hidden="1" customWidth="1"/>
    <col min="5899" max="5909" width="8.84375" style="424" hidden="1" customWidth="1"/>
    <col min="5910" max="6144" width="8.84375" style="424" hidden="1"/>
    <col min="6145" max="6145" width="32.69140625" style="424" hidden="1" customWidth="1"/>
    <col min="6146" max="6147" width="12.15234375" style="424" hidden="1" customWidth="1"/>
    <col min="6148" max="6148" width="12.84375" style="424" hidden="1" customWidth="1"/>
    <col min="6149" max="6154" width="12.15234375" style="424" hidden="1" customWidth="1"/>
    <col min="6155" max="6165" width="8.84375" style="424" hidden="1" customWidth="1"/>
    <col min="6166" max="6400" width="8.84375" style="424" hidden="1"/>
    <col min="6401" max="6401" width="32.69140625" style="424" hidden="1" customWidth="1"/>
    <col min="6402" max="6403" width="12.15234375" style="424" hidden="1" customWidth="1"/>
    <col min="6404" max="6404" width="12.84375" style="424" hidden="1" customWidth="1"/>
    <col min="6405" max="6410" width="12.15234375" style="424" hidden="1" customWidth="1"/>
    <col min="6411" max="6421" width="8.84375" style="424" hidden="1" customWidth="1"/>
    <col min="6422" max="6656" width="8.84375" style="424" hidden="1"/>
    <col min="6657" max="6657" width="32.69140625" style="424" hidden="1" customWidth="1"/>
    <col min="6658" max="6659" width="12.15234375" style="424" hidden="1" customWidth="1"/>
    <col min="6660" max="6660" width="12.84375" style="424" hidden="1" customWidth="1"/>
    <col min="6661" max="6666" width="12.15234375" style="424" hidden="1" customWidth="1"/>
    <col min="6667" max="6677" width="8.84375" style="424" hidden="1" customWidth="1"/>
    <col min="6678" max="6912" width="8.84375" style="424" hidden="1"/>
    <col min="6913" max="6913" width="32.69140625" style="424" hidden="1" customWidth="1"/>
    <col min="6914" max="6915" width="12.15234375" style="424" hidden="1" customWidth="1"/>
    <col min="6916" max="6916" width="12.84375" style="424" hidden="1" customWidth="1"/>
    <col min="6917" max="6922" width="12.15234375" style="424" hidden="1" customWidth="1"/>
    <col min="6923" max="6933" width="8.84375" style="424" hidden="1" customWidth="1"/>
    <col min="6934" max="7168" width="8.84375" style="424" hidden="1"/>
    <col min="7169" max="7169" width="32.69140625" style="424" hidden="1" customWidth="1"/>
    <col min="7170" max="7171" width="12.15234375" style="424" hidden="1" customWidth="1"/>
    <col min="7172" max="7172" width="12.84375" style="424" hidden="1" customWidth="1"/>
    <col min="7173" max="7178" width="12.15234375" style="424" hidden="1" customWidth="1"/>
    <col min="7179" max="7189" width="8.84375" style="424" hidden="1" customWidth="1"/>
    <col min="7190" max="7424" width="8.84375" style="424" hidden="1"/>
    <col min="7425" max="7425" width="32.69140625" style="424" hidden="1" customWidth="1"/>
    <col min="7426" max="7427" width="12.15234375" style="424" hidden="1" customWidth="1"/>
    <col min="7428" max="7428" width="12.84375" style="424" hidden="1" customWidth="1"/>
    <col min="7429" max="7434" width="12.15234375" style="424" hidden="1" customWidth="1"/>
    <col min="7435" max="7445" width="8.84375" style="424" hidden="1" customWidth="1"/>
    <col min="7446" max="7680" width="8.84375" style="424" hidden="1"/>
    <col min="7681" max="7681" width="32.69140625" style="424" hidden="1" customWidth="1"/>
    <col min="7682" max="7683" width="12.15234375" style="424" hidden="1" customWidth="1"/>
    <col min="7684" max="7684" width="12.84375" style="424" hidden="1" customWidth="1"/>
    <col min="7685" max="7690" width="12.15234375" style="424" hidden="1" customWidth="1"/>
    <col min="7691" max="7701" width="8.84375" style="424" hidden="1" customWidth="1"/>
    <col min="7702" max="7936" width="8.84375" style="424" hidden="1"/>
    <col min="7937" max="7937" width="32.69140625" style="424" hidden="1" customWidth="1"/>
    <col min="7938" max="7939" width="12.15234375" style="424" hidden="1" customWidth="1"/>
    <col min="7940" max="7940" width="12.84375" style="424" hidden="1" customWidth="1"/>
    <col min="7941" max="7946" width="12.15234375" style="424" hidden="1" customWidth="1"/>
    <col min="7947" max="7957" width="8.84375" style="424" hidden="1" customWidth="1"/>
    <col min="7958" max="8192" width="8.84375" style="424" hidden="1"/>
    <col min="8193" max="8193" width="32.69140625" style="424" hidden="1" customWidth="1"/>
    <col min="8194" max="8195" width="12.15234375" style="424" hidden="1" customWidth="1"/>
    <col min="8196" max="8196" width="12.84375" style="424" hidden="1" customWidth="1"/>
    <col min="8197" max="8202" width="12.15234375" style="424" hidden="1" customWidth="1"/>
    <col min="8203" max="8213" width="8.84375" style="424" hidden="1" customWidth="1"/>
    <col min="8214" max="8448" width="8.84375" style="424" hidden="1"/>
    <col min="8449" max="8449" width="32.69140625" style="424" hidden="1" customWidth="1"/>
    <col min="8450" max="8451" width="12.15234375" style="424" hidden="1" customWidth="1"/>
    <col min="8452" max="8452" width="12.84375" style="424" hidden="1" customWidth="1"/>
    <col min="8453" max="8458" width="12.15234375" style="424" hidden="1" customWidth="1"/>
    <col min="8459" max="8469" width="8.84375" style="424" hidden="1" customWidth="1"/>
    <col min="8470" max="8704" width="8.84375" style="424" hidden="1"/>
    <col min="8705" max="8705" width="32.69140625" style="424" hidden="1" customWidth="1"/>
    <col min="8706" max="8707" width="12.15234375" style="424" hidden="1" customWidth="1"/>
    <col min="8708" max="8708" width="12.84375" style="424" hidden="1" customWidth="1"/>
    <col min="8709" max="8714" width="12.15234375" style="424" hidden="1" customWidth="1"/>
    <col min="8715" max="8725" width="8.84375" style="424" hidden="1" customWidth="1"/>
    <col min="8726" max="8960" width="8.84375" style="424" hidden="1"/>
    <col min="8961" max="8961" width="32.69140625" style="424" hidden="1" customWidth="1"/>
    <col min="8962" max="8963" width="12.15234375" style="424" hidden="1" customWidth="1"/>
    <col min="8964" max="8964" width="12.84375" style="424" hidden="1" customWidth="1"/>
    <col min="8965" max="8970" width="12.15234375" style="424" hidden="1" customWidth="1"/>
    <col min="8971" max="8981" width="8.84375" style="424" hidden="1" customWidth="1"/>
    <col min="8982" max="9216" width="8.84375" style="424" hidden="1"/>
    <col min="9217" max="9217" width="32.69140625" style="424" hidden="1" customWidth="1"/>
    <col min="9218" max="9219" width="12.15234375" style="424" hidden="1" customWidth="1"/>
    <col min="9220" max="9220" width="12.84375" style="424" hidden="1" customWidth="1"/>
    <col min="9221" max="9226" width="12.15234375" style="424" hidden="1" customWidth="1"/>
    <col min="9227" max="9237" width="8.84375" style="424" hidden="1" customWidth="1"/>
    <col min="9238" max="9472" width="8.84375" style="424" hidden="1"/>
    <col min="9473" max="9473" width="32.69140625" style="424" hidden="1" customWidth="1"/>
    <col min="9474" max="9475" width="12.15234375" style="424" hidden="1" customWidth="1"/>
    <col min="9476" max="9476" width="12.84375" style="424" hidden="1" customWidth="1"/>
    <col min="9477" max="9482" width="12.15234375" style="424" hidden="1" customWidth="1"/>
    <col min="9483" max="9493" width="8.84375" style="424" hidden="1" customWidth="1"/>
    <col min="9494" max="9728" width="8.84375" style="424" hidden="1"/>
    <col min="9729" max="9729" width="32.69140625" style="424" hidden="1" customWidth="1"/>
    <col min="9730" max="9731" width="12.15234375" style="424" hidden="1" customWidth="1"/>
    <col min="9732" max="9732" width="12.84375" style="424" hidden="1" customWidth="1"/>
    <col min="9733" max="9738" width="12.15234375" style="424" hidden="1" customWidth="1"/>
    <col min="9739" max="9749" width="8.84375" style="424" hidden="1" customWidth="1"/>
    <col min="9750" max="9984" width="8.84375" style="424" hidden="1"/>
    <col min="9985" max="9985" width="32.69140625" style="424" hidden="1" customWidth="1"/>
    <col min="9986" max="9987" width="12.15234375" style="424" hidden="1" customWidth="1"/>
    <col min="9988" max="9988" width="12.84375" style="424" hidden="1" customWidth="1"/>
    <col min="9989" max="9994" width="12.15234375" style="424" hidden="1" customWidth="1"/>
    <col min="9995" max="10005" width="8.84375" style="424" hidden="1" customWidth="1"/>
    <col min="10006" max="10240" width="8.84375" style="424" hidden="1"/>
    <col min="10241" max="10241" width="32.69140625" style="424" hidden="1" customWidth="1"/>
    <col min="10242" max="10243" width="12.15234375" style="424" hidden="1" customWidth="1"/>
    <col min="10244" max="10244" width="12.84375" style="424" hidden="1" customWidth="1"/>
    <col min="10245" max="10250" width="12.15234375" style="424" hidden="1" customWidth="1"/>
    <col min="10251" max="10261" width="8.84375" style="424" hidden="1" customWidth="1"/>
    <col min="10262" max="10496" width="8.84375" style="424" hidden="1"/>
    <col min="10497" max="10497" width="32.69140625" style="424" hidden="1" customWidth="1"/>
    <col min="10498" max="10499" width="12.15234375" style="424" hidden="1" customWidth="1"/>
    <col min="10500" max="10500" width="12.84375" style="424" hidden="1" customWidth="1"/>
    <col min="10501" max="10506" width="12.15234375" style="424" hidden="1" customWidth="1"/>
    <col min="10507" max="10517" width="8.84375" style="424" hidden="1" customWidth="1"/>
    <col min="10518" max="10752" width="8.84375" style="424" hidden="1"/>
    <col min="10753" max="10753" width="32.69140625" style="424" hidden="1" customWidth="1"/>
    <col min="10754" max="10755" width="12.15234375" style="424" hidden="1" customWidth="1"/>
    <col min="10756" max="10756" width="12.84375" style="424" hidden="1" customWidth="1"/>
    <col min="10757" max="10762" width="12.15234375" style="424" hidden="1" customWidth="1"/>
    <col min="10763" max="10773" width="8.84375" style="424" hidden="1" customWidth="1"/>
    <col min="10774" max="11008" width="8.84375" style="424" hidden="1"/>
    <col min="11009" max="11009" width="32.69140625" style="424" hidden="1" customWidth="1"/>
    <col min="11010" max="11011" width="12.15234375" style="424" hidden="1" customWidth="1"/>
    <col min="11012" max="11012" width="12.84375" style="424" hidden="1" customWidth="1"/>
    <col min="11013" max="11018" width="12.15234375" style="424" hidden="1" customWidth="1"/>
    <col min="11019" max="11029" width="8.84375" style="424" hidden="1" customWidth="1"/>
    <col min="11030" max="11264" width="8.84375" style="424" hidden="1"/>
    <col min="11265" max="11265" width="32.69140625" style="424" hidden="1" customWidth="1"/>
    <col min="11266" max="11267" width="12.15234375" style="424" hidden="1" customWidth="1"/>
    <col min="11268" max="11268" width="12.84375" style="424" hidden="1" customWidth="1"/>
    <col min="11269" max="11274" width="12.15234375" style="424" hidden="1" customWidth="1"/>
    <col min="11275" max="11285" width="8.84375" style="424" hidden="1" customWidth="1"/>
    <col min="11286" max="11520" width="8.84375" style="424" hidden="1"/>
    <col min="11521" max="11521" width="32.69140625" style="424" hidden="1" customWidth="1"/>
    <col min="11522" max="11523" width="12.15234375" style="424" hidden="1" customWidth="1"/>
    <col min="11524" max="11524" width="12.84375" style="424" hidden="1" customWidth="1"/>
    <col min="11525" max="11530" width="12.15234375" style="424" hidden="1" customWidth="1"/>
    <col min="11531" max="11541" width="8.84375" style="424" hidden="1" customWidth="1"/>
    <col min="11542" max="11776" width="8.84375" style="424" hidden="1"/>
    <col min="11777" max="11777" width="32.69140625" style="424" hidden="1" customWidth="1"/>
    <col min="11778" max="11779" width="12.15234375" style="424" hidden="1" customWidth="1"/>
    <col min="11780" max="11780" width="12.84375" style="424" hidden="1" customWidth="1"/>
    <col min="11781" max="11786" width="12.15234375" style="424" hidden="1" customWidth="1"/>
    <col min="11787" max="11797" width="8.84375" style="424" hidden="1" customWidth="1"/>
    <col min="11798" max="12032" width="8.84375" style="424" hidden="1"/>
    <col min="12033" max="12033" width="32.69140625" style="424" hidden="1" customWidth="1"/>
    <col min="12034" max="12035" width="12.15234375" style="424" hidden="1" customWidth="1"/>
    <col min="12036" max="12036" width="12.84375" style="424" hidden="1" customWidth="1"/>
    <col min="12037" max="12042" width="12.15234375" style="424" hidden="1" customWidth="1"/>
    <col min="12043" max="12053" width="8.84375" style="424" hidden="1" customWidth="1"/>
    <col min="12054" max="12288" width="8.84375" style="424" hidden="1"/>
    <col min="12289" max="12289" width="32.69140625" style="424" hidden="1" customWidth="1"/>
    <col min="12290" max="12291" width="12.15234375" style="424" hidden="1" customWidth="1"/>
    <col min="12292" max="12292" width="12.84375" style="424" hidden="1" customWidth="1"/>
    <col min="12293" max="12298" width="12.15234375" style="424" hidden="1" customWidth="1"/>
    <col min="12299" max="12309" width="8.84375" style="424" hidden="1" customWidth="1"/>
    <col min="12310" max="12544" width="8.84375" style="424" hidden="1"/>
    <col min="12545" max="12545" width="32.69140625" style="424" hidden="1" customWidth="1"/>
    <col min="12546" max="12547" width="12.15234375" style="424" hidden="1" customWidth="1"/>
    <col min="12548" max="12548" width="12.84375" style="424" hidden="1" customWidth="1"/>
    <col min="12549" max="12554" width="12.15234375" style="424" hidden="1" customWidth="1"/>
    <col min="12555" max="12565" width="8.84375" style="424" hidden="1" customWidth="1"/>
    <col min="12566" max="12800" width="8.84375" style="424" hidden="1"/>
    <col min="12801" max="12801" width="32.69140625" style="424" hidden="1" customWidth="1"/>
    <col min="12802" max="12803" width="12.15234375" style="424" hidden="1" customWidth="1"/>
    <col min="12804" max="12804" width="12.84375" style="424" hidden="1" customWidth="1"/>
    <col min="12805" max="12810" width="12.15234375" style="424" hidden="1" customWidth="1"/>
    <col min="12811" max="12821" width="8.84375" style="424" hidden="1" customWidth="1"/>
    <col min="12822" max="13056" width="8.84375" style="424" hidden="1"/>
    <col min="13057" max="13057" width="32.69140625" style="424" hidden="1" customWidth="1"/>
    <col min="13058" max="13059" width="12.15234375" style="424" hidden="1" customWidth="1"/>
    <col min="13060" max="13060" width="12.84375" style="424" hidden="1" customWidth="1"/>
    <col min="13061" max="13066" width="12.15234375" style="424" hidden="1" customWidth="1"/>
    <col min="13067" max="13077" width="8.84375" style="424" hidden="1" customWidth="1"/>
    <col min="13078" max="13312" width="8.84375" style="424" hidden="1"/>
    <col min="13313" max="13313" width="32.69140625" style="424" hidden="1" customWidth="1"/>
    <col min="13314" max="13315" width="12.15234375" style="424" hidden="1" customWidth="1"/>
    <col min="13316" max="13316" width="12.84375" style="424" hidden="1" customWidth="1"/>
    <col min="13317" max="13322" width="12.15234375" style="424" hidden="1" customWidth="1"/>
    <col min="13323" max="13333" width="8.84375" style="424" hidden="1" customWidth="1"/>
    <col min="13334" max="13568" width="8.84375" style="424" hidden="1"/>
    <col min="13569" max="13569" width="32.69140625" style="424" hidden="1" customWidth="1"/>
    <col min="13570" max="13571" width="12.15234375" style="424" hidden="1" customWidth="1"/>
    <col min="13572" max="13572" width="12.84375" style="424" hidden="1" customWidth="1"/>
    <col min="13573" max="13578" width="12.15234375" style="424" hidden="1" customWidth="1"/>
    <col min="13579" max="13589" width="8.84375" style="424" hidden="1" customWidth="1"/>
    <col min="13590" max="13824" width="8.84375" style="424" hidden="1"/>
    <col min="13825" max="13825" width="32.69140625" style="424" hidden="1" customWidth="1"/>
    <col min="13826" max="13827" width="12.15234375" style="424" hidden="1" customWidth="1"/>
    <col min="13828" max="13828" width="12.84375" style="424" hidden="1" customWidth="1"/>
    <col min="13829" max="13834" width="12.15234375" style="424" hidden="1" customWidth="1"/>
    <col min="13835" max="13845" width="8.84375" style="424" hidden="1" customWidth="1"/>
    <col min="13846" max="14080" width="8.84375" style="424" hidden="1"/>
    <col min="14081" max="14081" width="32.69140625" style="424" hidden="1" customWidth="1"/>
    <col min="14082" max="14083" width="12.15234375" style="424" hidden="1" customWidth="1"/>
    <col min="14084" max="14084" width="12.84375" style="424" hidden="1" customWidth="1"/>
    <col min="14085" max="14090" width="12.15234375" style="424" hidden="1" customWidth="1"/>
    <col min="14091" max="14101" width="8.84375" style="424" hidden="1" customWidth="1"/>
    <col min="14102" max="14336" width="8.84375" style="424" hidden="1"/>
    <col min="14337" max="14337" width="32.69140625" style="424" hidden="1" customWidth="1"/>
    <col min="14338" max="14339" width="12.15234375" style="424" hidden="1" customWidth="1"/>
    <col min="14340" max="14340" width="12.84375" style="424" hidden="1" customWidth="1"/>
    <col min="14341" max="14346" width="12.15234375" style="424" hidden="1" customWidth="1"/>
    <col min="14347" max="14357" width="8.84375" style="424" hidden="1" customWidth="1"/>
    <col min="14358" max="14592" width="8.84375" style="424" hidden="1"/>
    <col min="14593" max="14593" width="32.69140625" style="424" hidden="1" customWidth="1"/>
    <col min="14594" max="14595" width="12.15234375" style="424" hidden="1" customWidth="1"/>
    <col min="14596" max="14596" width="12.84375" style="424" hidden="1" customWidth="1"/>
    <col min="14597" max="14602" width="12.15234375" style="424" hidden="1" customWidth="1"/>
    <col min="14603" max="14613" width="8.84375" style="424" hidden="1" customWidth="1"/>
    <col min="14614" max="14848" width="8.84375" style="424" hidden="1"/>
    <col min="14849" max="14849" width="32.69140625" style="424" hidden="1" customWidth="1"/>
    <col min="14850" max="14851" width="12.15234375" style="424" hidden="1" customWidth="1"/>
    <col min="14852" max="14852" width="12.84375" style="424" hidden="1" customWidth="1"/>
    <col min="14853" max="14858" width="12.15234375" style="424" hidden="1" customWidth="1"/>
    <col min="14859" max="14869" width="8.84375" style="424" hidden="1" customWidth="1"/>
    <col min="14870" max="15104" width="8.84375" style="424" hidden="1"/>
    <col min="15105" max="15105" width="32.69140625" style="424" hidden="1" customWidth="1"/>
    <col min="15106" max="15107" width="12.15234375" style="424" hidden="1" customWidth="1"/>
    <col min="15108" max="15108" width="12.84375" style="424" hidden="1" customWidth="1"/>
    <col min="15109" max="15114" width="12.15234375" style="424" hidden="1" customWidth="1"/>
    <col min="15115" max="15125" width="8.84375" style="424" hidden="1" customWidth="1"/>
    <col min="15126" max="15360" width="8.84375" style="424" hidden="1"/>
    <col min="15361" max="15361" width="32.69140625" style="424" hidden="1" customWidth="1"/>
    <col min="15362" max="15363" width="12.15234375" style="424" hidden="1" customWidth="1"/>
    <col min="15364" max="15364" width="12.84375" style="424" hidden="1" customWidth="1"/>
    <col min="15365" max="15370" width="12.15234375" style="424" hidden="1" customWidth="1"/>
    <col min="15371" max="15381" width="8.84375" style="424" hidden="1" customWidth="1"/>
    <col min="15382" max="15616" width="8.84375" style="424" hidden="1"/>
    <col min="15617" max="15617" width="32.69140625" style="424" hidden="1" customWidth="1"/>
    <col min="15618" max="15619" width="12.15234375" style="424" hidden="1" customWidth="1"/>
    <col min="15620" max="15620" width="12.84375" style="424" hidden="1" customWidth="1"/>
    <col min="15621" max="15626" width="12.15234375" style="424" hidden="1" customWidth="1"/>
    <col min="15627" max="15637" width="8.84375" style="424" hidden="1" customWidth="1"/>
    <col min="15638" max="15872" width="8.84375" style="424" hidden="1"/>
    <col min="15873" max="15873" width="32.69140625" style="424" hidden="1" customWidth="1"/>
    <col min="15874" max="15875" width="12.15234375" style="424" hidden="1" customWidth="1"/>
    <col min="15876" max="15876" width="12.84375" style="424" hidden="1" customWidth="1"/>
    <col min="15877" max="15882" width="12.15234375" style="424" hidden="1" customWidth="1"/>
    <col min="15883" max="15893" width="8.84375" style="424" hidden="1" customWidth="1"/>
    <col min="15894" max="16128" width="8.84375" style="424" hidden="1"/>
    <col min="16129" max="16129" width="32.69140625" style="424" hidden="1" customWidth="1"/>
    <col min="16130" max="16131" width="12.15234375" style="424" hidden="1" customWidth="1"/>
    <col min="16132" max="16132" width="12.84375" style="424" hidden="1" customWidth="1"/>
    <col min="16133" max="16138" width="12.15234375" style="424" hidden="1" customWidth="1"/>
    <col min="16139" max="16149" width="8.84375" style="424" hidden="1" customWidth="1"/>
    <col min="16150" max="16384" width="8.84375" style="424" hidden="1"/>
  </cols>
  <sheetData>
    <row r="1" spans="1:11" s="387" customFormat="1" ht="12.9">
      <c r="A1" s="1887" t="s">
        <v>1335</v>
      </c>
      <c r="B1" s="1888"/>
      <c r="C1" s="1888"/>
      <c r="D1" s="1888"/>
      <c r="E1" s="1888"/>
      <c r="F1" s="1888"/>
      <c r="G1" s="1888"/>
      <c r="H1" s="1888"/>
      <c r="I1" s="1888"/>
      <c r="J1" s="1889"/>
      <c r="K1" s="386"/>
    </row>
    <row r="2" spans="1:11" s="432" customFormat="1" ht="69.45">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3248711</v>
      </c>
      <c r="C4" s="393">
        <f>B4</f>
        <v>3248711</v>
      </c>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3248711</v>
      </c>
      <c r="C8" s="392">
        <f>SUM(C4:C7)</f>
        <v>3248711</v>
      </c>
      <c r="D8" s="392">
        <f>SUM(D4:D7)</f>
        <v>0</v>
      </c>
      <c r="E8" s="394"/>
      <c r="F8" s="394"/>
      <c r="G8" s="394"/>
      <c r="H8" s="394"/>
      <c r="I8" s="394"/>
      <c r="J8" s="394"/>
      <c r="K8" s="390"/>
    </row>
    <row r="9" spans="1:11" s="391" customFormat="1">
      <c r="A9" s="395" t="s">
        <v>603</v>
      </c>
      <c r="B9" s="392">
        <f>'Sources and Uses Budget'!C9</f>
        <v>20069444</v>
      </c>
      <c r="C9" s="393">
        <f>B9</f>
        <v>20069444</v>
      </c>
      <c r="D9" s="393"/>
      <c r="E9" s="394"/>
      <c r="F9" s="394"/>
      <c r="G9" s="394"/>
      <c r="H9" s="392">
        <f>'Sources and Uses Budget'!T9</f>
        <v>20069444</v>
      </c>
      <c r="I9" s="393">
        <f>H9</f>
        <v>20069444</v>
      </c>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20069444</v>
      </c>
      <c r="C11" s="392">
        <f>SUM(C9:C10)</f>
        <v>20069444</v>
      </c>
      <c r="D11" s="392">
        <f>SUM(D9:D10)</f>
        <v>0</v>
      </c>
      <c r="E11" s="394"/>
      <c r="F11" s="394"/>
      <c r="G11" s="394"/>
      <c r="H11" s="392">
        <f>'Sources and Uses Budget'!T11</f>
        <v>20069444</v>
      </c>
      <c r="I11" s="392">
        <f>SUM(I9:I10)</f>
        <v>20069444</v>
      </c>
      <c r="J11" s="392">
        <f>SUM(J9:J10)</f>
        <v>0</v>
      </c>
      <c r="K11" s="390"/>
    </row>
    <row r="12" spans="1:11" s="391" customFormat="1">
      <c r="A12" s="396" t="s">
        <v>84</v>
      </c>
      <c r="B12" s="392">
        <f>'Sources and Uses Budget'!C12</f>
        <v>23318155</v>
      </c>
      <c r="C12" s="392">
        <f>SUM(C8+C11)</f>
        <v>23318155</v>
      </c>
      <c r="D12" s="392">
        <f>SUM(D8+D11)</f>
        <v>0</v>
      </c>
      <c r="E12" s="394"/>
      <c r="F12" s="394"/>
      <c r="G12" s="394"/>
      <c r="H12" s="394"/>
      <c r="I12" s="394"/>
      <c r="J12" s="394"/>
      <c r="K12" s="390"/>
    </row>
    <row r="13" spans="1:11" s="391" customFormat="1">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3.15">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f>B17</f>
        <v>0</v>
      </c>
      <c r="D17" s="393"/>
      <c r="E17" s="392">
        <f>'Sources and Uses Budget'!S17</f>
        <v>0</v>
      </c>
      <c r="F17" s="393">
        <f t="shared" ref="F17:F21" si="0">E17</f>
        <v>0</v>
      </c>
      <c r="G17" s="393"/>
      <c r="H17" s="392">
        <f>'Sources and Uses Budget'!T17</f>
        <v>0</v>
      </c>
      <c r="I17" s="393"/>
      <c r="J17" s="393"/>
      <c r="K17" s="390"/>
    </row>
    <row r="18" spans="1:11" s="391" customFormat="1">
      <c r="A18" s="395" t="s">
        <v>608</v>
      </c>
      <c r="B18" s="392">
        <f>'Sources and Uses Budget'!C18</f>
        <v>0</v>
      </c>
      <c r="C18" s="393">
        <f t="shared" ref="C18:C21" si="1">B18</f>
        <v>0</v>
      </c>
      <c r="D18" s="393"/>
      <c r="E18" s="392">
        <f>'Sources and Uses Budget'!S18</f>
        <v>0</v>
      </c>
      <c r="F18" s="393">
        <f t="shared" si="0"/>
        <v>0</v>
      </c>
      <c r="G18" s="393"/>
      <c r="H18" s="392">
        <f>'Sources and Uses Budget'!T18</f>
        <v>0</v>
      </c>
      <c r="I18" s="393"/>
      <c r="J18" s="393"/>
      <c r="K18" s="390"/>
    </row>
    <row r="19" spans="1:11" s="391" customFormat="1">
      <c r="A19" s="395" t="s">
        <v>609</v>
      </c>
      <c r="B19" s="392">
        <f>'Sources and Uses Budget'!C19</f>
        <v>0</v>
      </c>
      <c r="C19" s="393">
        <f t="shared" si="1"/>
        <v>0</v>
      </c>
      <c r="D19" s="393"/>
      <c r="E19" s="392">
        <f>'Sources and Uses Budget'!S19</f>
        <v>0</v>
      </c>
      <c r="F19" s="393">
        <f t="shared" si="0"/>
        <v>0</v>
      </c>
      <c r="G19" s="393"/>
      <c r="H19" s="392">
        <f>'Sources and Uses Budget'!T19</f>
        <v>0</v>
      </c>
      <c r="I19" s="393"/>
      <c r="J19" s="393"/>
      <c r="K19" s="390"/>
    </row>
    <row r="20" spans="1:11" s="391" customFormat="1">
      <c r="A20" s="395" t="s">
        <v>137</v>
      </c>
      <c r="B20" s="392">
        <f>'Sources and Uses Budget'!C20</f>
        <v>0</v>
      </c>
      <c r="C20" s="393">
        <f t="shared" si="1"/>
        <v>0</v>
      </c>
      <c r="D20" s="393"/>
      <c r="E20" s="392">
        <f>'Sources and Uses Budget'!S20</f>
        <v>0</v>
      </c>
      <c r="F20" s="393">
        <f t="shared" si="0"/>
        <v>0</v>
      </c>
      <c r="G20" s="393"/>
      <c r="H20" s="392">
        <f>'Sources and Uses Budget'!T20</f>
        <v>0</v>
      </c>
      <c r="I20" s="393"/>
      <c r="J20" s="393"/>
      <c r="K20" s="390"/>
    </row>
    <row r="21" spans="1:11" s="391" customFormat="1">
      <c r="A21" s="395" t="s">
        <v>138</v>
      </c>
      <c r="B21" s="392">
        <f>'Sources and Uses Budget'!C21</f>
        <v>0</v>
      </c>
      <c r="C21" s="393">
        <f t="shared" si="1"/>
        <v>0</v>
      </c>
      <c r="D21" s="393"/>
      <c r="E21" s="392">
        <f>'Sources and Uses Budget'!S21</f>
        <v>0</v>
      </c>
      <c r="F21" s="393">
        <f t="shared" si="0"/>
        <v>0</v>
      </c>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f>B23</f>
        <v>0</v>
      </c>
      <c r="D23" s="393"/>
      <c r="E23" s="392">
        <f>'Sources and Uses Budget'!S23</f>
        <v>0</v>
      </c>
      <c r="F23" s="393">
        <f>E23</f>
        <v>0</v>
      </c>
      <c r="G23" s="393"/>
      <c r="H23" s="392">
        <f>'Sources and Uses Budget'!T23</f>
        <v>0</v>
      </c>
      <c r="I23" s="393"/>
      <c r="J23" s="393"/>
      <c r="K23" s="390"/>
    </row>
    <row r="24" spans="1:11" s="391" customFormat="1">
      <c r="A24" s="542" t="s">
        <v>1754</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718862</v>
      </c>
      <c r="C29" s="393">
        <f>B29</f>
        <v>718862</v>
      </c>
      <c r="D29" s="393"/>
      <c r="E29" s="392">
        <f>'Sources and Uses Budget'!S29</f>
        <v>718862</v>
      </c>
      <c r="F29" s="393">
        <f>E29</f>
        <v>718862</v>
      </c>
      <c r="G29" s="393"/>
      <c r="H29" s="392">
        <f>'Sources and Uses Budget'!T29</f>
        <v>0</v>
      </c>
      <c r="I29" s="393"/>
      <c r="J29" s="393"/>
      <c r="K29" s="390"/>
    </row>
    <row r="30" spans="1:11" s="391" customFormat="1">
      <c r="A30" s="145" t="s">
        <v>608</v>
      </c>
      <c r="B30" s="392">
        <f>'Sources and Uses Budget'!C30</f>
        <v>17967614</v>
      </c>
      <c r="C30" s="393">
        <f t="shared" ref="C30:C33" si="2">B30</f>
        <v>17967614</v>
      </c>
      <c r="D30" s="393"/>
      <c r="E30" s="392">
        <f>'Sources and Uses Budget'!S30</f>
        <v>17967614</v>
      </c>
      <c r="F30" s="393">
        <f>E30</f>
        <v>17967614</v>
      </c>
      <c r="G30" s="393"/>
      <c r="H30" s="392">
        <f>'Sources and Uses Budget'!T30</f>
        <v>0</v>
      </c>
      <c r="I30" s="393"/>
      <c r="J30" s="393"/>
      <c r="K30" s="390"/>
    </row>
    <row r="31" spans="1:11" s="391" customFormat="1">
      <c r="A31" s="145" t="s">
        <v>609</v>
      </c>
      <c r="B31" s="392">
        <f>'Sources and Uses Budget'!C31</f>
        <v>673021</v>
      </c>
      <c r="C31" s="393">
        <f t="shared" si="2"/>
        <v>673021</v>
      </c>
      <c r="D31" s="393"/>
      <c r="E31" s="392">
        <f>'Sources and Uses Budget'!S31</f>
        <v>673021</v>
      </c>
      <c r="F31" s="393">
        <f>E31</f>
        <v>673021</v>
      </c>
      <c r="G31" s="393"/>
      <c r="H31" s="392">
        <f>'Sources and Uses Budget'!T31</f>
        <v>0</v>
      </c>
      <c r="I31" s="393"/>
      <c r="J31" s="393"/>
      <c r="K31" s="390"/>
    </row>
    <row r="32" spans="1:11" s="391" customFormat="1">
      <c r="A32" s="145" t="s">
        <v>137</v>
      </c>
      <c r="B32" s="392">
        <f>'Sources and Uses Budget'!C32</f>
        <v>876966</v>
      </c>
      <c r="C32" s="393">
        <f t="shared" si="2"/>
        <v>876966</v>
      </c>
      <c r="D32" s="393"/>
      <c r="E32" s="392">
        <f>'Sources and Uses Budget'!S32</f>
        <v>876966</v>
      </c>
      <c r="F32" s="393">
        <f>E32</f>
        <v>876966</v>
      </c>
      <c r="G32" s="393"/>
      <c r="H32" s="392">
        <f>'Sources and Uses Budget'!T32</f>
        <v>0</v>
      </c>
      <c r="I32" s="393"/>
      <c r="J32" s="393"/>
      <c r="K32" s="390"/>
    </row>
    <row r="33" spans="1:11" s="391" customFormat="1">
      <c r="A33" s="145" t="s">
        <v>138</v>
      </c>
      <c r="B33" s="392">
        <f>'Sources and Uses Budget'!C33</f>
        <v>876966</v>
      </c>
      <c r="C33" s="393">
        <f t="shared" si="2"/>
        <v>876966</v>
      </c>
      <c r="D33" s="393"/>
      <c r="E33" s="392">
        <f>'Sources and Uses Budget'!S33</f>
        <v>876966</v>
      </c>
      <c r="F33" s="393">
        <f>E33</f>
        <v>876966</v>
      </c>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328452</v>
      </c>
      <c r="C35" s="393">
        <f>B35</f>
        <v>328452</v>
      </c>
      <c r="D35" s="393"/>
      <c r="E35" s="392">
        <f>'Sources and Uses Budget'!S35</f>
        <v>328452</v>
      </c>
      <c r="F35" s="393">
        <f>E35</f>
        <v>328452</v>
      </c>
      <c r="G35" s="393"/>
      <c r="H35" s="392">
        <f>'Sources and Uses Budget'!T35</f>
        <v>0</v>
      </c>
      <c r="I35" s="393"/>
      <c r="J35" s="393"/>
      <c r="K35" s="390"/>
    </row>
    <row r="36" spans="1:11" s="391" customFormat="1">
      <c r="A36" s="542" t="s">
        <v>1754</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21441881</v>
      </c>
      <c r="C38" s="392">
        <f>SUM(C29:C37)</f>
        <v>21441881</v>
      </c>
      <c r="D38" s="392">
        <f>SUM(D29:D37)</f>
        <v>0</v>
      </c>
      <c r="E38" s="392">
        <f>'Sources and Uses Budget'!S38</f>
        <v>21441881</v>
      </c>
      <c r="F38" s="398">
        <f>SUM(F29:F37)</f>
        <v>21441881</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354000</v>
      </c>
      <c r="C40" s="393">
        <f>B40</f>
        <v>354000</v>
      </c>
      <c r="D40" s="393"/>
      <c r="E40" s="392">
        <f>'Sources and Uses Budget'!S40</f>
        <v>354000</v>
      </c>
      <c r="F40" s="393">
        <f>E40</f>
        <v>354000</v>
      </c>
      <c r="G40" s="393"/>
      <c r="H40" s="392">
        <f>'Sources and Uses Budget'!T40</f>
        <v>0</v>
      </c>
      <c r="I40" s="393"/>
      <c r="J40" s="393"/>
      <c r="K40" s="390"/>
    </row>
    <row r="41" spans="1:11" s="391" customFormat="1">
      <c r="A41" s="395" t="s">
        <v>146</v>
      </c>
      <c r="B41" s="392">
        <f>'Sources and Uses Budget'!C41</f>
        <v>188000</v>
      </c>
      <c r="C41" s="393">
        <f>B41</f>
        <v>188000</v>
      </c>
      <c r="D41" s="393"/>
      <c r="E41" s="392">
        <f>'Sources and Uses Budget'!S41</f>
        <v>188000</v>
      </c>
      <c r="F41" s="393">
        <f>E41</f>
        <v>188000</v>
      </c>
      <c r="G41" s="393"/>
      <c r="H41" s="392">
        <f>'Sources and Uses Budget'!T41</f>
        <v>0</v>
      </c>
      <c r="I41" s="393"/>
      <c r="J41" s="393"/>
      <c r="K41" s="390"/>
    </row>
    <row r="42" spans="1:11" s="391" customFormat="1">
      <c r="A42" s="396" t="s">
        <v>147</v>
      </c>
      <c r="B42" s="392">
        <f>'Sources and Uses Budget'!C42</f>
        <v>542000</v>
      </c>
      <c r="C42" s="392">
        <f>SUM(C39:C41)</f>
        <v>542000</v>
      </c>
      <c r="D42" s="392">
        <f>SUM(D39:D41)</f>
        <v>0</v>
      </c>
      <c r="E42" s="392">
        <f>'Sources and Uses Budget'!S42</f>
        <v>542000</v>
      </c>
      <c r="F42" s="398">
        <f>SUM(F40:F41)</f>
        <v>542000</v>
      </c>
      <c r="G42" s="398">
        <f>SUM(G40:G41)</f>
        <v>0</v>
      </c>
      <c r="H42" s="392">
        <f>'Sources and Uses Budget'!T42</f>
        <v>0</v>
      </c>
      <c r="I42" s="398">
        <f>SUM(I40:I41)</f>
        <v>0</v>
      </c>
      <c r="J42" s="398">
        <f>SUM(J40:J41)</f>
        <v>0</v>
      </c>
      <c r="K42" s="390"/>
    </row>
    <row r="43" spans="1:11" s="391" customFormat="1">
      <c r="A43" s="396" t="s">
        <v>148</v>
      </c>
      <c r="B43" s="392">
        <f>'Sources and Uses Budget'!C43</f>
        <v>0</v>
      </c>
      <c r="C43" s="393"/>
      <c r="D43" s="393"/>
      <c r="E43" s="392">
        <f>'Sources and Uses Budget'!S43</f>
        <v>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3335000</v>
      </c>
      <c r="C45" s="393">
        <f t="shared" ref="C45:C53" si="3">B45</f>
        <v>3335000</v>
      </c>
      <c r="D45" s="393"/>
      <c r="E45" s="392">
        <f>'Sources and Uses Budget'!S45</f>
        <v>3335000</v>
      </c>
      <c r="F45" s="393">
        <f t="shared" ref="F45:F53" si="4">E45</f>
        <v>3335000</v>
      </c>
      <c r="G45" s="393"/>
      <c r="H45" s="392">
        <f>'Sources and Uses Budget'!T45</f>
        <v>0</v>
      </c>
      <c r="I45" s="393"/>
      <c r="J45" s="393"/>
      <c r="K45" s="390"/>
    </row>
    <row r="46" spans="1:11" s="391" customFormat="1">
      <c r="A46" s="395" t="s">
        <v>151</v>
      </c>
      <c r="B46" s="392">
        <f>'Sources and Uses Budget'!C46</f>
        <v>234750</v>
      </c>
      <c r="C46" s="393">
        <f t="shared" si="3"/>
        <v>234750</v>
      </c>
      <c r="D46" s="393"/>
      <c r="E46" s="392">
        <f>'Sources and Uses Budget'!S46</f>
        <v>234750</v>
      </c>
      <c r="F46" s="393">
        <f t="shared" si="4"/>
        <v>234750</v>
      </c>
      <c r="G46" s="393"/>
      <c r="H46" s="392">
        <f>'Sources and Uses Budget'!T46</f>
        <v>0</v>
      </c>
      <c r="I46" s="393"/>
      <c r="J46" s="393"/>
      <c r="K46" s="390"/>
    </row>
    <row r="47" spans="1:11" s="391" customFormat="1" ht="12" customHeight="1">
      <c r="A47" s="395" t="s">
        <v>152</v>
      </c>
      <c r="B47" s="392">
        <f>'Sources and Uses Budget'!C47</f>
        <v>0</v>
      </c>
      <c r="C47" s="393">
        <f t="shared" si="3"/>
        <v>0</v>
      </c>
      <c r="D47" s="393"/>
      <c r="E47" s="392">
        <f>'Sources and Uses Budget'!S47</f>
        <v>0</v>
      </c>
      <c r="F47" s="393">
        <f t="shared" si="4"/>
        <v>0</v>
      </c>
      <c r="G47" s="393"/>
      <c r="H47" s="392">
        <f>'Sources and Uses Budget'!T47</f>
        <v>0</v>
      </c>
      <c r="I47" s="393"/>
      <c r="J47" s="393"/>
      <c r="K47" s="390"/>
    </row>
    <row r="48" spans="1:11" s="391" customFormat="1">
      <c r="A48" s="395" t="s">
        <v>153</v>
      </c>
      <c r="B48" s="392">
        <f>'Sources and Uses Budget'!C48</f>
        <v>0</v>
      </c>
      <c r="C48" s="393">
        <f t="shared" si="3"/>
        <v>0</v>
      </c>
      <c r="D48" s="393"/>
      <c r="E48" s="392">
        <f>'Sources and Uses Budget'!S48</f>
        <v>0</v>
      </c>
      <c r="F48" s="393">
        <f t="shared" si="4"/>
        <v>0</v>
      </c>
      <c r="G48" s="393"/>
      <c r="H48" s="392">
        <f>'Sources and Uses Budget'!T48</f>
        <v>0</v>
      </c>
      <c r="I48" s="393"/>
      <c r="J48" s="393"/>
      <c r="K48" s="390"/>
    </row>
    <row r="49" spans="1:11" s="391" customFormat="1">
      <c r="A49" s="304" t="s">
        <v>57</v>
      </c>
      <c r="B49" s="392">
        <f>'Sources and Uses Budget'!C49</f>
        <v>0</v>
      </c>
      <c r="C49" s="393">
        <f t="shared" si="3"/>
        <v>0</v>
      </c>
      <c r="D49" s="393"/>
      <c r="E49" s="392">
        <f>'Sources and Uses Budget'!S49</f>
        <v>0</v>
      </c>
      <c r="F49" s="393">
        <f t="shared" si="4"/>
        <v>0</v>
      </c>
      <c r="G49" s="393"/>
      <c r="H49" s="392">
        <f>'Sources and Uses Budget'!T49</f>
        <v>0</v>
      </c>
      <c r="I49" s="393"/>
      <c r="J49" s="393"/>
      <c r="K49" s="390"/>
    </row>
    <row r="50" spans="1:11" s="391" customFormat="1">
      <c r="A50" s="395" t="s">
        <v>156</v>
      </c>
      <c r="B50" s="392">
        <f>'Sources and Uses Budget'!C50</f>
        <v>75000</v>
      </c>
      <c r="C50" s="393">
        <f t="shared" si="3"/>
        <v>75000</v>
      </c>
      <c r="D50" s="393"/>
      <c r="E50" s="392">
        <f>'Sources and Uses Budget'!S50</f>
        <v>75000</v>
      </c>
      <c r="F50" s="393">
        <f t="shared" si="4"/>
        <v>75000</v>
      </c>
      <c r="G50" s="393"/>
      <c r="H50" s="392">
        <f>'Sources and Uses Budget'!T50</f>
        <v>0</v>
      </c>
      <c r="I50" s="393"/>
      <c r="J50" s="393"/>
      <c r="K50" s="390"/>
    </row>
    <row r="51" spans="1:11" s="391" customFormat="1">
      <c r="A51" s="395" t="s">
        <v>154</v>
      </c>
      <c r="B51" s="392">
        <f>'Sources and Uses Budget'!C51</f>
        <v>0</v>
      </c>
      <c r="C51" s="393">
        <f t="shared" si="3"/>
        <v>0</v>
      </c>
      <c r="D51" s="393"/>
      <c r="E51" s="392">
        <f>'Sources and Uses Budget'!S51</f>
        <v>0</v>
      </c>
      <c r="F51" s="393">
        <f t="shared" si="4"/>
        <v>0</v>
      </c>
      <c r="G51" s="393"/>
      <c r="H51" s="392">
        <f>'Sources and Uses Budget'!T51</f>
        <v>0</v>
      </c>
      <c r="I51" s="393"/>
      <c r="J51" s="393"/>
      <c r="K51" s="390"/>
    </row>
    <row r="52" spans="1:11" s="391" customFormat="1">
      <c r="A52" s="395" t="s">
        <v>155</v>
      </c>
      <c r="B52" s="392">
        <f>'Sources and Uses Budget'!C52</f>
        <v>350000</v>
      </c>
      <c r="C52" s="393">
        <f t="shared" si="3"/>
        <v>350000</v>
      </c>
      <c r="D52" s="393"/>
      <c r="E52" s="392">
        <f>'Sources and Uses Budget'!S52</f>
        <v>350000</v>
      </c>
      <c r="F52" s="393">
        <f t="shared" si="4"/>
        <v>350000</v>
      </c>
      <c r="G52" s="393"/>
      <c r="H52" s="392">
        <f>'Sources and Uses Budget'!T52</f>
        <v>0</v>
      </c>
      <c r="I52" s="393"/>
      <c r="J52" s="393"/>
      <c r="K52" s="390"/>
    </row>
    <row r="53" spans="1:11" s="391" customFormat="1">
      <c r="A53" s="395" t="str">
        <f>'Sources and Uses Budget'!$A53</f>
        <v>Other: (Specify)</v>
      </c>
      <c r="B53" s="392">
        <f>'Sources and Uses Budget'!C53</f>
        <v>0</v>
      </c>
      <c r="C53" s="393">
        <f t="shared" si="3"/>
        <v>0</v>
      </c>
      <c r="D53" s="393"/>
      <c r="E53" s="392">
        <f>'Sources and Uses Budget'!S53</f>
        <v>0</v>
      </c>
      <c r="F53" s="393">
        <f t="shared" si="4"/>
        <v>0</v>
      </c>
      <c r="G53" s="393"/>
      <c r="H53" s="392">
        <f>'Sources and Uses Budget'!T53</f>
        <v>0</v>
      </c>
      <c r="I53" s="393"/>
      <c r="J53" s="393"/>
      <c r="K53" s="390"/>
    </row>
    <row r="54" spans="1:11" s="400" customFormat="1">
      <c r="A54" s="396" t="s">
        <v>157</v>
      </c>
      <c r="B54" s="392">
        <f>'Sources and Uses Budget'!C54</f>
        <v>3994750</v>
      </c>
      <c r="C54" s="398">
        <f>SUM(C45:C53)</f>
        <v>3994750</v>
      </c>
      <c r="D54" s="398">
        <f>SUM(D45:D53)</f>
        <v>0</v>
      </c>
      <c r="E54" s="392">
        <f>'Sources and Uses Budget'!S54</f>
        <v>3994750</v>
      </c>
      <c r="F54" s="398">
        <f>SUM(F45:F53)</f>
        <v>3994750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85000</v>
      </c>
      <c r="C56" s="393">
        <f t="shared" ref="C56:C61" si="5">B56</f>
        <v>85000</v>
      </c>
      <c r="D56" s="393"/>
      <c r="E56" s="394"/>
      <c r="F56" s="394"/>
      <c r="G56" s="394"/>
      <c r="H56" s="394"/>
      <c r="I56" s="394"/>
      <c r="J56" s="394"/>
      <c r="K56" s="390"/>
    </row>
    <row r="57" spans="1:11" s="391" customFormat="1" ht="12" customHeight="1">
      <c r="A57" s="395" t="s">
        <v>152</v>
      </c>
      <c r="B57" s="392">
        <f>'Sources and Uses Budget'!C57</f>
        <v>0</v>
      </c>
      <c r="C57" s="393">
        <f t="shared" si="5"/>
        <v>0</v>
      </c>
      <c r="D57" s="393"/>
      <c r="E57" s="394"/>
      <c r="F57" s="394"/>
      <c r="G57" s="394"/>
      <c r="H57" s="394"/>
      <c r="I57" s="394"/>
      <c r="J57" s="394"/>
      <c r="K57" s="390"/>
    </row>
    <row r="58" spans="1:11" s="391" customFormat="1">
      <c r="A58" s="395" t="s">
        <v>156</v>
      </c>
      <c r="B58" s="392">
        <f>'Sources and Uses Budget'!C58</f>
        <v>10000</v>
      </c>
      <c r="C58" s="393">
        <f t="shared" si="5"/>
        <v>10000</v>
      </c>
      <c r="D58" s="393"/>
      <c r="E58" s="394"/>
      <c r="F58" s="394"/>
      <c r="G58" s="394"/>
      <c r="H58" s="394"/>
      <c r="I58" s="394"/>
      <c r="J58" s="394"/>
      <c r="K58" s="390"/>
    </row>
    <row r="59" spans="1:11" s="391" customFormat="1">
      <c r="A59" s="395" t="s">
        <v>154</v>
      </c>
      <c r="B59" s="392">
        <f>'Sources and Uses Budget'!C59</f>
        <v>0</v>
      </c>
      <c r="C59" s="393">
        <f t="shared" si="5"/>
        <v>0</v>
      </c>
      <c r="D59" s="393"/>
      <c r="E59" s="394"/>
      <c r="F59" s="394"/>
      <c r="G59" s="394"/>
      <c r="H59" s="394"/>
      <c r="I59" s="394"/>
      <c r="J59" s="394"/>
      <c r="K59" s="390"/>
    </row>
    <row r="60" spans="1:11" s="391" customFormat="1">
      <c r="A60" s="395" t="s">
        <v>155</v>
      </c>
      <c r="B60" s="392">
        <f>'Sources and Uses Budget'!C60</f>
        <v>0</v>
      </c>
      <c r="C60" s="393">
        <f t="shared" si="5"/>
        <v>0</v>
      </c>
      <c r="D60" s="393"/>
      <c r="E60" s="394"/>
      <c r="F60" s="394"/>
      <c r="G60" s="394"/>
      <c r="H60" s="394"/>
      <c r="I60" s="394"/>
      <c r="J60" s="394"/>
      <c r="K60" s="390"/>
    </row>
    <row r="61" spans="1:11" s="391" customFormat="1">
      <c r="A61" s="395" t="str">
        <f>'Sources and Uses Budget'!$A61</f>
        <v>Legal for Perm Loan</v>
      </c>
      <c r="B61" s="392">
        <f>'Sources and Uses Budget'!C61</f>
        <v>22000</v>
      </c>
      <c r="C61" s="393">
        <f t="shared" si="5"/>
        <v>22000</v>
      </c>
      <c r="D61" s="393"/>
      <c r="E61" s="394"/>
      <c r="F61" s="394"/>
      <c r="G61" s="394"/>
      <c r="H61" s="394"/>
      <c r="I61" s="394"/>
      <c r="J61" s="394"/>
      <c r="K61" s="390"/>
    </row>
    <row r="62" spans="1:11" s="391" customFormat="1" ht="13.75" customHeight="1">
      <c r="A62" s="396" t="s">
        <v>302</v>
      </c>
      <c r="B62" s="392">
        <f>'Sources and Uses Budget'!C62</f>
        <v>117000</v>
      </c>
      <c r="C62" s="392">
        <f>SUM(C56:C61)</f>
        <v>117000</v>
      </c>
      <c r="D62" s="392">
        <f>SUM(D56:D61)</f>
        <v>0</v>
      </c>
      <c r="E62" s="394"/>
      <c r="F62" s="394"/>
      <c r="G62" s="394"/>
      <c r="H62" s="394"/>
      <c r="I62" s="394"/>
      <c r="J62" s="394"/>
      <c r="K62" s="390"/>
    </row>
    <row r="63" spans="1:11" s="391" customFormat="1">
      <c r="A63" s="401" t="s">
        <v>303</v>
      </c>
      <c r="B63" s="392">
        <f>'Sources and Uses Budget'!C63</f>
        <v>49413786</v>
      </c>
      <c r="C63" s="392">
        <f>SUM(C8+C11+C13+C14+C15+C26+C27+C38+C42+C43+C54+C62)</f>
        <v>49413786</v>
      </c>
      <c r="D63" s="392">
        <f>SUM(D8+D11+D13+D14+D15+D26+D27+D38+D42+D43+D54+D62)</f>
        <v>0</v>
      </c>
      <c r="E63" s="392">
        <f>'Sources and Uses Budget'!S63</f>
        <v>25978631</v>
      </c>
      <c r="F63" s="392">
        <f>SUM(F10+F13+F14+F15+F26+F27+F38+F42+F43+F54)</f>
        <v>25978631</v>
      </c>
      <c r="G63" s="392">
        <f>SUM(G10+G13+G14+G15+G26+G27+G38+G42+G43+G54)</f>
        <v>0</v>
      </c>
      <c r="H63" s="392">
        <f>'Sources and Uses Budget'!T63</f>
        <v>20069444</v>
      </c>
      <c r="I63" s="392">
        <f>SUM(I11+I13+I14+I15+I26+I27+I38+I42+I43+I54)</f>
        <v>20069444</v>
      </c>
      <c r="J63" s="392">
        <f>SUM(J11+J13+J14+J15+J26+J27+J38+J42+J43+J54)</f>
        <v>0</v>
      </c>
      <c r="K63" s="390"/>
    </row>
    <row r="64" spans="1:11" s="391" customFormat="1" ht="23.15">
      <c r="A64" s="141" t="s">
        <v>1758</v>
      </c>
      <c r="B64" s="389"/>
      <c r="C64" s="389"/>
      <c r="D64" s="389"/>
      <c r="E64" s="389"/>
      <c r="F64" s="389"/>
      <c r="G64" s="389"/>
      <c r="H64" s="389"/>
      <c r="I64" s="389"/>
      <c r="J64" s="389"/>
      <c r="K64" s="390"/>
    </row>
    <row r="65" spans="1:11" s="391" customFormat="1">
      <c r="A65" s="145" t="s">
        <v>171</v>
      </c>
      <c r="B65" s="392">
        <f>'Sources and Uses Budget'!C65</f>
        <v>0</v>
      </c>
      <c r="C65" s="393">
        <f t="shared" ref="C65:C68" si="6">B65</f>
        <v>0</v>
      </c>
      <c r="D65" s="393"/>
      <c r="E65" s="392">
        <f>'Sources and Uses Budget'!S65</f>
        <v>0</v>
      </c>
      <c r="F65" s="393">
        <f t="shared" ref="F65:F68" si="7">E65</f>
        <v>0</v>
      </c>
      <c r="G65" s="393"/>
      <c r="H65" s="392">
        <f>'Sources and Uses Budget'!T65</f>
        <v>0</v>
      </c>
      <c r="I65" s="393"/>
      <c r="J65" s="393"/>
      <c r="K65" s="390"/>
    </row>
    <row r="66" spans="1:11" s="391" customFormat="1" ht="23.15">
      <c r="A66" s="304" t="s">
        <v>1755</v>
      </c>
      <c r="B66" s="392">
        <f>'Sources and Uses Budget'!C66</f>
        <v>0</v>
      </c>
      <c r="C66" s="393">
        <f t="shared" si="6"/>
        <v>0</v>
      </c>
      <c r="D66" s="393"/>
      <c r="E66" s="392">
        <f>'Sources and Uses Budget'!S66</f>
        <v>0</v>
      </c>
      <c r="F66" s="393">
        <f t="shared" si="7"/>
        <v>0</v>
      </c>
      <c r="G66" s="393"/>
      <c r="H66" s="392">
        <f>'Sources and Uses Budget'!T66</f>
        <v>0</v>
      </c>
      <c r="I66" s="393"/>
      <c r="J66" s="393"/>
      <c r="K66" s="390"/>
    </row>
    <row r="67" spans="1:11" s="391" customFormat="1" ht="23.15">
      <c r="A67" s="304" t="s">
        <v>1756</v>
      </c>
      <c r="B67" s="392">
        <f>'Sources and Uses Budget'!C67</f>
        <v>0</v>
      </c>
      <c r="C67" s="393">
        <f t="shared" si="6"/>
        <v>0</v>
      </c>
      <c r="D67" s="393"/>
      <c r="E67" s="392">
        <f>'Sources and Uses Budget'!S67</f>
        <v>0</v>
      </c>
      <c r="F67" s="393">
        <f t="shared" si="7"/>
        <v>0</v>
      </c>
      <c r="G67" s="393"/>
      <c r="H67" s="392">
        <f>'Sources and Uses Budget'!T67</f>
        <v>0</v>
      </c>
      <c r="I67" s="393"/>
      <c r="J67" s="393"/>
      <c r="K67" s="390"/>
    </row>
    <row r="68" spans="1:11" s="391" customFormat="1">
      <c r="A68" s="304" t="s">
        <v>1762</v>
      </c>
      <c r="B68" s="392">
        <f>'Sources and Uses Budget'!C68</f>
        <v>0</v>
      </c>
      <c r="C68" s="393">
        <f t="shared" si="6"/>
        <v>0</v>
      </c>
      <c r="D68" s="393"/>
      <c r="E68" s="392">
        <f>'Sources and Uses Budget'!S68</f>
        <v>0</v>
      </c>
      <c r="F68" s="393">
        <f t="shared" si="7"/>
        <v>0</v>
      </c>
      <c r="G68" s="393"/>
      <c r="H68" s="392">
        <f>'Sources and Uses Budget'!T68</f>
        <v>0</v>
      </c>
      <c r="I68" s="393"/>
      <c r="J68" s="393"/>
      <c r="K68" s="390"/>
    </row>
    <row r="69" spans="1:11" s="391" customFormat="1">
      <c r="A69" s="395" t="str">
        <f>'Sources and Uses Budget'!$A69</f>
        <v>Other: Owner Legal</v>
      </c>
      <c r="B69" s="392">
        <f>'Sources and Uses Budget'!C69</f>
        <v>60000</v>
      </c>
      <c r="C69" s="393">
        <f>B69</f>
        <v>60000</v>
      </c>
      <c r="D69" s="393"/>
      <c r="E69" s="392">
        <f>'Sources and Uses Budget'!S69</f>
        <v>60000</v>
      </c>
      <c r="F69" s="393">
        <f>E69</f>
        <v>60000</v>
      </c>
      <c r="G69" s="393"/>
      <c r="H69" s="392">
        <f>'Sources and Uses Budget'!T69</f>
        <v>0</v>
      </c>
      <c r="I69" s="393"/>
      <c r="J69" s="393"/>
      <c r="K69" s="390"/>
    </row>
    <row r="70" spans="1:11" s="391" customFormat="1">
      <c r="A70" s="396" t="s">
        <v>610</v>
      </c>
      <c r="B70" s="392">
        <f>'Sources and Uses Budget'!C70</f>
        <v>60000</v>
      </c>
      <c r="C70" s="392">
        <f>SUM(C64:C69)</f>
        <v>60000</v>
      </c>
      <c r="D70" s="392">
        <f>SUM(D64:D69)</f>
        <v>0</v>
      </c>
      <c r="E70" s="392">
        <f>'Sources and Uses Budget'!S70</f>
        <v>60000</v>
      </c>
      <c r="F70" s="398">
        <f>SUM(F65:F69)</f>
        <v>60000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f t="shared" ref="C72:C76" si="8">B72</f>
        <v>0</v>
      </c>
      <c r="D72" s="393"/>
      <c r="E72" s="394"/>
      <c r="F72" s="394"/>
      <c r="G72" s="394"/>
      <c r="H72" s="394"/>
      <c r="I72" s="394"/>
      <c r="J72" s="394"/>
      <c r="K72" s="390"/>
    </row>
    <row r="73" spans="1:11" s="391" customFormat="1">
      <c r="A73" s="395" t="s">
        <v>613</v>
      </c>
      <c r="B73" s="392">
        <f>'Sources and Uses Budget'!C73</f>
        <v>0</v>
      </c>
      <c r="C73" s="393">
        <f t="shared" si="8"/>
        <v>0</v>
      </c>
      <c r="D73" s="393"/>
      <c r="E73" s="394"/>
      <c r="F73" s="394"/>
      <c r="G73" s="394"/>
      <c r="H73" s="394"/>
      <c r="I73" s="394"/>
      <c r="J73" s="394"/>
      <c r="K73" s="390"/>
    </row>
    <row r="74" spans="1:11" s="391" customFormat="1">
      <c r="A74" s="397" t="s">
        <v>1008</v>
      </c>
      <c r="B74" s="392">
        <f>'Sources and Uses Budget'!C74</f>
        <v>0</v>
      </c>
      <c r="C74" s="393">
        <f t="shared" si="8"/>
        <v>0</v>
      </c>
      <c r="D74" s="393"/>
      <c r="E74" s="394"/>
      <c r="F74" s="394"/>
      <c r="G74" s="394"/>
      <c r="H74" s="394"/>
      <c r="I74" s="394"/>
      <c r="J74" s="394"/>
      <c r="K74" s="390"/>
    </row>
    <row r="75" spans="1:11" s="391" customFormat="1">
      <c r="A75" s="395" t="s">
        <v>614</v>
      </c>
      <c r="B75" s="392">
        <f>'Sources and Uses Budget'!C75</f>
        <v>769784</v>
      </c>
      <c r="C75" s="393">
        <f t="shared" si="8"/>
        <v>769784</v>
      </c>
      <c r="D75" s="393"/>
      <c r="E75" s="394"/>
      <c r="F75" s="394"/>
      <c r="G75" s="394"/>
      <c r="H75" s="394"/>
      <c r="I75" s="394"/>
      <c r="J75" s="394"/>
      <c r="K75" s="390"/>
    </row>
    <row r="76" spans="1:11" s="391" customFormat="1">
      <c r="A76" s="395" t="str">
        <f>'Sources and Uses Budget'!$A76</f>
        <v>COSR</v>
      </c>
      <c r="B76" s="392">
        <f>'Sources and Uses Budget'!C76</f>
        <v>2331667</v>
      </c>
      <c r="C76" s="393">
        <f t="shared" si="8"/>
        <v>2331667</v>
      </c>
      <c r="D76" s="393"/>
      <c r="E76" s="394"/>
      <c r="F76" s="394"/>
      <c r="G76" s="394"/>
      <c r="H76" s="394"/>
      <c r="I76" s="394"/>
      <c r="J76" s="394"/>
      <c r="K76" s="390"/>
    </row>
    <row r="77" spans="1:11" s="391" customFormat="1">
      <c r="A77" s="396" t="s">
        <v>615</v>
      </c>
      <c r="B77" s="392">
        <f>'Sources and Uses Budget'!C77</f>
        <v>3101451</v>
      </c>
      <c r="C77" s="392">
        <f>SUM(C72:C76)</f>
        <v>3101451</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1897068</v>
      </c>
      <c r="C79" s="393">
        <f t="shared" ref="C79:C80" si="9">B79</f>
        <v>1897068</v>
      </c>
      <c r="D79" s="393"/>
      <c r="E79" s="392">
        <f>'Sources and Uses Budget'!S79</f>
        <v>1897068</v>
      </c>
      <c r="F79" s="393">
        <f t="shared" ref="F79:F80" si="10">E79</f>
        <v>1897068</v>
      </c>
      <c r="G79" s="393"/>
      <c r="H79" s="392">
        <f>'Sources and Uses Budget'!T79</f>
        <v>0</v>
      </c>
      <c r="I79" s="393"/>
      <c r="J79" s="393"/>
      <c r="K79" s="390"/>
    </row>
    <row r="80" spans="1:11" s="391" customFormat="1">
      <c r="A80" s="395" t="s">
        <v>58</v>
      </c>
      <c r="B80" s="392">
        <f>'Sources and Uses Budget'!C80</f>
        <v>240000</v>
      </c>
      <c r="C80" s="393">
        <f t="shared" si="9"/>
        <v>240000</v>
      </c>
      <c r="D80" s="393"/>
      <c r="E80" s="392">
        <f>'Sources and Uses Budget'!S80</f>
        <v>240000</v>
      </c>
      <c r="F80" s="393">
        <f t="shared" si="10"/>
        <v>240000</v>
      </c>
      <c r="G80" s="393"/>
      <c r="H80" s="392">
        <f>'Sources and Uses Budget'!T80</f>
        <v>0</v>
      </c>
      <c r="I80" s="393"/>
      <c r="J80" s="393"/>
      <c r="K80" s="390"/>
    </row>
    <row r="81" spans="1:11" s="391" customFormat="1">
      <c r="A81" s="396" t="s">
        <v>1316</v>
      </c>
      <c r="B81" s="392">
        <f>'Sources and Uses Budget'!C81</f>
        <v>2137068</v>
      </c>
      <c r="C81" s="392">
        <f>SUM(C79:C80)</f>
        <v>2137068</v>
      </c>
      <c r="D81" s="392">
        <f>SUM(D79:D80)</f>
        <v>0</v>
      </c>
      <c r="E81" s="392">
        <f>'Sources and Uses Budget'!S81</f>
        <v>2137068</v>
      </c>
      <c r="F81" s="392">
        <f>SUM(F79:F80)</f>
        <v>2137068</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5" customHeight="1">
      <c r="A83" s="145" t="s">
        <v>2412</v>
      </c>
      <c r="B83" s="392">
        <f>'Sources and Uses Budget'!C83</f>
        <v>85000</v>
      </c>
      <c r="C83" s="393">
        <f t="shared" ref="C83:C95" si="11">B83</f>
        <v>85000</v>
      </c>
      <c r="D83" s="393"/>
      <c r="E83" s="394"/>
      <c r="F83" s="394"/>
      <c r="G83" s="394"/>
      <c r="H83" s="394"/>
      <c r="I83" s="394"/>
      <c r="J83" s="394"/>
      <c r="K83" s="390"/>
    </row>
    <row r="84" spans="1:11" s="391" customFormat="1">
      <c r="A84" s="145" t="s">
        <v>777</v>
      </c>
      <c r="B84" s="392">
        <f>'Sources and Uses Budget'!C84</f>
        <v>15000</v>
      </c>
      <c r="C84" s="393">
        <f t="shared" si="11"/>
        <v>15000</v>
      </c>
      <c r="D84" s="393"/>
      <c r="E84" s="392">
        <f>'Sources and Uses Budget'!S84</f>
        <v>15000</v>
      </c>
      <c r="F84" s="393">
        <f t="shared" ref="F84:F87" si="12">E84</f>
        <v>15000</v>
      </c>
      <c r="G84" s="393"/>
      <c r="H84" s="392">
        <f>'Sources and Uses Budget'!T84</f>
        <v>0</v>
      </c>
      <c r="I84" s="393"/>
      <c r="J84" s="393"/>
      <c r="K84" s="390"/>
    </row>
    <row r="85" spans="1:11" s="391" customFormat="1">
      <c r="A85" s="145" t="s">
        <v>778</v>
      </c>
      <c r="B85" s="392">
        <f>'Sources and Uses Budget'!C85</f>
        <v>285384</v>
      </c>
      <c r="C85" s="393">
        <f t="shared" si="11"/>
        <v>285384</v>
      </c>
      <c r="D85" s="393"/>
      <c r="E85" s="392">
        <f>'Sources and Uses Budget'!S85</f>
        <v>285384</v>
      </c>
      <c r="F85" s="393">
        <f t="shared" si="12"/>
        <v>285384</v>
      </c>
      <c r="G85" s="393"/>
      <c r="H85" s="392">
        <f>'Sources and Uses Budget'!T85</f>
        <v>0</v>
      </c>
      <c r="I85" s="393"/>
      <c r="J85" s="393"/>
      <c r="K85" s="390"/>
    </row>
    <row r="86" spans="1:11" s="391" customFormat="1">
      <c r="A86" s="145" t="s">
        <v>779</v>
      </c>
      <c r="B86" s="392">
        <f>'Sources and Uses Budget'!C86</f>
        <v>0</v>
      </c>
      <c r="C86" s="393">
        <f t="shared" si="11"/>
        <v>0</v>
      </c>
      <c r="D86" s="393"/>
      <c r="E86" s="392">
        <f>'Sources and Uses Budget'!S86</f>
        <v>0</v>
      </c>
      <c r="F86" s="393">
        <f t="shared" si="12"/>
        <v>0</v>
      </c>
      <c r="G86" s="393"/>
      <c r="H86" s="392">
        <f>'Sources and Uses Budget'!T86</f>
        <v>0</v>
      </c>
      <c r="I86" s="393"/>
      <c r="J86" s="393"/>
      <c r="K86" s="390"/>
    </row>
    <row r="87" spans="1:11" s="391" customFormat="1">
      <c r="A87" s="145" t="s">
        <v>780</v>
      </c>
      <c r="B87" s="392">
        <f>'Sources and Uses Budget'!C87</f>
        <v>0</v>
      </c>
      <c r="C87" s="393">
        <f t="shared" si="11"/>
        <v>0</v>
      </c>
      <c r="D87" s="393"/>
      <c r="E87" s="392">
        <f>'Sources and Uses Budget'!S87</f>
        <v>0</v>
      </c>
      <c r="F87" s="393">
        <f t="shared" si="12"/>
        <v>0</v>
      </c>
      <c r="G87" s="393"/>
      <c r="H87" s="392">
        <f>'Sources and Uses Budget'!T87</f>
        <v>0</v>
      </c>
      <c r="I87" s="393"/>
      <c r="J87" s="393"/>
      <c r="K87" s="390"/>
    </row>
    <row r="88" spans="1:11" s="391" customFormat="1">
      <c r="A88" s="145" t="s">
        <v>781</v>
      </c>
      <c r="B88" s="392">
        <f>'Sources and Uses Budget'!C88</f>
        <v>0</v>
      </c>
      <c r="C88" s="393">
        <f t="shared" si="11"/>
        <v>0</v>
      </c>
      <c r="D88" s="393"/>
      <c r="E88" s="394"/>
      <c r="F88" s="394"/>
      <c r="G88" s="394"/>
      <c r="H88" s="394"/>
      <c r="I88" s="394"/>
      <c r="J88" s="394"/>
      <c r="K88" s="390"/>
    </row>
    <row r="89" spans="1:11" s="391" customFormat="1">
      <c r="A89" s="145" t="s">
        <v>782</v>
      </c>
      <c r="B89" s="392">
        <f>'Sources and Uses Budget'!C89</f>
        <v>0</v>
      </c>
      <c r="C89" s="393">
        <f t="shared" si="11"/>
        <v>0</v>
      </c>
      <c r="D89" s="393"/>
      <c r="E89" s="392">
        <f>'Sources and Uses Budget'!S89</f>
        <v>0</v>
      </c>
      <c r="F89" s="393">
        <f t="shared" ref="F89:F95" si="13">E89</f>
        <v>0</v>
      </c>
      <c r="G89" s="393"/>
      <c r="H89" s="392">
        <f>'Sources and Uses Budget'!T89</f>
        <v>0</v>
      </c>
      <c r="I89" s="393"/>
      <c r="J89" s="393"/>
      <c r="K89" s="390"/>
    </row>
    <row r="90" spans="1:11" s="391" customFormat="1">
      <c r="A90" s="145" t="s">
        <v>783</v>
      </c>
      <c r="B90" s="392">
        <f>'Sources and Uses Budget'!C90</f>
        <v>5750</v>
      </c>
      <c r="C90" s="393">
        <f t="shared" si="11"/>
        <v>5750</v>
      </c>
      <c r="D90" s="393"/>
      <c r="E90" s="392">
        <f>'Sources and Uses Budget'!S90</f>
        <v>5750</v>
      </c>
      <c r="F90" s="393">
        <f t="shared" si="13"/>
        <v>5750</v>
      </c>
      <c r="G90" s="393"/>
      <c r="H90" s="392">
        <f>'Sources and Uses Budget'!T90</f>
        <v>0</v>
      </c>
      <c r="I90" s="393"/>
      <c r="J90" s="393"/>
      <c r="K90" s="390"/>
    </row>
    <row r="91" spans="1:11" s="391" customFormat="1">
      <c r="A91" s="155" t="s">
        <v>373</v>
      </c>
      <c r="B91" s="392">
        <f>'Sources and Uses Budget'!C91</f>
        <v>0</v>
      </c>
      <c r="C91" s="393">
        <f t="shared" si="11"/>
        <v>0</v>
      </c>
      <c r="D91" s="393"/>
      <c r="E91" s="392">
        <f>'Sources and Uses Budget'!S91</f>
        <v>0</v>
      </c>
      <c r="F91" s="393">
        <f t="shared" si="13"/>
        <v>0</v>
      </c>
      <c r="G91" s="393"/>
      <c r="H91" s="392">
        <f>'Sources and Uses Budget'!T91</f>
        <v>0</v>
      </c>
      <c r="I91" s="393"/>
      <c r="J91" s="393"/>
      <c r="K91" s="390"/>
    </row>
    <row r="92" spans="1:11" s="391" customFormat="1">
      <c r="A92" s="542" t="s">
        <v>1318</v>
      </c>
      <c r="B92" s="392">
        <f>'Sources and Uses Budget'!C92</f>
        <v>6600</v>
      </c>
      <c r="C92" s="393">
        <f t="shared" si="11"/>
        <v>6600</v>
      </c>
      <c r="D92" s="393"/>
      <c r="E92" s="392">
        <f>'Sources and Uses Budget'!S92</f>
        <v>6600</v>
      </c>
      <c r="F92" s="393">
        <f t="shared" si="13"/>
        <v>6600</v>
      </c>
      <c r="G92" s="393"/>
      <c r="H92" s="392">
        <f>'Sources and Uses Budget'!T92</f>
        <v>0</v>
      </c>
      <c r="I92" s="393"/>
      <c r="J92" s="393"/>
      <c r="K92" s="390"/>
    </row>
    <row r="93" spans="1:11" s="391" customFormat="1">
      <c r="A93" s="395" t="str">
        <f>'Sources and Uses Budget'!$A93</f>
        <v>Cost Certification at Conversion</v>
      </c>
      <c r="B93" s="392">
        <f>'Sources and Uses Budget'!C93</f>
        <v>15000</v>
      </c>
      <c r="C93" s="393">
        <f t="shared" si="11"/>
        <v>15000</v>
      </c>
      <c r="D93" s="393"/>
      <c r="E93" s="392">
        <f>'Sources and Uses Budget'!S93</f>
        <v>15000</v>
      </c>
      <c r="F93" s="393">
        <f t="shared" si="13"/>
        <v>15000</v>
      </c>
      <c r="G93" s="393"/>
      <c r="H93" s="392">
        <f>'Sources and Uses Budget'!T93</f>
        <v>0</v>
      </c>
      <c r="I93" s="393"/>
      <c r="J93" s="393"/>
      <c r="K93" s="390"/>
    </row>
    <row r="94" spans="1:11" s="391" customFormat="1">
      <c r="A94" s="395" t="str">
        <f>'Sources and Uses Budget'!$A94</f>
        <v>Initial Compliance Expense</v>
      </c>
      <c r="B94" s="392">
        <f>'Sources and Uses Budget'!C94</f>
        <v>25000</v>
      </c>
      <c r="C94" s="393">
        <f t="shared" si="11"/>
        <v>25000</v>
      </c>
      <c r="D94" s="393"/>
      <c r="E94" s="392">
        <f>'Sources and Uses Budget'!S94</f>
        <v>25000</v>
      </c>
      <c r="F94" s="393">
        <f t="shared" si="13"/>
        <v>25000</v>
      </c>
      <c r="G94" s="393"/>
      <c r="H94" s="392">
        <f>'Sources and Uses Budget'!T94</f>
        <v>0</v>
      </c>
      <c r="I94" s="393"/>
      <c r="J94" s="393"/>
      <c r="K94" s="390"/>
    </row>
    <row r="95" spans="1:11" s="391" customFormat="1">
      <c r="A95" s="395" t="str">
        <f>'Sources and Uses Budget'!$A95</f>
        <v>Other Third Party Reports</v>
      </c>
      <c r="B95" s="392">
        <f>'Sources and Uses Budget'!C95</f>
        <v>36000</v>
      </c>
      <c r="C95" s="393">
        <f t="shared" si="11"/>
        <v>36000</v>
      </c>
      <c r="D95" s="393"/>
      <c r="E95" s="392">
        <f>'Sources and Uses Budget'!S95</f>
        <v>36000</v>
      </c>
      <c r="F95" s="393">
        <f t="shared" si="13"/>
        <v>36000</v>
      </c>
      <c r="G95" s="393"/>
      <c r="H95" s="392">
        <f>'Sources and Uses Budget'!T95</f>
        <v>0</v>
      </c>
      <c r="I95" s="393"/>
      <c r="J95" s="393"/>
      <c r="K95" s="390"/>
    </row>
    <row r="96" spans="1:11" s="391" customFormat="1">
      <c r="A96" s="396" t="s">
        <v>784</v>
      </c>
      <c r="B96" s="392">
        <f>'Sources and Uses Budget'!C96</f>
        <v>473734</v>
      </c>
      <c r="C96" s="392">
        <f>SUM(C83:C95)</f>
        <v>473734</v>
      </c>
      <c r="D96" s="392">
        <f>SUM(D83:D95)</f>
        <v>0</v>
      </c>
      <c r="E96" s="392">
        <f>'Sources and Uses Budget'!S96</f>
        <v>388734</v>
      </c>
      <c r="F96" s="398">
        <f>SUM(F84:F87,F89:F95)</f>
        <v>388734</v>
      </c>
      <c r="G96" s="398">
        <f>SUM(G84:G87,G89:G95)</f>
        <v>0</v>
      </c>
      <c r="H96" s="392">
        <f>'Sources and Uses Budget'!T96</f>
        <v>0</v>
      </c>
      <c r="I96" s="392">
        <f>SUM(I84:I87,I89:I95)</f>
        <v>0</v>
      </c>
      <c r="J96" s="392">
        <f>SUM(J84:J87,J89:J95)</f>
        <v>0</v>
      </c>
      <c r="K96" s="390"/>
    </row>
    <row r="97" spans="1:11" s="391" customFormat="1">
      <c r="A97" s="396" t="s">
        <v>1054</v>
      </c>
      <c r="B97" s="392">
        <f>'Sources and Uses Budget'!C97</f>
        <v>55186039</v>
      </c>
      <c r="C97" s="392">
        <f>SUM(C63+C70+C77+C81+C96)</f>
        <v>55186039</v>
      </c>
      <c r="D97" s="392">
        <f>SUM(D63+D70+D77+D81+D96)</f>
        <v>0</v>
      </c>
      <c r="E97" s="392">
        <f>'Sources and Uses Budget'!S97</f>
        <v>28564433</v>
      </c>
      <c r="F97" s="398">
        <f>SUM(+F63+F70+F81+F96)</f>
        <v>28564433</v>
      </c>
      <c r="G97" s="398">
        <f>SUM(+G63+G70+G81+G96)</f>
        <v>0</v>
      </c>
      <c r="H97" s="392">
        <f>'Sources and Uses Budget'!T97</f>
        <v>20069444</v>
      </c>
      <c r="I97" s="398">
        <f>SUM(I63+I70+I81+I96)</f>
        <v>20069444</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6716360</v>
      </c>
      <c r="C99" s="393">
        <f>B99</f>
        <v>6716360</v>
      </c>
      <c r="D99" s="393"/>
      <c r="E99" s="392">
        <f>'Sources and Uses Budget'!S99</f>
        <v>5712887</v>
      </c>
      <c r="F99" s="393">
        <f t="shared" ref="F99:F103" si="14">E99</f>
        <v>5712887</v>
      </c>
      <c r="G99" s="393"/>
      <c r="H99" s="392">
        <f>'Sources and Uses Budget'!T99</f>
        <v>1003473</v>
      </c>
      <c r="I99" s="393">
        <f t="shared" ref="I99:I103" si="15">H99</f>
        <v>1003473</v>
      </c>
      <c r="J99" s="393"/>
      <c r="K99" s="390"/>
    </row>
    <row r="100" spans="1:11" s="391" customFormat="1">
      <c r="A100" s="304" t="s">
        <v>1760</v>
      </c>
      <c r="B100" s="392">
        <f>'Sources and Uses Budget'!C100</f>
        <v>0</v>
      </c>
      <c r="C100" s="393"/>
      <c r="D100" s="393"/>
      <c r="E100" s="392">
        <f>'Sources and Uses Budget'!S100</f>
        <v>0</v>
      </c>
      <c r="F100" s="393">
        <f t="shared" si="14"/>
        <v>0</v>
      </c>
      <c r="G100" s="393"/>
      <c r="H100" s="392">
        <f>'Sources and Uses Budget'!T100</f>
        <v>0</v>
      </c>
      <c r="I100" s="393">
        <f t="shared" si="15"/>
        <v>0</v>
      </c>
      <c r="J100" s="393"/>
      <c r="K100" s="390"/>
    </row>
    <row r="101" spans="1:11" s="391" customFormat="1">
      <c r="A101" s="145" t="s">
        <v>788</v>
      </c>
      <c r="B101" s="392">
        <f>'Sources and Uses Budget'!C101</f>
        <v>0</v>
      </c>
      <c r="C101" s="393"/>
      <c r="D101" s="393"/>
      <c r="E101" s="392">
        <f>'Sources and Uses Budget'!S101</f>
        <v>0</v>
      </c>
      <c r="F101" s="393">
        <f t="shared" si="14"/>
        <v>0</v>
      </c>
      <c r="G101" s="393"/>
      <c r="H101" s="392">
        <f>'Sources and Uses Budget'!T101</f>
        <v>0</v>
      </c>
      <c r="I101" s="393">
        <f t="shared" si="15"/>
        <v>0</v>
      </c>
      <c r="J101" s="393"/>
      <c r="K101" s="390"/>
    </row>
    <row r="102" spans="1:11" s="391" customFormat="1" ht="12" customHeight="1">
      <c r="A102" s="304" t="s">
        <v>1761</v>
      </c>
      <c r="B102" s="392">
        <f>'Sources and Uses Budget'!C102</f>
        <v>0</v>
      </c>
      <c r="C102" s="393"/>
      <c r="D102" s="393"/>
      <c r="E102" s="392">
        <f>'Sources and Uses Budget'!S102</f>
        <v>0</v>
      </c>
      <c r="F102" s="393">
        <f t="shared" si="14"/>
        <v>0</v>
      </c>
      <c r="G102" s="393"/>
      <c r="H102" s="392">
        <f>'Sources and Uses Budget'!T102</f>
        <v>0</v>
      </c>
      <c r="I102" s="393">
        <f t="shared" si="15"/>
        <v>0</v>
      </c>
      <c r="J102" s="393"/>
      <c r="K102" s="390"/>
    </row>
    <row r="103" spans="1:11" s="391" customFormat="1">
      <c r="A103" s="395" t="str">
        <f>'Sources and Uses Budget'!$A103</f>
        <v>Other: (Specify)</v>
      </c>
      <c r="B103" s="392">
        <f>'Sources and Uses Budget'!C103</f>
        <v>0</v>
      </c>
      <c r="C103" s="393"/>
      <c r="D103" s="393"/>
      <c r="E103" s="392">
        <f>'Sources and Uses Budget'!S103</f>
        <v>0</v>
      </c>
      <c r="F103" s="393">
        <f t="shared" si="14"/>
        <v>0</v>
      </c>
      <c r="G103" s="393"/>
      <c r="H103" s="392">
        <f>'Sources and Uses Budget'!T103</f>
        <v>0</v>
      </c>
      <c r="I103" s="393">
        <f t="shared" si="15"/>
        <v>0</v>
      </c>
      <c r="J103" s="393"/>
      <c r="K103" s="390"/>
    </row>
    <row r="104" spans="1:11" s="391" customFormat="1">
      <c r="A104" s="396" t="s">
        <v>789</v>
      </c>
      <c r="B104" s="392">
        <f>'Sources and Uses Budget'!C104</f>
        <v>6716360</v>
      </c>
      <c r="C104" s="392">
        <f>SUM(C99:C103)</f>
        <v>6716360</v>
      </c>
      <c r="D104" s="392">
        <f>SUM(D99:D103)</f>
        <v>0</v>
      </c>
      <c r="E104" s="392">
        <f>'Sources and Uses Budget'!S104</f>
        <v>5712887</v>
      </c>
      <c r="F104" s="398">
        <f>SUM(F99:F103)</f>
        <v>5712887</v>
      </c>
      <c r="G104" s="398">
        <f>SUM(G99:G103)</f>
        <v>0</v>
      </c>
      <c r="H104" s="392">
        <f>'Sources and Uses Budget'!T104</f>
        <v>1003473</v>
      </c>
      <c r="I104" s="398">
        <f>SUM(I99:I103)</f>
        <v>1003473</v>
      </c>
      <c r="J104" s="398">
        <f>SUM(J99:J103)</f>
        <v>0</v>
      </c>
      <c r="K104" s="390"/>
    </row>
    <row r="105" spans="1:11" s="391" customFormat="1">
      <c r="A105" s="396" t="s">
        <v>1055</v>
      </c>
      <c r="B105" s="392">
        <f>'Sources and Uses Budget'!C105</f>
        <v>61902399</v>
      </c>
      <c r="C105" s="398">
        <f>SUM(C97+C104)</f>
        <v>61902399</v>
      </c>
      <c r="D105" s="398">
        <f>SUM(D97+D104)</f>
        <v>0</v>
      </c>
      <c r="E105" s="392">
        <f>'Sources and Uses Budget'!S105</f>
        <v>34277320</v>
      </c>
      <c r="F105" s="398">
        <f>F97+F104</f>
        <v>34277320</v>
      </c>
      <c r="G105" s="398">
        <f>G97+G104</f>
        <v>0</v>
      </c>
      <c r="H105" s="392">
        <f>'Sources and Uses Budget'!T105</f>
        <v>21072917</v>
      </c>
      <c r="I105" s="398">
        <f>I97+I104</f>
        <v>21072917</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34277320</v>
      </c>
      <c r="F107" s="398">
        <f>F105+F106</f>
        <v>34277320</v>
      </c>
      <c r="G107" s="398">
        <f>G105+G106</f>
        <v>0</v>
      </c>
      <c r="H107" s="392">
        <f>'Sources and Uses Budget'!T107</f>
        <v>21072917</v>
      </c>
      <c r="I107" s="398">
        <f>I105+I106</f>
        <v>21072917</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45">
      <c r="A111" s="408"/>
      <c r="B111" s="406"/>
      <c r="C111" s="406"/>
      <c r="D111" s="406"/>
      <c r="J111" s="407"/>
      <c r="K111" s="390"/>
    </row>
    <row r="112" spans="1:11" s="391" customFormat="1" ht="12.45">
      <c r="A112" s="408"/>
      <c r="B112" s="406"/>
      <c r="C112" s="406"/>
      <c r="D112" s="406"/>
      <c r="J112" s="407"/>
      <c r="K112" s="390"/>
    </row>
    <row r="113" spans="1:11" s="391" customFormat="1" ht="13.75">
      <c r="A113" s="409"/>
      <c r="B113" s="406"/>
      <c r="C113" s="406"/>
      <c r="D113" s="406"/>
      <c r="J113" s="407"/>
      <c r="K113" s="390"/>
    </row>
    <row r="114" spans="1:11" s="391" customFormat="1" ht="12.45">
      <c r="A114" s="408"/>
      <c r="J114" s="407"/>
      <c r="K114" s="390"/>
    </row>
    <row r="115" spans="1:11" s="391" customFormat="1" ht="13.75">
      <c r="A115" s="409"/>
      <c r="J115" s="407"/>
      <c r="K115" s="390"/>
    </row>
    <row r="116" spans="1:11" s="391" customFormat="1" ht="13.7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3.75">
      <c r="A121" s="409"/>
      <c r="J121" s="407"/>
      <c r="K121" s="390"/>
    </row>
    <row r="122" spans="1:11" s="411" customFormat="1" ht="15.45">
      <c r="A122" s="410"/>
      <c r="J122" s="412"/>
      <c r="K122" s="413"/>
    </row>
    <row r="123" spans="1:11" s="391" customFormat="1">
      <c r="A123" s="414"/>
      <c r="J123" s="407"/>
      <c r="K123" s="390"/>
    </row>
    <row r="124" spans="1:11" s="391" customFormat="1">
      <c r="B124" s="415"/>
      <c r="D124" s="1885"/>
      <c r="E124" s="1345"/>
      <c r="F124" s="1345"/>
      <c r="G124" s="1345"/>
      <c r="H124" s="1345"/>
      <c r="I124" s="1345"/>
      <c r="J124" s="407"/>
      <c r="K124" s="390"/>
    </row>
    <row r="125" spans="1:11" s="391" customFormat="1" ht="12.45">
      <c r="A125" s="416"/>
      <c r="B125" s="415"/>
      <c r="C125" s="416"/>
      <c r="D125" s="1345"/>
      <c r="E125" s="1345"/>
      <c r="F125" s="1345"/>
      <c r="G125" s="1345"/>
      <c r="H125" s="1345"/>
      <c r="I125" s="1345"/>
      <c r="J125" s="407"/>
      <c r="K125" s="390"/>
    </row>
    <row r="126" spans="1:11" s="391" customFormat="1" ht="12.45">
      <c r="A126" s="416"/>
      <c r="B126" s="415"/>
      <c r="C126" s="416"/>
      <c r="D126" s="1345"/>
      <c r="E126" s="1345"/>
      <c r="F126" s="1345"/>
      <c r="G126" s="1345"/>
      <c r="H126" s="1345"/>
      <c r="I126" s="1345"/>
      <c r="J126" s="407"/>
      <c r="K126" s="390"/>
    </row>
    <row r="127" spans="1:11" s="391" customFormat="1" ht="12.45">
      <c r="A127" s="416"/>
      <c r="B127" s="415"/>
      <c r="C127" s="416"/>
      <c r="D127" s="417"/>
      <c r="E127" s="416"/>
      <c r="F127" s="416"/>
      <c r="G127" s="416"/>
      <c r="J127" s="407"/>
      <c r="K127" s="390"/>
    </row>
    <row r="128" spans="1:11" s="391" customFormat="1" ht="12.45">
      <c r="A128" s="416"/>
      <c r="B128" s="415"/>
      <c r="C128" s="416"/>
      <c r="D128" s="417"/>
      <c r="E128" s="416"/>
      <c r="F128" s="416"/>
      <c r="G128" s="416"/>
      <c r="J128" s="407"/>
      <c r="K128" s="390"/>
    </row>
    <row r="129" spans="1:11" s="391" customFormat="1" ht="12.45">
      <c r="A129" s="416"/>
      <c r="B129" s="415"/>
      <c r="C129" s="416"/>
      <c r="D129" s="416"/>
      <c r="E129" s="416"/>
      <c r="F129" s="416"/>
      <c r="G129" s="416"/>
      <c r="J129" s="407"/>
      <c r="K129" s="390"/>
    </row>
    <row r="130" spans="1:11" s="391" customFormat="1" ht="12.45">
      <c r="A130" s="416"/>
      <c r="B130" s="415"/>
      <c r="C130" s="416"/>
      <c r="D130" s="416"/>
      <c r="E130" s="416"/>
      <c r="F130" s="416"/>
      <c r="G130" s="416"/>
      <c r="J130" s="407"/>
      <c r="K130" s="390"/>
    </row>
    <row r="131" spans="1:11" s="391" customFormat="1" ht="12.45">
      <c r="A131" s="416"/>
      <c r="B131" s="418"/>
      <c r="C131" s="416"/>
      <c r="D131" s="416"/>
      <c r="E131" s="416"/>
      <c r="F131" s="416"/>
      <c r="G131" s="416"/>
      <c r="J131" s="407"/>
      <c r="K131" s="390"/>
    </row>
    <row r="132" spans="1:11" s="391" customFormat="1" ht="12.45">
      <c r="A132" s="419"/>
      <c r="B132" s="420"/>
      <c r="C132" s="416"/>
      <c r="D132" s="421"/>
      <c r="E132" s="416"/>
      <c r="F132" s="416"/>
      <c r="G132" s="416"/>
      <c r="J132" s="407"/>
      <c r="K132" s="390"/>
    </row>
    <row r="133" spans="1:11" s="391" customFormat="1" ht="12.45">
      <c r="A133" s="422"/>
      <c r="B133" s="416"/>
      <c r="C133" s="416"/>
      <c r="D133" s="416"/>
      <c r="E133" s="416"/>
      <c r="F133" s="416"/>
      <c r="G133" s="416"/>
      <c r="J133" s="407"/>
      <c r="K133" s="390"/>
    </row>
    <row r="134" spans="1:11" s="391" customFormat="1" ht="12.45">
      <c r="A134" s="422"/>
      <c r="B134" s="416"/>
      <c r="C134" s="416"/>
      <c r="D134" s="416"/>
      <c r="E134" s="416"/>
      <c r="F134" s="416"/>
      <c r="G134" s="416"/>
      <c r="J134" s="407"/>
      <c r="K134" s="390"/>
    </row>
    <row r="135" spans="1:11" s="391" customFormat="1" ht="12.45">
      <c r="A135" s="423"/>
      <c r="B135" s="416"/>
      <c r="C135" s="416"/>
      <c r="D135" s="416"/>
      <c r="E135" s="416"/>
      <c r="F135" s="416"/>
      <c r="G135" s="416"/>
      <c r="J135" s="407"/>
      <c r="K135" s="390"/>
    </row>
    <row r="136" spans="1:11" s="391" customFormat="1" ht="12.45">
      <c r="A136" s="408"/>
      <c r="B136" s="416"/>
      <c r="C136" s="416"/>
      <c r="D136" s="416"/>
      <c r="E136" s="416"/>
      <c r="F136" s="416"/>
      <c r="G136" s="416"/>
      <c r="J136" s="407"/>
      <c r="K136" s="390"/>
    </row>
    <row r="137" spans="1:11" ht="12.45">
      <c r="A137" s="422"/>
      <c r="B137" s="416"/>
      <c r="C137" s="416"/>
      <c r="D137" s="416"/>
      <c r="E137" s="416"/>
      <c r="F137" s="416"/>
      <c r="G137" s="416"/>
    </row>
    <row r="138" spans="1:11" ht="12" customHeight="1">
      <c r="A138" s="422"/>
      <c r="B138" s="416"/>
      <c r="C138" s="416"/>
      <c r="D138" s="416"/>
      <c r="E138" s="416"/>
      <c r="F138" s="416"/>
      <c r="G138" s="416"/>
    </row>
    <row r="139" spans="1:11" ht="12" customHeight="1">
      <c r="A139" s="1886"/>
      <c r="B139" s="1345"/>
      <c r="C139" s="1345"/>
      <c r="D139" s="387"/>
      <c r="E139" s="416"/>
      <c r="F139" s="416"/>
      <c r="G139" s="416"/>
    </row>
    <row r="140" spans="1:11" ht="12" customHeight="1">
      <c r="A140" s="1282"/>
      <c r="B140" s="1282"/>
      <c r="C140" s="1282"/>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97" workbookViewId="0">
      <selection activeCell="C370" sqref="C370:D370"/>
    </sheetView>
  </sheetViews>
  <sheetFormatPr defaultColWidth="0" defaultRowHeight="12.45" zeroHeight="1"/>
  <cols>
    <col min="1" max="1" width="2.69140625" style="14" customWidth="1"/>
    <col min="2" max="3" width="2.3828125" style="14" customWidth="1"/>
    <col min="4" max="4" width="3.15234375" style="14" customWidth="1"/>
    <col min="5" max="5" width="3.3828125" style="14" customWidth="1"/>
    <col min="6" max="6" width="2.84375" style="14" customWidth="1"/>
    <col min="7" max="14" width="2.3828125" style="14" customWidth="1"/>
    <col min="15" max="15" width="2.84375" style="14" customWidth="1"/>
    <col min="16" max="16" width="2.3828125" style="14" customWidth="1"/>
    <col min="17" max="17" width="3.84375" style="14" customWidth="1"/>
    <col min="18" max="18" width="4.53515625" style="14" customWidth="1"/>
    <col min="19" max="19" width="3.23046875" style="14" customWidth="1"/>
    <col min="20" max="26" width="2.3828125" style="14" customWidth="1"/>
    <col min="27" max="30" width="2.53515625" style="14" customWidth="1"/>
    <col min="31" max="32" width="2.3828125" style="14" customWidth="1"/>
    <col min="33" max="33" width="3.3828125" style="14" customWidth="1"/>
    <col min="34" max="36" width="2.3828125" style="14" customWidth="1"/>
    <col min="37" max="37" width="5.53515625" style="14" customWidth="1"/>
    <col min="38" max="38" width="2.3828125" style="14" customWidth="1"/>
    <col min="39" max="39" width="3.3828125" style="14" customWidth="1"/>
    <col min="40" max="40" width="5.53515625" style="568" customWidth="1"/>
    <col min="41" max="41" width="5.53515625" style="30" hidden="1" customWidth="1"/>
    <col min="42" max="45" width="5.53515625" style="14" hidden="1" customWidth="1"/>
    <col min="46" max="46" width="10.84375" style="14" hidden="1" customWidth="1"/>
    <col min="47" max="48" width="5.53515625" style="14" hidden="1" customWidth="1"/>
    <col min="49" max="49" width="8.69140625" style="14" hidden="1" customWidth="1"/>
    <col min="50" max="50" width="7.3828125" style="14" hidden="1" customWidth="1"/>
    <col min="51" max="55" width="5.53515625" style="14" hidden="1" customWidth="1"/>
    <col min="56" max="60" width="5.53515625" style="32" hidden="1" customWidth="1"/>
    <col min="61" max="81" width="5.53515625" style="14" hidden="1" customWidth="1"/>
    <col min="82" max="16384" width="9.15234375" style="14" hidden="1"/>
  </cols>
  <sheetData>
    <row r="1" spans="1:42" ht="15.75" customHeight="1">
      <c r="A1" s="2118" t="s">
        <v>1412</v>
      </c>
      <c r="B1" s="2118"/>
      <c r="C1" s="2118"/>
      <c r="D1" s="2118"/>
      <c r="E1" s="2118"/>
      <c r="F1" s="2118"/>
      <c r="G1" s="2118"/>
      <c r="H1" s="2118"/>
      <c r="I1" s="2118"/>
      <c r="J1" s="2118"/>
      <c r="K1" s="2118"/>
      <c r="L1" s="2118"/>
      <c r="M1" s="2118"/>
      <c r="N1" s="2118"/>
      <c r="O1" s="2118"/>
      <c r="P1" s="2118"/>
      <c r="Q1" s="2118"/>
      <c r="R1" s="2118"/>
      <c r="S1" s="2118"/>
      <c r="T1" s="2118"/>
      <c r="U1" s="2118"/>
      <c r="V1" s="2118"/>
      <c r="W1" s="2118"/>
      <c r="X1" s="2118"/>
      <c r="Y1" s="2118"/>
      <c r="Z1" s="2118"/>
      <c r="AA1" s="2118"/>
      <c r="AB1" s="2118"/>
      <c r="AC1" s="2118"/>
      <c r="AD1" s="2118"/>
      <c r="AE1" s="2118"/>
      <c r="AF1" s="2118"/>
      <c r="AG1" s="2118"/>
      <c r="AH1" s="2118"/>
      <c r="AI1" s="2118"/>
      <c r="AJ1" s="2118"/>
      <c r="AK1" s="2118"/>
      <c r="AL1" s="2118"/>
      <c r="AM1" s="2118"/>
    </row>
    <row r="2" spans="1:42" s="570" customFormat="1" ht="12.75" customHeight="1" thickBot="1">
      <c r="A2" s="2119"/>
      <c r="B2" s="2119"/>
      <c r="C2" s="2119"/>
      <c r="D2" s="2119"/>
      <c r="E2" s="2119"/>
      <c r="F2" s="2119"/>
      <c r="G2" s="2119"/>
      <c r="H2" s="2119"/>
      <c r="I2" s="2119"/>
      <c r="J2" s="2119"/>
      <c r="K2" s="2119"/>
      <c r="L2" s="2119"/>
      <c r="M2" s="2119"/>
      <c r="N2" s="2119"/>
      <c r="O2" s="2119"/>
      <c r="P2" s="2119"/>
      <c r="Q2" s="2119"/>
      <c r="R2" s="2119"/>
      <c r="S2" s="2119"/>
      <c r="T2" s="2119"/>
      <c r="U2" s="2119"/>
      <c r="V2" s="2119"/>
      <c r="W2" s="2119"/>
      <c r="X2" s="2119"/>
      <c r="Y2" s="2119"/>
      <c r="Z2" s="2119"/>
      <c r="AA2" s="2119"/>
      <c r="AB2" s="2119"/>
      <c r="AC2" s="2119"/>
      <c r="AD2" s="2119"/>
      <c r="AE2" s="2119"/>
      <c r="AF2" s="2119"/>
      <c r="AG2" s="2119"/>
      <c r="AH2" s="2119"/>
      <c r="AI2" s="2119"/>
      <c r="AJ2" s="2119"/>
      <c r="AK2" s="2119"/>
      <c r="AL2" s="2119"/>
      <c r="AM2" s="2119"/>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1413</v>
      </c>
      <c r="B4" s="573" t="s">
        <v>1414</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1415</v>
      </c>
      <c r="B7" s="573" t="s">
        <v>1416</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30" t="s">
        <v>1417</v>
      </c>
      <c r="AF7" s="1930"/>
      <c r="AG7" s="1930"/>
      <c r="AH7" s="1930"/>
      <c r="AI7" s="1930"/>
      <c r="AJ7" s="1930"/>
      <c r="AK7" s="1930"/>
      <c r="AL7" s="574"/>
      <c r="AM7" s="574"/>
      <c r="AN7" s="569"/>
    </row>
    <row r="8" spans="1:42" s="570" customFormat="1" ht="12.75" customHeight="1">
      <c r="A8" s="572"/>
      <c r="B8" s="573" t="s">
        <v>1920</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2325</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2319</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12" t="s">
        <v>600</v>
      </c>
      <c r="C13" s="2112"/>
      <c r="D13" s="581"/>
      <c r="E13" s="582" t="s">
        <v>1418</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20"/>
      <c r="AH13" s="2120"/>
      <c r="AI13" s="2120"/>
      <c r="AJ13" s="2121"/>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12" t="s">
        <v>600</v>
      </c>
      <c r="C16" s="2112"/>
      <c r="D16" s="581"/>
      <c r="E16" s="2104" t="s">
        <v>1419</v>
      </c>
      <c r="F16" s="2105"/>
      <c r="G16" s="2105"/>
      <c r="H16" s="2105"/>
      <c r="I16" s="2105"/>
      <c r="J16" s="2105"/>
      <c r="K16" s="2105"/>
      <c r="L16" s="2105"/>
      <c r="M16" s="2105"/>
      <c r="N16" s="2105"/>
      <c r="O16" s="2105"/>
      <c r="P16" s="2105"/>
      <c r="Q16" s="2105"/>
      <c r="R16" s="2105"/>
      <c r="S16" s="2105"/>
      <c r="T16" s="2105"/>
      <c r="U16" s="2105"/>
      <c r="V16" s="2105"/>
      <c r="W16" s="2105"/>
      <c r="X16" s="2105"/>
      <c r="Y16" s="2105"/>
      <c r="Z16" s="2105"/>
      <c r="AA16" s="2105"/>
      <c r="AB16" s="2105"/>
      <c r="AC16" s="2105"/>
      <c r="AD16" s="2105"/>
      <c r="AE16" s="2105"/>
      <c r="AF16" s="2105"/>
      <c r="AG16" s="2105"/>
      <c r="AH16" s="2105"/>
      <c r="AI16" s="2105"/>
      <c r="AJ16" s="2106"/>
      <c r="AK16" s="574"/>
      <c r="AL16" s="574"/>
      <c r="AM16" s="574"/>
      <c r="AN16" s="569"/>
      <c r="AO16" s="584">
        <f>IF($B25="yes",20,0)</f>
        <v>0</v>
      </c>
      <c r="AP16" s="14"/>
    </row>
    <row r="17" spans="1:42" s="570" customFormat="1" ht="12.75" customHeight="1">
      <c r="A17" s="574"/>
      <c r="B17" s="574"/>
      <c r="C17" s="574"/>
      <c r="D17" s="585"/>
      <c r="E17" s="2107"/>
      <c r="F17" s="2108"/>
      <c r="G17" s="2108"/>
      <c r="H17" s="2108"/>
      <c r="I17" s="2108"/>
      <c r="J17" s="2108"/>
      <c r="K17" s="2108"/>
      <c r="L17" s="2108"/>
      <c r="M17" s="2108"/>
      <c r="N17" s="2108"/>
      <c r="O17" s="2108"/>
      <c r="P17" s="2108"/>
      <c r="Q17" s="2108"/>
      <c r="R17" s="2108"/>
      <c r="S17" s="2108"/>
      <c r="T17" s="2108"/>
      <c r="U17" s="2108"/>
      <c r="V17" s="2108"/>
      <c r="W17" s="2108"/>
      <c r="X17" s="2108"/>
      <c r="Y17" s="2108"/>
      <c r="Z17" s="2108"/>
      <c r="AA17" s="2108"/>
      <c r="AB17" s="2108"/>
      <c r="AC17" s="2108"/>
      <c r="AD17" s="2108"/>
      <c r="AE17" s="2108"/>
      <c r="AF17" s="2108"/>
      <c r="AG17" s="2108"/>
      <c r="AH17" s="2108"/>
      <c r="AI17" s="2108"/>
      <c r="AJ17" s="2109"/>
      <c r="AK17" s="574"/>
      <c r="AL17" s="574"/>
      <c r="AM17" s="574"/>
      <c r="AN17" s="569"/>
      <c r="AO17" s="570">
        <f>IF(SUM(AO13:AO16)&gt;20,20,(SUM(AO13:AO16)))</f>
        <v>0</v>
      </c>
      <c r="AP17" s="570" t="s">
        <v>1420</v>
      </c>
    </row>
    <row r="18" spans="1:42" s="570" customFormat="1" ht="12.75" customHeight="1">
      <c r="A18" s="574"/>
      <c r="B18" s="574"/>
      <c r="C18" s="574"/>
      <c r="D18" s="585"/>
      <c r="E18" s="2107"/>
      <c r="F18" s="2108"/>
      <c r="G18" s="2108"/>
      <c r="H18" s="2108"/>
      <c r="I18" s="2108"/>
      <c r="J18" s="2108"/>
      <c r="K18" s="2108"/>
      <c r="L18" s="2108"/>
      <c r="M18" s="2108"/>
      <c r="N18" s="2108"/>
      <c r="O18" s="2108"/>
      <c r="P18" s="2108"/>
      <c r="Q18" s="2108"/>
      <c r="R18" s="2108"/>
      <c r="S18" s="2108"/>
      <c r="T18" s="2108"/>
      <c r="U18" s="2108"/>
      <c r="V18" s="2108"/>
      <c r="W18" s="2108"/>
      <c r="X18" s="2108"/>
      <c r="Y18" s="2108"/>
      <c r="Z18" s="2108"/>
      <c r="AA18" s="2108"/>
      <c r="AB18" s="2108"/>
      <c r="AC18" s="2108"/>
      <c r="AD18" s="2108"/>
      <c r="AE18" s="2108"/>
      <c r="AF18" s="2108"/>
      <c r="AG18" s="2108"/>
      <c r="AH18" s="2108"/>
      <c r="AI18" s="2108"/>
      <c r="AJ18" s="2109"/>
      <c r="AK18" s="574"/>
      <c r="AL18" s="574"/>
      <c r="AM18" s="574"/>
      <c r="AN18" s="569"/>
    </row>
    <row r="19" spans="1:42" s="570" customFormat="1" ht="12.75" customHeight="1">
      <c r="A19" s="574"/>
      <c r="B19" s="574"/>
      <c r="C19" s="574"/>
      <c r="D19" s="585"/>
      <c r="E19" s="586" t="s">
        <v>1421</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8"/>
      <c r="F20" s="2129"/>
      <c r="G20" s="2129"/>
      <c r="H20" s="2129"/>
      <c r="I20" s="2129"/>
      <c r="J20" s="2129"/>
      <c r="K20" s="2129"/>
      <c r="L20" s="2129"/>
      <c r="M20" s="2129"/>
      <c r="N20" s="2129"/>
      <c r="O20" s="2129"/>
      <c r="P20" s="2129"/>
      <c r="Q20" s="2129"/>
      <c r="R20" s="2129"/>
      <c r="S20" s="2129"/>
      <c r="T20" s="2129"/>
      <c r="U20" s="2129"/>
      <c r="V20" s="2129"/>
      <c r="W20" s="2129"/>
      <c r="X20" s="2129"/>
      <c r="Y20" s="2129"/>
      <c r="Z20" s="2129"/>
      <c r="AA20" s="2129"/>
      <c r="AB20" s="2129"/>
      <c r="AC20" s="2129"/>
      <c r="AD20" s="2129"/>
      <c r="AE20" s="2129"/>
      <c r="AF20" s="2129"/>
      <c r="AG20" s="2129"/>
      <c r="AH20" s="2129"/>
      <c r="AI20" s="2129"/>
      <c r="AJ20" s="2130"/>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12" t="s">
        <v>600</v>
      </c>
      <c r="C22" s="2112"/>
      <c r="D22" s="581"/>
      <c r="E22" s="2122" t="s">
        <v>1422</v>
      </c>
      <c r="F22" s="2123"/>
      <c r="G22" s="2123"/>
      <c r="H22" s="2123"/>
      <c r="I22" s="2123"/>
      <c r="J22" s="2123"/>
      <c r="K22" s="2123"/>
      <c r="L22" s="2123"/>
      <c r="M22" s="2123"/>
      <c r="N22" s="2123"/>
      <c r="O22" s="2123"/>
      <c r="P22" s="2123"/>
      <c r="Q22" s="2123"/>
      <c r="R22" s="2123"/>
      <c r="S22" s="2123"/>
      <c r="T22" s="2123"/>
      <c r="U22" s="2123"/>
      <c r="V22" s="2123"/>
      <c r="W22" s="2123"/>
      <c r="X22" s="2123"/>
      <c r="Y22" s="2123"/>
      <c r="Z22" s="2123"/>
      <c r="AA22" s="2123"/>
      <c r="AB22" s="2123"/>
      <c r="AC22" s="2123"/>
      <c r="AD22" s="2123"/>
      <c r="AE22" s="2123"/>
      <c r="AF22" s="2123"/>
      <c r="AG22" s="2123"/>
      <c r="AH22" s="2123"/>
      <c r="AI22" s="2123"/>
      <c r="AJ22" s="2124"/>
      <c r="AK22" s="574"/>
      <c r="AL22" s="574"/>
      <c r="AM22" s="574"/>
      <c r="AN22" s="569"/>
      <c r="AO22" s="570">
        <f>IF(SUM(AO20:AO21)&gt;14,14,SUM(AO20:AO21))</f>
        <v>0</v>
      </c>
      <c r="AP22" s="570" t="s">
        <v>1420</v>
      </c>
    </row>
    <row r="23" spans="1:42" s="570" customFormat="1" ht="12.75" customHeight="1">
      <c r="A23" s="574"/>
      <c r="B23" s="574"/>
      <c r="C23" s="574"/>
      <c r="D23" s="584"/>
      <c r="E23" s="2125"/>
      <c r="F23" s="2126"/>
      <c r="G23" s="2126"/>
      <c r="H23" s="2126"/>
      <c r="I23" s="2126"/>
      <c r="J23" s="2126"/>
      <c r="K23" s="2126"/>
      <c r="L23" s="2126"/>
      <c r="M23" s="2126"/>
      <c r="N23" s="2126"/>
      <c r="O23" s="2126"/>
      <c r="P23" s="2126"/>
      <c r="Q23" s="2126"/>
      <c r="R23" s="2126"/>
      <c r="S23" s="2126"/>
      <c r="T23" s="2126"/>
      <c r="U23" s="2126"/>
      <c r="V23" s="2126"/>
      <c r="W23" s="2126"/>
      <c r="X23" s="2126"/>
      <c r="Y23" s="2126"/>
      <c r="Z23" s="2126"/>
      <c r="AA23" s="2126"/>
      <c r="AB23" s="2126"/>
      <c r="AC23" s="2126"/>
      <c r="AD23" s="2126"/>
      <c r="AE23" s="2126"/>
      <c r="AF23" s="2126"/>
      <c r="AG23" s="2126"/>
      <c r="AH23" s="2126"/>
      <c r="AI23" s="2126"/>
      <c r="AJ23" s="2127"/>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12" t="s">
        <v>600</v>
      </c>
      <c r="C25" s="2112"/>
      <c r="D25" s="581"/>
      <c r="E25" s="2040" t="s">
        <v>2349</v>
      </c>
      <c r="F25" s="2041"/>
      <c r="G25" s="2041"/>
      <c r="H25" s="2041"/>
      <c r="I25" s="2041"/>
      <c r="J25" s="2041"/>
      <c r="K25" s="2041"/>
      <c r="L25" s="2041"/>
      <c r="M25" s="2041"/>
      <c r="N25" s="2041"/>
      <c r="O25" s="2041"/>
      <c r="P25" s="2041"/>
      <c r="Q25" s="2041"/>
      <c r="R25" s="2041"/>
      <c r="S25" s="2041"/>
      <c r="T25" s="2041"/>
      <c r="U25" s="2041"/>
      <c r="V25" s="2041"/>
      <c r="W25" s="2041"/>
      <c r="X25" s="2041"/>
      <c r="Y25" s="2041"/>
      <c r="Z25" s="2041"/>
      <c r="AA25" s="2041"/>
      <c r="AB25" s="2041"/>
      <c r="AC25" s="2041"/>
      <c r="AD25" s="2041"/>
      <c r="AE25" s="2041"/>
      <c r="AF25" s="2041"/>
      <c r="AG25" s="2041"/>
      <c r="AH25" s="2041"/>
      <c r="AI25" s="2041"/>
      <c r="AJ25" s="2042"/>
      <c r="AK25" s="574"/>
      <c r="AL25" s="574"/>
      <c r="AM25" s="574"/>
      <c r="AN25" s="569"/>
      <c r="AO25" s="570">
        <f>IF(AO24&gt;6,6,AO24)</f>
        <v>0</v>
      </c>
      <c r="AP25" s="570" t="s">
        <v>1420</v>
      </c>
    </row>
    <row r="26" spans="1:42" s="570" customFormat="1" ht="12.75" customHeight="1">
      <c r="A26" s="574"/>
      <c r="B26" s="574"/>
      <c r="C26" s="574"/>
      <c r="D26" s="584"/>
      <c r="E26" s="2065"/>
      <c r="F26" s="2066"/>
      <c r="G26" s="2066"/>
      <c r="H26" s="2066"/>
      <c r="I26" s="2066"/>
      <c r="J26" s="2066"/>
      <c r="K26" s="2066"/>
      <c r="L26" s="2066"/>
      <c r="M26" s="2066"/>
      <c r="N26" s="2066"/>
      <c r="O26" s="2066"/>
      <c r="P26" s="2066"/>
      <c r="Q26" s="2066"/>
      <c r="R26" s="2066"/>
      <c r="S26" s="2066"/>
      <c r="T26" s="2066"/>
      <c r="U26" s="2066"/>
      <c r="V26" s="2066"/>
      <c r="W26" s="2066"/>
      <c r="X26" s="2066"/>
      <c r="Y26" s="2066"/>
      <c r="Z26" s="2066"/>
      <c r="AA26" s="2066"/>
      <c r="AB26" s="2066"/>
      <c r="AC26" s="2066"/>
      <c r="AD26" s="2066"/>
      <c r="AE26" s="2066"/>
      <c r="AF26" s="2066"/>
      <c r="AG26" s="2066"/>
      <c r="AH26" s="2066"/>
      <c r="AI26" s="2066"/>
      <c r="AJ26" s="2067"/>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2320</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1420</v>
      </c>
    </row>
    <row r="30" spans="1:42" s="570" customFormat="1" ht="12.75" customHeight="1">
      <c r="A30" s="574"/>
      <c r="B30" s="2112" t="s">
        <v>600</v>
      </c>
      <c r="C30" s="2112"/>
      <c r="D30" s="581"/>
      <c r="E30" s="2122" t="s">
        <v>2321</v>
      </c>
      <c r="F30" s="2123"/>
      <c r="G30" s="2123"/>
      <c r="H30" s="2123"/>
      <c r="I30" s="2123"/>
      <c r="J30" s="2123"/>
      <c r="K30" s="2123"/>
      <c r="L30" s="2123"/>
      <c r="M30" s="2123"/>
      <c r="N30" s="2123"/>
      <c r="O30" s="2123"/>
      <c r="P30" s="2123"/>
      <c r="Q30" s="2123"/>
      <c r="R30" s="2123"/>
      <c r="S30" s="2123"/>
      <c r="T30" s="2123"/>
      <c r="U30" s="2123"/>
      <c r="V30" s="2123"/>
      <c r="W30" s="2123"/>
      <c r="X30" s="2123"/>
      <c r="Y30" s="2123"/>
      <c r="Z30" s="2123"/>
      <c r="AA30" s="2123"/>
      <c r="AB30" s="2123"/>
      <c r="AC30" s="2123"/>
      <c r="AD30" s="2123"/>
      <c r="AE30" s="2123"/>
      <c r="AF30" s="2123"/>
      <c r="AG30" s="2123"/>
      <c r="AH30" s="2123"/>
      <c r="AI30" s="2123"/>
      <c r="AJ30" s="2124"/>
      <c r="AK30" s="574"/>
      <c r="AL30" s="574"/>
      <c r="AM30" s="574"/>
      <c r="AN30" s="569"/>
      <c r="AO30" s="584"/>
    </row>
    <row r="31" spans="1:42" s="570" customFormat="1" ht="12.75" customHeight="1">
      <c r="A31" s="574"/>
      <c r="B31" s="574"/>
      <c r="C31" s="574"/>
      <c r="E31" s="2125"/>
      <c r="F31" s="2126"/>
      <c r="G31" s="2126"/>
      <c r="H31" s="2126"/>
      <c r="I31" s="2126"/>
      <c r="J31" s="2126"/>
      <c r="K31" s="2126"/>
      <c r="L31" s="2126"/>
      <c r="M31" s="2126"/>
      <c r="N31" s="2126"/>
      <c r="O31" s="2126"/>
      <c r="P31" s="2126"/>
      <c r="Q31" s="2126"/>
      <c r="R31" s="2126"/>
      <c r="S31" s="2126"/>
      <c r="T31" s="2126"/>
      <c r="U31" s="2126"/>
      <c r="V31" s="2126"/>
      <c r="W31" s="2126"/>
      <c r="X31" s="2126"/>
      <c r="Y31" s="2126"/>
      <c r="Z31" s="2126"/>
      <c r="AA31" s="2126"/>
      <c r="AB31" s="2126"/>
      <c r="AC31" s="2126"/>
      <c r="AD31" s="2126"/>
      <c r="AE31" s="2126"/>
      <c r="AF31" s="2126"/>
      <c r="AG31" s="2126"/>
      <c r="AH31" s="2126"/>
      <c r="AI31" s="2126"/>
      <c r="AJ31" s="2127"/>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12" t="s">
        <v>600</v>
      </c>
      <c r="C33" s="2112"/>
      <c r="D33" s="581"/>
      <c r="E33" s="2040" t="s">
        <v>2322</v>
      </c>
      <c r="F33" s="2041"/>
      <c r="G33" s="2041"/>
      <c r="H33" s="2041"/>
      <c r="I33" s="2041"/>
      <c r="J33" s="2041"/>
      <c r="K33" s="2041"/>
      <c r="L33" s="2041"/>
      <c r="M33" s="2041"/>
      <c r="N33" s="2041"/>
      <c r="O33" s="2041"/>
      <c r="P33" s="2041"/>
      <c r="Q33" s="2041"/>
      <c r="R33" s="2041"/>
      <c r="S33" s="2041"/>
      <c r="T33" s="2041"/>
      <c r="U33" s="2041"/>
      <c r="V33" s="2041"/>
      <c r="W33" s="2041"/>
      <c r="X33" s="2041"/>
      <c r="Y33" s="2041"/>
      <c r="Z33" s="2041"/>
      <c r="AA33" s="2041"/>
      <c r="AB33" s="2041"/>
      <c r="AC33" s="2041"/>
      <c r="AD33" s="2041"/>
      <c r="AE33" s="2041"/>
      <c r="AF33" s="2041"/>
      <c r="AG33" s="2041"/>
      <c r="AH33" s="2041"/>
      <c r="AI33" s="2041"/>
      <c r="AJ33" s="2042"/>
      <c r="AK33" s="574"/>
      <c r="AL33" s="574"/>
      <c r="AM33" s="574"/>
      <c r="AN33" s="569"/>
    </row>
    <row r="34" spans="1:41" s="570" customFormat="1" ht="12.75" customHeight="1">
      <c r="A34" s="574"/>
      <c r="B34" s="574"/>
      <c r="C34" s="574"/>
      <c r="E34" s="2043"/>
      <c r="F34" s="2044"/>
      <c r="G34" s="2044"/>
      <c r="H34" s="2044"/>
      <c r="I34" s="2044"/>
      <c r="J34" s="2044"/>
      <c r="K34" s="2044"/>
      <c r="L34" s="2044"/>
      <c r="M34" s="2044"/>
      <c r="N34" s="2044"/>
      <c r="O34" s="2044"/>
      <c r="P34" s="2044"/>
      <c r="Q34" s="2044"/>
      <c r="R34" s="2044"/>
      <c r="S34" s="2044"/>
      <c r="T34" s="2044"/>
      <c r="U34" s="2044"/>
      <c r="V34" s="2044"/>
      <c r="W34" s="2044"/>
      <c r="X34" s="2044"/>
      <c r="Y34" s="2044"/>
      <c r="Z34" s="2044"/>
      <c r="AA34" s="2044"/>
      <c r="AB34" s="2044"/>
      <c r="AC34" s="2044"/>
      <c r="AD34" s="2044"/>
      <c r="AE34" s="2044"/>
      <c r="AF34" s="2044"/>
      <c r="AG34" s="2044"/>
      <c r="AH34" s="2044"/>
      <c r="AI34" s="2044"/>
      <c r="AJ34" s="2045"/>
      <c r="AK34" s="574"/>
      <c r="AL34" s="574"/>
      <c r="AM34" s="574"/>
      <c r="AN34" s="569"/>
    </row>
    <row r="35" spans="1:41" s="570" customFormat="1" ht="12.75" customHeight="1">
      <c r="A35" s="574"/>
      <c r="B35" s="574"/>
      <c r="C35" s="574"/>
      <c r="E35" s="2065"/>
      <c r="F35" s="2066"/>
      <c r="G35" s="2066"/>
      <c r="H35" s="2066"/>
      <c r="I35" s="2066"/>
      <c r="J35" s="2066"/>
      <c r="K35" s="2066"/>
      <c r="L35" s="2066"/>
      <c r="M35" s="2066"/>
      <c r="N35" s="2066"/>
      <c r="O35" s="2066"/>
      <c r="P35" s="2066"/>
      <c r="Q35" s="2066"/>
      <c r="R35" s="2066"/>
      <c r="S35" s="2066"/>
      <c r="T35" s="2066"/>
      <c r="U35" s="2066"/>
      <c r="V35" s="2066"/>
      <c r="W35" s="2066"/>
      <c r="X35" s="2066"/>
      <c r="Y35" s="2066"/>
      <c r="Z35" s="2066"/>
      <c r="AA35" s="2066"/>
      <c r="AB35" s="2066"/>
      <c r="AC35" s="2066"/>
      <c r="AD35" s="2066"/>
      <c r="AE35" s="2066"/>
      <c r="AF35" s="2066"/>
      <c r="AG35" s="2066"/>
      <c r="AH35" s="2066"/>
      <c r="AI35" s="2066"/>
      <c r="AJ35" s="2067"/>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2324</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12" t="s">
        <v>600</v>
      </c>
      <c r="C39" s="2112"/>
      <c r="D39" s="1186"/>
      <c r="E39" s="2040" t="s">
        <v>2323</v>
      </c>
      <c r="F39" s="2041"/>
      <c r="G39" s="2041"/>
      <c r="H39" s="2041"/>
      <c r="I39" s="2041"/>
      <c r="J39" s="2041"/>
      <c r="K39" s="2041"/>
      <c r="L39" s="2041"/>
      <c r="M39" s="2041"/>
      <c r="N39" s="2041"/>
      <c r="O39" s="2041"/>
      <c r="P39" s="2041"/>
      <c r="Q39" s="2041"/>
      <c r="R39" s="2041"/>
      <c r="S39" s="2041"/>
      <c r="T39" s="2041"/>
      <c r="U39" s="2041"/>
      <c r="V39" s="2041"/>
      <c r="W39" s="2041"/>
      <c r="X39" s="2041"/>
      <c r="Y39" s="2041"/>
      <c r="Z39" s="2041"/>
      <c r="AA39" s="2041"/>
      <c r="AB39" s="2041"/>
      <c r="AC39" s="2041"/>
      <c r="AD39" s="2041"/>
      <c r="AE39" s="2041"/>
      <c r="AF39" s="2041"/>
      <c r="AG39" s="2041"/>
      <c r="AH39" s="2041"/>
      <c r="AI39" s="2041"/>
      <c r="AJ39" s="2042"/>
      <c r="AK39" s="1186"/>
      <c r="AL39" s="574"/>
      <c r="AM39" s="574"/>
      <c r="AN39" s="569"/>
    </row>
    <row r="40" spans="1:41" s="570" customFormat="1" ht="12.75" customHeight="1">
      <c r="A40" s="574"/>
      <c r="B40" s="574"/>
      <c r="C40" s="574"/>
      <c r="E40" s="2043"/>
      <c r="F40" s="2044"/>
      <c r="G40" s="2044"/>
      <c r="H40" s="2044"/>
      <c r="I40" s="2044"/>
      <c r="J40" s="2044"/>
      <c r="K40" s="2044"/>
      <c r="L40" s="2044"/>
      <c r="M40" s="2044"/>
      <c r="N40" s="2044"/>
      <c r="O40" s="2044"/>
      <c r="P40" s="2044"/>
      <c r="Q40" s="2044"/>
      <c r="R40" s="2044"/>
      <c r="S40" s="2044"/>
      <c r="T40" s="2044"/>
      <c r="U40" s="2044"/>
      <c r="V40" s="2044"/>
      <c r="W40" s="2044"/>
      <c r="X40" s="2044"/>
      <c r="Y40" s="2044"/>
      <c r="Z40" s="2044"/>
      <c r="AA40" s="2044"/>
      <c r="AB40" s="2044"/>
      <c r="AC40" s="2044"/>
      <c r="AD40" s="2044"/>
      <c r="AE40" s="2044"/>
      <c r="AF40" s="2044"/>
      <c r="AG40" s="2044"/>
      <c r="AH40" s="2044"/>
      <c r="AI40" s="2044"/>
      <c r="AJ40" s="2045"/>
      <c r="AK40" s="574"/>
      <c r="AL40" s="574"/>
      <c r="AM40" s="574"/>
      <c r="AN40" s="569"/>
    </row>
    <row r="41" spans="1:41" s="570" customFormat="1" ht="12.75" customHeight="1">
      <c r="A41" s="574"/>
      <c r="D41" s="581"/>
      <c r="E41" s="2065"/>
      <c r="F41" s="2066"/>
      <c r="G41" s="2066"/>
      <c r="H41" s="2066"/>
      <c r="I41" s="2066"/>
      <c r="J41" s="2066"/>
      <c r="K41" s="2066"/>
      <c r="L41" s="2066"/>
      <c r="M41" s="2066"/>
      <c r="N41" s="2066"/>
      <c r="O41" s="2066"/>
      <c r="P41" s="2066"/>
      <c r="Q41" s="2066"/>
      <c r="R41" s="2066"/>
      <c r="S41" s="2066"/>
      <c r="T41" s="2066"/>
      <c r="U41" s="2066"/>
      <c r="V41" s="2066"/>
      <c r="W41" s="2066"/>
      <c r="X41" s="2066"/>
      <c r="Y41" s="2066"/>
      <c r="Z41" s="2066"/>
      <c r="AA41" s="2066"/>
      <c r="AB41" s="2066"/>
      <c r="AC41" s="2066"/>
      <c r="AD41" s="2066"/>
      <c r="AE41" s="2066"/>
      <c r="AF41" s="2066"/>
      <c r="AG41" s="2066"/>
      <c r="AH41" s="2066"/>
      <c r="AI41" s="2066"/>
      <c r="AJ41" s="2067"/>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2326</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2327</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12" t="s">
        <v>600</v>
      </c>
      <c r="C46" s="2112"/>
      <c r="D46" s="574"/>
      <c r="E46" s="2040" t="s">
        <v>2328</v>
      </c>
      <c r="F46" s="2041"/>
      <c r="G46" s="2041"/>
      <c r="H46" s="2041"/>
      <c r="I46" s="2041"/>
      <c r="J46" s="2041"/>
      <c r="K46" s="2041"/>
      <c r="L46" s="2041"/>
      <c r="M46" s="2041"/>
      <c r="N46" s="2041"/>
      <c r="O46" s="2041"/>
      <c r="P46" s="2041"/>
      <c r="Q46" s="2041"/>
      <c r="R46" s="2041"/>
      <c r="S46" s="2041"/>
      <c r="T46" s="2041"/>
      <c r="U46" s="2041"/>
      <c r="V46" s="2041"/>
      <c r="W46" s="2041"/>
      <c r="X46" s="2041"/>
      <c r="Y46" s="2041"/>
      <c r="Z46" s="2041"/>
      <c r="AA46" s="2041"/>
      <c r="AB46" s="2041"/>
      <c r="AC46" s="2041"/>
      <c r="AD46" s="2041"/>
      <c r="AE46" s="2041"/>
      <c r="AF46" s="2041"/>
      <c r="AG46" s="2041"/>
      <c r="AH46" s="2041"/>
      <c r="AI46" s="2041"/>
      <c r="AJ46" s="2042"/>
      <c r="AK46" s="574"/>
      <c r="AL46" s="574"/>
      <c r="AM46" s="574"/>
      <c r="AN46" s="569"/>
      <c r="AO46" s="593"/>
    </row>
    <row r="47" spans="1:41" s="570" customFormat="1" ht="12.75" customHeight="1">
      <c r="A47" s="574"/>
      <c r="D47" s="581"/>
      <c r="E47" s="2043"/>
      <c r="F47" s="2044"/>
      <c r="G47" s="2044"/>
      <c r="H47" s="2044"/>
      <c r="I47" s="2044"/>
      <c r="J47" s="2044"/>
      <c r="K47" s="2044"/>
      <c r="L47" s="2044"/>
      <c r="M47" s="2044"/>
      <c r="N47" s="2044"/>
      <c r="O47" s="2044"/>
      <c r="P47" s="2044"/>
      <c r="Q47" s="2044"/>
      <c r="R47" s="2044"/>
      <c r="S47" s="2044"/>
      <c r="T47" s="2044"/>
      <c r="U47" s="2044"/>
      <c r="V47" s="2044"/>
      <c r="W47" s="2044"/>
      <c r="X47" s="2044"/>
      <c r="Y47" s="2044"/>
      <c r="Z47" s="2044"/>
      <c r="AA47" s="2044"/>
      <c r="AB47" s="2044"/>
      <c r="AC47" s="2044"/>
      <c r="AD47" s="2044"/>
      <c r="AE47" s="2044"/>
      <c r="AF47" s="2044"/>
      <c r="AG47" s="2044"/>
      <c r="AH47" s="2044"/>
      <c r="AI47" s="2044"/>
      <c r="AJ47" s="2045"/>
      <c r="AK47" s="574"/>
      <c r="AL47" s="574"/>
      <c r="AM47" s="574"/>
      <c r="AN47" s="569"/>
      <c r="AO47" s="593"/>
    </row>
    <row r="48" spans="1:41" s="570" customFormat="1" ht="12.75" customHeight="1">
      <c r="A48" s="574"/>
      <c r="D48" s="574"/>
      <c r="E48" s="2065"/>
      <c r="F48" s="2066"/>
      <c r="G48" s="2066"/>
      <c r="H48" s="2066"/>
      <c r="I48" s="2066"/>
      <c r="J48" s="2066"/>
      <c r="K48" s="2066"/>
      <c r="L48" s="2066"/>
      <c r="M48" s="2066"/>
      <c r="N48" s="2066"/>
      <c r="O48" s="2066"/>
      <c r="P48" s="2066"/>
      <c r="Q48" s="2066"/>
      <c r="R48" s="2066"/>
      <c r="S48" s="2066"/>
      <c r="T48" s="2066"/>
      <c r="U48" s="2066"/>
      <c r="V48" s="2066"/>
      <c r="W48" s="2066"/>
      <c r="X48" s="2066"/>
      <c r="Y48" s="2066"/>
      <c r="Z48" s="2066"/>
      <c r="AA48" s="2066"/>
      <c r="AB48" s="2066"/>
      <c r="AC48" s="2066"/>
      <c r="AD48" s="2066"/>
      <c r="AE48" s="2066"/>
      <c r="AF48" s="2066"/>
      <c r="AG48" s="2066"/>
      <c r="AH48" s="2066"/>
      <c r="AI48" s="2066"/>
      <c r="AJ48" s="2067"/>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12" t="s">
        <v>600</v>
      </c>
      <c r="C50" s="2112"/>
      <c r="D50" s="574"/>
      <c r="E50" s="2138" t="s">
        <v>2329</v>
      </c>
      <c r="F50" s="2139"/>
      <c r="G50" s="2139"/>
      <c r="H50" s="2139"/>
      <c r="I50" s="2139"/>
      <c r="J50" s="2139"/>
      <c r="K50" s="2139"/>
      <c r="L50" s="2139"/>
      <c r="M50" s="2139"/>
      <c r="N50" s="2139"/>
      <c r="O50" s="2139"/>
      <c r="P50" s="2139"/>
      <c r="Q50" s="2139"/>
      <c r="R50" s="2139"/>
      <c r="S50" s="2139"/>
      <c r="T50" s="2139"/>
      <c r="U50" s="2139"/>
      <c r="V50" s="2139"/>
      <c r="W50" s="2139"/>
      <c r="X50" s="2139"/>
      <c r="Y50" s="2139"/>
      <c r="Z50" s="2139"/>
      <c r="AA50" s="2139"/>
      <c r="AB50" s="2139"/>
      <c r="AC50" s="2139"/>
      <c r="AD50" s="2139"/>
      <c r="AE50" s="2139"/>
      <c r="AF50" s="2139"/>
      <c r="AG50" s="2139"/>
      <c r="AH50" s="2139"/>
      <c r="AI50" s="2139"/>
      <c r="AJ50" s="2140"/>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12" t="s">
        <v>600</v>
      </c>
      <c r="C52" s="2112"/>
      <c r="D52" s="574"/>
      <c r="E52" s="2040" t="s">
        <v>2330</v>
      </c>
      <c r="F52" s="2041"/>
      <c r="G52" s="2041"/>
      <c r="H52" s="2041"/>
      <c r="I52" s="2041"/>
      <c r="J52" s="2041"/>
      <c r="K52" s="2041"/>
      <c r="L52" s="2041"/>
      <c r="M52" s="2041"/>
      <c r="N52" s="2041"/>
      <c r="O52" s="2041"/>
      <c r="P52" s="2041"/>
      <c r="Q52" s="2041"/>
      <c r="R52" s="2041"/>
      <c r="S52" s="2041"/>
      <c r="T52" s="2041"/>
      <c r="U52" s="2041"/>
      <c r="V52" s="2041"/>
      <c r="W52" s="2041"/>
      <c r="X52" s="2041"/>
      <c r="Y52" s="2041"/>
      <c r="Z52" s="2041"/>
      <c r="AA52" s="2041"/>
      <c r="AB52" s="2041"/>
      <c r="AC52" s="2041"/>
      <c r="AD52" s="2041"/>
      <c r="AE52" s="2041"/>
      <c r="AF52" s="2041"/>
      <c r="AG52" s="2041"/>
      <c r="AH52" s="2041"/>
      <c r="AI52" s="2041"/>
      <c r="AJ52" s="2042"/>
      <c r="AK52" s="574"/>
      <c r="AL52" s="574"/>
      <c r="AM52" s="574"/>
      <c r="AN52" s="569"/>
    </row>
    <row r="53" spans="1:50" s="570" customFormat="1" ht="12.75" customHeight="1">
      <c r="A53" s="574"/>
      <c r="B53" s="581"/>
      <c r="C53" s="581"/>
      <c r="D53" s="581"/>
      <c r="E53" s="2065"/>
      <c r="F53" s="2066"/>
      <c r="G53" s="2066"/>
      <c r="H53" s="2066"/>
      <c r="I53" s="2066"/>
      <c r="J53" s="2066"/>
      <c r="K53" s="2066"/>
      <c r="L53" s="2066"/>
      <c r="M53" s="2066"/>
      <c r="N53" s="2066"/>
      <c r="O53" s="2066"/>
      <c r="P53" s="2066"/>
      <c r="Q53" s="2066"/>
      <c r="R53" s="2066"/>
      <c r="S53" s="2066"/>
      <c r="T53" s="2066"/>
      <c r="U53" s="2066"/>
      <c r="V53" s="2066"/>
      <c r="W53" s="2066"/>
      <c r="X53" s="2066"/>
      <c r="Y53" s="2066"/>
      <c r="Z53" s="2066"/>
      <c r="AA53" s="2066"/>
      <c r="AB53" s="2066"/>
      <c r="AC53" s="2066"/>
      <c r="AD53" s="2066"/>
      <c r="AE53" s="2066"/>
      <c r="AF53" s="2066"/>
      <c r="AG53" s="2066"/>
      <c r="AH53" s="2066"/>
      <c r="AI53" s="2066"/>
      <c r="AJ53" s="2067"/>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1423</v>
      </c>
      <c r="AK56" s="2086">
        <f>AO36</f>
        <v>0</v>
      </c>
      <c r="AL56" s="2087"/>
      <c r="AM56" s="2088"/>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1424</v>
      </c>
      <c r="B59" s="573" t="s">
        <v>1425</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30" t="s">
        <v>1426</v>
      </c>
      <c r="AF59" s="1930"/>
      <c r="AG59" s="1930"/>
      <c r="AH59" s="1930"/>
      <c r="AI59" s="1930"/>
      <c r="AJ59" s="1930"/>
      <c r="AK59" s="1930"/>
      <c r="AL59" s="574"/>
      <c r="AM59" s="574"/>
      <c r="AN59" s="569"/>
    </row>
    <row r="60" spans="1:50" s="570" customFormat="1" ht="12.75" customHeight="1">
      <c r="A60" s="572"/>
      <c r="B60" s="573" t="s">
        <v>1919</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12" t="s">
        <v>554</v>
      </c>
      <c r="C62" s="2112"/>
      <c r="D62" s="581" t="s">
        <v>1427</v>
      </c>
      <c r="E62" s="2104" t="s">
        <v>2331</v>
      </c>
      <c r="F62" s="2105"/>
      <c r="G62" s="2105"/>
      <c r="H62" s="2105"/>
      <c r="I62" s="2105"/>
      <c r="J62" s="2105"/>
      <c r="K62" s="2105"/>
      <c r="L62" s="2105"/>
      <c r="M62" s="2105"/>
      <c r="N62" s="2105"/>
      <c r="O62" s="2105"/>
      <c r="P62" s="2105"/>
      <c r="Q62" s="2105"/>
      <c r="R62" s="2105"/>
      <c r="S62" s="2105"/>
      <c r="T62" s="2105"/>
      <c r="U62" s="2105"/>
      <c r="V62" s="2105"/>
      <c r="W62" s="2105"/>
      <c r="X62" s="2105"/>
      <c r="Y62" s="2105"/>
      <c r="Z62" s="2105"/>
      <c r="AA62" s="2105"/>
      <c r="AB62" s="2105"/>
      <c r="AC62" s="2105"/>
      <c r="AD62" s="2105"/>
      <c r="AE62" s="2105"/>
      <c r="AF62" s="2105"/>
      <c r="AG62" s="2105"/>
      <c r="AH62" s="2105"/>
      <c r="AI62" s="2105"/>
      <c r="AJ62" s="2106"/>
      <c r="AK62" s="577"/>
      <c r="AL62" s="574"/>
      <c r="AM62" s="574"/>
      <c r="AN62" s="569"/>
      <c r="AO62" s="584">
        <f>IF($B62="yes",10,0)</f>
        <v>10</v>
      </c>
    </row>
    <row r="63" spans="1:50" s="570" customFormat="1" ht="12.75" customHeight="1">
      <c r="A63" s="572"/>
      <c r="B63" s="574"/>
      <c r="C63" s="574"/>
      <c r="D63" s="585"/>
      <c r="E63" s="2107"/>
      <c r="F63" s="2108"/>
      <c r="G63" s="2108"/>
      <c r="H63" s="2108"/>
      <c r="I63" s="2108"/>
      <c r="J63" s="2108"/>
      <c r="K63" s="2108"/>
      <c r="L63" s="2108"/>
      <c r="M63" s="2108"/>
      <c r="N63" s="2108"/>
      <c r="O63" s="2108"/>
      <c r="P63" s="2108"/>
      <c r="Q63" s="2108"/>
      <c r="R63" s="2108"/>
      <c r="S63" s="2108"/>
      <c r="T63" s="2108"/>
      <c r="U63" s="2108"/>
      <c r="V63" s="2108"/>
      <c r="W63" s="2108"/>
      <c r="X63" s="2108"/>
      <c r="Y63" s="2108"/>
      <c r="Z63" s="2108"/>
      <c r="AA63" s="2108"/>
      <c r="AB63" s="2108"/>
      <c r="AC63" s="2108"/>
      <c r="AD63" s="2108"/>
      <c r="AE63" s="2108"/>
      <c r="AF63" s="2108"/>
      <c r="AG63" s="2108"/>
      <c r="AH63" s="2108"/>
      <c r="AI63" s="2108"/>
      <c r="AJ63" s="2109"/>
      <c r="AK63" s="577"/>
      <c r="AL63" s="574"/>
      <c r="AM63" s="574"/>
      <c r="AN63" s="569"/>
      <c r="AO63" s="584">
        <f>IF($B68="yes",10,0)</f>
        <v>0</v>
      </c>
    </row>
    <row r="64" spans="1:50" s="570" customFormat="1" ht="12.75" customHeight="1">
      <c r="A64" s="572"/>
      <c r="B64" s="574"/>
      <c r="C64" s="574"/>
      <c r="D64" s="585"/>
      <c r="E64" s="2107"/>
      <c r="F64" s="2108"/>
      <c r="G64" s="2108"/>
      <c r="H64" s="2108"/>
      <c r="I64" s="2108"/>
      <c r="J64" s="2108"/>
      <c r="K64" s="2108"/>
      <c r="L64" s="2108"/>
      <c r="M64" s="2108"/>
      <c r="N64" s="2108"/>
      <c r="O64" s="2108"/>
      <c r="P64" s="2108"/>
      <c r="Q64" s="2108"/>
      <c r="R64" s="2108"/>
      <c r="S64" s="2108"/>
      <c r="T64" s="2108"/>
      <c r="U64" s="2108"/>
      <c r="V64" s="2108"/>
      <c r="W64" s="2108"/>
      <c r="X64" s="2108"/>
      <c r="Y64" s="2108"/>
      <c r="Z64" s="2108"/>
      <c r="AA64" s="2108"/>
      <c r="AB64" s="2108"/>
      <c r="AC64" s="2108"/>
      <c r="AD64" s="2108"/>
      <c r="AE64" s="2108"/>
      <c r="AF64" s="2108"/>
      <c r="AG64" s="2108"/>
      <c r="AH64" s="2108"/>
      <c r="AI64" s="2108"/>
      <c r="AJ64" s="2109"/>
      <c r="AK64" s="577"/>
      <c r="AL64" s="574"/>
      <c r="AM64" s="574"/>
      <c r="AN64" s="569"/>
      <c r="AO64" s="584">
        <f>IF($B75="yes",10,0)</f>
        <v>0</v>
      </c>
    </row>
    <row r="65" spans="1:42" s="570" customFormat="1" ht="12.75" customHeight="1">
      <c r="A65" s="572"/>
      <c r="B65" s="574"/>
      <c r="C65" s="574"/>
      <c r="D65" s="585"/>
      <c r="E65" s="2107"/>
      <c r="F65" s="2108"/>
      <c r="G65" s="2108"/>
      <c r="H65" s="2108"/>
      <c r="I65" s="2108"/>
      <c r="J65" s="2108"/>
      <c r="K65" s="2108"/>
      <c r="L65" s="2108"/>
      <c r="M65" s="2108"/>
      <c r="N65" s="2108"/>
      <c r="O65" s="2108"/>
      <c r="P65" s="2108"/>
      <c r="Q65" s="2108"/>
      <c r="R65" s="2108"/>
      <c r="S65" s="2108"/>
      <c r="T65" s="2108"/>
      <c r="U65" s="2108"/>
      <c r="V65" s="2108"/>
      <c r="W65" s="2108"/>
      <c r="X65" s="2108"/>
      <c r="Y65" s="2108"/>
      <c r="Z65" s="2108"/>
      <c r="AA65" s="2108"/>
      <c r="AB65" s="2108"/>
      <c r="AC65" s="2108"/>
      <c r="AD65" s="2108"/>
      <c r="AE65" s="2108"/>
      <c r="AF65" s="2108"/>
      <c r="AG65" s="2108"/>
      <c r="AH65" s="2108"/>
      <c r="AI65" s="2108"/>
      <c r="AJ65" s="2109"/>
      <c r="AK65" s="577"/>
      <c r="AL65" s="574"/>
      <c r="AM65" s="574"/>
      <c r="AN65" s="569"/>
      <c r="AO65" s="570">
        <f>IF(SUM(AO62:AO64)&gt;10,10,(SUM(AO62:AO64)))</f>
        <v>10</v>
      </c>
      <c r="AP65" s="608" t="s">
        <v>1428</v>
      </c>
    </row>
    <row r="66" spans="1:42" s="570" customFormat="1" ht="12.75" customHeight="1">
      <c r="A66" s="572"/>
      <c r="B66" s="574"/>
      <c r="C66" s="574"/>
      <c r="D66" s="585"/>
      <c r="E66" s="2134"/>
      <c r="F66" s="2135"/>
      <c r="G66" s="2135"/>
      <c r="H66" s="2135"/>
      <c r="I66" s="2135"/>
      <c r="J66" s="2135"/>
      <c r="K66" s="2135"/>
      <c r="L66" s="2135"/>
      <c r="M66" s="2135"/>
      <c r="N66" s="2135"/>
      <c r="O66" s="2135"/>
      <c r="P66" s="2135"/>
      <c r="Q66" s="2135"/>
      <c r="R66" s="2135"/>
      <c r="S66" s="2135"/>
      <c r="T66" s="2135"/>
      <c r="U66" s="2135"/>
      <c r="V66" s="2135"/>
      <c r="W66" s="2135"/>
      <c r="X66" s="2135"/>
      <c r="Y66" s="2135"/>
      <c r="Z66" s="2135"/>
      <c r="AA66" s="2135"/>
      <c r="AB66" s="2135"/>
      <c r="AC66" s="2135"/>
      <c r="AD66" s="2135"/>
      <c r="AE66" s="2135"/>
      <c r="AF66" s="2135"/>
      <c r="AG66" s="2135"/>
      <c r="AH66" s="2135"/>
      <c r="AI66" s="2135"/>
      <c r="AJ66" s="2136"/>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12" t="s">
        <v>600</v>
      </c>
      <c r="C68" s="2112"/>
      <c r="D68" s="581" t="s">
        <v>1429</v>
      </c>
      <c r="E68" s="1006" t="s">
        <v>1915</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7" t="s">
        <v>600</v>
      </c>
      <c r="F69" s="2112"/>
      <c r="G69" s="609"/>
      <c r="H69" s="592" t="s">
        <v>1430</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32" t="s">
        <v>600</v>
      </c>
      <c r="F70" s="2133"/>
      <c r="G70" s="609"/>
      <c r="H70" s="592" t="s">
        <v>1431</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32" t="s">
        <v>600</v>
      </c>
      <c r="F71" s="2133"/>
      <c r="G71" s="609"/>
      <c r="H71" s="592" t="s">
        <v>1930</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7" t="s">
        <v>600</v>
      </c>
      <c r="F73" s="2112"/>
      <c r="G73" s="941"/>
      <c r="H73" s="1011" t="s">
        <v>1929</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12" t="s">
        <v>600</v>
      </c>
      <c r="C75" s="2112"/>
      <c r="D75" s="581" t="s">
        <v>1432</v>
      </c>
      <c r="E75" s="2040" t="s">
        <v>1931</v>
      </c>
      <c r="F75" s="2041"/>
      <c r="G75" s="2041"/>
      <c r="H75" s="2041"/>
      <c r="I75" s="2041"/>
      <c r="J75" s="2041"/>
      <c r="K75" s="2041"/>
      <c r="L75" s="2041"/>
      <c r="M75" s="2041"/>
      <c r="N75" s="2041"/>
      <c r="O75" s="2041"/>
      <c r="P75" s="2041"/>
      <c r="Q75" s="2041"/>
      <c r="R75" s="2041"/>
      <c r="S75" s="2041"/>
      <c r="T75" s="2041"/>
      <c r="U75" s="2041"/>
      <c r="V75" s="2041"/>
      <c r="W75" s="2041"/>
      <c r="X75" s="2041"/>
      <c r="Y75" s="2041"/>
      <c r="Z75" s="2041"/>
      <c r="AA75" s="2041"/>
      <c r="AB75" s="2041"/>
      <c r="AC75" s="2041"/>
      <c r="AD75" s="2041"/>
      <c r="AE75" s="2041"/>
      <c r="AF75" s="2041"/>
      <c r="AG75" s="2041"/>
      <c r="AH75" s="2041"/>
      <c r="AI75" s="2041"/>
      <c r="AJ75" s="2042"/>
      <c r="AK75" s="577"/>
      <c r="AL75" s="574"/>
      <c r="AM75" s="574"/>
      <c r="AN75" s="569"/>
    </row>
    <row r="76" spans="1:42" s="570" customFormat="1" ht="12.75" customHeight="1">
      <c r="A76" s="572"/>
      <c r="B76" s="574"/>
      <c r="C76" s="574"/>
      <c r="D76" s="584"/>
      <c r="E76" s="2065"/>
      <c r="F76" s="2066"/>
      <c r="G76" s="2066"/>
      <c r="H76" s="2066"/>
      <c r="I76" s="2066"/>
      <c r="J76" s="2066"/>
      <c r="K76" s="2066"/>
      <c r="L76" s="2066"/>
      <c r="M76" s="2066"/>
      <c r="N76" s="2066"/>
      <c r="O76" s="2066"/>
      <c r="P76" s="2066"/>
      <c r="Q76" s="2066"/>
      <c r="R76" s="2066"/>
      <c r="S76" s="2066"/>
      <c r="T76" s="2066"/>
      <c r="U76" s="2066"/>
      <c r="V76" s="2066"/>
      <c r="W76" s="2066"/>
      <c r="X76" s="2066"/>
      <c r="Y76" s="2066"/>
      <c r="Z76" s="2066"/>
      <c r="AA76" s="2066"/>
      <c r="AB76" s="2066"/>
      <c r="AC76" s="2066"/>
      <c r="AD76" s="2066"/>
      <c r="AE76" s="2066"/>
      <c r="AF76" s="2066"/>
      <c r="AG76" s="2066"/>
      <c r="AH76" s="2066"/>
      <c r="AI76" s="2066"/>
      <c r="AJ76" s="2067"/>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1433</v>
      </c>
      <c r="AK78" s="2086">
        <f>IF(AK56&gt;0,0,AO65)</f>
        <v>10</v>
      </c>
      <c r="AL78" s="2087"/>
      <c r="AM78" s="2088"/>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1434</v>
      </c>
      <c r="B81" s="573" t="s">
        <v>1435</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30" t="s">
        <v>1417</v>
      </c>
      <c r="AF81" s="1930"/>
      <c r="AG81" s="1930"/>
      <c r="AH81" s="1930"/>
      <c r="AI81" s="1930"/>
      <c r="AJ81" s="1930"/>
      <c r="AK81" s="1930"/>
      <c r="AL81" s="574"/>
      <c r="AM81" s="574"/>
      <c r="AN81" s="569"/>
    </row>
    <row r="82" spans="1:43" s="570" customFormat="1" ht="12.75" customHeight="1">
      <c r="A82" s="572"/>
      <c r="B82" s="573" t="s">
        <v>1436</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12" t="s">
        <v>600</v>
      </c>
      <c r="C84" s="2112"/>
      <c r="D84" s="581" t="s">
        <v>1427</v>
      </c>
      <c r="E84" s="2104" t="s">
        <v>1437</v>
      </c>
      <c r="F84" s="2105"/>
      <c r="G84" s="2105"/>
      <c r="H84" s="2105"/>
      <c r="I84" s="2105"/>
      <c r="J84" s="2105"/>
      <c r="K84" s="2105"/>
      <c r="L84" s="2105"/>
      <c r="M84" s="2105"/>
      <c r="N84" s="2105"/>
      <c r="O84" s="2105"/>
      <c r="P84" s="2105"/>
      <c r="Q84" s="2105"/>
      <c r="R84" s="2105"/>
      <c r="S84" s="2105"/>
      <c r="T84" s="2105"/>
      <c r="U84" s="2105"/>
      <c r="V84" s="2105"/>
      <c r="W84" s="2105"/>
      <c r="X84" s="2105"/>
      <c r="Y84" s="2105"/>
      <c r="Z84" s="2105"/>
      <c r="AA84" s="2105"/>
      <c r="AB84" s="2105"/>
      <c r="AC84" s="2105"/>
      <c r="AD84" s="2105"/>
      <c r="AE84" s="2105"/>
      <c r="AF84" s="2105"/>
      <c r="AG84" s="2105"/>
      <c r="AH84" s="2105"/>
      <c r="AI84" s="2105"/>
      <c r="AJ84" s="2106"/>
      <c r="AK84" s="577"/>
      <c r="AL84" s="574"/>
      <c r="AM84" s="574"/>
      <c r="AN84" s="569"/>
    </row>
    <row r="85" spans="1:43" s="570" customFormat="1" ht="12.75" customHeight="1">
      <c r="A85" s="572"/>
      <c r="B85" s="573"/>
      <c r="C85" s="573"/>
      <c r="D85" s="573"/>
      <c r="E85" s="2107"/>
      <c r="F85" s="2108"/>
      <c r="G85" s="2108"/>
      <c r="H85" s="2108"/>
      <c r="I85" s="2108"/>
      <c r="J85" s="2108"/>
      <c r="K85" s="2108"/>
      <c r="L85" s="2108"/>
      <c r="M85" s="2108"/>
      <c r="N85" s="2108"/>
      <c r="O85" s="2108"/>
      <c r="P85" s="2108"/>
      <c r="Q85" s="2108"/>
      <c r="R85" s="2108"/>
      <c r="S85" s="2108"/>
      <c r="T85" s="2108"/>
      <c r="U85" s="2108"/>
      <c r="V85" s="2108"/>
      <c r="W85" s="2108"/>
      <c r="X85" s="2108"/>
      <c r="Y85" s="2108"/>
      <c r="Z85" s="2108"/>
      <c r="AA85" s="2108"/>
      <c r="AB85" s="2108"/>
      <c r="AC85" s="2108"/>
      <c r="AD85" s="2108"/>
      <c r="AE85" s="2108"/>
      <c r="AF85" s="2108"/>
      <c r="AG85" s="2108"/>
      <c r="AH85" s="2108"/>
      <c r="AI85" s="2108"/>
      <c r="AJ85" s="2109"/>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100">
        <f>Application!AC753</f>
        <v>0.39571428571428569</v>
      </c>
      <c r="F87" s="2101"/>
      <c r="G87" s="2101"/>
      <c r="H87" s="2101"/>
      <c r="I87" s="611"/>
      <c r="J87" s="614" t="s">
        <v>1438</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31">
        <f>0.6-ROUNDUP(E87,2)</f>
        <v>0.19999999999999996</v>
      </c>
      <c r="F88" s="1904"/>
      <c r="G88" s="1904"/>
      <c r="H88" s="1904"/>
      <c r="I88" s="611"/>
      <c r="J88" s="614" t="s">
        <v>1439</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6">
        <f>IF(E88*200&gt;20,20,E88*200)</f>
        <v>20</v>
      </c>
      <c r="F89" s="2117"/>
      <c r="G89" s="2117"/>
      <c r="H89" s="2117"/>
      <c r="I89" s="611"/>
      <c r="J89" s="614" t="s">
        <v>1440</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1420</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12" t="s">
        <v>554</v>
      </c>
      <c r="C92" s="2112"/>
      <c r="D92" s="581" t="s">
        <v>1429</v>
      </c>
      <c r="E92" s="2104" t="s">
        <v>1916</v>
      </c>
      <c r="F92" s="2105"/>
      <c r="G92" s="2105"/>
      <c r="H92" s="2105"/>
      <c r="I92" s="2105"/>
      <c r="J92" s="2105"/>
      <c r="K92" s="2105"/>
      <c r="L92" s="2105"/>
      <c r="M92" s="2105"/>
      <c r="N92" s="2105"/>
      <c r="O92" s="2105"/>
      <c r="P92" s="2105"/>
      <c r="Q92" s="2105"/>
      <c r="R92" s="2105"/>
      <c r="S92" s="2105"/>
      <c r="T92" s="2105"/>
      <c r="U92" s="2105"/>
      <c r="V92" s="2105"/>
      <c r="W92" s="2105"/>
      <c r="X92" s="2105"/>
      <c r="Y92" s="2105"/>
      <c r="Z92" s="2105"/>
      <c r="AA92" s="2105"/>
      <c r="AB92" s="2105"/>
      <c r="AC92" s="2105"/>
      <c r="AD92" s="2105"/>
      <c r="AE92" s="2105"/>
      <c r="AF92" s="2105"/>
      <c r="AG92" s="2105"/>
      <c r="AH92" s="2105"/>
      <c r="AI92" s="2105"/>
      <c r="AJ92" s="2106"/>
      <c r="AK92" s="577"/>
      <c r="AL92" s="574"/>
      <c r="AM92" s="574"/>
      <c r="AN92" s="569"/>
    </row>
    <row r="93" spans="1:43" s="570" customFormat="1" ht="12.75" customHeight="1">
      <c r="A93" s="572"/>
      <c r="B93" s="573"/>
      <c r="C93" s="573"/>
      <c r="D93" s="573"/>
      <c r="E93" s="2107"/>
      <c r="F93" s="2108"/>
      <c r="G93" s="2108"/>
      <c r="H93" s="2108"/>
      <c r="I93" s="2108"/>
      <c r="J93" s="2108"/>
      <c r="K93" s="2108"/>
      <c r="L93" s="2108"/>
      <c r="M93" s="2108"/>
      <c r="N93" s="2108"/>
      <c r="O93" s="2108"/>
      <c r="P93" s="2108"/>
      <c r="Q93" s="2108"/>
      <c r="R93" s="2108"/>
      <c r="S93" s="2108"/>
      <c r="T93" s="2108"/>
      <c r="U93" s="2108"/>
      <c r="V93" s="2108"/>
      <c r="W93" s="2108"/>
      <c r="X93" s="2108"/>
      <c r="Y93" s="2108"/>
      <c r="Z93" s="2108"/>
      <c r="AA93" s="2108"/>
      <c r="AB93" s="2108"/>
      <c r="AC93" s="2108"/>
      <c r="AD93" s="2108"/>
      <c r="AE93" s="2108"/>
      <c r="AF93" s="2108"/>
      <c r="AG93" s="2108"/>
      <c r="AH93" s="2108"/>
      <c r="AI93" s="2108"/>
      <c r="AJ93" s="2109"/>
      <c r="AK93" s="577"/>
      <c r="AL93" s="574"/>
      <c r="AM93" s="574"/>
      <c r="AN93" s="569"/>
    </row>
    <row r="94" spans="1:43" s="570" customFormat="1" ht="12.75" customHeight="1">
      <c r="A94" s="572"/>
      <c r="B94" s="573"/>
      <c r="C94" s="573"/>
      <c r="D94" s="573"/>
      <c r="E94" s="2107"/>
      <c r="F94" s="2108"/>
      <c r="G94" s="2108"/>
      <c r="H94" s="2108"/>
      <c r="I94" s="2108"/>
      <c r="J94" s="2108"/>
      <c r="K94" s="2108"/>
      <c r="L94" s="2108"/>
      <c r="M94" s="2108"/>
      <c r="N94" s="2108"/>
      <c r="O94" s="2108"/>
      <c r="P94" s="2108"/>
      <c r="Q94" s="2108"/>
      <c r="R94" s="2108"/>
      <c r="S94" s="2108"/>
      <c r="T94" s="2108"/>
      <c r="U94" s="2108"/>
      <c r="V94" s="2108"/>
      <c r="W94" s="2108"/>
      <c r="X94" s="2108"/>
      <c r="Y94" s="2108"/>
      <c r="Z94" s="2108"/>
      <c r="AA94" s="2108"/>
      <c r="AB94" s="2108"/>
      <c r="AC94" s="2108"/>
      <c r="AD94" s="2108"/>
      <c r="AE94" s="2108"/>
      <c r="AF94" s="2108"/>
      <c r="AG94" s="2108"/>
      <c r="AH94" s="2108"/>
      <c r="AI94" s="2108"/>
      <c r="AJ94" s="2109"/>
      <c r="AK94" s="577"/>
      <c r="AL94" s="574"/>
      <c r="AM94" s="574"/>
      <c r="AN94" s="569"/>
    </row>
    <row r="95" spans="1:43" s="570" customFormat="1" ht="12.75" customHeight="1">
      <c r="A95" s="572"/>
      <c r="B95" s="573"/>
      <c r="C95" s="573"/>
      <c r="D95" s="573"/>
      <c r="E95" s="2107"/>
      <c r="F95" s="2108"/>
      <c r="G95" s="2108"/>
      <c r="H95" s="2108"/>
      <c r="I95" s="2108"/>
      <c r="J95" s="2108"/>
      <c r="K95" s="2108"/>
      <c r="L95" s="2108"/>
      <c r="M95" s="2108"/>
      <c r="N95" s="2108"/>
      <c r="O95" s="2108"/>
      <c r="P95" s="2108"/>
      <c r="Q95" s="2108"/>
      <c r="R95" s="2108"/>
      <c r="S95" s="2108"/>
      <c r="T95" s="2108"/>
      <c r="U95" s="2108"/>
      <c r="V95" s="2108"/>
      <c r="W95" s="2108"/>
      <c r="X95" s="2108"/>
      <c r="Y95" s="2108"/>
      <c r="Z95" s="2108"/>
      <c r="AA95" s="2108"/>
      <c r="AB95" s="2108"/>
      <c r="AC95" s="2108"/>
      <c r="AD95" s="2108"/>
      <c r="AE95" s="2108"/>
      <c r="AF95" s="2108"/>
      <c r="AG95" s="2108"/>
      <c r="AH95" s="2108"/>
      <c r="AI95" s="2108"/>
      <c r="AJ95" s="2109"/>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100">
        <f>Application!AC753</f>
        <v>0.39571428571428569</v>
      </c>
      <c r="F97" s="2101"/>
      <c r="G97" s="2101"/>
      <c r="H97" s="2101"/>
      <c r="I97" s="611"/>
      <c r="J97" s="614" t="s">
        <v>1438</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100">
        <f ca="1">SUMIF(Application!AC718:AG752,0.2,Application!G718:J752)/Application!G753+SUMIF(Application!AC718:AG752,0.25,Application!G718:J752)/Application!G753+SUMIF(Application!AC718:AG752,0.3,Application!G718:J752)/Application!G753</f>
        <v>0.51428571428571423</v>
      </c>
      <c r="F98" s="2101"/>
      <c r="G98" s="2101"/>
      <c r="H98" s="2101"/>
      <c r="I98" s="611"/>
      <c r="J98" s="614" t="s">
        <v>1441</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100">
        <f ca="1">SUMIF(Application!AC718:AG752,0.35,Application!G718:J752)/Application!G753+SUMIF(Application!AC718:AG752,0.4,Application!G718:J752)/Application!G753+SUMIF(Application!AC718:AG752,0.45,Application!G718:J752)/Application!G753+SUMIF(Application!AC718:AG752,0.5,Application!G718:J752)/Application!G753</f>
        <v>0.48571428571428571</v>
      </c>
      <c r="F99" s="2101"/>
      <c r="G99" s="2101"/>
      <c r="H99" s="2101"/>
      <c r="I99" s="611"/>
      <c r="J99" s="614" t="s">
        <v>1442</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8">
        <f ca="1">IF(AND(E97&lt;=0.6,E98&gt;=0.1,OR(E99&gt;=0.1,E98&gt;=0.2)),20,0)</f>
        <v>20</v>
      </c>
      <c r="F100" s="2099"/>
      <c r="G100" s="2099"/>
      <c r="H100" s="2099"/>
      <c r="I100" s="587"/>
      <c r="J100" s="621" t="s">
        <v>1440</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1420</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1443</v>
      </c>
      <c r="AK103" s="2086">
        <f ca="1">MAX(AP89,AP100)</f>
        <v>20</v>
      </c>
      <c r="AL103" s="2087"/>
      <c r="AM103" s="2088"/>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1444</v>
      </c>
      <c r="B106" s="573" t="s">
        <v>1445</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30" t="s">
        <v>1426</v>
      </c>
      <c r="AF106" s="1930"/>
      <c r="AG106" s="1930"/>
      <c r="AH106" s="1930"/>
      <c r="AI106" s="1930"/>
      <c r="AJ106" s="1930"/>
      <c r="AK106" s="1930"/>
      <c r="AL106" s="574"/>
      <c r="AM106" s="574"/>
      <c r="AN106" s="569"/>
      <c r="AO106" s="570" t="str">
        <f>Application!B718</f>
        <v>SRO/Studio</v>
      </c>
      <c r="AQ106" s="570">
        <f>Application!O718</f>
        <v>777</v>
      </c>
    </row>
    <row r="107" spans="1:49" s="570" customFormat="1" ht="12.75" customHeight="1">
      <c r="A107" s="574"/>
      <c r="B107" s="573" t="s">
        <v>1436</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1036</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1295</v>
      </c>
    </row>
    <row r="109" spans="1:49" s="570" customFormat="1" ht="12.75" customHeight="1">
      <c r="A109" s="574"/>
      <c r="B109" s="2112" t="s">
        <v>554</v>
      </c>
      <c r="C109" s="2112"/>
      <c r="D109" s="581" t="s">
        <v>1427</v>
      </c>
      <c r="E109" s="2104" t="s">
        <v>2050</v>
      </c>
      <c r="F109" s="2105"/>
      <c r="G109" s="2105"/>
      <c r="H109" s="2105"/>
      <c r="I109" s="2105"/>
      <c r="J109" s="2105"/>
      <c r="K109" s="2105"/>
      <c r="L109" s="2105"/>
      <c r="M109" s="2105"/>
      <c r="N109" s="2105"/>
      <c r="O109" s="2105"/>
      <c r="P109" s="2105"/>
      <c r="Q109" s="2105"/>
      <c r="R109" s="2105"/>
      <c r="S109" s="2105"/>
      <c r="T109" s="2105"/>
      <c r="U109" s="2105"/>
      <c r="V109" s="2105"/>
      <c r="W109" s="2105"/>
      <c r="X109" s="2105"/>
      <c r="Y109" s="2105"/>
      <c r="Z109" s="2105"/>
      <c r="AA109" s="2105"/>
      <c r="AB109" s="2105"/>
      <c r="AC109" s="2105"/>
      <c r="AD109" s="2105"/>
      <c r="AE109" s="2105"/>
      <c r="AF109" s="2105"/>
      <c r="AG109" s="2105"/>
      <c r="AH109" s="2105"/>
      <c r="AI109" s="2105"/>
      <c r="AJ109" s="2106"/>
      <c r="AK109" s="574"/>
      <c r="AL109" s="574"/>
      <c r="AM109" s="574"/>
      <c r="AN109" s="569"/>
      <c r="AO109" s="570">
        <f>Application!B721</f>
        <v>0</v>
      </c>
      <c r="AQ109" s="570">
        <f>Application!O721</f>
        <v>0</v>
      </c>
      <c r="AU109" s="570" t="s">
        <v>2032</v>
      </c>
      <c r="AV109" s="629" t="s">
        <v>2033</v>
      </c>
      <c r="AW109" s="570" t="s">
        <v>2034</v>
      </c>
    </row>
    <row r="110" spans="1:49" s="570" customFormat="1" ht="12.75" customHeight="1">
      <c r="A110" s="574"/>
      <c r="B110" s="573"/>
      <c r="C110" s="573"/>
      <c r="D110" s="573"/>
      <c r="E110" s="2107"/>
      <c r="F110" s="2108"/>
      <c r="G110" s="2108"/>
      <c r="H110" s="2108"/>
      <c r="I110" s="2108"/>
      <c r="J110" s="2108"/>
      <c r="K110" s="2108"/>
      <c r="L110" s="2108"/>
      <c r="M110" s="2108"/>
      <c r="N110" s="2108"/>
      <c r="O110" s="2108"/>
      <c r="P110" s="2108"/>
      <c r="Q110" s="2108"/>
      <c r="R110" s="2108"/>
      <c r="S110" s="2108"/>
      <c r="T110" s="2108"/>
      <c r="U110" s="2108"/>
      <c r="V110" s="2108"/>
      <c r="W110" s="2108"/>
      <c r="X110" s="2108"/>
      <c r="Y110" s="2108"/>
      <c r="Z110" s="2108"/>
      <c r="AA110" s="2108"/>
      <c r="AB110" s="2108"/>
      <c r="AC110" s="2108"/>
      <c r="AD110" s="2108"/>
      <c r="AE110" s="2108"/>
      <c r="AF110" s="2108"/>
      <c r="AG110" s="2108"/>
      <c r="AH110" s="2108"/>
      <c r="AI110" s="2108"/>
      <c r="AJ110" s="2109"/>
      <c r="AK110" s="574"/>
      <c r="AL110" s="574"/>
      <c r="AM110" s="574"/>
      <c r="AN110" s="569"/>
      <c r="AO110" s="570">
        <f>Application!B722</f>
        <v>0</v>
      </c>
      <c r="AQ110" s="570">
        <f>Application!O722</f>
        <v>0</v>
      </c>
      <c r="AU110" s="890" t="str">
        <f>E118</f>
        <v>Studio/SRO</v>
      </c>
      <c r="AV110" s="570">
        <f t="array" ref="AV110">SUM(IF(Application!B718:F752="SRO/Studio",Application!G718:J752))</f>
        <v>140</v>
      </c>
      <c r="AW110" s="1046">
        <f>AV110/AV116</f>
        <v>1</v>
      </c>
    </row>
    <row r="111" spans="1:49" s="570" customFormat="1" ht="12.75" customHeight="1">
      <c r="A111" s="574"/>
      <c r="B111" s="573"/>
      <c r="C111" s="573"/>
      <c r="D111" s="573"/>
      <c r="E111" s="2107"/>
      <c r="F111" s="2108"/>
      <c r="G111" s="2108"/>
      <c r="H111" s="2108"/>
      <c r="I111" s="2108"/>
      <c r="J111" s="2108"/>
      <c r="K111" s="2108"/>
      <c r="L111" s="2108"/>
      <c r="M111" s="2108"/>
      <c r="N111" s="2108"/>
      <c r="O111" s="2108"/>
      <c r="P111" s="2108"/>
      <c r="Q111" s="2108"/>
      <c r="R111" s="2108"/>
      <c r="S111" s="2108"/>
      <c r="T111" s="2108"/>
      <c r="U111" s="2108"/>
      <c r="V111" s="2108"/>
      <c r="W111" s="2108"/>
      <c r="X111" s="2108"/>
      <c r="Y111" s="2108"/>
      <c r="Z111" s="2108"/>
      <c r="AA111" s="2108"/>
      <c r="AB111" s="2108"/>
      <c r="AC111" s="2108"/>
      <c r="AD111" s="2108"/>
      <c r="AE111" s="2108"/>
      <c r="AF111" s="2108"/>
      <c r="AG111" s="2108"/>
      <c r="AH111" s="2108"/>
      <c r="AI111" s="2108"/>
      <c r="AJ111" s="2109"/>
      <c r="AK111" s="574"/>
      <c r="AL111" s="574"/>
      <c r="AM111" s="574"/>
      <c r="AN111" s="569"/>
      <c r="AO111" s="570">
        <f>Application!B723</f>
        <v>0</v>
      </c>
      <c r="AQ111" s="570">
        <f>Application!O723</f>
        <v>0</v>
      </c>
      <c r="AU111" s="890" t="str">
        <f>J118</f>
        <v>1-bedroom</v>
      </c>
      <c r="AV111" s="570">
        <f t="array" ref="AV111">SUM(IF(Application!B718:F752="1 Bedroom",Application!G718:J752))</f>
        <v>0</v>
      </c>
      <c r="AW111" s="1046">
        <f>AV111/AV116</f>
        <v>0</v>
      </c>
    </row>
    <row r="112" spans="1:49" s="570" customFormat="1" ht="12.75" customHeight="1">
      <c r="A112" s="574"/>
      <c r="B112" s="573"/>
      <c r="C112" s="573"/>
      <c r="D112" s="573"/>
      <c r="E112" s="2107"/>
      <c r="F112" s="2108"/>
      <c r="G112" s="2108"/>
      <c r="H112" s="2108"/>
      <c r="I112" s="2108"/>
      <c r="J112" s="2108"/>
      <c r="K112" s="2108"/>
      <c r="L112" s="2108"/>
      <c r="M112" s="2108"/>
      <c r="N112" s="2108"/>
      <c r="O112" s="2108"/>
      <c r="P112" s="2108"/>
      <c r="Q112" s="2108"/>
      <c r="R112" s="2108"/>
      <c r="S112" s="2108"/>
      <c r="T112" s="2108"/>
      <c r="U112" s="2108"/>
      <c r="V112" s="2108"/>
      <c r="W112" s="2108"/>
      <c r="X112" s="2108"/>
      <c r="Y112" s="2108"/>
      <c r="Z112" s="2108"/>
      <c r="AA112" s="2108"/>
      <c r="AB112" s="2108"/>
      <c r="AC112" s="2108"/>
      <c r="AD112" s="2108"/>
      <c r="AE112" s="2108"/>
      <c r="AF112" s="2108"/>
      <c r="AG112" s="2108"/>
      <c r="AH112" s="2108"/>
      <c r="AI112" s="2108"/>
      <c r="AJ112" s="2109"/>
      <c r="AK112" s="574"/>
      <c r="AL112" s="574"/>
      <c r="AM112" s="574"/>
      <c r="AN112" s="569"/>
      <c r="AO112" s="570">
        <f>Application!B724</f>
        <v>0</v>
      </c>
      <c r="AQ112" s="570">
        <f>Application!O724</f>
        <v>0</v>
      </c>
      <c r="AU112" s="890" t="str">
        <f>O118</f>
        <v>2-bedroom</v>
      </c>
      <c r="AV112" s="570">
        <f t="array" ref="AV112">SUM(IF(Application!B718:F752="2 Bedrooms",Application!G718:J752))</f>
        <v>0</v>
      </c>
      <c r="AW112" s="1046">
        <f>AV112/AV116</f>
        <v>0</v>
      </c>
    </row>
    <row r="113" spans="1:52" s="570" customFormat="1" ht="12.75" customHeight="1">
      <c r="A113" s="574"/>
      <c r="B113" s="573"/>
      <c r="C113" s="573"/>
      <c r="D113" s="573"/>
      <c r="E113" s="2107"/>
      <c r="F113" s="2108"/>
      <c r="G113" s="2108"/>
      <c r="H113" s="2108"/>
      <c r="I113" s="2108"/>
      <c r="J113" s="2108"/>
      <c r="K113" s="2108"/>
      <c r="L113" s="2108"/>
      <c r="M113" s="2108"/>
      <c r="N113" s="2108"/>
      <c r="O113" s="2108"/>
      <c r="P113" s="2108"/>
      <c r="Q113" s="2108"/>
      <c r="R113" s="2108"/>
      <c r="S113" s="2108"/>
      <c r="T113" s="2108"/>
      <c r="U113" s="2108"/>
      <c r="V113" s="2108"/>
      <c r="W113" s="2108"/>
      <c r="X113" s="2108"/>
      <c r="Y113" s="2108"/>
      <c r="Z113" s="2108"/>
      <c r="AA113" s="2108"/>
      <c r="AB113" s="2108"/>
      <c r="AC113" s="2108"/>
      <c r="AD113" s="2108"/>
      <c r="AE113" s="2108"/>
      <c r="AF113" s="2108"/>
      <c r="AG113" s="2108"/>
      <c r="AH113" s="2108"/>
      <c r="AI113" s="2108"/>
      <c r="AJ113" s="2109"/>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2107"/>
      <c r="F114" s="2108"/>
      <c r="G114" s="2108"/>
      <c r="H114" s="2108"/>
      <c r="I114" s="2108"/>
      <c r="J114" s="2108"/>
      <c r="K114" s="2108"/>
      <c r="L114" s="2108"/>
      <c r="M114" s="2108"/>
      <c r="N114" s="2108"/>
      <c r="O114" s="2108"/>
      <c r="P114" s="2108"/>
      <c r="Q114" s="2108"/>
      <c r="R114" s="2108"/>
      <c r="S114" s="2108"/>
      <c r="T114" s="2108"/>
      <c r="U114" s="2108"/>
      <c r="V114" s="2108"/>
      <c r="W114" s="2108"/>
      <c r="X114" s="2108"/>
      <c r="Y114" s="2108"/>
      <c r="Z114" s="2108"/>
      <c r="AA114" s="2108"/>
      <c r="AB114" s="2108"/>
      <c r="AC114" s="2108"/>
      <c r="AD114" s="2108"/>
      <c r="AE114" s="2108"/>
      <c r="AF114" s="2108"/>
      <c r="AG114" s="2108"/>
      <c r="AH114" s="2108"/>
      <c r="AI114" s="2108"/>
      <c r="AJ114" s="2109"/>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7"/>
      <c r="F115" s="2108"/>
      <c r="G115" s="2108"/>
      <c r="H115" s="2108"/>
      <c r="I115" s="2108"/>
      <c r="J115" s="2108"/>
      <c r="K115" s="2108"/>
      <c r="L115" s="2108"/>
      <c r="M115" s="2108"/>
      <c r="N115" s="2108"/>
      <c r="O115" s="2108"/>
      <c r="P115" s="2108"/>
      <c r="Q115" s="2108"/>
      <c r="R115" s="2108"/>
      <c r="S115" s="2108"/>
      <c r="T115" s="2108"/>
      <c r="U115" s="2108"/>
      <c r="V115" s="2108"/>
      <c r="W115" s="2108"/>
      <c r="X115" s="2108"/>
      <c r="Y115" s="2108"/>
      <c r="Z115" s="2108"/>
      <c r="AA115" s="2108"/>
      <c r="AB115" s="2108"/>
      <c r="AC115" s="2108"/>
      <c r="AD115" s="2108"/>
      <c r="AE115" s="2108"/>
      <c r="AF115" s="2108"/>
      <c r="AG115" s="2108"/>
      <c r="AH115" s="2108"/>
      <c r="AI115" s="2108"/>
      <c r="AJ115" s="2109"/>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7"/>
      <c r="F116" s="2108"/>
      <c r="G116" s="2108"/>
      <c r="H116" s="2108"/>
      <c r="I116" s="2108"/>
      <c r="J116" s="2108"/>
      <c r="K116" s="2108"/>
      <c r="L116" s="2108"/>
      <c r="M116" s="2108"/>
      <c r="N116" s="2108"/>
      <c r="O116" s="2108"/>
      <c r="P116" s="2108"/>
      <c r="Q116" s="2108"/>
      <c r="R116" s="2108"/>
      <c r="S116" s="2108"/>
      <c r="T116" s="2108"/>
      <c r="U116" s="2108"/>
      <c r="V116" s="2108"/>
      <c r="W116" s="2108"/>
      <c r="X116" s="2108"/>
      <c r="Y116" s="2108"/>
      <c r="Z116" s="2108"/>
      <c r="AA116" s="2108"/>
      <c r="AB116" s="2108"/>
      <c r="AC116" s="2108"/>
      <c r="AD116" s="2108"/>
      <c r="AE116" s="2108"/>
      <c r="AF116" s="2108"/>
      <c r="AG116" s="2108"/>
      <c r="AH116" s="2108"/>
      <c r="AI116" s="2108"/>
      <c r="AJ116" s="2109"/>
      <c r="AK116" s="574"/>
      <c r="AL116" s="574"/>
      <c r="AM116" s="574"/>
      <c r="AN116" s="569"/>
      <c r="AO116" s="570">
        <f>Application!B728</f>
        <v>0</v>
      </c>
      <c r="AQ116" s="570">
        <f>Application!O728</f>
        <v>0</v>
      </c>
      <c r="AV116" s="570">
        <f>SUM(AV110:AV115)</f>
        <v>140</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100" t="s">
        <v>1701</v>
      </c>
      <c r="F118" s="2101"/>
      <c r="G118" s="2101"/>
      <c r="H118" s="2101"/>
      <c r="I118" s="611"/>
      <c r="J118" s="2101" t="s">
        <v>1745</v>
      </c>
      <c r="K118" s="2101"/>
      <c r="L118" s="2101"/>
      <c r="M118" s="2101"/>
      <c r="N118" s="611"/>
      <c r="O118" s="2101" t="s">
        <v>1746</v>
      </c>
      <c r="P118" s="2101"/>
      <c r="Q118" s="2101"/>
      <c r="R118" s="2101"/>
      <c r="S118" s="611"/>
      <c r="T118" s="2101" t="s">
        <v>1446</v>
      </c>
      <c r="U118" s="2101"/>
      <c r="V118" s="2101"/>
      <c r="W118" s="2101"/>
      <c r="X118" s="611"/>
      <c r="Y118" s="2101" t="s">
        <v>1747</v>
      </c>
      <c r="Z118" s="2101"/>
      <c r="AA118" s="2101"/>
      <c r="AB118" s="2101"/>
      <c r="AC118" s="611"/>
      <c r="AD118" s="2101" t="s">
        <v>1748</v>
      </c>
      <c r="AE118" s="2101"/>
      <c r="AF118" s="2101"/>
      <c r="AG118" s="2101"/>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1749</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102">
        <v>1600</v>
      </c>
      <c r="F121" s="2103"/>
      <c r="G121" s="2103"/>
      <c r="H121" s="2103"/>
      <c r="I121" s="898"/>
      <c r="J121" s="2103">
        <v>2144</v>
      </c>
      <c r="K121" s="2103"/>
      <c r="L121" s="2103"/>
      <c r="M121" s="2103"/>
      <c r="N121" s="898"/>
      <c r="O121" s="2103">
        <v>2522</v>
      </c>
      <c r="P121" s="2103"/>
      <c r="Q121" s="2103"/>
      <c r="R121" s="2103"/>
      <c r="S121" s="898"/>
      <c r="T121" s="2103">
        <v>3128</v>
      </c>
      <c r="U121" s="2103"/>
      <c r="V121" s="2103"/>
      <c r="W121" s="2103"/>
      <c r="X121" s="898"/>
      <c r="Y121" s="2103"/>
      <c r="Z121" s="2103"/>
      <c r="AA121" s="2103"/>
      <c r="AB121" s="2103"/>
      <c r="AC121" s="898"/>
      <c r="AD121" s="2103"/>
      <c r="AE121" s="2103"/>
      <c r="AF121" s="2103"/>
      <c r="AG121" s="2103"/>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2036</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10">
        <f>Application!DX670</f>
        <v>1024.9000000000001</v>
      </c>
      <c r="F124" s="2111"/>
      <c r="G124" s="2111"/>
      <c r="H124" s="2111"/>
      <c r="I124" s="898"/>
      <c r="J124" s="2111">
        <f>Application!EC670</f>
        <v>0</v>
      </c>
      <c r="K124" s="2111"/>
      <c r="L124" s="2111"/>
      <c r="M124" s="2111"/>
      <c r="N124" s="898"/>
      <c r="O124" s="2111">
        <f>Application!EH670</f>
        <v>0</v>
      </c>
      <c r="P124" s="2111"/>
      <c r="Q124" s="2111"/>
      <c r="R124" s="2111"/>
      <c r="S124" s="902"/>
      <c r="T124" s="2111">
        <f>Application!EM670</f>
        <v>0</v>
      </c>
      <c r="U124" s="2111"/>
      <c r="V124" s="2111"/>
      <c r="W124" s="2111"/>
      <c r="X124" s="902"/>
      <c r="Y124" s="2111">
        <f>Application!ER670</f>
        <v>0</v>
      </c>
      <c r="Z124" s="2111"/>
      <c r="AA124" s="2111"/>
      <c r="AB124" s="2111"/>
      <c r="AC124" s="902"/>
      <c r="AD124" s="2111">
        <f>Application!EW670</f>
        <v>0</v>
      </c>
      <c r="AE124" s="2111"/>
      <c r="AF124" s="2111"/>
      <c r="AG124" s="2111"/>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2037</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3">
        <f>(E121-E124)/E121</f>
        <v>0.35943749999999997</v>
      </c>
      <c r="F127" s="1904"/>
      <c r="G127" s="1904"/>
      <c r="H127" s="1905"/>
      <c r="I127" s="611"/>
      <c r="J127" s="1903">
        <f>(J121-J124)/J121</f>
        <v>1</v>
      </c>
      <c r="K127" s="1904"/>
      <c r="L127" s="1904"/>
      <c r="M127" s="1905"/>
      <c r="N127" s="611"/>
      <c r="O127" s="1903">
        <f>(O121-O124)/O121</f>
        <v>1</v>
      </c>
      <c r="P127" s="1904"/>
      <c r="Q127" s="1904"/>
      <c r="R127" s="1905"/>
      <c r="S127" s="611"/>
      <c r="T127" s="1903">
        <f>(T121-T124)/T121</f>
        <v>1</v>
      </c>
      <c r="U127" s="1904"/>
      <c r="V127" s="1904"/>
      <c r="W127" s="1905"/>
      <c r="X127" s="611"/>
      <c r="Y127" s="1903" t="e">
        <f>(Y121-Y124)/Y121</f>
        <v>#DIV/0!</v>
      </c>
      <c r="Z127" s="1904"/>
      <c r="AA127" s="1904"/>
      <c r="AB127" s="1905"/>
      <c r="AC127" s="611"/>
      <c r="AD127" s="1903" t="e">
        <f>(AD121-AD124)/AD121</f>
        <v>#DIV/0!</v>
      </c>
      <c r="AE127" s="1904"/>
      <c r="AF127" s="1904"/>
      <c r="AG127" s="1905"/>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2038</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3">
        <f>IF(((E127-0.1)*AW110)&gt;0,((E127-0.1)*AW110),0)</f>
        <v>0.25943749999999999</v>
      </c>
      <c r="F130" s="2114"/>
      <c r="G130" s="2114"/>
      <c r="H130" s="2115"/>
      <c r="I130" s="611"/>
      <c r="J130" s="2113">
        <f>IF(((J127-0.1)*AW111)&gt;0,((J127-0.1)*AW111),0)</f>
        <v>0</v>
      </c>
      <c r="K130" s="2114"/>
      <c r="L130" s="2114"/>
      <c r="M130" s="2115"/>
      <c r="N130" s="611"/>
      <c r="O130" s="2113">
        <f>IF(((O127-0.1)*AW112)&gt;0,((O127-0.1)*AW112),0)</f>
        <v>0</v>
      </c>
      <c r="P130" s="2114"/>
      <c r="Q130" s="2114"/>
      <c r="R130" s="2115"/>
      <c r="S130" s="611"/>
      <c r="T130" s="2113">
        <f>IF(((T127-0.1)*AW113)&gt;0,((T127-0.1)*AW113),0)</f>
        <v>0</v>
      </c>
      <c r="U130" s="2114"/>
      <c r="V130" s="2114"/>
      <c r="W130" s="2115"/>
      <c r="X130" s="611"/>
      <c r="Y130" s="2113" t="e">
        <f>IF(((Y127-0.1)*AW114)&gt;0,((Y127-0.1)*AW114),0)</f>
        <v>#DIV/0!</v>
      </c>
      <c r="Z130" s="2114"/>
      <c r="AA130" s="2114"/>
      <c r="AB130" s="2115"/>
      <c r="AC130" s="611"/>
      <c r="AD130" s="2113" t="e">
        <f>IF(((AD127-0.1)*AW115)&gt;0,((AD127-0.1)*AW115),0)</f>
        <v>#DIV/0!</v>
      </c>
      <c r="AE130" s="2114"/>
      <c r="AF130" s="2114"/>
      <c r="AG130" s="2115"/>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3">
        <f>ROUNDDOWN(SUMIF(E130:AG130,"&gt;0"),2)</f>
        <v>0.25</v>
      </c>
      <c r="F132" s="1904"/>
      <c r="G132" s="1904"/>
      <c r="H132" s="1905"/>
      <c r="I132" s="611"/>
      <c r="J132" s="614" t="s">
        <v>2039</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6">
        <f>IF((E132*100)&gt;10,10,E132*100)</f>
        <v>10</v>
      </c>
      <c r="F133" s="2087"/>
      <c r="G133" s="2087"/>
      <c r="H133" s="2088"/>
      <c r="I133" s="611"/>
      <c r="J133" s="614" t="s">
        <v>1440</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1447</v>
      </c>
      <c r="AK137" s="2086">
        <f>E133</f>
        <v>10</v>
      </c>
      <c r="AL137" s="2087"/>
      <c r="AM137" s="2088"/>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1448</v>
      </c>
      <c r="AE140" s="1930" t="s">
        <v>1426</v>
      </c>
      <c r="AF140" s="1930"/>
      <c r="AG140" s="1930"/>
      <c r="AH140" s="1930"/>
      <c r="AI140" s="1930"/>
      <c r="AJ140" s="1930"/>
      <c r="AK140" s="1930"/>
      <c r="AL140" s="625"/>
      <c r="AN140" s="626"/>
      <c r="AO140" s="570"/>
    </row>
    <row r="141" spans="1:52" s="573" customFormat="1" ht="13" customHeight="1">
      <c r="A141" s="572"/>
      <c r="AE141" s="625"/>
      <c r="AF141" s="625"/>
      <c r="AG141" s="625"/>
      <c r="AH141" s="625"/>
      <c r="AI141" s="625"/>
      <c r="AJ141" s="625"/>
      <c r="AK141" s="625"/>
      <c r="AL141" s="625"/>
      <c r="AN141" s="626"/>
    </row>
    <row r="142" spans="1:52" s="570" customFormat="1" ht="12.75" customHeight="1">
      <c r="A142" s="572"/>
      <c r="B142" s="572" t="s">
        <v>1449</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7" t="s">
        <v>1450</v>
      </c>
      <c r="AG142" s="1997"/>
      <c r="AH142" s="1997"/>
      <c r="AI142" s="1997"/>
      <c r="AJ142" s="1997"/>
      <c r="AK142" s="1997"/>
      <c r="AL142" s="1997"/>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91" t="s">
        <v>2650</v>
      </c>
      <c r="C144" s="2091"/>
      <c r="D144" s="2091"/>
      <c r="E144" s="2091"/>
      <c r="F144" s="2091"/>
      <c r="G144" s="2091"/>
      <c r="H144" s="2091"/>
      <c r="I144" s="2091"/>
      <c r="J144" s="2091"/>
      <c r="K144" s="2091"/>
      <c r="L144" s="2091"/>
      <c r="M144" s="2091"/>
      <c r="N144" s="2091"/>
      <c r="O144" s="2091"/>
      <c r="P144" s="2091"/>
      <c r="Q144" s="2091"/>
      <c r="R144" s="2091"/>
      <c r="S144" s="2091"/>
      <c r="T144" s="2091"/>
      <c r="U144" s="2091"/>
      <c r="V144" s="2091"/>
      <c r="W144" s="2091"/>
      <c r="X144" s="2091"/>
      <c r="Y144" s="2091"/>
      <c r="Z144" s="2091"/>
      <c r="AA144" s="2091"/>
      <c r="AB144" s="2091"/>
      <c r="AC144" s="2091"/>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1451</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1452</v>
      </c>
      <c r="AP146" s="523">
        <v>5</v>
      </c>
    </row>
    <row r="147" spans="1:42" s="570" customFormat="1" ht="12.75" customHeight="1">
      <c r="A147" s="572"/>
      <c r="B147" s="2092" t="s">
        <v>2332</v>
      </c>
      <c r="C147" s="2092"/>
      <c r="D147" s="2092"/>
      <c r="E147" s="2092"/>
      <c r="F147" s="2092"/>
      <c r="G147" s="2092"/>
      <c r="H147" s="2092"/>
      <c r="I147" s="2092"/>
      <c r="J147" s="2092"/>
      <c r="K147" s="2092"/>
      <c r="L147" s="2092"/>
      <c r="M147" s="2092"/>
      <c r="N147" s="2092"/>
      <c r="O147" s="2092"/>
      <c r="P147" s="2092"/>
      <c r="Q147" s="2092"/>
      <c r="R147" s="2092"/>
      <c r="S147" s="2092"/>
      <c r="T147" s="2092"/>
      <c r="U147" s="2092"/>
      <c r="V147" s="2092"/>
      <c r="W147" s="2092"/>
      <c r="X147" s="2092"/>
      <c r="Y147" s="2092"/>
      <c r="Z147" s="2092"/>
      <c r="AA147" s="2092"/>
      <c r="AB147" s="2092"/>
      <c r="AC147" s="2092"/>
      <c r="AD147" s="2092"/>
      <c r="AE147" s="2092"/>
      <c r="AF147" s="2092"/>
      <c r="AG147" s="2092"/>
      <c r="AH147" s="2092"/>
      <c r="AI147" s="2092"/>
      <c r="AM147" s="573"/>
      <c r="AN147" s="569"/>
      <c r="AO147" s="510" t="s">
        <v>1453</v>
      </c>
      <c r="AP147" s="523">
        <v>7</v>
      </c>
    </row>
    <row r="148" spans="1:42" s="570" customFormat="1" ht="13"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2332</v>
      </c>
      <c r="AP148" s="523">
        <v>7</v>
      </c>
    </row>
    <row r="149" spans="1:42" s="570" customFormat="1" ht="12.75" customHeight="1">
      <c r="A149" s="572"/>
      <c r="B149" s="573" t="s">
        <v>1454</v>
      </c>
      <c r="AB149" s="2033" t="s">
        <v>600</v>
      </c>
      <c r="AC149" s="2033"/>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1455</v>
      </c>
      <c r="AP150" s="523"/>
    </row>
    <row r="151" spans="1:42" s="570" customFormat="1" ht="12.75" customHeight="1">
      <c r="A151" s="572"/>
      <c r="B151" s="572" t="s">
        <v>1456</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1457</v>
      </c>
      <c r="AP151" s="523">
        <v>5</v>
      </c>
    </row>
    <row r="152" spans="1:42" s="570" customFormat="1" ht="12.75" customHeight="1">
      <c r="A152" s="572"/>
      <c r="B152" s="2092" t="s">
        <v>1455</v>
      </c>
      <c r="C152" s="2092"/>
      <c r="D152" s="2092"/>
      <c r="E152" s="2092"/>
      <c r="F152" s="2092"/>
      <c r="G152" s="2092"/>
      <c r="H152" s="2092"/>
      <c r="I152" s="2092"/>
      <c r="J152" s="2092"/>
      <c r="K152" s="2092"/>
      <c r="L152" s="2092"/>
      <c r="M152" s="2092"/>
      <c r="N152" s="2092"/>
      <c r="O152" s="2092"/>
      <c r="P152" s="2092"/>
      <c r="Q152" s="2092"/>
      <c r="R152" s="2092"/>
      <c r="S152" s="2092"/>
      <c r="T152" s="2092"/>
      <c r="U152" s="2092"/>
      <c r="V152" s="2092"/>
      <c r="W152" s="2092"/>
      <c r="X152" s="2092"/>
      <c r="Y152" s="2092"/>
      <c r="Z152" s="2092"/>
      <c r="AA152" s="2092"/>
      <c r="AB152" s="2092"/>
      <c r="AC152" s="2092"/>
      <c r="AD152" s="2092"/>
      <c r="AE152" s="2092"/>
      <c r="AF152" s="2092"/>
      <c r="AG152" s="2092"/>
      <c r="AH152" s="2092"/>
      <c r="AI152" s="2092"/>
      <c r="AJ152" s="2092"/>
      <c r="AN152" s="569"/>
      <c r="AO152" s="510" t="s">
        <v>1458</v>
      </c>
      <c r="AP152" s="523">
        <v>7</v>
      </c>
    </row>
    <row r="153" spans="1:42" s="570" customFormat="1" ht="12.75" customHeight="1">
      <c r="B153" s="573" t="s">
        <v>1459</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1461</v>
      </c>
      <c r="AJ155" s="1957">
        <f>IF($AB$149="N/A",VLOOKUP($B$147,$AO$145:$AP$148,2,FALSE),VLOOKUP($B$152,$AO$150:$AP$152,2,FALSE))</f>
        <v>7</v>
      </c>
      <c r="AK155" s="1957"/>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1463</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7" t="s">
        <v>1464</v>
      </c>
      <c r="AG157" s="1997"/>
      <c r="AH157" s="1997"/>
      <c r="AI157" s="1997"/>
      <c r="AJ157" s="1997"/>
      <c r="AK157" s="1997"/>
      <c r="AL157" s="1997"/>
      <c r="AM157" s="637"/>
      <c r="AN157" s="632"/>
    </row>
    <row r="158" spans="1:42" s="584" customFormat="1" ht="12.75" customHeight="1">
      <c r="A158" s="570"/>
      <c r="B158" s="573" t="s">
        <v>1465</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92" t="s">
        <v>1462</v>
      </c>
      <c r="D159" s="2092"/>
      <c r="E159" s="2092"/>
      <c r="F159" s="2092"/>
      <c r="G159" s="2092"/>
      <c r="H159" s="2092"/>
      <c r="I159" s="2092"/>
      <c r="J159" s="2092"/>
      <c r="K159" s="2092"/>
      <c r="L159" s="2092"/>
      <c r="M159" s="2092"/>
      <c r="N159" s="2092"/>
      <c r="O159" s="2092"/>
      <c r="P159" s="2092"/>
      <c r="Q159" s="2092"/>
      <c r="R159" s="2092"/>
      <c r="S159" s="2092"/>
      <c r="T159" s="2092"/>
      <c r="U159" s="2092"/>
      <c r="V159" s="2092"/>
      <c r="W159" s="2092"/>
      <c r="X159" s="2092"/>
      <c r="Y159" s="2092"/>
      <c r="Z159" s="2092"/>
      <c r="AA159" s="2092"/>
      <c r="AB159" s="2092"/>
      <c r="AC159" s="2092"/>
      <c r="AD159" s="2092"/>
      <c r="AE159" s="2092"/>
      <c r="AF159" s="2092"/>
      <c r="AG159" s="2092"/>
      <c r="AH159" s="2092"/>
      <c r="AI159" s="2092"/>
      <c r="AJ159" s="570"/>
      <c r="AK159" s="570"/>
      <c r="AL159" s="570"/>
      <c r="AM159" s="637"/>
      <c r="AN159" s="631"/>
      <c r="AO159" s="510" t="s">
        <v>308</v>
      </c>
      <c r="AP159" s="510"/>
    </row>
    <row r="160" spans="1:42" s="584" customFormat="1" ht="13"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1460</v>
      </c>
      <c r="AP160" s="633">
        <v>2</v>
      </c>
    </row>
    <row r="161" spans="1:73" s="584" customFormat="1" ht="12.75" customHeight="1">
      <c r="A161" s="570"/>
      <c r="B161" s="570"/>
      <c r="C161" s="573" t="s">
        <v>1467</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3" t="s">
        <v>554</v>
      </c>
      <c r="AG161" s="2033"/>
      <c r="AH161" s="570"/>
      <c r="AI161" s="570"/>
      <c r="AJ161" s="570"/>
      <c r="AK161" s="570"/>
      <c r="AL161" s="570"/>
      <c r="AM161" s="637"/>
      <c r="AN161" s="631"/>
      <c r="AO161" s="510" t="s">
        <v>1462</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2534</v>
      </c>
      <c r="AP162" s="633">
        <v>3</v>
      </c>
    </row>
    <row r="163" spans="1:73" s="584" customFormat="1" ht="12.75" customHeight="1">
      <c r="A163" s="570"/>
      <c r="B163" s="570"/>
      <c r="C163" s="2092" t="s">
        <v>1468</v>
      </c>
      <c r="D163" s="2092"/>
      <c r="E163" s="2092"/>
      <c r="F163" s="2092"/>
      <c r="G163" s="2092"/>
      <c r="H163" s="2092"/>
      <c r="I163" s="2092"/>
      <c r="J163" s="2092"/>
      <c r="K163" s="2092"/>
      <c r="L163" s="2092"/>
      <c r="M163" s="2092"/>
      <c r="N163" s="2092"/>
      <c r="O163" s="2092"/>
      <c r="P163" s="2092"/>
      <c r="Q163" s="2092"/>
      <c r="R163" s="2092"/>
      <c r="S163" s="2092"/>
      <c r="T163" s="2092"/>
      <c r="U163" s="2092"/>
      <c r="V163" s="2092"/>
      <c r="W163" s="2092"/>
      <c r="X163" s="2092"/>
      <c r="Y163" s="2092"/>
      <c r="Z163" s="2092"/>
      <c r="AA163" s="2092"/>
      <c r="AB163" s="2092"/>
      <c r="AC163" s="2092"/>
      <c r="AD163" s="2092"/>
      <c r="AE163" s="570"/>
      <c r="AF163" s="570"/>
      <c r="AG163" s="570"/>
      <c r="AH163" s="570"/>
      <c r="AI163" s="570"/>
      <c r="AJ163" s="570"/>
      <c r="AK163" s="570"/>
      <c r="AL163" s="570"/>
      <c r="AM163" s="637"/>
      <c r="AN163" s="631"/>
      <c r="AO163" s="636"/>
      <c r="AP163" s="633"/>
    </row>
    <row r="164" spans="1:73" s="584" customFormat="1" ht="12.75" customHeight="1">
      <c r="A164" s="570"/>
      <c r="B164" s="570"/>
      <c r="C164" s="573" t="s">
        <v>1459</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1469</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1455</v>
      </c>
      <c r="AP166" s="510"/>
    </row>
    <row r="167" spans="1:73" s="584" customFormat="1" ht="12.75" customHeight="1">
      <c r="A167" s="570"/>
      <c r="B167" s="570"/>
      <c r="C167" s="2091" t="s">
        <v>2701</v>
      </c>
      <c r="D167" s="2091"/>
      <c r="E167" s="2091"/>
      <c r="F167" s="2091"/>
      <c r="G167" s="2091"/>
      <c r="H167" s="2091"/>
      <c r="I167" s="2091"/>
      <c r="J167" s="2091"/>
      <c r="K167" s="2091"/>
      <c r="L167" s="2091"/>
      <c r="M167" s="2091"/>
      <c r="N167" s="2091"/>
      <c r="O167" s="2091"/>
      <c r="P167" s="2091"/>
      <c r="Q167" s="2091"/>
      <c r="R167" s="2091"/>
      <c r="S167" s="2091"/>
      <c r="T167" s="2091"/>
      <c r="U167" s="2091"/>
      <c r="V167" s="2091"/>
      <c r="W167" s="2091"/>
      <c r="X167" s="2091"/>
      <c r="Y167" s="2091"/>
      <c r="Z167" s="2091"/>
      <c r="AA167" s="2091"/>
      <c r="AB167" s="2091"/>
      <c r="AC167" s="2091"/>
      <c r="AD167" s="2091"/>
      <c r="AE167" s="570"/>
      <c r="AF167" s="570"/>
      <c r="AG167" s="570"/>
      <c r="AH167" s="570"/>
      <c r="AI167" s="570"/>
      <c r="AJ167" s="570"/>
      <c r="AK167" s="570"/>
      <c r="AL167" s="570"/>
      <c r="AM167" s="637"/>
      <c r="AN167" s="631"/>
      <c r="AO167" s="510" t="s">
        <v>1466</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1468</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1470</v>
      </c>
      <c r="AJ169" s="1956">
        <f>IF($AF$161="N/A",VLOOKUP($C$159,$AO$159:$AP$162,2,FALSE),VLOOKUP($C$163,$AO$166:$AP$168,2,FALSE))</f>
        <v>3</v>
      </c>
      <c r="AK169" s="1956"/>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1471</v>
      </c>
      <c r="AK172" s="2086">
        <f>$AJ$155+$AJ$169</f>
        <v>10</v>
      </c>
      <c r="AL172" s="2087"/>
      <c r="AM172" s="2088"/>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1472</v>
      </c>
      <c r="AQ174" s="646">
        <v>0</v>
      </c>
    </row>
    <row r="175" spans="1:73" s="584" customFormat="1" ht="12.75" customHeight="1">
      <c r="A175" s="572" t="s">
        <v>1473</v>
      </c>
      <c r="B175" s="572" t="s">
        <v>1918</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30" t="s">
        <v>1426</v>
      </c>
      <c r="AF175" s="1930"/>
      <c r="AG175" s="1930"/>
      <c r="AH175" s="1930"/>
      <c r="AI175" s="1930"/>
      <c r="AJ175" s="1930"/>
      <c r="AK175" s="1930"/>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1474</v>
      </c>
      <c r="AQ176" s="584">
        <v>10</v>
      </c>
    </row>
    <row r="177" spans="1:45" s="584" customFormat="1" ht="12.75" customHeight="1">
      <c r="A177" s="570"/>
      <c r="B177" s="2089" t="s">
        <v>1068</v>
      </c>
      <c r="C177" s="2089"/>
      <c r="D177" s="2089"/>
      <c r="E177" s="2089"/>
      <c r="F177" s="2089"/>
      <c r="G177" s="2089"/>
      <c r="H177" s="2089"/>
      <c r="I177" s="2089"/>
      <c r="J177" s="2089"/>
      <c r="K177" s="2089"/>
      <c r="L177" s="2089"/>
      <c r="M177" s="2089"/>
      <c r="N177" s="2089"/>
      <c r="O177" s="2089"/>
      <c r="P177" s="2089"/>
      <c r="Q177" s="2089"/>
      <c r="R177" s="2089"/>
      <c r="S177" s="2089"/>
      <c r="T177" s="2089"/>
      <c r="U177" s="2089"/>
      <c r="V177" s="2089"/>
      <c r="W177" s="2089"/>
      <c r="X177" s="2089"/>
      <c r="Y177" s="2089"/>
      <c r="Z177" s="2089"/>
      <c r="AA177" s="2089"/>
      <c r="AB177" s="2089"/>
      <c r="AC177" s="2089"/>
      <c r="AD177" s="570"/>
      <c r="AE177" s="570"/>
      <c r="AF177" s="1997" t="s">
        <v>1475</v>
      </c>
      <c r="AG177" s="1997"/>
      <c r="AH177" s="1997"/>
      <c r="AI177" s="1997"/>
      <c r="AJ177" s="1997"/>
      <c r="AK177" s="1997"/>
      <c r="AL177" s="1997"/>
      <c r="AN177" s="631"/>
      <c r="AP177" s="584" t="s">
        <v>1068</v>
      </c>
      <c r="AQ177" s="584">
        <v>10</v>
      </c>
    </row>
    <row r="178" spans="1:45" s="584" customFormat="1" ht="12.75" customHeight="1">
      <c r="A178" s="570"/>
      <c r="B178" s="2090" t="s">
        <v>1917</v>
      </c>
      <c r="C178" s="2090"/>
      <c r="D178" s="2090"/>
      <c r="E178" s="2090"/>
      <c r="F178" s="2090"/>
      <c r="G178" s="2090"/>
      <c r="H178" s="2090"/>
      <c r="I178" s="2090"/>
      <c r="J178" s="2090"/>
      <c r="K178" s="2090"/>
      <c r="L178" s="2090"/>
      <c r="M178" s="2090"/>
      <c r="N178" s="2090"/>
      <c r="O178" s="2090"/>
      <c r="P178" s="2090"/>
      <c r="Q178" s="2090"/>
      <c r="R178" s="2090"/>
      <c r="S178" s="2090"/>
      <c r="T178" s="2091" t="s">
        <v>600</v>
      </c>
      <c r="U178" s="2091"/>
      <c r="V178" s="2091"/>
      <c r="W178" s="2091"/>
      <c r="X178" s="2091"/>
      <c r="Y178" s="2091"/>
      <c r="Z178" s="2091"/>
      <c r="AA178" s="2091"/>
      <c r="AB178" s="2091"/>
      <c r="AC178" s="2091"/>
      <c r="AD178" s="570"/>
      <c r="AE178" s="570"/>
      <c r="AF178" s="570"/>
      <c r="AG178" s="570"/>
      <c r="AH178" s="570"/>
      <c r="AI178" s="570"/>
      <c r="AJ178" s="577"/>
      <c r="AK178" s="629"/>
      <c r="AL178" s="629"/>
      <c r="AM178" s="629"/>
      <c r="AN178" s="631"/>
      <c r="AP178" s="584" t="s">
        <v>1476</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1479</v>
      </c>
      <c r="AQ179" s="584">
        <v>10</v>
      </c>
      <c r="AS179" s="584" t="s">
        <v>1477</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1478</v>
      </c>
      <c r="AK180" s="1924">
        <f>IF(AK78&gt;0,VLOOKUP($B$177,AP174:AQ180,2,FALSE),0)</f>
        <v>10</v>
      </c>
      <c r="AL180" s="1925"/>
      <c r="AM180" s="1926"/>
      <c r="AN180" s="569"/>
      <c r="AP180" s="584" t="s">
        <v>1481</v>
      </c>
      <c r="AQ180" s="584">
        <v>10</v>
      </c>
      <c r="AS180" s="584" t="s">
        <v>1480</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1482</v>
      </c>
      <c r="B183" s="572" t="s">
        <v>1483</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30" t="s">
        <v>1484</v>
      </c>
      <c r="AF183" s="1930"/>
      <c r="AG183" s="1930"/>
      <c r="AH183" s="1930"/>
      <c r="AI183" s="1930"/>
      <c r="AJ183" s="1930"/>
      <c r="AK183" s="1930"/>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1702</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1738</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3" t="s">
        <v>2702</v>
      </c>
      <c r="C188" s="2083"/>
      <c r="D188" s="2083"/>
      <c r="E188" s="2083"/>
      <c r="F188" s="2083"/>
      <c r="G188" s="2083"/>
      <c r="H188" s="2083"/>
      <c r="I188" s="2083"/>
      <c r="J188" s="2083"/>
      <c r="K188" s="2083"/>
      <c r="L188" s="2083"/>
      <c r="M188" s="2083"/>
      <c r="N188" s="2083"/>
      <c r="O188" s="2083"/>
      <c r="P188" s="2083"/>
      <c r="Q188" s="2083"/>
      <c r="R188" s="2083"/>
      <c r="S188" s="2083"/>
      <c r="T188" s="2083"/>
      <c r="U188" s="2083"/>
      <c r="V188" s="2083"/>
      <c r="W188" s="2083"/>
      <c r="X188" s="2083"/>
      <c r="Y188" s="2083"/>
      <c r="Z188" s="2083"/>
      <c r="AA188" s="2083"/>
      <c r="AB188" s="2083"/>
      <c r="AC188" s="880"/>
      <c r="AD188" s="2073">
        <f>Application!AM555</f>
        <v>9285360</v>
      </c>
      <c r="AE188" s="2073"/>
      <c r="AF188" s="2073"/>
      <c r="AG188" s="2073"/>
      <c r="AH188" s="2073"/>
      <c r="AI188" s="2073"/>
      <c r="AJ188" s="2073"/>
      <c r="AK188" s="644"/>
    </row>
    <row r="189" spans="1:45">
      <c r="A189" s="639"/>
      <c r="B189" s="2083" t="str">
        <f>Application!C559</f>
        <v>Property Donation</v>
      </c>
      <c r="C189" s="2083"/>
      <c r="D189" s="2083"/>
      <c r="E189" s="2083"/>
      <c r="F189" s="2083"/>
      <c r="G189" s="2083"/>
      <c r="H189" s="2083"/>
      <c r="I189" s="2083"/>
      <c r="J189" s="2083"/>
      <c r="K189" s="2083"/>
      <c r="L189" s="2083"/>
      <c r="M189" s="2083"/>
      <c r="N189" s="2083"/>
      <c r="O189" s="2083"/>
      <c r="P189" s="2083"/>
      <c r="Q189" s="2083"/>
      <c r="R189" s="2083"/>
      <c r="S189" s="2083"/>
      <c r="T189" s="2083"/>
      <c r="U189" s="2083"/>
      <c r="V189" s="2083"/>
      <c r="W189" s="2083"/>
      <c r="X189" s="2083"/>
      <c r="Y189" s="2083"/>
      <c r="Z189" s="2083"/>
      <c r="AA189" s="2083"/>
      <c r="AB189" s="2083"/>
      <c r="AC189" s="880"/>
      <c r="AD189" s="2073">
        <f>Application!AM559</f>
        <v>7178084.354321247</v>
      </c>
      <c r="AE189" s="2073"/>
      <c r="AF189" s="2073"/>
      <c r="AG189" s="2073"/>
      <c r="AH189" s="2073"/>
      <c r="AI189" s="2073"/>
      <c r="AJ189" s="2073"/>
      <c r="AK189" s="644"/>
    </row>
    <row r="190" spans="1:45">
      <c r="A190" s="639"/>
      <c r="B190" s="2083"/>
      <c r="C190" s="2083"/>
      <c r="D190" s="2083"/>
      <c r="E190" s="2083"/>
      <c r="F190" s="2083"/>
      <c r="G190" s="2083"/>
      <c r="H190" s="2083"/>
      <c r="I190" s="2083"/>
      <c r="J190" s="2083"/>
      <c r="K190" s="2083"/>
      <c r="L190" s="2083"/>
      <c r="M190" s="2083"/>
      <c r="N190" s="2083"/>
      <c r="O190" s="2083"/>
      <c r="P190" s="2083"/>
      <c r="Q190" s="2083"/>
      <c r="R190" s="2083"/>
      <c r="S190" s="2083"/>
      <c r="T190" s="2083"/>
      <c r="U190" s="2083"/>
      <c r="V190" s="2083"/>
      <c r="W190" s="2083"/>
      <c r="X190" s="2083"/>
      <c r="Y190" s="2083"/>
      <c r="Z190" s="2083"/>
      <c r="AA190" s="2083"/>
      <c r="AB190" s="2083"/>
      <c r="AC190" s="880"/>
      <c r="AD190" s="2073"/>
      <c r="AE190" s="2073"/>
      <c r="AF190" s="2073"/>
      <c r="AG190" s="2073"/>
      <c r="AH190" s="2073"/>
      <c r="AI190" s="2073"/>
      <c r="AJ190" s="2073"/>
      <c r="AK190" s="644"/>
    </row>
    <row r="191" spans="1:45">
      <c r="A191" s="639"/>
      <c r="B191" s="2083"/>
      <c r="C191" s="2083"/>
      <c r="D191" s="2083"/>
      <c r="E191" s="2083"/>
      <c r="F191" s="2083"/>
      <c r="G191" s="2083"/>
      <c r="H191" s="2083"/>
      <c r="I191" s="2083"/>
      <c r="J191" s="2083"/>
      <c r="K191" s="2083"/>
      <c r="L191" s="2083"/>
      <c r="M191" s="2083"/>
      <c r="N191" s="2083"/>
      <c r="O191" s="2083"/>
      <c r="P191" s="2083"/>
      <c r="Q191" s="2083"/>
      <c r="R191" s="2083"/>
      <c r="S191" s="2083"/>
      <c r="T191" s="2083"/>
      <c r="U191" s="2083"/>
      <c r="V191" s="2083"/>
      <c r="W191" s="2083"/>
      <c r="X191" s="2083"/>
      <c r="Y191" s="2083"/>
      <c r="Z191" s="2083"/>
      <c r="AA191" s="2083"/>
      <c r="AB191" s="2083"/>
      <c r="AC191" s="880"/>
      <c r="AD191" s="2073"/>
      <c r="AE191" s="2073"/>
      <c r="AF191" s="2073"/>
      <c r="AG191" s="2073"/>
      <c r="AH191" s="2073"/>
      <c r="AI191" s="2073"/>
      <c r="AJ191" s="2073"/>
      <c r="AK191" s="644"/>
    </row>
    <row r="192" spans="1:45">
      <c r="A192" s="639"/>
      <c r="B192" s="2083"/>
      <c r="C192" s="2083"/>
      <c r="D192" s="2083"/>
      <c r="E192" s="2083"/>
      <c r="F192" s="2083"/>
      <c r="G192" s="2083"/>
      <c r="H192" s="2083"/>
      <c r="I192" s="2083"/>
      <c r="J192" s="2083"/>
      <c r="K192" s="2083"/>
      <c r="L192" s="2083"/>
      <c r="M192" s="2083"/>
      <c r="N192" s="2083"/>
      <c r="O192" s="2083"/>
      <c r="P192" s="2083"/>
      <c r="Q192" s="2083"/>
      <c r="R192" s="2083"/>
      <c r="S192" s="2083"/>
      <c r="T192" s="2083"/>
      <c r="U192" s="2083"/>
      <c r="V192" s="2083"/>
      <c r="W192" s="2083"/>
      <c r="X192" s="2083"/>
      <c r="Y192" s="2083"/>
      <c r="Z192" s="2083"/>
      <c r="AA192" s="2083"/>
      <c r="AB192" s="2083"/>
      <c r="AC192" s="880"/>
      <c r="AD192" s="2073"/>
      <c r="AE192" s="2073"/>
      <c r="AF192" s="2073"/>
      <c r="AG192" s="2073"/>
      <c r="AH192" s="2073"/>
      <c r="AI192" s="2073"/>
      <c r="AJ192" s="2073"/>
      <c r="AK192" s="644"/>
    </row>
    <row r="193" spans="1:37">
      <c r="A193" s="639"/>
      <c r="B193" s="2083"/>
      <c r="C193" s="2083"/>
      <c r="D193" s="2083"/>
      <c r="E193" s="2083"/>
      <c r="F193" s="2083"/>
      <c r="G193" s="2083"/>
      <c r="H193" s="2083"/>
      <c r="I193" s="2083"/>
      <c r="J193" s="2083"/>
      <c r="K193" s="2083"/>
      <c r="L193" s="2083"/>
      <c r="M193" s="2083"/>
      <c r="N193" s="2083"/>
      <c r="O193" s="2083"/>
      <c r="P193" s="2083"/>
      <c r="Q193" s="2083"/>
      <c r="R193" s="2083"/>
      <c r="S193" s="2083"/>
      <c r="T193" s="2083"/>
      <c r="U193" s="2083"/>
      <c r="V193" s="2083"/>
      <c r="W193" s="2083"/>
      <c r="X193" s="2083"/>
      <c r="Y193" s="2083"/>
      <c r="Z193" s="2083"/>
      <c r="AA193" s="2083"/>
      <c r="AB193" s="2083"/>
      <c r="AC193" s="880"/>
      <c r="AD193" s="2073"/>
      <c r="AE193" s="2073"/>
      <c r="AF193" s="2073"/>
      <c r="AG193" s="2073"/>
      <c r="AH193" s="2073"/>
      <c r="AI193" s="2073"/>
      <c r="AJ193" s="2073"/>
      <c r="AK193" s="644"/>
    </row>
    <row r="194" spans="1:37">
      <c r="A194" s="639"/>
      <c r="B194" s="2083"/>
      <c r="C194" s="2083"/>
      <c r="D194" s="2083"/>
      <c r="E194" s="2083"/>
      <c r="F194" s="2083"/>
      <c r="G194" s="2083"/>
      <c r="H194" s="2083"/>
      <c r="I194" s="2083"/>
      <c r="J194" s="2083"/>
      <c r="K194" s="2083"/>
      <c r="L194" s="2083"/>
      <c r="M194" s="2083"/>
      <c r="N194" s="2083"/>
      <c r="O194" s="2083"/>
      <c r="P194" s="2083"/>
      <c r="Q194" s="2083"/>
      <c r="R194" s="2083"/>
      <c r="S194" s="2083"/>
      <c r="T194" s="2083"/>
      <c r="U194" s="2083"/>
      <c r="V194" s="2083"/>
      <c r="W194" s="2083"/>
      <c r="X194" s="2083"/>
      <c r="Y194" s="2083"/>
      <c r="Z194" s="2083"/>
      <c r="AA194" s="2083"/>
      <c r="AB194" s="2083"/>
      <c r="AC194" s="880"/>
      <c r="AD194" s="2073"/>
      <c r="AE194" s="2073"/>
      <c r="AF194" s="2073"/>
      <c r="AG194" s="2073"/>
      <c r="AH194" s="2073"/>
      <c r="AI194" s="2073"/>
      <c r="AJ194" s="2073"/>
      <c r="AK194" s="644"/>
    </row>
    <row r="195" spans="1:37">
      <c r="A195" s="639"/>
      <c r="B195" s="2083"/>
      <c r="C195" s="2083"/>
      <c r="D195" s="2083"/>
      <c r="E195" s="2083"/>
      <c r="F195" s="2083"/>
      <c r="G195" s="2083"/>
      <c r="H195" s="2083"/>
      <c r="I195" s="2083"/>
      <c r="J195" s="2083"/>
      <c r="K195" s="2083"/>
      <c r="L195" s="2083"/>
      <c r="M195" s="2083"/>
      <c r="N195" s="2083"/>
      <c r="O195" s="2083"/>
      <c r="P195" s="2083"/>
      <c r="Q195" s="2083"/>
      <c r="R195" s="2083"/>
      <c r="S195" s="2083"/>
      <c r="T195" s="2083"/>
      <c r="U195" s="2083"/>
      <c r="V195" s="2083"/>
      <c r="W195" s="2083"/>
      <c r="X195" s="2083"/>
      <c r="Y195" s="2083"/>
      <c r="Z195" s="2083"/>
      <c r="AA195" s="2083"/>
      <c r="AB195" s="2083"/>
      <c r="AC195" s="880"/>
      <c r="AD195" s="2073"/>
      <c r="AE195" s="2073"/>
      <c r="AF195" s="2073"/>
      <c r="AG195" s="2073"/>
      <c r="AH195" s="2073"/>
      <c r="AI195" s="2073"/>
      <c r="AJ195" s="2073"/>
      <c r="AK195" s="644"/>
    </row>
    <row r="196" spans="1:37">
      <c r="A196" s="639"/>
      <c r="B196" s="2083"/>
      <c r="C196" s="2083"/>
      <c r="D196" s="2083"/>
      <c r="E196" s="2083"/>
      <c r="F196" s="2083"/>
      <c r="G196" s="2083"/>
      <c r="H196" s="2083"/>
      <c r="I196" s="2083"/>
      <c r="J196" s="2083"/>
      <c r="K196" s="2083"/>
      <c r="L196" s="2083"/>
      <c r="M196" s="2083"/>
      <c r="N196" s="2083"/>
      <c r="O196" s="2083"/>
      <c r="P196" s="2083"/>
      <c r="Q196" s="2083"/>
      <c r="R196" s="2083"/>
      <c r="S196" s="2083"/>
      <c r="T196" s="2083"/>
      <c r="U196" s="2083"/>
      <c r="V196" s="2083"/>
      <c r="W196" s="2083"/>
      <c r="X196" s="2083"/>
      <c r="Y196" s="2083"/>
      <c r="Z196" s="2083"/>
      <c r="AA196" s="2083"/>
      <c r="AB196" s="2083"/>
      <c r="AC196" s="880"/>
      <c r="AD196" s="2073"/>
      <c r="AE196" s="2073"/>
      <c r="AF196" s="2073"/>
      <c r="AG196" s="2073"/>
      <c r="AH196" s="2073"/>
      <c r="AI196" s="2073"/>
      <c r="AJ196" s="2073"/>
      <c r="AK196" s="644"/>
    </row>
    <row r="197" spans="1:37">
      <c r="A197" s="639"/>
      <c r="B197" s="2083"/>
      <c r="C197" s="2083"/>
      <c r="D197" s="2083"/>
      <c r="E197" s="2083"/>
      <c r="F197" s="2083"/>
      <c r="G197" s="2083"/>
      <c r="H197" s="2083"/>
      <c r="I197" s="2083"/>
      <c r="J197" s="2083"/>
      <c r="K197" s="2083"/>
      <c r="L197" s="2083"/>
      <c r="M197" s="2083"/>
      <c r="N197" s="2083"/>
      <c r="O197" s="2083"/>
      <c r="P197" s="2083"/>
      <c r="Q197" s="2083"/>
      <c r="R197" s="2083"/>
      <c r="S197" s="2083"/>
      <c r="T197" s="2083"/>
      <c r="U197" s="2083"/>
      <c r="V197" s="2083"/>
      <c r="W197" s="2083"/>
      <c r="X197" s="2083"/>
      <c r="Y197" s="2083"/>
      <c r="Z197" s="2083"/>
      <c r="AA197" s="2083"/>
      <c r="AB197" s="2083"/>
      <c r="AC197" s="880"/>
      <c r="AD197" s="2073"/>
      <c r="AE197" s="2073"/>
      <c r="AF197" s="2073"/>
      <c r="AG197" s="2073"/>
      <c r="AH197" s="2073"/>
      <c r="AI197" s="2073"/>
      <c r="AJ197" s="2073"/>
      <c r="AK197" s="644"/>
    </row>
    <row r="198" spans="1:37">
      <c r="A198" s="639"/>
      <c r="B198" s="1944" t="s">
        <v>1740</v>
      </c>
      <c r="C198" s="1944"/>
      <c r="D198" s="1944"/>
      <c r="E198" s="1944"/>
      <c r="F198" s="1944"/>
      <c r="G198" s="1944"/>
      <c r="H198" s="1944"/>
      <c r="I198" s="1944"/>
      <c r="J198" s="1944"/>
      <c r="K198" s="1944"/>
      <c r="L198" s="1944"/>
      <c r="M198" s="1944"/>
      <c r="N198" s="1944"/>
      <c r="O198" s="1944"/>
      <c r="P198" s="1944"/>
      <c r="Q198" s="1944"/>
      <c r="R198" s="1944"/>
      <c r="S198" s="1944"/>
      <c r="T198" s="1944"/>
      <c r="U198" s="1944"/>
      <c r="V198" s="1944"/>
      <c r="W198" s="1944"/>
      <c r="X198" s="1944"/>
      <c r="Y198" s="1944"/>
      <c r="Z198" s="1944"/>
      <c r="AA198" s="1944"/>
      <c r="AB198" s="1944"/>
      <c r="AC198" s="570"/>
      <c r="AD198" s="2071">
        <f>AB249</f>
        <v>0</v>
      </c>
      <c r="AE198" s="2071"/>
      <c r="AF198" s="2071"/>
      <c r="AG198" s="2071"/>
      <c r="AH198" s="2071"/>
      <c r="AI198" s="2071"/>
      <c r="AJ198" s="2071"/>
      <c r="AK198" s="644"/>
    </row>
    <row r="199" spans="1:37">
      <c r="A199" s="639"/>
      <c r="B199" s="1942" t="s">
        <v>1703</v>
      </c>
      <c r="C199" s="1942"/>
      <c r="D199" s="1942"/>
      <c r="E199" s="1942"/>
      <c r="F199" s="1942"/>
      <c r="G199" s="1942"/>
      <c r="H199" s="1942"/>
      <c r="I199" s="1942"/>
      <c r="J199" s="1942"/>
      <c r="K199" s="1942"/>
      <c r="L199" s="1942"/>
      <c r="M199" s="1942"/>
      <c r="N199" s="1942"/>
      <c r="O199" s="1942"/>
      <c r="P199" s="1942"/>
      <c r="Q199" s="1942"/>
      <c r="R199" s="1942"/>
      <c r="S199" s="1942"/>
      <c r="T199" s="1942"/>
      <c r="U199" s="1942"/>
      <c r="V199" s="1942"/>
      <c r="W199" s="1942"/>
      <c r="X199" s="1942"/>
      <c r="Y199" s="1942"/>
      <c r="Z199" s="1942"/>
      <c r="AA199" s="1942"/>
      <c r="AB199" s="1942"/>
      <c r="AC199" s="880"/>
      <c r="AD199" s="2072">
        <f>'Sources and Uses Budget'!B15</f>
        <v>0</v>
      </c>
      <c r="AE199" s="2072"/>
      <c r="AF199" s="2072"/>
      <c r="AG199" s="2072"/>
      <c r="AH199" s="2072"/>
      <c r="AI199" s="2072"/>
      <c r="AJ199" s="2072"/>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077">
        <f>SUM(AD188:AJ198)-AD199</f>
        <v>16463444.354321247</v>
      </c>
      <c r="AE200" s="2077"/>
      <c r="AF200" s="2077"/>
      <c r="AG200" s="2077"/>
      <c r="AH200" s="2077"/>
      <c r="AI200" s="2077"/>
      <c r="AJ200" s="2077"/>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1708</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1739</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1710</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1711</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2339</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1712</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1713</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1750</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6" t="s">
        <v>1720</v>
      </c>
      <c r="J211" s="2096"/>
      <c r="K211" s="2096"/>
      <c r="L211" s="570"/>
      <c r="M211" s="570"/>
      <c r="N211" s="570"/>
      <c r="O211" s="570"/>
      <c r="P211" s="570"/>
      <c r="Q211" s="570"/>
      <c r="R211" s="570"/>
      <c r="S211" s="570"/>
      <c r="T211" s="1908" t="s">
        <v>1714</v>
      </c>
      <c r="U211" s="1908"/>
      <c r="V211" s="1908"/>
      <c r="W211" s="1908"/>
      <c r="X211" s="1908"/>
      <c r="Y211" s="1908"/>
      <c r="Z211" s="883"/>
      <c r="AA211" s="523"/>
      <c r="AB211" s="2093" t="s">
        <v>1715</v>
      </c>
      <c r="AC211" s="2093"/>
      <c r="AD211" s="2093"/>
      <c r="AE211" s="2093"/>
      <c r="AF211" s="2093"/>
      <c r="AG211" s="2093"/>
      <c r="AH211" s="861"/>
      <c r="AI211" s="861"/>
      <c r="AJ211" s="861"/>
      <c r="AK211" s="644"/>
    </row>
    <row r="212" spans="1:37">
      <c r="A212" s="639"/>
      <c r="B212" s="2094" t="s">
        <v>1700</v>
      </c>
      <c r="C212" s="2094"/>
      <c r="D212" s="2094"/>
      <c r="E212" s="2094"/>
      <c r="F212" s="2094"/>
      <c r="G212" s="2094"/>
      <c r="I212" s="2095" t="s">
        <v>1721</v>
      </c>
      <c r="J212" s="2095"/>
      <c r="K212" s="2095"/>
      <c r="L212" s="1043"/>
      <c r="N212" s="1943" t="s">
        <v>1716</v>
      </c>
      <c r="O212" s="1943"/>
      <c r="P212" s="1943"/>
      <c r="Q212" s="1943"/>
      <c r="R212" s="1943"/>
      <c r="T212" s="1943" t="s">
        <v>1717</v>
      </c>
      <c r="U212" s="1943"/>
      <c r="V212" s="1943"/>
      <c r="W212" s="1943"/>
      <c r="X212" s="1943"/>
      <c r="Y212" s="1943"/>
      <c r="Z212" s="884"/>
      <c r="AA212" s="523"/>
      <c r="AB212" s="1946" t="s">
        <v>1718</v>
      </c>
      <c r="AC212" s="1946"/>
      <c r="AD212" s="1946"/>
      <c r="AE212" s="1946"/>
      <c r="AF212" s="1946"/>
      <c r="AG212" s="1946"/>
      <c r="AH212" s="861"/>
      <c r="AI212" s="861"/>
      <c r="AJ212" s="861"/>
      <c r="AK212" s="644"/>
    </row>
    <row r="213" spans="1:37">
      <c r="A213" s="639"/>
      <c r="B213" s="1945" t="s">
        <v>1291</v>
      </c>
      <c r="C213" s="1945"/>
      <c r="D213" s="1945"/>
      <c r="E213" s="1945"/>
      <c r="F213" s="1945"/>
      <c r="G213" s="1945"/>
      <c r="H213" s="886"/>
      <c r="I213" s="1913"/>
      <c r="J213" s="1913"/>
      <c r="K213" s="1913"/>
      <c r="L213" s="1043"/>
      <c r="N213" s="1910"/>
      <c r="O213" s="1910"/>
      <c r="P213" s="1910"/>
      <c r="Q213" s="1910"/>
      <c r="R213" s="1910"/>
      <c r="T213" s="1909"/>
      <c r="U213" s="1909"/>
      <c r="V213" s="1909"/>
      <c r="W213" s="1909"/>
      <c r="X213" s="1909"/>
      <c r="Y213" s="1909"/>
      <c r="Z213" s="885"/>
      <c r="AA213" s="885"/>
      <c r="AB213" s="1907">
        <f t="shared" ref="AB213:AB222" si="0">MAX(($T213-$N213)*$I213*12,0)</f>
        <v>0</v>
      </c>
      <c r="AC213" s="1907"/>
      <c r="AD213" s="1907"/>
      <c r="AE213" s="1907"/>
      <c r="AF213" s="1907"/>
      <c r="AG213" s="1907"/>
      <c r="AH213" s="861"/>
      <c r="AI213" s="861"/>
      <c r="AJ213" s="861"/>
      <c r="AK213" s="644"/>
    </row>
    <row r="214" spans="1:37">
      <c r="A214" s="639"/>
      <c r="B214" s="1945" t="s">
        <v>1291</v>
      </c>
      <c r="C214" s="1945"/>
      <c r="D214" s="1945"/>
      <c r="E214" s="1945"/>
      <c r="F214" s="1945"/>
      <c r="G214" s="1945"/>
      <c r="I214" s="1913"/>
      <c r="J214" s="1913"/>
      <c r="K214" s="1913"/>
      <c r="L214" s="1043"/>
      <c r="N214" s="1910"/>
      <c r="O214" s="1910"/>
      <c r="P214" s="1910"/>
      <c r="Q214" s="1910"/>
      <c r="R214" s="1910"/>
      <c r="T214" s="1909"/>
      <c r="U214" s="1909"/>
      <c r="V214" s="1909"/>
      <c r="W214" s="1909"/>
      <c r="X214" s="1909"/>
      <c r="Y214" s="1909"/>
      <c r="Z214" s="885"/>
      <c r="AA214" s="885"/>
      <c r="AB214" s="1907">
        <f t="shared" si="0"/>
        <v>0</v>
      </c>
      <c r="AC214" s="1907"/>
      <c r="AD214" s="1907"/>
      <c r="AE214" s="1907"/>
      <c r="AF214" s="1907"/>
      <c r="AG214" s="1907"/>
      <c r="AH214" s="861"/>
      <c r="AI214" s="861"/>
      <c r="AJ214" s="861"/>
      <c r="AK214" s="644"/>
    </row>
    <row r="215" spans="1:37">
      <c r="A215" s="639"/>
      <c r="B215" s="1945" t="s">
        <v>1291</v>
      </c>
      <c r="C215" s="1945"/>
      <c r="D215" s="1945"/>
      <c r="E215" s="1945"/>
      <c r="F215" s="1945"/>
      <c r="G215" s="1945"/>
      <c r="I215" s="1913"/>
      <c r="J215" s="1913"/>
      <c r="K215" s="1913"/>
      <c r="L215" s="1043"/>
      <c r="N215" s="1910"/>
      <c r="O215" s="1910"/>
      <c r="P215" s="1910"/>
      <c r="Q215" s="1910"/>
      <c r="R215" s="1910"/>
      <c r="T215" s="1909"/>
      <c r="U215" s="1909"/>
      <c r="V215" s="1909"/>
      <c r="W215" s="1909"/>
      <c r="X215" s="1909"/>
      <c r="Y215" s="1909"/>
      <c r="Z215" s="885"/>
      <c r="AA215" s="885"/>
      <c r="AB215" s="1907">
        <f t="shared" si="0"/>
        <v>0</v>
      </c>
      <c r="AC215" s="1907"/>
      <c r="AD215" s="1907"/>
      <c r="AE215" s="1907"/>
      <c r="AF215" s="1907"/>
      <c r="AG215" s="1907"/>
      <c r="AH215" s="861"/>
      <c r="AI215" s="861"/>
      <c r="AJ215" s="861"/>
      <c r="AK215" s="644"/>
    </row>
    <row r="216" spans="1:37">
      <c r="A216" s="639"/>
      <c r="B216" s="1945" t="s">
        <v>1291</v>
      </c>
      <c r="C216" s="1945"/>
      <c r="D216" s="1945"/>
      <c r="E216" s="1945"/>
      <c r="F216" s="1945"/>
      <c r="G216" s="1945"/>
      <c r="I216" s="1913"/>
      <c r="J216" s="1913"/>
      <c r="K216" s="1913"/>
      <c r="L216" s="1043"/>
      <c r="N216" s="1910"/>
      <c r="O216" s="1910"/>
      <c r="P216" s="1910"/>
      <c r="Q216" s="1910"/>
      <c r="R216" s="1910"/>
      <c r="T216" s="1909"/>
      <c r="U216" s="1909"/>
      <c r="V216" s="1909"/>
      <c r="W216" s="1909"/>
      <c r="X216" s="1909"/>
      <c r="Y216" s="1909"/>
      <c r="Z216" s="885"/>
      <c r="AA216" s="885"/>
      <c r="AB216" s="1907">
        <f t="shared" si="0"/>
        <v>0</v>
      </c>
      <c r="AC216" s="1907"/>
      <c r="AD216" s="1907"/>
      <c r="AE216" s="1907"/>
      <c r="AF216" s="1907"/>
      <c r="AG216" s="1907"/>
      <c r="AH216" s="861"/>
      <c r="AI216" s="861"/>
      <c r="AJ216" s="861"/>
      <c r="AK216" s="644"/>
    </row>
    <row r="217" spans="1:37">
      <c r="A217" s="639"/>
      <c r="B217" s="1945" t="s">
        <v>1291</v>
      </c>
      <c r="C217" s="1945"/>
      <c r="D217" s="1945"/>
      <c r="E217" s="1945"/>
      <c r="F217" s="1945"/>
      <c r="G217" s="1945"/>
      <c r="I217" s="1913"/>
      <c r="J217" s="1913"/>
      <c r="K217" s="1913"/>
      <c r="L217" s="1050"/>
      <c r="N217" s="1910"/>
      <c r="O217" s="1910"/>
      <c r="P217" s="1910"/>
      <c r="Q217" s="1910"/>
      <c r="R217" s="1910"/>
      <c r="T217" s="1909"/>
      <c r="U217" s="1909"/>
      <c r="V217" s="1909"/>
      <c r="W217" s="1909"/>
      <c r="X217" s="1909"/>
      <c r="Y217" s="1909"/>
      <c r="Z217" s="885"/>
      <c r="AA217" s="885"/>
      <c r="AB217" s="1907">
        <f t="shared" si="0"/>
        <v>0</v>
      </c>
      <c r="AC217" s="1907"/>
      <c r="AD217" s="1907"/>
      <c r="AE217" s="1907"/>
      <c r="AF217" s="1907"/>
      <c r="AG217" s="1907"/>
      <c r="AH217" s="861"/>
      <c r="AI217" s="861"/>
      <c r="AJ217" s="861"/>
      <c r="AK217" s="644"/>
    </row>
    <row r="218" spans="1:37">
      <c r="A218" s="639"/>
      <c r="B218" s="1945" t="s">
        <v>1291</v>
      </c>
      <c r="C218" s="1945"/>
      <c r="D218" s="1945"/>
      <c r="E218" s="1945"/>
      <c r="F218" s="1945"/>
      <c r="G218" s="1945"/>
      <c r="I218" s="1913"/>
      <c r="J218" s="1913"/>
      <c r="K218" s="1913"/>
      <c r="L218" s="1050"/>
      <c r="N218" s="1910"/>
      <c r="O218" s="1910"/>
      <c r="P218" s="1910"/>
      <c r="Q218" s="1910"/>
      <c r="R218" s="1910"/>
      <c r="T218" s="1909"/>
      <c r="U218" s="1909"/>
      <c r="V218" s="1909"/>
      <c r="W218" s="1909"/>
      <c r="X218" s="1909"/>
      <c r="Y218" s="1909"/>
      <c r="Z218" s="885"/>
      <c r="AA218" s="885"/>
      <c r="AB218" s="1907">
        <f t="shared" si="0"/>
        <v>0</v>
      </c>
      <c r="AC218" s="1907"/>
      <c r="AD218" s="1907"/>
      <c r="AE218" s="1907"/>
      <c r="AF218" s="1907"/>
      <c r="AG218" s="1907"/>
      <c r="AH218" s="861"/>
      <c r="AI218" s="861"/>
      <c r="AJ218" s="861"/>
      <c r="AK218" s="644"/>
    </row>
    <row r="219" spans="1:37">
      <c r="A219" s="639"/>
      <c r="B219" s="1945" t="s">
        <v>1291</v>
      </c>
      <c r="C219" s="1945"/>
      <c r="D219" s="1945"/>
      <c r="E219" s="1945"/>
      <c r="F219" s="1945"/>
      <c r="G219" s="1945"/>
      <c r="I219" s="1913"/>
      <c r="J219" s="1913"/>
      <c r="K219" s="1913"/>
      <c r="L219" s="1050"/>
      <c r="N219" s="1910"/>
      <c r="O219" s="1910"/>
      <c r="P219" s="1910"/>
      <c r="Q219" s="1910"/>
      <c r="R219" s="1910"/>
      <c r="T219" s="1909"/>
      <c r="U219" s="1909"/>
      <c r="V219" s="1909"/>
      <c r="W219" s="1909"/>
      <c r="X219" s="1909"/>
      <c r="Y219" s="1909"/>
      <c r="Z219" s="885"/>
      <c r="AA219" s="885"/>
      <c r="AB219" s="1907">
        <f t="shared" si="0"/>
        <v>0</v>
      </c>
      <c r="AC219" s="1907"/>
      <c r="AD219" s="1907"/>
      <c r="AE219" s="1907"/>
      <c r="AF219" s="1907"/>
      <c r="AG219" s="1907"/>
      <c r="AH219" s="861"/>
      <c r="AI219" s="861"/>
      <c r="AJ219" s="861"/>
      <c r="AK219" s="644"/>
    </row>
    <row r="220" spans="1:37">
      <c r="A220" s="639"/>
      <c r="B220" s="1945" t="s">
        <v>1291</v>
      </c>
      <c r="C220" s="1945"/>
      <c r="D220" s="1945"/>
      <c r="E220" s="1945"/>
      <c r="F220" s="1945"/>
      <c r="G220" s="1945"/>
      <c r="I220" s="1913"/>
      <c r="J220" s="1913"/>
      <c r="K220" s="1913"/>
      <c r="L220" s="1050"/>
      <c r="N220" s="1910"/>
      <c r="O220" s="1910"/>
      <c r="P220" s="1910"/>
      <c r="Q220" s="1910"/>
      <c r="R220" s="1910"/>
      <c r="T220" s="1909"/>
      <c r="U220" s="1909"/>
      <c r="V220" s="1909"/>
      <c r="W220" s="1909"/>
      <c r="X220" s="1909"/>
      <c r="Y220" s="1909"/>
      <c r="Z220" s="885"/>
      <c r="AA220" s="885"/>
      <c r="AB220" s="1907">
        <f t="shared" si="0"/>
        <v>0</v>
      </c>
      <c r="AC220" s="1907"/>
      <c r="AD220" s="1907"/>
      <c r="AE220" s="1907"/>
      <c r="AF220" s="1907"/>
      <c r="AG220" s="1907"/>
      <c r="AH220" s="861"/>
      <c r="AI220" s="861"/>
      <c r="AJ220" s="861"/>
      <c r="AK220" s="644"/>
    </row>
    <row r="221" spans="1:37">
      <c r="A221" s="639"/>
      <c r="B221" s="1945" t="s">
        <v>1291</v>
      </c>
      <c r="C221" s="1945"/>
      <c r="D221" s="1945"/>
      <c r="E221" s="1945"/>
      <c r="F221" s="1945"/>
      <c r="G221" s="1945"/>
      <c r="I221" s="1913"/>
      <c r="J221" s="1913"/>
      <c r="K221" s="1913"/>
      <c r="L221" s="1050"/>
      <c r="N221" s="1910"/>
      <c r="O221" s="1910"/>
      <c r="P221" s="1910"/>
      <c r="Q221" s="1910"/>
      <c r="R221" s="1910"/>
      <c r="T221" s="1909"/>
      <c r="U221" s="1909"/>
      <c r="V221" s="1909"/>
      <c r="W221" s="1909"/>
      <c r="X221" s="1909"/>
      <c r="Y221" s="1909"/>
      <c r="Z221" s="885"/>
      <c r="AA221" s="885"/>
      <c r="AB221" s="1907">
        <f t="shared" si="0"/>
        <v>0</v>
      </c>
      <c r="AC221" s="1907"/>
      <c r="AD221" s="1907"/>
      <c r="AE221" s="1907"/>
      <c r="AF221" s="1907"/>
      <c r="AG221" s="1907"/>
      <c r="AH221" s="861"/>
      <c r="AI221" s="861"/>
      <c r="AJ221" s="861"/>
      <c r="AK221" s="644"/>
    </row>
    <row r="222" spans="1:37">
      <c r="A222" s="639"/>
      <c r="B222" s="1945" t="s">
        <v>1291</v>
      </c>
      <c r="C222" s="1945"/>
      <c r="D222" s="1945"/>
      <c r="E222" s="1945"/>
      <c r="F222" s="1945"/>
      <c r="G222" s="1945"/>
      <c r="I222" s="2097"/>
      <c r="J222" s="2097"/>
      <c r="K222" s="2097"/>
      <c r="L222" s="1050"/>
      <c r="N222" s="1910"/>
      <c r="O222" s="1910"/>
      <c r="P222" s="1910"/>
      <c r="Q222" s="1910"/>
      <c r="R222" s="1910"/>
      <c r="T222" s="1909"/>
      <c r="U222" s="1909"/>
      <c r="V222" s="1909"/>
      <c r="W222" s="1909"/>
      <c r="X222" s="1909"/>
      <c r="Y222" s="1909"/>
      <c r="Z222" s="885"/>
      <c r="AA222" s="885"/>
      <c r="AB222" s="1914">
        <f t="shared" si="0"/>
        <v>0</v>
      </c>
      <c r="AC222" s="1914"/>
      <c r="AD222" s="1914"/>
      <c r="AE222" s="1914"/>
      <c r="AF222" s="1914"/>
      <c r="AG222" s="1914"/>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1719</v>
      </c>
      <c r="AA223" s="887"/>
      <c r="AB223" s="1907">
        <f>SUM(AB213:AB222)</f>
        <v>0</v>
      </c>
      <c r="AC223" s="1907"/>
      <c r="AD223" s="1907"/>
      <c r="AE223" s="1907"/>
      <c r="AF223" s="1907"/>
      <c r="AG223" s="1907"/>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1709</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1737</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1735</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1729</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7"/>
      <c r="AC229" s="1947"/>
      <c r="AD229" s="1947"/>
      <c r="AE229" s="1947"/>
      <c r="AF229" s="1947"/>
      <c r="AG229" s="1947"/>
      <c r="AH229" s="644"/>
      <c r="AI229" s="644"/>
      <c r="AJ229" s="644"/>
      <c r="AK229" s="644"/>
    </row>
    <row r="230" spans="1:37">
      <c r="A230" s="639"/>
      <c r="B230" s="871" t="s">
        <v>1734</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1736</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1730</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7"/>
      <c r="AC232" s="1947"/>
      <c r="AD232" s="1947"/>
      <c r="AE232" s="1947"/>
      <c r="AF232" s="1947"/>
      <c r="AG232" s="1947"/>
      <c r="AH232" s="644"/>
      <c r="AI232" s="644"/>
      <c r="AJ232" s="644"/>
      <c r="AK232" s="644"/>
    </row>
    <row r="233" spans="1:37">
      <c r="A233" s="639"/>
      <c r="B233" s="872" t="s">
        <v>1731</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6"/>
      <c r="AC233" s="1906"/>
      <c r="AD233" s="1906"/>
      <c r="AE233" s="1906"/>
      <c r="AF233" s="1906"/>
      <c r="AG233" s="1906"/>
      <c r="AH233" s="644"/>
      <c r="AI233" s="644"/>
      <c r="AJ233" s="644"/>
      <c r="AK233" s="644"/>
    </row>
    <row r="234" spans="1:37">
      <c r="A234" s="639"/>
      <c r="B234" s="872" t="s">
        <v>1732</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5">
        <f>IFERROR(AB232/AB233,0)</f>
        <v>0</v>
      </c>
      <c r="AC234" s="1915"/>
      <c r="AD234" s="1915"/>
      <c r="AE234" s="1915"/>
      <c r="AF234" s="1915"/>
      <c r="AG234" s="1915"/>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1733</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4">
        <f>MAX(AB229,AB234)</f>
        <v>0</v>
      </c>
      <c r="AC236" s="1914"/>
      <c r="AD236" s="1914"/>
      <c r="AE236" s="1914"/>
      <c r="AF236" s="1914"/>
      <c r="AG236" s="1914"/>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1722</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7">
        <f>AB223+AB236</f>
        <v>0</v>
      </c>
      <c r="AC239" s="1907"/>
      <c r="AD239" s="1907"/>
      <c r="AE239" s="1907"/>
      <c r="AF239" s="1907"/>
      <c r="AG239" s="1907"/>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81">
        <v>0.05</v>
      </c>
      <c r="AC240" s="2081"/>
      <c r="AD240" s="2081"/>
      <c r="AE240" s="2081"/>
      <c r="AF240" s="2081"/>
      <c r="AG240" s="2081"/>
      <c r="AH240" s="644"/>
      <c r="AI240" s="644"/>
      <c r="AJ240" s="644"/>
      <c r="AK240" s="644"/>
    </row>
    <row r="241" spans="1:37">
      <c r="A241" s="639"/>
      <c r="B241" s="510" t="s">
        <v>1723</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82">
        <f>AB239-(AB239*AB240)</f>
        <v>0</v>
      </c>
      <c r="AC241" s="2082"/>
      <c r="AD241" s="2082"/>
      <c r="AE241" s="2082"/>
      <c r="AF241" s="2082"/>
      <c r="AG241" s="2082"/>
      <c r="AH241" s="644"/>
      <c r="AI241" s="644"/>
      <c r="AJ241" s="644"/>
      <c r="AK241" s="644"/>
    </row>
    <row r="242" spans="1:37">
      <c r="A242" s="639"/>
      <c r="B242" s="510" t="s">
        <v>1724</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1725</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7">
        <f>AB241/AB247</f>
        <v>0</v>
      </c>
      <c r="AC243" s="1907"/>
      <c r="AD243" s="1907"/>
      <c r="AE243" s="1907"/>
      <c r="AF243" s="1907"/>
      <c r="AG243" s="1907"/>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1726</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3">
        <v>15</v>
      </c>
      <c r="AC245" s="2093"/>
      <c r="AD245" s="2093"/>
      <c r="AE245" s="2093"/>
      <c r="AF245" s="2093"/>
      <c r="AG245" s="2093"/>
      <c r="AH245" s="644"/>
      <c r="AI245" s="644"/>
      <c r="AJ245" s="644"/>
      <c r="AK245" s="644"/>
    </row>
    <row r="246" spans="1:37">
      <c r="A246" s="639"/>
      <c r="B246" s="510" t="s">
        <v>1727</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4">
        <v>0.04</v>
      </c>
      <c r="AC246" s="2084"/>
      <c r="AD246" s="2084"/>
      <c r="AE246" s="2084"/>
      <c r="AF246" s="2084"/>
      <c r="AG246" s="2084"/>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5">
        <v>1.1499999999999999</v>
      </c>
      <c r="AC247" s="2085"/>
      <c r="AD247" s="2085"/>
      <c r="AE247" s="2085"/>
      <c r="AF247" s="2085"/>
      <c r="AG247" s="2085"/>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1728</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4">
        <f>PV(AB246/12,AB245*12,-AB243/12, ,0)</f>
        <v>0</v>
      </c>
      <c r="AC249" s="2075"/>
      <c r="AD249" s="2075"/>
      <c r="AE249" s="2075"/>
      <c r="AF249" s="2075"/>
      <c r="AG249" s="2076"/>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1704</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1707</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1706</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1705</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8">
        <f>IFERROR(('Sources and Uses Budget'!D105/'Sources and Uses Budget'!B105),0)</f>
        <v>0</v>
      </c>
      <c r="AC255" s="2079"/>
      <c r="AD255" s="2079"/>
      <c r="AE255" s="2079"/>
      <c r="AF255" s="2079"/>
      <c r="AG255" s="2080"/>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1485</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21">
        <f>AD200*(1-AB255)</f>
        <v>16463444.354321247</v>
      </c>
      <c r="AH257" s="1921"/>
      <c r="AI257" s="1921"/>
      <c r="AJ257" s="1921"/>
      <c r="AK257" s="1921"/>
    </row>
    <row r="258" spans="1:52">
      <c r="A258" s="656"/>
      <c r="B258" s="659" t="s">
        <v>1486</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21">
        <f>'Sources and Uses Budget'!C105</f>
        <v>61902399</v>
      </c>
      <c r="AH258" s="1921"/>
      <c r="AI258" s="1921"/>
      <c r="AJ258" s="1921"/>
      <c r="AK258" s="1921"/>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70">
        <f>ROUNDDOWN(IF(AND(C281="Yes",AK78=10),((AG257*2)/AG258),AG257/AG258),2)</f>
        <v>0.26</v>
      </c>
      <c r="AH259" s="2070"/>
      <c r="AI259" s="2070"/>
      <c r="AJ259" s="2070"/>
      <c r="AK259" s="2070"/>
    </row>
    <row r="260" spans="1:52" ht="12.9">
      <c r="A260" s="656"/>
      <c r="B260" s="1013" t="s">
        <v>1932</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1487</v>
      </c>
      <c r="AK262" s="2059">
        <f>IFERROR(IF(AG259=0,0,IF((AG259*100)&gt;8,8,(AG259*100))),0)</f>
        <v>8</v>
      </c>
      <c r="AL262" s="2059"/>
      <c r="AM262" s="2060"/>
    </row>
    <row r="263" spans="1:52" ht="12.9"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1488</v>
      </c>
      <c r="B265" s="572" t="s">
        <v>1489</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1426</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39" t="s">
        <v>554</v>
      </c>
      <c r="D267" s="1939"/>
      <c r="E267" s="581"/>
      <c r="F267" s="1890" t="s">
        <v>2340</v>
      </c>
      <c r="G267" s="1891"/>
      <c r="H267" s="1891"/>
      <c r="I267" s="1891"/>
      <c r="J267" s="1891"/>
      <c r="K267" s="1891"/>
      <c r="L267" s="1891"/>
      <c r="M267" s="1891"/>
      <c r="N267" s="1891"/>
      <c r="O267" s="1891"/>
      <c r="P267" s="1891"/>
      <c r="Q267" s="1891"/>
      <c r="R267" s="1891"/>
      <c r="S267" s="1891"/>
      <c r="T267" s="1891"/>
      <c r="U267" s="1891"/>
      <c r="V267" s="1891"/>
      <c r="W267" s="1891"/>
      <c r="X267" s="1891"/>
      <c r="Y267" s="1891"/>
      <c r="Z267" s="1891"/>
      <c r="AA267" s="1891"/>
      <c r="AB267" s="1891"/>
      <c r="AC267" s="1891"/>
      <c r="AD267" s="1892"/>
      <c r="AE267" s="584"/>
      <c r="AF267" s="669"/>
      <c r="AG267" s="2068" t="s">
        <v>1475</v>
      </c>
      <c r="AH267" s="2068"/>
      <c r="AI267" s="2068"/>
      <c r="AJ267" s="2068"/>
      <c r="AK267" s="584"/>
      <c r="AL267" s="584"/>
      <c r="AM267" s="584"/>
      <c r="AO267" s="584"/>
    </row>
    <row r="268" spans="1:52" ht="13.75" customHeight="1">
      <c r="A268" s="584"/>
      <c r="B268" s="630"/>
      <c r="C268" s="670"/>
      <c r="D268" s="584"/>
      <c r="E268" s="581"/>
      <c r="F268" s="1893"/>
      <c r="G268" s="1894"/>
      <c r="H268" s="1894"/>
      <c r="I268" s="1894"/>
      <c r="J268" s="1894"/>
      <c r="K268" s="1894"/>
      <c r="L268" s="1894"/>
      <c r="M268" s="1894"/>
      <c r="N268" s="1894"/>
      <c r="O268" s="1894"/>
      <c r="P268" s="1894"/>
      <c r="Q268" s="1894"/>
      <c r="R268" s="1894"/>
      <c r="S268" s="1894"/>
      <c r="T268" s="1894"/>
      <c r="U268" s="1894"/>
      <c r="V268" s="1894"/>
      <c r="W268" s="1894"/>
      <c r="X268" s="1894"/>
      <c r="Y268" s="1894"/>
      <c r="Z268" s="1894"/>
      <c r="AA268" s="1894"/>
      <c r="AB268" s="1894"/>
      <c r="AC268" s="1894"/>
      <c r="AD268" s="1895"/>
      <c r="AE268" s="584"/>
      <c r="AF268" s="669"/>
      <c r="AG268" s="669"/>
      <c r="AH268" s="669"/>
      <c r="AI268" s="669"/>
      <c r="AJ268" s="584"/>
      <c r="AK268" s="584"/>
      <c r="AL268" s="584"/>
      <c r="AM268" s="584"/>
      <c r="AO268" s="584"/>
    </row>
    <row r="269" spans="1:52">
      <c r="A269" s="584"/>
      <c r="B269" s="630"/>
      <c r="C269" s="670"/>
      <c r="D269" s="584"/>
      <c r="E269" s="581"/>
      <c r="F269" s="1893"/>
      <c r="G269" s="1894"/>
      <c r="H269" s="1894"/>
      <c r="I269" s="1894"/>
      <c r="J269" s="1894"/>
      <c r="K269" s="1894"/>
      <c r="L269" s="1894"/>
      <c r="M269" s="1894"/>
      <c r="N269" s="1894"/>
      <c r="O269" s="1894"/>
      <c r="P269" s="1894"/>
      <c r="Q269" s="1894"/>
      <c r="R269" s="1894"/>
      <c r="S269" s="1894"/>
      <c r="T269" s="1894"/>
      <c r="U269" s="1894"/>
      <c r="V269" s="1894"/>
      <c r="W269" s="1894"/>
      <c r="X269" s="1894"/>
      <c r="Y269" s="1894"/>
      <c r="Z269" s="1894"/>
      <c r="AA269" s="1894"/>
      <c r="AB269" s="1894"/>
      <c r="AC269" s="1894"/>
      <c r="AD269" s="1895"/>
      <c r="AE269" s="584"/>
      <c r="AF269" s="669"/>
      <c r="AG269" s="669"/>
      <c r="AH269" s="669"/>
      <c r="AI269" s="669"/>
      <c r="AJ269" s="584"/>
      <c r="AK269" s="584"/>
      <c r="AL269" s="584"/>
      <c r="AM269" s="584"/>
      <c r="AO269" s="584"/>
      <c r="AP269" s="671"/>
    </row>
    <row r="270" spans="1:52">
      <c r="A270" s="584"/>
      <c r="B270" s="630"/>
      <c r="C270" s="670"/>
      <c r="D270" s="584"/>
      <c r="E270" s="581"/>
      <c r="F270" s="1893"/>
      <c r="G270" s="1894"/>
      <c r="H270" s="1894"/>
      <c r="I270" s="1894"/>
      <c r="J270" s="1894"/>
      <c r="K270" s="1894"/>
      <c r="L270" s="1894"/>
      <c r="M270" s="1894"/>
      <c r="N270" s="1894"/>
      <c r="O270" s="1894"/>
      <c r="P270" s="1894"/>
      <c r="Q270" s="1894"/>
      <c r="R270" s="1894"/>
      <c r="S270" s="1894"/>
      <c r="T270" s="1894"/>
      <c r="U270" s="1894"/>
      <c r="V270" s="1894"/>
      <c r="W270" s="1894"/>
      <c r="X270" s="1894"/>
      <c r="Y270" s="1894"/>
      <c r="Z270" s="1894"/>
      <c r="AA270" s="1894"/>
      <c r="AB270" s="1894"/>
      <c r="AC270" s="1894"/>
      <c r="AD270" s="1895"/>
      <c r="AE270" s="584"/>
      <c r="AF270" s="669"/>
      <c r="AG270" s="669"/>
      <c r="AH270" s="669"/>
      <c r="AI270" s="669"/>
      <c r="AJ270" s="584"/>
      <c r="AK270" s="584"/>
      <c r="AL270" s="584"/>
      <c r="AM270" s="584"/>
      <c r="AO270" s="584"/>
      <c r="AP270" s="671"/>
    </row>
    <row r="271" spans="1:52" ht="13.75" customHeight="1">
      <c r="A271" s="584"/>
      <c r="B271" s="630"/>
      <c r="C271" s="2069"/>
      <c r="D271" s="2069"/>
      <c r="E271" s="581"/>
      <c r="F271" s="1896"/>
      <c r="G271" s="1897"/>
      <c r="H271" s="1897"/>
      <c r="I271" s="1897"/>
      <c r="J271" s="1897"/>
      <c r="K271" s="1897"/>
      <c r="L271" s="1897"/>
      <c r="M271" s="1897"/>
      <c r="N271" s="1897"/>
      <c r="O271" s="1897"/>
      <c r="P271" s="1897"/>
      <c r="Q271" s="1897"/>
      <c r="R271" s="1897"/>
      <c r="S271" s="1897"/>
      <c r="T271" s="1897"/>
      <c r="U271" s="1897"/>
      <c r="V271" s="1897"/>
      <c r="W271" s="1897"/>
      <c r="X271" s="1897"/>
      <c r="Y271" s="1897"/>
      <c r="Z271" s="1897"/>
      <c r="AA271" s="1897"/>
      <c r="AB271" s="1897"/>
      <c r="AC271" s="1897"/>
      <c r="AD271" s="1898"/>
      <c r="AE271" s="584"/>
      <c r="AF271" s="669"/>
      <c r="AG271" s="2068"/>
      <c r="AH271" s="2068"/>
      <c r="AI271" s="2068"/>
      <c r="AJ271" s="2068"/>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1491</v>
      </c>
      <c r="AK274" s="2059">
        <f>IF($C$267="yes",10,0)</f>
        <v>10</v>
      </c>
      <c r="AL274" s="2059"/>
      <c r="AM274" s="2060"/>
      <c r="AN274" s="73"/>
    </row>
    <row r="275" spans="1:49" ht="12.9" thickBot="1"/>
    <row r="276" spans="1:49" ht="12.9"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1492</v>
      </c>
      <c r="B277" s="572" t="s">
        <v>2046</v>
      </c>
      <c r="AH277" s="625" t="s">
        <v>1426</v>
      </c>
    </row>
    <row r="278" spans="1:49" ht="15" customHeight="1">
      <c r="B278" s="573"/>
    </row>
    <row r="279" spans="1:49" ht="15" customHeight="1">
      <c r="B279" s="573" t="s">
        <v>1919</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36" t="s">
        <v>1494</v>
      </c>
      <c r="B281" s="1636"/>
      <c r="C281" s="2033" t="s">
        <v>600</v>
      </c>
      <c r="D281" s="1939"/>
      <c r="E281" s="581"/>
      <c r="F281" s="2061" t="s">
        <v>1495</v>
      </c>
      <c r="G281" s="2062"/>
      <c r="H281" s="2062"/>
      <c r="I281" s="2062"/>
      <c r="J281" s="2062"/>
      <c r="K281" s="2062"/>
      <c r="L281" s="2062"/>
      <c r="M281" s="2062"/>
      <c r="N281" s="2062"/>
      <c r="O281" s="2062"/>
      <c r="P281" s="2062"/>
      <c r="Q281" s="2062"/>
      <c r="R281" s="2062"/>
      <c r="S281" s="2062"/>
      <c r="T281" s="2062"/>
      <c r="U281" s="2062"/>
      <c r="V281" s="2062"/>
      <c r="W281" s="2062"/>
      <c r="X281" s="2062"/>
      <c r="Y281" s="2062"/>
      <c r="Z281" s="2062"/>
      <c r="AA281" s="2062"/>
      <c r="AB281" s="2062"/>
      <c r="AC281" s="2062"/>
      <c r="AD281" s="2063"/>
      <c r="AE281" s="676"/>
      <c r="AF281" s="584"/>
      <c r="AG281" s="2064" t="s">
        <v>2333</v>
      </c>
      <c r="AH281" s="2064"/>
      <c r="AI281" s="2064"/>
      <c r="AJ281" s="2064"/>
      <c r="AK281" s="2064"/>
      <c r="AL281" s="584"/>
      <c r="AM281" s="584"/>
      <c r="AN281" s="73"/>
      <c r="AO281" s="14"/>
      <c r="AP281" s="30"/>
      <c r="AS281" s="604"/>
      <c r="AT281" s="604"/>
      <c r="AU281" s="604"/>
      <c r="AV281" s="32"/>
      <c r="AW281" s="32"/>
    </row>
    <row r="282" spans="1:49">
      <c r="A282" s="674"/>
      <c r="B282" s="630"/>
      <c r="F282" s="1916"/>
      <c r="G282" s="1917"/>
      <c r="H282" s="1917"/>
      <c r="I282" s="1917"/>
      <c r="J282" s="1917"/>
      <c r="K282" s="1917"/>
      <c r="L282" s="1917"/>
      <c r="M282" s="1917"/>
      <c r="N282" s="1917"/>
      <c r="O282" s="1917"/>
      <c r="P282" s="1917"/>
      <c r="Q282" s="1917"/>
      <c r="R282" s="1917"/>
      <c r="S282" s="1917"/>
      <c r="T282" s="1917"/>
      <c r="U282" s="1917"/>
      <c r="V282" s="1917"/>
      <c r="W282" s="1917"/>
      <c r="X282" s="1917"/>
      <c r="Y282" s="1917"/>
      <c r="Z282" s="1917"/>
      <c r="AA282" s="1917"/>
      <c r="AB282" s="1917"/>
      <c r="AC282" s="1917"/>
      <c r="AD282" s="1918"/>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16"/>
      <c r="G283" s="1917"/>
      <c r="H283" s="1917"/>
      <c r="I283" s="1917"/>
      <c r="J283" s="1917"/>
      <c r="K283" s="1917"/>
      <c r="L283" s="1917"/>
      <c r="M283" s="1917"/>
      <c r="N283" s="1917"/>
      <c r="O283" s="1917"/>
      <c r="P283" s="1917"/>
      <c r="Q283" s="1917"/>
      <c r="R283" s="1917"/>
      <c r="S283" s="1917"/>
      <c r="T283" s="1917"/>
      <c r="U283" s="1917"/>
      <c r="V283" s="1917"/>
      <c r="W283" s="1917"/>
      <c r="X283" s="1917"/>
      <c r="Y283" s="1917"/>
      <c r="Z283" s="1917"/>
      <c r="AA283" s="1917"/>
      <c r="AB283" s="1917"/>
      <c r="AC283" s="1917"/>
      <c r="AD283" s="1918"/>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16" t="s">
        <v>2341</v>
      </c>
      <c r="G284" s="1917"/>
      <c r="H284" s="1917"/>
      <c r="I284" s="1917"/>
      <c r="J284" s="1917"/>
      <c r="K284" s="1917"/>
      <c r="L284" s="1917"/>
      <c r="M284" s="1917"/>
      <c r="N284" s="1917"/>
      <c r="O284" s="1917"/>
      <c r="P284" s="1917"/>
      <c r="Q284" s="1917"/>
      <c r="R284" s="1917"/>
      <c r="S284" s="1917"/>
      <c r="T284" s="1917"/>
      <c r="U284" s="1917"/>
      <c r="V284" s="1917"/>
      <c r="W284" s="1917"/>
      <c r="X284" s="1917"/>
      <c r="Y284" s="1917"/>
      <c r="Z284" s="1917"/>
      <c r="AA284" s="1917"/>
      <c r="AB284" s="1917"/>
      <c r="AC284" s="1917"/>
      <c r="AD284" s="1918"/>
      <c r="AE284" s="676"/>
      <c r="AF284" s="585"/>
      <c r="AH284" s="585"/>
      <c r="AI284" s="585"/>
      <c r="AJ284" s="584"/>
      <c r="AK284" s="584"/>
      <c r="AL284" s="584"/>
      <c r="AM284" s="584"/>
      <c r="AN284" s="73"/>
      <c r="AO284" s="14"/>
      <c r="AP284" s="645">
        <f>MAX(AP282,AP283)</f>
        <v>9</v>
      </c>
      <c r="AQ284" s="608" t="s">
        <v>1428</v>
      </c>
      <c r="AS284" s="604"/>
      <c r="AT284" s="604"/>
      <c r="AU284" s="604"/>
      <c r="AV284" s="32"/>
      <c r="AW284" s="32"/>
    </row>
    <row r="285" spans="1:49">
      <c r="A285" s="674"/>
      <c r="B285" s="630"/>
      <c r="F285" s="1916"/>
      <c r="G285" s="1917"/>
      <c r="H285" s="1917"/>
      <c r="I285" s="1917"/>
      <c r="J285" s="1917"/>
      <c r="K285" s="1917"/>
      <c r="L285" s="1917"/>
      <c r="M285" s="1917"/>
      <c r="N285" s="1917"/>
      <c r="O285" s="1917"/>
      <c r="P285" s="1917"/>
      <c r="Q285" s="1917"/>
      <c r="R285" s="1917"/>
      <c r="S285" s="1917"/>
      <c r="T285" s="1917"/>
      <c r="U285" s="1917"/>
      <c r="V285" s="1917"/>
      <c r="W285" s="1917"/>
      <c r="X285" s="1917"/>
      <c r="Y285" s="1917"/>
      <c r="Z285" s="1917"/>
      <c r="AA285" s="1917"/>
      <c r="AB285" s="1917"/>
      <c r="AC285" s="1917"/>
      <c r="AD285" s="1918"/>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6" t="s">
        <v>1496</v>
      </c>
      <c r="G286" s="1917"/>
      <c r="H286" s="1917"/>
      <c r="I286" s="1917"/>
      <c r="J286" s="1917"/>
      <c r="K286" s="1917"/>
      <c r="L286" s="1917"/>
      <c r="M286" s="1917"/>
      <c r="N286" s="1917"/>
      <c r="O286" s="1917"/>
      <c r="P286" s="1917"/>
      <c r="Q286" s="1917"/>
      <c r="R286" s="1917"/>
      <c r="S286" s="1917"/>
      <c r="T286" s="1917"/>
      <c r="U286" s="1917"/>
      <c r="V286" s="1917"/>
      <c r="W286" s="1917"/>
      <c r="X286" s="1917"/>
      <c r="Y286" s="1917"/>
      <c r="Z286" s="1917"/>
      <c r="AA286" s="1917"/>
      <c r="AB286" s="1917"/>
      <c r="AC286" s="1917"/>
      <c r="AD286" s="1918"/>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6"/>
      <c r="G287" s="1917"/>
      <c r="H287" s="1917"/>
      <c r="I287" s="1917"/>
      <c r="J287" s="1917"/>
      <c r="K287" s="1917"/>
      <c r="L287" s="1917"/>
      <c r="M287" s="1917"/>
      <c r="N287" s="1917"/>
      <c r="O287" s="1917"/>
      <c r="P287" s="1917"/>
      <c r="Q287" s="1917"/>
      <c r="R287" s="1917"/>
      <c r="S287" s="1917"/>
      <c r="T287" s="1917"/>
      <c r="U287" s="1917"/>
      <c r="V287" s="1917"/>
      <c r="W287" s="1917"/>
      <c r="X287" s="1917"/>
      <c r="Y287" s="1917"/>
      <c r="Z287" s="1917"/>
      <c r="AA287" s="1917"/>
      <c r="AB287" s="1917"/>
      <c r="AC287" s="1917"/>
      <c r="AD287" s="1918"/>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6" t="s">
        <v>1497</v>
      </c>
      <c r="G288" s="1917"/>
      <c r="H288" s="1917"/>
      <c r="I288" s="1917"/>
      <c r="J288" s="1917"/>
      <c r="K288" s="1917"/>
      <c r="L288" s="1917"/>
      <c r="M288" s="1917"/>
      <c r="N288" s="1917"/>
      <c r="O288" s="1917"/>
      <c r="P288" s="1917"/>
      <c r="Q288" s="1917"/>
      <c r="R288" s="1917"/>
      <c r="S288" s="1917"/>
      <c r="T288" s="1917"/>
      <c r="U288" s="1917"/>
      <c r="V288" s="1917"/>
      <c r="W288" s="1917"/>
      <c r="X288" s="1917"/>
      <c r="Y288" s="1917"/>
      <c r="Z288" s="1917"/>
      <c r="AA288" s="1917"/>
      <c r="AB288" s="1917"/>
      <c r="AC288" s="1917"/>
      <c r="AD288" s="1918"/>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9"/>
      <c r="G289" s="1920"/>
      <c r="H289" s="1920"/>
      <c r="I289" s="1920"/>
      <c r="J289" s="1920"/>
      <c r="K289" s="1920"/>
      <c r="L289" s="1920"/>
      <c r="M289" s="1920"/>
      <c r="N289" s="1920"/>
      <c r="O289" s="1920"/>
      <c r="P289" s="1920"/>
      <c r="Q289" s="1920"/>
      <c r="R289" s="1920"/>
      <c r="S289" s="1920"/>
      <c r="T289" s="1920"/>
      <c r="U289" s="1920"/>
      <c r="V289" s="1920"/>
      <c r="W289" s="1920"/>
      <c r="X289" s="1920"/>
      <c r="Y289" s="1920"/>
      <c r="Z289" s="1920"/>
      <c r="AA289" s="1920"/>
      <c r="AB289" s="1920"/>
      <c r="AC289" s="1920"/>
      <c r="AD289" s="2058"/>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36" t="s">
        <v>1498</v>
      </c>
      <c r="B291" s="1636"/>
      <c r="C291" s="1939" t="s">
        <v>554</v>
      </c>
      <c r="D291" s="1939"/>
      <c r="E291" s="581"/>
      <c r="F291" s="678" t="s">
        <v>2334</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1500</v>
      </c>
      <c r="AH291" s="585"/>
      <c r="AI291" s="585"/>
      <c r="AJ291" s="584"/>
      <c r="AK291" s="584"/>
      <c r="AL291" s="584"/>
      <c r="AM291" s="584"/>
      <c r="AN291" s="681"/>
      <c r="AO291" s="14"/>
    </row>
    <row r="292" spans="1:49">
      <c r="A292" s="584"/>
      <c r="B292" s="585"/>
      <c r="C292" s="584"/>
      <c r="D292" s="585"/>
      <c r="E292" s="584"/>
      <c r="F292" s="2043" t="s">
        <v>2335</v>
      </c>
      <c r="G292" s="2044"/>
      <c r="H292" s="2044"/>
      <c r="I292" s="2044"/>
      <c r="J292" s="2044"/>
      <c r="K292" s="2044"/>
      <c r="L292" s="2044"/>
      <c r="M292" s="2044"/>
      <c r="N292" s="2044"/>
      <c r="O292" s="2044"/>
      <c r="P292" s="2044"/>
      <c r="Q292" s="2044"/>
      <c r="R292" s="2044"/>
      <c r="S292" s="2044"/>
      <c r="T292" s="2044"/>
      <c r="U292" s="2044"/>
      <c r="V292" s="2044"/>
      <c r="W292" s="2044"/>
      <c r="X292" s="2044"/>
      <c r="Y292" s="2044"/>
      <c r="Z292" s="2044"/>
      <c r="AA292" s="2044"/>
      <c r="AB292" s="2044"/>
      <c r="AC292" s="2044"/>
      <c r="AD292" s="2045"/>
      <c r="AE292" s="585"/>
      <c r="AF292" s="585"/>
      <c r="AG292" s="585"/>
      <c r="AH292" s="585"/>
      <c r="AI292" s="585"/>
      <c r="AJ292" s="584"/>
      <c r="AK292" s="584"/>
      <c r="AL292" s="584"/>
      <c r="AM292" s="584"/>
      <c r="AR292" s="682"/>
    </row>
    <row r="293" spans="1:49" ht="15" customHeight="1">
      <c r="A293" s="584"/>
      <c r="B293" s="585"/>
      <c r="C293" s="584"/>
      <c r="D293" s="585"/>
      <c r="E293" s="584"/>
      <c r="F293" s="2043"/>
      <c r="G293" s="2044"/>
      <c r="H293" s="2044"/>
      <c r="I293" s="2044"/>
      <c r="J293" s="2044"/>
      <c r="K293" s="2044"/>
      <c r="L293" s="2044"/>
      <c r="M293" s="2044"/>
      <c r="N293" s="2044"/>
      <c r="O293" s="2044"/>
      <c r="P293" s="2044"/>
      <c r="Q293" s="2044"/>
      <c r="R293" s="2044"/>
      <c r="S293" s="2044"/>
      <c r="T293" s="2044"/>
      <c r="U293" s="2044"/>
      <c r="V293" s="2044"/>
      <c r="W293" s="2044"/>
      <c r="X293" s="2044"/>
      <c r="Y293" s="2044"/>
      <c r="Z293" s="2044"/>
      <c r="AA293" s="2044"/>
      <c r="AB293" s="2044"/>
      <c r="AC293" s="2044"/>
      <c r="AD293" s="2045"/>
      <c r="AE293" s="585"/>
      <c r="AF293" s="585"/>
      <c r="AG293" s="585"/>
      <c r="AH293" s="585"/>
      <c r="AI293" s="585"/>
      <c r="AJ293" s="584"/>
      <c r="AK293" s="584"/>
      <c r="AL293" s="584"/>
      <c r="AM293" s="584"/>
      <c r="AR293" s="682"/>
    </row>
    <row r="294" spans="1:49">
      <c r="A294" s="584"/>
      <c r="B294" s="585"/>
      <c r="C294" s="584"/>
      <c r="D294" s="585"/>
      <c r="E294" s="584"/>
      <c r="F294" s="2043"/>
      <c r="G294" s="2044"/>
      <c r="H294" s="2044"/>
      <c r="I294" s="2044"/>
      <c r="J294" s="2044"/>
      <c r="K294" s="2044"/>
      <c r="L294" s="2044"/>
      <c r="M294" s="2044"/>
      <c r="N294" s="2044"/>
      <c r="O294" s="2044"/>
      <c r="P294" s="2044"/>
      <c r="Q294" s="2044"/>
      <c r="R294" s="2044"/>
      <c r="S294" s="2044"/>
      <c r="T294" s="2044"/>
      <c r="U294" s="2044"/>
      <c r="V294" s="2044"/>
      <c r="W294" s="2044"/>
      <c r="X294" s="2044"/>
      <c r="Y294" s="2044"/>
      <c r="Z294" s="2044"/>
      <c r="AA294" s="2044"/>
      <c r="AB294" s="2044"/>
      <c r="AC294" s="2044"/>
      <c r="AD294" s="2045"/>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5"/>
      <c r="G295" s="2066"/>
      <c r="H295" s="2066"/>
      <c r="I295" s="2066"/>
      <c r="J295" s="2066"/>
      <c r="K295" s="2066"/>
      <c r="L295" s="2066"/>
      <c r="M295" s="2066"/>
      <c r="N295" s="2066"/>
      <c r="O295" s="2066"/>
      <c r="P295" s="2066"/>
      <c r="Q295" s="2066"/>
      <c r="R295" s="2066"/>
      <c r="S295" s="2066"/>
      <c r="T295" s="2066"/>
      <c r="U295" s="2066"/>
      <c r="V295" s="2066"/>
      <c r="W295" s="2066"/>
      <c r="X295" s="2066"/>
      <c r="Y295" s="2066"/>
      <c r="Z295" s="2066"/>
      <c r="AA295" s="2066"/>
      <c r="AB295" s="2066"/>
      <c r="AC295" s="2066"/>
      <c r="AD295" s="2067"/>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36" t="s">
        <v>1501</v>
      </c>
      <c r="B299" s="1636"/>
      <c r="C299" s="1939" t="s">
        <v>600</v>
      </c>
      <c r="D299" s="1939"/>
      <c r="E299" s="581"/>
      <c r="F299" s="678" t="s">
        <v>1499</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1500</v>
      </c>
      <c r="AH299" s="585"/>
      <c r="AI299" s="585"/>
      <c r="AJ299" s="584"/>
      <c r="AK299" s="584"/>
      <c r="AL299" s="584"/>
      <c r="AM299" s="584"/>
      <c r="AN299" s="73"/>
      <c r="AO299" s="14"/>
    </row>
    <row r="300" spans="1:49" hidden="1">
      <c r="A300" s="89"/>
      <c r="B300" s="89"/>
      <c r="C300" s="764"/>
      <c r="D300" s="764"/>
      <c r="E300" s="581"/>
      <c r="F300" s="1916" t="s">
        <v>2342</v>
      </c>
      <c r="G300" s="1917"/>
      <c r="H300" s="1917"/>
      <c r="I300" s="1917"/>
      <c r="J300" s="1917"/>
      <c r="K300" s="1917"/>
      <c r="L300" s="1917"/>
      <c r="M300" s="1917"/>
      <c r="N300" s="1917"/>
      <c r="O300" s="1917"/>
      <c r="P300" s="1917"/>
      <c r="Q300" s="1917"/>
      <c r="R300" s="1917"/>
      <c r="S300" s="1917"/>
      <c r="T300" s="1917"/>
      <c r="U300" s="1917"/>
      <c r="V300" s="1917"/>
      <c r="W300" s="1917"/>
      <c r="X300" s="1917"/>
      <c r="Y300" s="1917"/>
      <c r="Z300" s="1917"/>
      <c r="AA300" s="1917"/>
      <c r="AB300" s="1917"/>
      <c r="AC300" s="1917"/>
      <c r="AD300" s="1918"/>
      <c r="AE300" s="585"/>
      <c r="AF300" s="585"/>
      <c r="AG300" s="573"/>
      <c r="AH300" s="585"/>
      <c r="AI300" s="585"/>
      <c r="AJ300" s="584"/>
      <c r="AK300" s="584"/>
      <c r="AL300" s="584"/>
      <c r="AM300" s="584"/>
      <c r="AN300" s="73"/>
      <c r="AO300" s="14"/>
      <c r="AP300" s="591" t="s">
        <v>1291</v>
      </c>
    </row>
    <row r="301" spans="1:49" hidden="1">
      <c r="F301" s="1916"/>
      <c r="G301" s="1917"/>
      <c r="H301" s="1917"/>
      <c r="I301" s="1917"/>
      <c r="J301" s="1917"/>
      <c r="K301" s="1917"/>
      <c r="L301" s="1917"/>
      <c r="M301" s="1917"/>
      <c r="N301" s="1917"/>
      <c r="O301" s="1917"/>
      <c r="P301" s="1917"/>
      <c r="Q301" s="1917"/>
      <c r="R301" s="1917"/>
      <c r="S301" s="1917"/>
      <c r="T301" s="1917"/>
      <c r="U301" s="1917"/>
      <c r="V301" s="1917"/>
      <c r="W301" s="1917"/>
      <c r="X301" s="1917"/>
      <c r="Y301" s="1917"/>
      <c r="Z301" s="1917"/>
      <c r="AA301" s="1917"/>
      <c r="AB301" s="1917"/>
      <c r="AC301" s="1917"/>
      <c r="AD301" s="1918"/>
      <c r="AE301" s="585"/>
      <c r="AF301" s="585"/>
      <c r="AH301" s="585"/>
      <c r="AI301" s="585"/>
      <c r="AJ301" s="584"/>
      <c r="AK301" s="584"/>
      <c r="AL301" s="584"/>
      <c r="AM301" s="584"/>
      <c r="AN301" s="73"/>
      <c r="AO301" s="14"/>
      <c r="AP301" s="591" t="s">
        <v>1921</v>
      </c>
    </row>
    <row r="302" spans="1:49" hidden="1">
      <c r="A302" s="584"/>
      <c r="B302" s="585"/>
      <c r="C302" s="764"/>
      <c r="D302" s="764"/>
      <c r="E302" s="581"/>
      <c r="F302" s="686" t="s">
        <v>1502</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1923</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2048</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6" t="s">
        <v>1291</v>
      </c>
      <c r="G305" s="2047"/>
      <c r="H305" s="2047"/>
      <c r="I305" s="2047"/>
      <c r="J305" s="2047"/>
      <c r="K305" s="2047"/>
      <c r="L305" s="2047"/>
      <c r="M305" s="2047"/>
      <c r="N305" s="2047"/>
      <c r="O305" s="2047"/>
      <c r="P305" s="2047"/>
      <c r="Q305" s="2047"/>
      <c r="R305" s="2047"/>
      <c r="S305" s="2047"/>
      <c r="T305" s="2047"/>
      <c r="U305" s="2047"/>
      <c r="V305" s="2047"/>
      <c r="W305" s="2047"/>
      <c r="X305" s="2047"/>
      <c r="Y305" s="2047"/>
      <c r="Z305" s="2047"/>
      <c r="AA305" s="2047"/>
      <c r="AB305" s="2047"/>
      <c r="AC305" s="2047"/>
      <c r="AD305" s="2048"/>
      <c r="AE305" s="676"/>
      <c r="AF305" s="676"/>
      <c r="AG305" s="676"/>
      <c r="AH305" s="676"/>
      <c r="AI305" s="676"/>
      <c r="AJ305" s="676"/>
      <c r="AK305" s="676"/>
      <c r="AL305" s="584"/>
      <c r="AM305" s="584"/>
      <c r="AN305" s="73"/>
      <c r="AO305" s="14"/>
      <c r="AP305" s="30"/>
    </row>
    <row r="306" spans="1:42" hidden="1">
      <c r="A306" s="584"/>
      <c r="B306" s="585"/>
      <c r="C306" s="764"/>
      <c r="D306" s="764"/>
      <c r="E306" s="581"/>
      <c r="F306" s="2046"/>
      <c r="G306" s="2047"/>
      <c r="H306" s="2047"/>
      <c r="I306" s="2047"/>
      <c r="J306" s="2047"/>
      <c r="K306" s="2047"/>
      <c r="L306" s="2047"/>
      <c r="M306" s="2047"/>
      <c r="N306" s="2047"/>
      <c r="O306" s="2047"/>
      <c r="P306" s="2047"/>
      <c r="Q306" s="2047"/>
      <c r="R306" s="2047"/>
      <c r="S306" s="2047"/>
      <c r="T306" s="2047"/>
      <c r="U306" s="2047"/>
      <c r="V306" s="2047"/>
      <c r="W306" s="2047"/>
      <c r="X306" s="2047"/>
      <c r="Y306" s="2047"/>
      <c r="Z306" s="2047"/>
      <c r="AA306" s="2047"/>
      <c r="AB306" s="2047"/>
      <c r="AC306" s="2047"/>
      <c r="AD306" s="2048"/>
      <c r="AE306" s="585"/>
      <c r="AF306" s="585"/>
      <c r="AG306" s="573"/>
      <c r="AH306" s="585"/>
      <c r="AI306" s="585"/>
      <c r="AJ306" s="584"/>
      <c r="AK306" s="584"/>
      <c r="AL306" s="584"/>
      <c r="AM306" s="584"/>
      <c r="AN306" s="73"/>
      <c r="AO306" s="14"/>
      <c r="AP306" s="30"/>
    </row>
    <row r="307" spans="1:42" hidden="1">
      <c r="A307" s="584"/>
      <c r="B307" s="585"/>
      <c r="C307" s="764"/>
      <c r="D307" s="764"/>
      <c r="E307" s="581"/>
      <c r="F307" s="2046"/>
      <c r="G307" s="2047"/>
      <c r="H307" s="2047"/>
      <c r="I307" s="2047"/>
      <c r="J307" s="2047"/>
      <c r="K307" s="2047"/>
      <c r="L307" s="2047"/>
      <c r="M307" s="2047"/>
      <c r="N307" s="2047"/>
      <c r="O307" s="2047"/>
      <c r="P307" s="2047"/>
      <c r="Q307" s="2047"/>
      <c r="R307" s="2047"/>
      <c r="S307" s="2047"/>
      <c r="T307" s="2047"/>
      <c r="U307" s="2047"/>
      <c r="V307" s="2047"/>
      <c r="W307" s="2047"/>
      <c r="X307" s="2047"/>
      <c r="Y307" s="2047"/>
      <c r="Z307" s="2047"/>
      <c r="AA307" s="2047"/>
      <c r="AB307" s="2047"/>
      <c r="AC307" s="2047"/>
      <c r="AD307" s="2048"/>
      <c r="AE307" s="585"/>
      <c r="AF307" s="585"/>
      <c r="AG307" s="573"/>
      <c r="AH307" s="585"/>
      <c r="AI307" s="585"/>
      <c r="AJ307" s="584"/>
      <c r="AK307" s="584"/>
      <c r="AL307" s="584"/>
      <c r="AM307" s="584"/>
      <c r="AN307" s="73"/>
      <c r="AO307" s="14"/>
      <c r="AP307" s="30"/>
    </row>
    <row r="308" spans="1:42" hidden="1">
      <c r="A308" s="584"/>
      <c r="B308" s="585"/>
      <c r="C308" s="764"/>
      <c r="D308" s="764"/>
      <c r="E308" s="581"/>
      <c r="F308" s="2046"/>
      <c r="G308" s="2047"/>
      <c r="H308" s="2047"/>
      <c r="I308" s="2047"/>
      <c r="J308" s="2047"/>
      <c r="K308" s="2047"/>
      <c r="L308" s="2047"/>
      <c r="M308" s="2047"/>
      <c r="N308" s="2047"/>
      <c r="O308" s="2047"/>
      <c r="P308" s="2047"/>
      <c r="Q308" s="2047"/>
      <c r="R308" s="2047"/>
      <c r="S308" s="2047"/>
      <c r="T308" s="2047"/>
      <c r="U308" s="2047"/>
      <c r="V308" s="2047"/>
      <c r="W308" s="2047"/>
      <c r="X308" s="2047"/>
      <c r="Y308" s="2047"/>
      <c r="Z308" s="2047"/>
      <c r="AA308" s="2047"/>
      <c r="AB308" s="2047"/>
      <c r="AC308" s="2047"/>
      <c r="AD308" s="2048"/>
      <c r="AE308" s="585"/>
      <c r="AF308" s="585"/>
      <c r="AG308" s="573"/>
      <c r="AH308" s="585"/>
      <c r="AI308" s="585"/>
      <c r="AJ308" s="584"/>
      <c r="AK308" s="584"/>
      <c r="AL308" s="584"/>
      <c r="AM308" s="584"/>
      <c r="AN308" s="73"/>
      <c r="AO308" s="14"/>
      <c r="AP308" s="30"/>
    </row>
    <row r="309" spans="1:42" hidden="1">
      <c r="A309" s="584"/>
      <c r="B309" s="585"/>
      <c r="C309" s="764"/>
      <c r="D309" s="764"/>
      <c r="E309" s="581"/>
      <c r="F309" s="2049"/>
      <c r="G309" s="2050"/>
      <c r="H309" s="2050"/>
      <c r="I309" s="2050"/>
      <c r="J309" s="2050"/>
      <c r="K309" s="2050"/>
      <c r="L309" s="2050"/>
      <c r="M309" s="2050"/>
      <c r="N309" s="2050"/>
      <c r="O309" s="2050"/>
      <c r="P309" s="2050"/>
      <c r="Q309" s="2050"/>
      <c r="R309" s="2050"/>
      <c r="S309" s="2050"/>
      <c r="T309" s="2050"/>
      <c r="U309" s="2050"/>
      <c r="V309" s="2050"/>
      <c r="W309" s="2050"/>
      <c r="X309" s="2050"/>
      <c r="Y309" s="2050"/>
      <c r="Z309" s="2050"/>
      <c r="AA309" s="2050"/>
      <c r="AB309" s="2050"/>
      <c r="AC309" s="2050"/>
      <c r="AD309" s="2051"/>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1922</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52" t="s">
        <v>1291</v>
      </c>
      <c r="J313" s="2052"/>
      <c r="K313" s="2052"/>
      <c r="L313" s="2052"/>
      <c r="M313" s="2052"/>
      <c r="N313" s="2052"/>
      <c r="O313" s="2052"/>
      <c r="P313" s="2052"/>
      <c r="Q313" s="2052"/>
      <c r="R313" s="2052"/>
      <c r="S313" s="2052"/>
      <c r="T313" s="2052"/>
      <c r="U313" s="2052"/>
      <c r="V313" s="2052"/>
      <c r="W313" s="2052"/>
      <c r="X313" s="2052"/>
      <c r="Y313" s="2052"/>
      <c r="Z313" s="2052"/>
      <c r="AA313" s="2052"/>
      <c r="AB313" s="2052"/>
      <c r="AC313" s="2052"/>
      <c r="AD313" s="2053"/>
      <c r="AE313" s="585"/>
      <c r="AF313" s="585"/>
      <c r="AG313" s="573"/>
      <c r="AH313" s="585"/>
      <c r="AI313" s="585"/>
      <c r="AJ313" s="584"/>
      <c r="AK313" s="584"/>
      <c r="AL313" s="584"/>
      <c r="AM313" s="584"/>
      <c r="AN313" s="73"/>
      <c r="AO313" s="14"/>
      <c r="AP313" s="591" t="s">
        <v>1751</v>
      </c>
    </row>
    <row r="314" spans="1:42" hidden="1">
      <c r="A314" s="584"/>
      <c r="B314" s="585"/>
      <c r="C314" s="764"/>
      <c r="D314" s="764"/>
      <c r="E314" s="581"/>
      <c r="F314" s="690"/>
      <c r="G314" s="609"/>
      <c r="H314" s="609"/>
      <c r="I314" s="2052"/>
      <c r="J314" s="2052"/>
      <c r="K314" s="2052"/>
      <c r="L314" s="2052"/>
      <c r="M314" s="2052"/>
      <c r="N314" s="2052"/>
      <c r="O314" s="2052"/>
      <c r="P314" s="2052"/>
      <c r="Q314" s="2052"/>
      <c r="R314" s="2052"/>
      <c r="S314" s="2052"/>
      <c r="T314" s="2052"/>
      <c r="U314" s="2052"/>
      <c r="V314" s="2052"/>
      <c r="W314" s="2052"/>
      <c r="X314" s="2052"/>
      <c r="Y314" s="2052"/>
      <c r="Z314" s="2052"/>
      <c r="AA314" s="2052"/>
      <c r="AB314" s="2052"/>
      <c r="AC314" s="2052"/>
      <c r="AD314" s="2053"/>
      <c r="AE314" s="585"/>
      <c r="AF314" s="585"/>
      <c r="AG314" s="573"/>
      <c r="AH314" s="585"/>
      <c r="AI314" s="585"/>
      <c r="AJ314" s="584"/>
      <c r="AK314" s="584"/>
      <c r="AL314" s="584"/>
      <c r="AM314" s="584"/>
      <c r="AN314" s="73"/>
      <c r="AO314" s="14"/>
      <c r="AP314" s="591" t="s">
        <v>1924</v>
      </c>
    </row>
    <row r="315" spans="1:42" hidden="1">
      <c r="A315" s="584"/>
      <c r="B315" s="585"/>
      <c r="C315" s="685"/>
      <c r="D315" s="685"/>
      <c r="E315" s="581"/>
      <c r="F315" s="690"/>
      <c r="G315" s="609"/>
      <c r="H315" s="609"/>
      <c r="I315" s="2052"/>
      <c r="J315" s="2052"/>
      <c r="K315" s="2052"/>
      <c r="L315" s="2052"/>
      <c r="M315" s="2052"/>
      <c r="N315" s="2052"/>
      <c r="O315" s="2052"/>
      <c r="P315" s="2052"/>
      <c r="Q315" s="2052"/>
      <c r="R315" s="2052"/>
      <c r="S315" s="2052"/>
      <c r="T315" s="2052"/>
      <c r="U315" s="2052"/>
      <c r="V315" s="2052"/>
      <c r="W315" s="2052"/>
      <c r="X315" s="2052"/>
      <c r="Y315" s="2052"/>
      <c r="Z315" s="2052"/>
      <c r="AA315" s="2052"/>
      <c r="AB315" s="2052"/>
      <c r="AC315" s="2052"/>
      <c r="AD315" s="2053"/>
      <c r="AE315" s="585"/>
      <c r="AF315" s="585"/>
      <c r="AG315" s="573"/>
      <c r="AH315" s="585"/>
      <c r="AI315" s="585"/>
      <c r="AJ315" s="584"/>
      <c r="AK315" s="584"/>
      <c r="AL315" s="584"/>
      <c r="AM315" s="584"/>
      <c r="AN315" s="73"/>
      <c r="AO315" s="14"/>
      <c r="AP315" s="591" t="s">
        <v>1926</v>
      </c>
    </row>
    <row r="316" spans="1:42" hidden="1">
      <c r="A316" s="584"/>
      <c r="B316" s="585"/>
      <c r="C316" s="685"/>
      <c r="D316" s="685"/>
      <c r="E316" s="581"/>
      <c r="F316" s="688"/>
      <c r="G316" s="585"/>
      <c r="H316" s="585"/>
      <c r="I316" s="2054"/>
      <c r="J316" s="2054"/>
      <c r="K316" s="2054"/>
      <c r="L316" s="2054"/>
      <c r="M316" s="2054"/>
      <c r="N316" s="2054"/>
      <c r="O316" s="2054"/>
      <c r="P316" s="2054"/>
      <c r="Q316" s="2054"/>
      <c r="R316" s="2054"/>
      <c r="S316" s="2054"/>
      <c r="T316" s="2054"/>
      <c r="U316" s="2054"/>
      <c r="V316" s="2054"/>
      <c r="W316" s="2054"/>
      <c r="X316" s="2054"/>
      <c r="Y316" s="2054"/>
      <c r="Z316" s="2054"/>
      <c r="AA316" s="2054"/>
      <c r="AB316" s="2054"/>
      <c r="AC316" s="2054"/>
      <c r="AD316" s="2055"/>
      <c r="AE316" s="585"/>
      <c r="AF316" s="585"/>
      <c r="AG316" s="573"/>
      <c r="AH316" s="585"/>
      <c r="AI316" s="585"/>
      <c r="AJ316" s="584"/>
      <c r="AK316" s="584"/>
      <c r="AL316" s="584"/>
      <c r="AM316" s="584"/>
      <c r="AN316" s="73"/>
      <c r="AO316" s="14"/>
      <c r="AP316" s="591" t="s">
        <v>1925</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52" t="s">
        <v>1291</v>
      </c>
      <c r="J318" s="2052"/>
      <c r="K318" s="2052"/>
      <c r="L318" s="2052"/>
      <c r="M318" s="2052"/>
      <c r="N318" s="2052"/>
      <c r="O318" s="2052"/>
      <c r="P318" s="2052"/>
      <c r="Q318" s="2052"/>
      <c r="R318" s="2052"/>
      <c r="S318" s="2052"/>
      <c r="T318" s="2052"/>
      <c r="U318" s="2052"/>
      <c r="V318" s="2052"/>
      <c r="W318" s="2052"/>
      <c r="X318" s="2052"/>
      <c r="Y318" s="2052"/>
      <c r="Z318" s="2052"/>
      <c r="AA318" s="2052"/>
      <c r="AB318" s="2052"/>
      <c r="AC318" s="2052"/>
      <c r="AD318" s="2053"/>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52"/>
      <c r="J319" s="2052"/>
      <c r="K319" s="2052"/>
      <c r="L319" s="2052"/>
      <c r="M319" s="2052"/>
      <c r="N319" s="2052"/>
      <c r="O319" s="2052"/>
      <c r="P319" s="2052"/>
      <c r="Q319" s="2052"/>
      <c r="R319" s="2052"/>
      <c r="S319" s="2052"/>
      <c r="T319" s="2052"/>
      <c r="U319" s="2052"/>
      <c r="V319" s="2052"/>
      <c r="W319" s="2052"/>
      <c r="X319" s="2052"/>
      <c r="Y319" s="2052"/>
      <c r="Z319" s="2052"/>
      <c r="AA319" s="2052"/>
      <c r="AB319" s="2052"/>
      <c r="AC319" s="2052"/>
      <c r="AD319" s="2053"/>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54"/>
      <c r="J320" s="2054"/>
      <c r="K320" s="2054"/>
      <c r="L320" s="2054"/>
      <c r="M320" s="2054"/>
      <c r="N320" s="2054"/>
      <c r="O320" s="2054"/>
      <c r="P320" s="2054"/>
      <c r="Q320" s="2054"/>
      <c r="R320" s="2054"/>
      <c r="S320" s="2054"/>
      <c r="T320" s="2054"/>
      <c r="U320" s="2054"/>
      <c r="V320" s="2054"/>
      <c r="W320" s="2054"/>
      <c r="X320" s="2054"/>
      <c r="Y320" s="2054"/>
      <c r="Z320" s="2054"/>
      <c r="AA320" s="2054"/>
      <c r="AB320" s="2054"/>
      <c r="AC320" s="2054"/>
      <c r="AD320" s="2055"/>
      <c r="AE320" s="585"/>
      <c r="AF320" s="585"/>
      <c r="AG320" s="573"/>
      <c r="AH320" s="585"/>
      <c r="AI320" s="585"/>
      <c r="AJ320" s="584"/>
      <c r="AK320" s="584"/>
      <c r="AL320" s="584"/>
      <c r="AM320" s="584"/>
      <c r="AN320" s="73"/>
      <c r="AO320" s="14"/>
      <c r="AP320" s="591" t="s">
        <v>1503</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1752</v>
      </c>
    </row>
    <row r="322" spans="1:44" ht="12.75" hidden="1" customHeight="1">
      <c r="A322" s="1636" t="s">
        <v>1504</v>
      </c>
      <c r="B322" s="1636"/>
      <c r="C322" s="1939" t="s">
        <v>600</v>
      </c>
      <c r="D322" s="1939"/>
      <c r="E322" s="581"/>
      <c r="F322" s="2040" t="s">
        <v>2343</v>
      </c>
      <c r="G322" s="2041"/>
      <c r="H322" s="2041"/>
      <c r="I322" s="2041"/>
      <c r="J322" s="2041"/>
      <c r="K322" s="2041"/>
      <c r="L322" s="2041"/>
      <c r="M322" s="2041"/>
      <c r="N322" s="2041"/>
      <c r="O322" s="2041"/>
      <c r="P322" s="2041"/>
      <c r="Q322" s="2041"/>
      <c r="R322" s="2041"/>
      <c r="S322" s="2041"/>
      <c r="T322" s="2041"/>
      <c r="U322" s="2041"/>
      <c r="V322" s="2041"/>
      <c r="W322" s="2041"/>
      <c r="X322" s="2041"/>
      <c r="Y322" s="2041"/>
      <c r="Z322" s="2041"/>
      <c r="AA322" s="2041"/>
      <c r="AB322" s="2041"/>
      <c r="AC322" s="2041"/>
      <c r="AD322" s="2042"/>
      <c r="AE322" s="585"/>
      <c r="AF322" s="585"/>
      <c r="AG322" s="573" t="s">
        <v>1500</v>
      </c>
      <c r="AH322" s="585"/>
      <c r="AI322" s="585"/>
      <c r="AJ322" s="584"/>
      <c r="AK322" s="584"/>
      <c r="AL322" s="584"/>
      <c r="AM322" s="584"/>
      <c r="AN322" s="73"/>
      <c r="AO322" s="14"/>
    </row>
    <row r="323" spans="1:44" ht="15" hidden="1" customHeight="1">
      <c r="A323" s="584"/>
      <c r="B323" s="585"/>
      <c r="C323" s="585"/>
      <c r="D323" s="585"/>
      <c r="E323" s="585"/>
      <c r="F323" s="2043"/>
      <c r="G323" s="2044"/>
      <c r="H323" s="2044"/>
      <c r="I323" s="2044"/>
      <c r="J323" s="2044"/>
      <c r="K323" s="2044"/>
      <c r="L323" s="2044"/>
      <c r="M323" s="2044"/>
      <c r="N323" s="2044"/>
      <c r="O323" s="2044"/>
      <c r="P323" s="2044"/>
      <c r="Q323" s="2044"/>
      <c r="R323" s="2044"/>
      <c r="S323" s="2044"/>
      <c r="T323" s="2044"/>
      <c r="U323" s="2044"/>
      <c r="V323" s="2044"/>
      <c r="W323" s="2044"/>
      <c r="X323" s="2044"/>
      <c r="Y323" s="2044"/>
      <c r="Z323" s="2044"/>
      <c r="AA323" s="2044"/>
      <c r="AB323" s="2044"/>
      <c r="AC323" s="2044"/>
      <c r="AD323" s="2045"/>
      <c r="AE323" s="585"/>
      <c r="AF323" s="585"/>
      <c r="AG323" s="585"/>
      <c r="AH323" s="585"/>
      <c r="AI323" s="585"/>
      <c r="AJ323" s="584"/>
      <c r="AK323" s="584"/>
      <c r="AL323" s="584"/>
      <c r="AM323" s="584"/>
      <c r="AN323" s="73"/>
      <c r="AO323" s="14"/>
    </row>
    <row r="324" spans="1:44" ht="15" hidden="1" customHeight="1">
      <c r="A324" s="584"/>
      <c r="B324" s="585"/>
      <c r="C324" s="585"/>
      <c r="D324" s="585"/>
      <c r="E324" s="585"/>
      <c r="F324" s="2043"/>
      <c r="G324" s="2044"/>
      <c r="H324" s="2044"/>
      <c r="I324" s="2044"/>
      <c r="J324" s="2044"/>
      <c r="K324" s="2044"/>
      <c r="L324" s="2044"/>
      <c r="M324" s="2044"/>
      <c r="N324" s="2044"/>
      <c r="O324" s="2044"/>
      <c r="P324" s="2044"/>
      <c r="Q324" s="2044"/>
      <c r="R324" s="2044"/>
      <c r="S324" s="2044"/>
      <c r="T324" s="2044"/>
      <c r="U324" s="2044"/>
      <c r="V324" s="2044"/>
      <c r="W324" s="2044"/>
      <c r="X324" s="2044"/>
      <c r="Y324" s="2044"/>
      <c r="Z324" s="2044"/>
      <c r="AA324" s="2044"/>
      <c r="AB324" s="2044"/>
      <c r="AC324" s="2044"/>
      <c r="AD324" s="2045"/>
      <c r="AE324" s="585"/>
      <c r="AF324" s="585"/>
      <c r="AG324" s="585"/>
      <c r="AH324" s="585"/>
      <c r="AI324" s="585"/>
      <c r="AJ324" s="584"/>
      <c r="AK324" s="584"/>
      <c r="AL324" s="584"/>
      <c r="AM324" s="693"/>
      <c r="AN324" s="14"/>
      <c r="AO324" s="14"/>
    </row>
    <row r="325" spans="1:44" hidden="1">
      <c r="A325" s="584"/>
      <c r="B325" s="585"/>
      <c r="C325" s="584"/>
      <c r="D325" s="585"/>
      <c r="E325" s="584"/>
      <c r="F325" s="694" t="s">
        <v>1505</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1564</v>
      </c>
      <c r="AK327" s="1924">
        <f>IF(NOT(OR(Application!M355="Yes",Application!M356="Yes")),0,AP284)</f>
        <v>9</v>
      </c>
      <c r="AL327" s="1925"/>
      <c r="AM327" s="1926"/>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1565</v>
      </c>
      <c r="B330" s="573" t="s">
        <v>857</v>
      </c>
      <c r="C330" s="570"/>
      <c r="AC330" s="573"/>
      <c r="AE330" s="1930" t="s">
        <v>1426</v>
      </c>
      <c r="AF330" s="1930"/>
      <c r="AG330" s="1930"/>
      <c r="AH330" s="1930"/>
      <c r="AI330" s="1930"/>
      <c r="AJ330" s="1930"/>
      <c r="AK330" s="1930"/>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4" t="s">
        <v>1566</v>
      </c>
      <c r="D332" s="1934"/>
      <c r="E332" s="1934"/>
      <c r="F332" s="1934"/>
      <c r="G332" s="1934"/>
      <c r="H332" s="1934"/>
      <c r="I332" s="1934"/>
      <c r="J332" s="1934"/>
      <c r="K332" s="1934"/>
      <c r="L332" s="1934"/>
      <c r="M332" s="1934"/>
      <c r="N332" s="1934"/>
      <c r="O332" s="1934"/>
      <c r="P332" s="1934"/>
      <c r="Q332" s="1934"/>
      <c r="R332" s="1934"/>
      <c r="S332" s="1934"/>
      <c r="T332" s="1934"/>
      <c r="U332" s="1934"/>
      <c r="V332" s="1934"/>
      <c r="W332" s="1934"/>
      <c r="X332" s="1934"/>
      <c r="Y332" s="1934"/>
      <c r="Z332" s="1934"/>
      <c r="AA332" s="1934"/>
      <c r="AB332" s="1934"/>
      <c r="AC332" s="1934"/>
      <c r="AD332" s="1934"/>
      <c r="AE332" s="1934"/>
      <c r="AF332" s="1934"/>
      <c r="AG332" s="1934"/>
      <c r="AH332" s="1934"/>
      <c r="AI332" s="1934"/>
      <c r="AJ332" s="1934"/>
      <c r="AK332" s="637"/>
      <c r="AL332" s="637"/>
      <c r="AM332" s="637"/>
      <c r="AN332" s="631"/>
    </row>
    <row r="333" spans="1:44" s="584" customFormat="1" ht="12.75" customHeight="1">
      <c r="A333" s="637"/>
      <c r="B333" s="645"/>
      <c r="C333" s="1934"/>
      <c r="D333" s="1934"/>
      <c r="E333" s="1934"/>
      <c r="F333" s="1934"/>
      <c r="G333" s="1934"/>
      <c r="H333" s="1934"/>
      <c r="I333" s="1934"/>
      <c r="J333" s="1934"/>
      <c r="K333" s="1934"/>
      <c r="L333" s="1934"/>
      <c r="M333" s="1934"/>
      <c r="N333" s="1934"/>
      <c r="O333" s="1934"/>
      <c r="P333" s="1934"/>
      <c r="Q333" s="1934"/>
      <c r="R333" s="1934"/>
      <c r="S333" s="1934"/>
      <c r="T333" s="1934"/>
      <c r="U333" s="1934"/>
      <c r="V333" s="1934"/>
      <c r="W333" s="1934"/>
      <c r="X333" s="1934"/>
      <c r="Y333" s="1934"/>
      <c r="Z333" s="1934"/>
      <c r="AA333" s="1934"/>
      <c r="AB333" s="1934"/>
      <c r="AC333" s="1934"/>
      <c r="AD333" s="1934"/>
      <c r="AE333" s="1934"/>
      <c r="AF333" s="1934"/>
      <c r="AG333" s="1934"/>
      <c r="AH333" s="1934"/>
      <c r="AI333" s="1934"/>
      <c r="AJ333" s="1934"/>
      <c r="AK333" s="637"/>
      <c r="AL333" s="637"/>
      <c r="AM333" s="637"/>
      <c r="AN333" s="631"/>
    </row>
    <row r="334" spans="1:44" s="584" customFormat="1" ht="12.75" customHeight="1">
      <c r="A334" s="637"/>
      <c r="B334" s="645"/>
      <c r="C334" s="1934"/>
      <c r="D334" s="1934"/>
      <c r="E334" s="1934"/>
      <c r="F334" s="1934"/>
      <c r="G334" s="1934"/>
      <c r="H334" s="1934"/>
      <c r="I334" s="1934"/>
      <c r="J334" s="1934"/>
      <c r="K334" s="1934"/>
      <c r="L334" s="1934"/>
      <c r="M334" s="1934"/>
      <c r="N334" s="1934"/>
      <c r="O334" s="1934"/>
      <c r="P334" s="1934"/>
      <c r="Q334" s="1934"/>
      <c r="R334" s="1934"/>
      <c r="S334" s="1934"/>
      <c r="T334" s="1934"/>
      <c r="U334" s="1934"/>
      <c r="V334" s="1934"/>
      <c r="W334" s="1934"/>
      <c r="X334" s="1934"/>
      <c r="Y334" s="1934"/>
      <c r="Z334" s="1934"/>
      <c r="AA334" s="1934"/>
      <c r="AB334" s="1934"/>
      <c r="AC334" s="1934"/>
      <c r="AD334" s="1934"/>
      <c r="AE334" s="1934"/>
      <c r="AF334" s="1934"/>
      <c r="AG334" s="1934"/>
      <c r="AH334" s="1934"/>
      <c r="AI334" s="1934"/>
      <c r="AJ334" s="1934"/>
      <c r="AK334" s="637"/>
      <c r="AL334" s="637"/>
      <c r="AM334" s="637"/>
      <c r="AN334" s="631"/>
      <c r="AQ334" s="604"/>
    </row>
    <row r="335" spans="1:44" s="584" customFormat="1" ht="12.75" customHeight="1">
      <c r="A335" s="637"/>
      <c r="B335" s="645"/>
      <c r="C335" s="1934"/>
      <c r="D335" s="1934"/>
      <c r="E335" s="1934"/>
      <c r="F335" s="1934"/>
      <c r="G335" s="1934"/>
      <c r="H335" s="1934"/>
      <c r="I335" s="1934"/>
      <c r="J335" s="1934"/>
      <c r="K335" s="1934"/>
      <c r="L335" s="1934"/>
      <c r="M335" s="1934"/>
      <c r="N335" s="1934"/>
      <c r="O335" s="1934"/>
      <c r="P335" s="1934"/>
      <c r="Q335" s="1934"/>
      <c r="R335" s="1934"/>
      <c r="S335" s="1934"/>
      <c r="T335" s="1934"/>
      <c r="U335" s="1934"/>
      <c r="V335" s="1934"/>
      <c r="W335" s="1934"/>
      <c r="X335" s="1934"/>
      <c r="Y335" s="1934"/>
      <c r="Z335" s="1934"/>
      <c r="AA335" s="1934"/>
      <c r="AB335" s="1934"/>
      <c r="AC335" s="1934"/>
      <c r="AD335" s="1934"/>
      <c r="AE335" s="1934"/>
      <c r="AF335" s="1934"/>
      <c r="AG335" s="1934"/>
      <c r="AH335" s="1934"/>
      <c r="AI335" s="1934"/>
      <c r="AJ335" s="1934"/>
      <c r="AK335" s="637"/>
      <c r="AL335" s="637"/>
      <c r="AM335" s="637"/>
      <c r="AN335" s="631"/>
      <c r="AQ335" s="604"/>
    </row>
    <row r="336" spans="1:44" s="584" customFormat="1" ht="12.55" customHeight="1">
      <c r="A336" s="637"/>
      <c r="B336" s="645"/>
      <c r="C336" s="1934"/>
      <c r="D336" s="1934"/>
      <c r="E336" s="1934"/>
      <c r="F336" s="1934"/>
      <c r="G336" s="1934"/>
      <c r="H336" s="1934"/>
      <c r="I336" s="1934"/>
      <c r="J336" s="1934"/>
      <c r="K336" s="1934"/>
      <c r="L336" s="1934"/>
      <c r="M336" s="1934"/>
      <c r="N336" s="1934"/>
      <c r="O336" s="1934"/>
      <c r="P336" s="1934"/>
      <c r="Q336" s="1934"/>
      <c r="R336" s="1934"/>
      <c r="S336" s="1934"/>
      <c r="T336" s="1934"/>
      <c r="U336" s="1934"/>
      <c r="V336" s="1934"/>
      <c r="W336" s="1934"/>
      <c r="X336" s="1934"/>
      <c r="Y336" s="1934"/>
      <c r="Z336" s="1934"/>
      <c r="AA336" s="1934"/>
      <c r="AB336" s="1934"/>
      <c r="AC336" s="1934"/>
      <c r="AD336" s="1934"/>
      <c r="AE336" s="1934"/>
      <c r="AF336" s="1934"/>
      <c r="AG336" s="1934"/>
      <c r="AH336" s="1934"/>
      <c r="AI336" s="1934"/>
      <c r="AJ336" s="1934"/>
      <c r="AK336" s="637"/>
      <c r="AL336" s="637"/>
      <c r="AM336" s="637"/>
      <c r="AN336" s="631"/>
      <c r="AQ336" s="604"/>
      <c r="AR336" s="604"/>
    </row>
    <row r="337" spans="1:46" s="584" customFormat="1" ht="45.75" customHeight="1">
      <c r="A337" s="637"/>
      <c r="B337" s="645"/>
      <c r="C337" s="1934" t="s">
        <v>2410</v>
      </c>
      <c r="D337" s="1934"/>
      <c r="E337" s="1934"/>
      <c r="F337" s="1934"/>
      <c r="G337" s="1934"/>
      <c r="H337" s="1934"/>
      <c r="I337" s="1934"/>
      <c r="J337" s="1934"/>
      <c r="K337" s="1934"/>
      <c r="L337" s="1934"/>
      <c r="M337" s="1934"/>
      <c r="N337" s="1934"/>
      <c r="O337" s="1934"/>
      <c r="P337" s="1934"/>
      <c r="Q337" s="1934"/>
      <c r="R337" s="1934"/>
      <c r="S337" s="1934"/>
      <c r="T337" s="1934"/>
      <c r="U337" s="1934"/>
      <c r="V337" s="1934"/>
      <c r="W337" s="1934"/>
      <c r="X337" s="1934"/>
      <c r="Y337" s="1934"/>
      <c r="Z337" s="1934"/>
      <c r="AA337" s="1934"/>
      <c r="AB337" s="1934"/>
      <c r="AC337" s="1934"/>
      <c r="AD337" s="1934"/>
      <c r="AE337" s="1934"/>
      <c r="AF337" s="1934"/>
      <c r="AG337" s="1934"/>
      <c r="AH337" s="1934"/>
      <c r="AI337" s="1934"/>
      <c r="AJ337" s="1934"/>
      <c r="AK337" s="637"/>
      <c r="AL337" s="637"/>
      <c r="AM337" s="637"/>
      <c r="AN337" s="631"/>
      <c r="AQ337" s="604"/>
      <c r="AR337" s="604"/>
    </row>
    <row r="338" spans="1:46" s="584" customFormat="1" ht="12.5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4" t="s">
        <v>2574</v>
      </c>
      <c r="D339" s="1934"/>
      <c r="E339" s="1934"/>
      <c r="F339" s="1934"/>
      <c r="G339" s="1934"/>
      <c r="H339" s="1934"/>
      <c r="I339" s="1934"/>
      <c r="J339" s="1934"/>
      <c r="K339" s="1934"/>
      <c r="L339" s="1934"/>
      <c r="M339" s="1934"/>
      <c r="N339" s="1934"/>
      <c r="O339" s="1934"/>
      <c r="P339" s="1934"/>
      <c r="Q339" s="1934"/>
      <c r="R339" s="1934"/>
      <c r="S339" s="1934"/>
      <c r="T339" s="1934"/>
      <c r="U339" s="1934"/>
      <c r="V339" s="1934"/>
      <c r="W339" s="1934"/>
      <c r="X339" s="1934"/>
      <c r="Y339" s="1934"/>
      <c r="Z339" s="1934"/>
      <c r="AA339" s="1934"/>
      <c r="AB339" s="1934"/>
      <c r="AC339" s="1934"/>
      <c r="AD339" s="1934"/>
      <c r="AE339" s="1934"/>
      <c r="AF339" s="1934"/>
      <c r="AG339" s="1934"/>
      <c r="AH339" s="1934"/>
      <c r="AI339" s="1934"/>
      <c r="AJ339" s="1934"/>
      <c r="AK339" s="637"/>
      <c r="AL339" s="637"/>
      <c r="AM339" s="637"/>
      <c r="AN339" s="631"/>
      <c r="AQ339" s="604"/>
      <c r="AR339" s="604"/>
    </row>
    <row r="340" spans="1:46" s="584" customFormat="1" ht="30" customHeight="1">
      <c r="A340" s="637"/>
      <c r="B340" s="645"/>
      <c r="C340" s="1934"/>
      <c r="D340" s="1934"/>
      <c r="E340" s="1934"/>
      <c r="F340" s="1934"/>
      <c r="G340" s="1934"/>
      <c r="H340" s="1934"/>
      <c r="I340" s="1934"/>
      <c r="J340" s="1934"/>
      <c r="K340" s="1934"/>
      <c r="L340" s="1934"/>
      <c r="M340" s="1934"/>
      <c r="N340" s="1934"/>
      <c r="O340" s="1934"/>
      <c r="P340" s="1934"/>
      <c r="Q340" s="1934"/>
      <c r="R340" s="1934"/>
      <c r="S340" s="1934"/>
      <c r="T340" s="1934"/>
      <c r="U340" s="1934"/>
      <c r="V340" s="1934"/>
      <c r="W340" s="1934"/>
      <c r="X340" s="1934"/>
      <c r="Y340" s="1934"/>
      <c r="Z340" s="1934"/>
      <c r="AA340" s="1934"/>
      <c r="AB340" s="1934"/>
      <c r="AC340" s="1934"/>
      <c r="AD340" s="1934"/>
      <c r="AE340" s="1934"/>
      <c r="AF340" s="1934"/>
      <c r="AG340" s="1934"/>
      <c r="AH340" s="1934"/>
      <c r="AI340" s="1934"/>
      <c r="AJ340" s="1934"/>
      <c r="AK340" s="637"/>
      <c r="AL340" s="637"/>
      <c r="AM340" s="637"/>
      <c r="AN340" s="631"/>
      <c r="AR340" s="604"/>
    </row>
    <row r="341" spans="1:46" s="584" customFormat="1" ht="12.75" customHeight="1">
      <c r="A341" s="637"/>
      <c r="B341" s="645"/>
      <c r="C341" s="1934"/>
      <c r="D341" s="1934"/>
      <c r="E341" s="1934"/>
      <c r="F341" s="1934"/>
      <c r="G341" s="1934"/>
      <c r="H341" s="1934"/>
      <c r="I341" s="1934"/>
      <c r="J341" s="1934"/>
      <c r="K341" s="1934"/>
      <c r="L341" s="1934"/>
      <c r="M341" s="1934"/>
      <c r="N341" s="1934"/>
      <c r="O341" s="1934"/>
      <c r="P341" s="1934"/>
      <c r="Q341" s="1934"/>
      <c r="R341" s="1934"/>
      <c r="S341" s="1934"/>
      <c r="T341" s="1934"/>
      <c r="U341" s="1934"/>
      <c r="V341" s="1934"/>
      <c r="W341" s="1934"/>
      <c r="X341" s="1934"/>
      <c r="Y341" s="1934"/>
      <c r="Z341" s="1934"/>
      <c r="AA341" s="1934"/>
      <c r="AB341" s="1934"/>
      <c r="AC341" s="1934"/>
      <c r="AD341" s="1934"/>
      <c r="AE341" s="1934"/>
      <c r="AF341" s="1934"/>
      <c r="AG341" s="1934"/>
      <c r="AH341" s="1934"/>
      <c r="AI341" s="1934"/>
      <c r="AJ341" s="1934"/>
      <c r="AK341" s="637"/>
      <c r="AL341" s="637"/>
      <c r="AM341" s="637"/>
      <c r="AN341" s="631"/>
      <c r="AR341" s="604"/>
    </row>
    <row r="342" spans="1:46" s="584" customFormat="1" ht="12.75" customHeight="1">
      <c r="A342" s="637"/>
      <c r="B342" s="645"/>
      <c r="C342" s="1934" t="s">
        <v>1567</v>
      </c>
      <c r="D342" s="1934"/>
      <c r="E342" s="1934"/>
      <c r="F342" s="1934"/>
      <c r="G342" s="1934"/>
      <c r="H342" s="1934"/>
      <c r="I342" s="1934"/>
      <c r="J342" s="1934"/>
      <c r="K342" s="1934"/>
      <c r="L342" s="1934"/>
      <c r="M342" s="1934"/>
      <c r="N342" s="1934"/>
      <c r="O342" s="1934"/>
      <c r="P342" s="1934"/>
      <c r="Q342" s="1934"/>
      <c r="R342" s="1934"/>
      <c r="S342" s="1934"/>
      <c r="T342" s="1934"/>
      <c r="U342" s="1934"/>
      <c r="V342" s="1934"/>
      <c r="W342" s="1934"/>
      <c r="X342" s="1934"/>
      <c r="Y342" s="1934"/>
      <c r="Z342" s="1934"/>
      <c r="AA342" s="1934"/>
      <c r="AB342" s="1934"/>
      <c r="AC342" s="1934"/>
      <c r="AD342" s="1934"/>
      <c r="AE342" s="1934"/>
      <c r="AF342" s="1934"/>
      <c r="AG342" s="1934"/>
      <c r="AH342" s="1934"/>
      <c r="AI342" s="1934"/>
      <c r="AJ342" s="1934"/>
      <c r="AK342" s="637"/>
      <c r="AL342" s="637"/>
      <c r="AM342" s="637"/>
      <c r="AN342" s="631"/>
      <c r="AQ342" s="604"/>
      <c r="AR342" s="604"/>
    </row>
    <row r="343" spans="1:46" s="584" customFormat="1" ht="12.75" customHeight="1">
      <c r="A343" s="637"/>
      <c r="B343" s="645"/>
      <c r="C343" s="1934"/>
      <c r="D343" s="1934"/>
      <c r="E343" s="1934"/>
      <c r="F343" s="1934"/>
      <c r="G343" s="1934"/>
      <c r="H343" s="1934"/>
      <c r="I343" s="1934"/>
      <c r="J343" s="1934"/>
      <c r="K343" s="1934"/>
      <c r="L343" s="1934"/>
      <c r="M343" s="1934"/>
      <c r="N343" s="1934"/>
      <c r="O343" s="1934"/>
      <c r="P343" s="1934"/>
      <c r="Q343" s="1934"/>
      <c r="R343" s="1934"/>
      <c r="S343" s="1934"/>
      <c r="T343" s="1934"/>
      <c r="U343" s="1934"/>
      <c r="V343" s="1934"/>
      <c r="W343" s="1934"/>
      <c r="X343" s="1934"/>
      <c r="Y343" s="1934"/>
      <c r="Z343" s="1934"/>
      <c r="AA343" s="1934"/>
      <c r="AB343" s="1934"/>
      <c r="AC343" s="1934"/>
      <c r="AD343" s="1934"/>
      <c r="AE343" s="1934"/>
      <c r="AF343" s="1934"/>
      <c r="AG343" s="1934"/>
      <c r="AH343" s="1934"/>
      <c r="AI343" s="1934"/>
      <c r="AJ343" s="1934"/>
      <c r="AK343" s="637"/>
      <c r="AL343" s="637"/>
      <c r="AM343" s="637"/>
      <c r="AN343" s="631"/>
      <c r="AQ343" s="604"/>
      <c r="AR343" s="604"/>
    </row>
    <row r="344" spans="1:46" s="584" customFormat="1" ht="13.3" customHeight="1">
      <c r="A344" s="637"/>
      <c r="B344" s="645"/>
      <c r="C344" s="1934"/>
      <c r="D344" s="1934"/>
      <c r="E344" s="1934"/>
      <c r="F344" s="1934"/>
      <c r="G344" s="1934"/>
      <c r="H344" s="1934"/>
      <c r="I344" s="1934"/>
      <c r="J344" s="1934"/>
      <c r="K344" s="1934"/>
      <c r="L344" s="1934"/>
      <c r="M344" s="1934"/>
      <c r="N344" s="1934"/>
      <c r="O344" s="1934"/>
      <c r="P344" s="1934"/>
      <c r="Q344" s="1934"/>
      <c r="R344" s="1934"/>
      <c r="S344" s="1934"/>
      <c r="T344" s="1934"/>
      <c r="U344" s="1934"/>
      <c r="V344" s="1934"/>
      <c r="W344" s="1934"/>
      <c r="X344" s="1934"/>
      <c r="Y344" s="1934"/>
      <c r="Z344" s="1934"/>
      <c r="AA344" s="1934"/>
      <c r="AB344" s="1934"/>
      <c r="AC344" s="1934"/>
      <c r="AD344" s="1934"/>
      <c r="AE344" s="1934"/>
      <c r="AF344" s="1934"/>
      <c r="AG344" s="1934"/>
      <c r="AH344" s="1934"/>
      <c r="AI344" s="1934"/>
      <c r="AJ344" s="1934"/>
      <c r="AK344" s="637"/>
      <c r="AL344" s="637"/>
      <c r="AM344" s="637"/>
      <c r="AN344" s="631"/>
      <c r="AQ344" s="604"/>
      <c r="AR344" s="604"/>
    </row>
    <row r="345" spans="1:46" s="584" customFormat="1" ht="12.75" customHeight="1">
      <c r="A345" s="637"/>
      <c r="B345" s="645"/>
      <c r="C345" s="1934"/>
      <c r="D345" s="1934"/>
      <c r="E345" s="1934"/>
      <c r="F345" s="1934"/>
      <c r="G345" s="1934"/>
      <c r="H345" s="1934"/>
      <c r="I345" s="1934"/>
      <c r="J345" s="1934"/>
      <c r="K345" s="1934"/>
      <c r="L345" s="1934"/>
      <c r="M345" s="1934"/>
      <c r="N345" s="1934"/>
      <c r="O345" s="1934"/>
      <c r="P345" s="1934"/>
      <c r="Q345" s="1934"/>
      <c r="R345" s="1934"/>
      <c r="S345" s="1934"/>
      <c r="T345" s="1934"/>
      <c r="U345" s="1934"/>
      <c r="V345" s="1934"/>
      <c r="W345" s="1934"/>
      <c r="X345" s="1934"/>
      <c r="Y345" s="1934"/>
      <c r="Z345" s="1934"/>
      <c r="AA345" s="1934"/>
      <c r="AB345" s="1934"/>
      <c r="AC345" s="1934"/>
      <c r="AD345" s="1934"/>
      <c r="AE345" s="1934"/>
      <c r="AF345" s="1934"/>
      <c r="AG345" s="1934"/>
      <c r="AH345" s="1934"/>
      <c r="AI345" s="1934"/>
      <c r="AJ345" s="1934"/>
      <c r="AK345" s="637"/>
      <c r="AL345" s="637"/>
      <c r="AM345" s="637"/>
      <c r="AN345" s="631"/>
      <c r="AO345" s="728"/>
      <c r="AP345" s="728"/>
      <c r="AQ345" s="604"/>
    </row>
    <row r="346" spans="1:46" s="584" customFormat="1" ht="11.9" customHeight="1">
      <c r="A346" s="637"/>
      <c r="B346" s="645"/>
      <c r="C346" s="1934"/>
      <c r="D346" s="1934"/>
      <c r="E346" s="1934"/>
      <c r="F346" s="1934"/>
      <c r="G346" s="1934"/>
      <c r="H346" s="1934"/>
      <c r="I346" s="1934"/>
      <c r="J346" s="1934"/>
      <c r="K346" s="1934"/>
      <c r="L346" s="1934"/>
      <c r="M346" s="1934"/>
      <c r="N346" s="1934"/>
      <c r="O346" s="1934"/>
      <c r="P346" s="1934"/>
      <c r="Q346" s="1934"/>
      <c r="R346" s="1934"/>
      <c r="S346" s="1934"/>
      <c r="T346" s="1934"/>
      <c r="U346" s="1934"/>
      <c r="V346" s="1934"/>
      <c r="W346" s="1934"/>
      <c r="X346" s="1934"/>
      <c r="Y346" s="1934"/>
      <c r="Z346" s="1934"/>
      <c r="AA346" s="1934"/>
      <c r="AB346" s="1934"/>
      <c r="AC346" s="1934"/>
      <c r="AD346" s="1934"/>
      <c r="AE346" s="1934"/>
      <c r="AF346" s="1934"/>
      <c r="AG346" s="1934"/>
      <c r="AH346" s="1934"/>
      <c r="AI346" s="1934"/>
      <c r="AJ346" s="1934"/>
      <c r="AK346" s="637"/>
      <c r="AL346" s="637"/>
      <c r="AM346" s="637"/>
      <c r="AN346" s="631"/>
      <c r="AO346" s="729" t="s">
        <v>112</v>
      </c>
      <c r="AP346" s="730">
        <f>IF(C370="Yes",5,0)</f>
        <v>0</v>
      </c>
      <c r="AS346" s="573" t="s">
        <v>1568</v>
      </c>
    </row>
    <row r="347" spans="1:46" s="584" customFormat="1" ht="12.75" customHeight="1">
      <c r="A347" s="637"/>
      <c r="B347" s="645"/>
      <c r="C347" s="1934"/>
      <c r="D347" s="1934"/>
      <c r="E347" s="1934"/>
      <c r="F347" s="1934"/>
      <c r="G347" s="1934"/>
      <c r="H347" s="1934"/>
      <c r="I347" s="1934"/>
      <c r="J347" s="1934"/>
      <c r="K347" s="1934"/>
      <c r="L347" s="1934"/>
      <c r="M347" s="1934"/>
      <c r="N347" s="1934"/>
      <c r="O347" s="1934"/>
      <c r="P347" s="1934"/>
      <c r="Q347" s="1934"/>
      <c r="R347" s="1934"/>
      <c r="S347" s="1934"/>
      <c r="T347" s="1934"/>
      <c r="U347" s="1934"/>
      <c r="V347" s="1934"/>
      <c r="W347" s="1934"/>
      <c r="X347" s="1934"/>
      <c r="Y347" s="1934"/>
      <c r="Z347" s="1934"/>
      <c r="AA347" s="1934"/>
      <c r="AB347" s="1934"/>
      <c r="AC347" s="1934"/>
      <c r="AD347" s="1934"/>
      <c r="AE347" s="1934"/>
      <c r="AF347" s="1934"/>
      <c r="AG347" s="1934"/>
      <c r="AH347" s="1934"/>
      <c r="AI347" s="1934"/>
      <c r="AJ347" s="1934"/>
      <c r="AK347" s="637"/>
      <c r="AL347" s="637"/>
      <c r="AM347" s="637"/>
      <c r="AN347" s="631"/>
      <c r="AO347" s="729" t="s">
        <v>113</v>
      </c>
      <c r="AP347" s="730">
        <f>IF(C378="Yes",5,0)</f>
        <v>0</v>
      </c>
      <c r="AS347" s="1899">
        <f>IF(Application!D211="Non-Targeted",(SUM(AQ355+AQ364)),AS351)</f>
        <v>12</v>
      </c>
      <c r="AT347" s="1899"/>
    </row>
    <row r="348" spans="1:46" s="584" customFormat="1" ht="12.75" customHeight="1">
      <c r="A348" s="637"/>
      <c r="B348" s="645"/>
      <c r="C348" s="1934"/>
      <c r="D348" s="1934"/>
      <c r="E348" s="1934"/>
      <c r="F348" s="1934"/>
      <c r="G348" s="1934"/>
      <c r="H348" s="1934"/>
      <c r="I348" s="1934"/>
      <c r="J348" s="1934"/>
      <c r="K348" s="1934"/>
      <c r="L348" s="1934"/>
      <c r="M348" s="1934"/>
      <c r="N348" s="1934"/>
      <c r="O348" s="1934"/>
      <c r="P348" s="1934"/>
      <c r="Q348" s="1934"/>
      <c r="R348" s="1934"/>
      <c r="S348" s="1934"/>
      <c r="T348" s="1934"/>
      <c r="U348" s="1934"/>
      <c r="V348" s="1934"/>
      <c r="W348" s="1934"/>
      <c r="X348" s="1934"/>
      <c r="Y348" s="1934"/>
      <c r="Z348" s="1934"/>
      <c r="AA348" s="1934"/>
      <c r="AB348" s="1934"/>
      <c r="AC348" s="1934"/>
      <c r="AD348" s="1934"/>
      <c r="AE348" s="1934"/>
      <c r="AF348" s="1934"/>
      <c r="AG348" s="1934"/>
      <c r="AH348" s="1934"/>
      <c r="AI348" s="1934"/>
      <c r="AJ348" s="1934"/>
      <c r="AK348" s="637"/>
      <c r="AL348" s="637"/>
      <c r="AM348" s="637"/>
      <c r="AN348" s="631"/>
      <c r="AO348" s="729" t="s">
        <v>119</v>
      </c>
      <c r="AP348" s="730">
        <f>IF(C386="Yes",7,0)</f>
        <v>7</v>
      </c>
      <c r="AS348" s="573" t="s">
        <v>1569</v>
      </c>
    </row>
    <row r="349" spans="1:46" s="584" customFormat="1" ht="12.75" customHeight="1">
      <c r="A349" s="637"/>
      <c r="B349" s="645"/>
      <c r="C349" s="1934"/>
      <c r="D349" s="1934"/>
      <c r="E349" s="1934"/>
      <c r="F349" s="1934"/>
      <c r="G349" s="1934"/>
      <c r="H349" s="1934"/>
      <c r="I349" s="1934"/>
      <c r="J349" s="1934"/>
      <c r="K349" s="1934"/>
      <c r="L349" s="1934"/>
      <c r="M349" s="1934"/>
      <c r="N349" s="1934"/>
      <c r="O349" s="1934"/>
      <c r="P349" s="1934"/>
      <c r="Q349" s="1934"/>
      <c r="R349" s="1934"/>
      <c r="S349" s="1934"/>
      <c r="T349" s="1934"/>
      <c r="U349" s="1934"/>
      <c r="V349" s="1934"/>
      <c r="W349" s="1934"/>
      <c r="X349" s="1934"/>
      <c r="Y349" s="1934"/>
      <c r="Z349" s="1934"/>
      <c r="AA349" s="1934"/>
      <c r="AB349" s="1934"/>
      <c r="AC349" s="1934"/>
      <c r="AD349" s="1934"/>
      <c r="AE349" s="1934"/>
      <c r="AF349" s="1934"/>
      <c r="AG349" s="1934"/>
      <c r="AH349" s="1934"/>
      <c r="AI349" s="1934"/>
      <c r="AJ349" s="1934"/>
      <c r="AK349" s="637"/>
      <c r="AL349" s="637"/>
      <c r="AM349" s="637"/>
      <c r="AN349" s="631"/>
      <c r="AO349" s="631"/>
      <c r="AP349" s="730">
        <f>IF(C388="Yes",5,0)</f>
        <v>0</v>
      </c>
      <c r="AS349" s="1899">
        <f>IF(AND(AQ355&gt;0,AQ364&gt;0),(AQ355+AQ364)/2,0)</f>
        <v>11</v>
      </c>
      <c r="AT349" s="1899"/>
    </row>
    <row r="350" spans="1:46" s="584" customFormat="1" ht="12.75" customHeight="1">
      <c r="A350" s="637"/>
      <c r="B350" s="645"/>
      <c r="C350" s="1934"/>
      <c r="D350" s="1934"/>
      <c r="E350" s="1934"/>
      <c r="F350" s="1934"/>
      <c r="G350" s="1934"/>
      <c r="H350" s="1934"/>
      <c r="I350" s="1934"/>
      <c r="J350" s="1934"/>
      <c r="K350" s="1934"/>
      <c r="L350" s="1934"/>
      <c r="M350" s="1934"/>
      <c r="N350" s="1934"/>
      <c r="O350" s="1934"/>
      <c r="P350" s="1934"/>
      <c r="Q350" s="1934"/>
      <c r="R350" s="1934"/>
      <c r="S350" s="1934"/>
      <c r="T350" s="1934"/>
      <c r="U350" s="1934"/>
      <c r="V350" s="1934"/>
      <c r="W350" s="1934"/>
      <c r="X350" s="1934"/>
      <c r="Y350" s="1934"/>
      <c r="Z350" s="1934"/>
      <c r="AA350" s="1934"/>
      <c r="AB350" s="1934"/>
      <c r="AC350" s="1934"/>
      <c r="AD350" s="1934"/>
      <c r="AE350" s="1934"/>
      <c r="AF350" s="1934"/>
      <c r="AG350" s="1934"/>
      <c r="AH350" s="1934"/>
      <c r="AI350" s="1934"/>
      <c r="AJ350" s="1934"/>
      <c r="AK350" s="637"/>
      <c r="AL350" s="637"/>
      <c r="AM350" s="637"/>
      <c r="AN350" s="631"/>
      <c r="AO350" s="729" t="s">
        <v>590</v>
      </c>
      <c r="AP350" s="730">
        <f>IF(C396="Yes",5,0)</f>
        <v>5</v>
      </c>
      <c r="AS350" s="573" t="s">
        <v>2071</v>
      </c>
    </row>
    <row r="351" spans="1:46" s="584" customFormat="1" ht="12.75" customHeight="1">
      <c r="A351" s="637"/>
      <c r="B351" s="645"/>
      <c r="C351" s="2028" t="s">
        <v>1570</v>
      </c>
      <c r="D351" s="2028"/>
      <c r="E351" s="2028"/>
      <c r="F351" s="2028"/>
      <c r="G351" s="2028"/>
      <c r="H351" s="2028"/>
      <c r="I351" s="2028"/>
      <c r="J351" s="2028"/>
      <c r="K351" s="2028"/>
      <c r="L351" s="2028"/>
      <c r="M351" s="2028"/>
      <c r="N351" s="2028"/>
      <c r="O351" s="2028"/>
      <c r="P351" s="2028"/>
      <c r="Q351" s="2028"/>
      <c r="R351" s="2028"/>
      <c r="S351" s="2028"/>
      <c r="T351" s="2028"/>
      <c r="U351" s="2028"/>
      <c r="V351" s="2028"/>
      <c r="W351" s="2028"/>
      <c r="X351" s="2028"/>
      <c r="Y351" s="2028"/>
      <c r="Z351" s="2028"/>
      <c r="AA351" s="2028"/>
      <c r="AB351" s="2028"/>
      <c r="AC351" s="2028"/>
      <c r="AD351" s="2028"/>
      <c r="AE351" s="2028"/>
      <c r="AF351" s="2028"/>
      <c r="AG351" s="2028"/>
      <c r="AH351" s="2028"/>
      <c r="AI351" s="2028"/>
      <c r="AJ351" s="2028"/>
      <c r="AK351" s="637"/>
      <c r="AL351" s="637"/>
      <c r="AM351" s="637"/>
      <c r="AN351" s="631"/>
      <c r="AO351" s="631"/>
      <c r="AP351" s="730">
        <f>IF(C398="Yes",3,0)</f>
        <v>0</v>
      </c>
      <c r="AS351" s="1899">
        <f>IF(AQ355=0,AQ364,AQ355)</f>
        <v>12</v>
      </c>
      <c r="AT351" s="1899"/>
    </row>
    <row r="352" spans="1:46" s="584" customFormat="1" ht="12.75" customHeight="1">
      <c r="A352" s="637"/>
      <c r="B352" s="645"/>
      <c r="C352" s="2028"/>
      <c r="D352" s="2028"/>
      <c r="E352" s="2028"/>
      <c r="F352" s="2028"/>
      <c r="G352" s="2028"/>
      <c r="H352" s="2028"/>
      <c r="I352" s="2028"/>
      <c r="J352" s="2028"/>
      <c r="K352" s="2028"/>
      <c r="L352" s="2028"/>
      <c r="M352" s="2028"/>
      <c r="N352" s="2028"/>
      <c r="O352" s="2028"/>
      <c r="P352" s="2028"/>
      <c r="Q352" s="2028"/>
      <c r="R352" s="2028"/>
      <c r="S352" s="2028"/>
      <c r="T352" s="2028"/>
      <c r="U352" s="2028"/>
      <c r="V352" s="2028"/>
      <c r="W352" s="2028"/>
      <c r="X352" s="2028"/>
      <c r="Y352" s="2028"/>
      <c r="Z352" s="2028"/>
      <c r="AA352" s="2028"/>
      <c r="AB352" s="2028"/>
      <c r="AC352" s="2028"/>
      <c r="AD352" s="2028"/>
      <c r="AE352" s="2028"/>
      <c r="AF352" s="2028"/>
      <c r="AG352" s="2028"/>
      <c r="AH352" s="2028"/>
      <c r="AI352" s="2028"/>
      <c r="AJ352" s="2028"/>
      <c r="AK352" s="637"/>
      <c r="AL352" s="637"/>
      <c r="AM352" s="637"/>
      <c r="AN352" s="631"/>
      <c r="AO352" s="729" t="s">
        <v>773</v>
      </c>
      <c r="AP352" s="730">
        <f>IF(C401="Yes",5,0)</f>
        <v>0</v>
      </c>
    </row>
    <row r="353" spans="1:81" s="584" customFormat="1" ht="12.75" customHeight="1">
      <c r="A353" s="637"/>
      <c r="B353" s="645"/>
      <c r="C353" s="2028"/>
      <c r="D353" s="2028"/>
      <c r="E353" s="2028"/>
      <c r="F353" s="2028"/>
      <c r="G353" s="2028"/>
      <c r="H353" s="2028"/>
      <c r="I353" s="2028"/>
      <c r="J353" s="2028"/>
      <c r="K353" s="2028"/>
      <c r="L353" s="2028"/>
      <c r="M353" s="2028"/>
      <c r="N353" s="2028"/>
      <c r="O353" s="2028"/>
      <c r="P353" s="2028"/>
      <c r="Q353" s="2028"/>
      <c r="R353" s="2028"/>
      <c r="S353" s="2028"/>
      <c r="T353" s="2028"/>
      <c r="U353" s="2028"/>
      <c r="V353" s="2028"/>
      <c r="W353" s="2028"/>
      <c r="X353" s="2028"/>
      <c r="Y353" s="2028"/>
      <c r="Z353" s="2028"/>
      <c r="AA353" s="2028"/>
      <c r="AB353" s="2028"/>
      <c r="AC353" s="2028"/>
      <c r="AD353" s="2028"/>
      <c r="AE353" s="2028"/>
      <c r="AF353" s="2028"/>
      <c r="AG353" s="2028"/>
      <c r="AH353" s="2028"/>
      <c r="AI353" s="2028"/>
      <c r="AJ353" s="2028"/>
      <c r="AK353" s="637"/>
      <c r="AL353" s="637"/>
      <c r="AM353" s="637"/>
      <c r="AN353" s="631"/>
      <c r="AO353" s="729" t="s">
        <v>593</v>
      </c>
      <c r="AP353" s="730">
        <f>IF(C410="Yes",5,0)</f>
        <v>0</v>
      </c>
    </row>
    <row r="354" spans="1:81" s="584" customFormat="1" ht="11.9" customHeight="1">
      <c r="A354" s="637"/>
      <c r="B354" s="645"/>
      <c r="C354" s="2028"/>
      <c r="D354" s="2028"/>
      <c r="E354" s="2028"/>
      <c r="F354" s="2028"/>
      <c r="G354" s="2028"/>
      <c r="H354" s="2028"/>
      <c r="I354" s="2028"/>
      <c r="J354" s="2028"/>
      <c r="K354" s="2028"/>
      <c r="L354" s="2028"/>
      <c r="M354" s="2028"/>
      <c r="N354" s="2028"/>
      <c r="O354" s="2028"/>
      <c r="P354" s="2028"/>
      <c r="Q354" s="2028"/>
      <c r="R354" s="2028"/>
      <c r="S354" s="2028"/>
      <c r="T354" s="2028"/>
      <c r="U354" s="2028"/>
      <c r="V354" s="2028"/>
      <c r="W354" s="2028"/>
      <c r="X354" s="2028"/>
      <c r="Y354" s="2028"/>
      <c r="Z354" s="2028"/>
      <c r="AA354" s="2028"/>
      <c r="AB354" s="2028"/>
      <c r="AC354" s="2028"/>
      <c r="AD354" s="2028"/>
      <c r="AE354" s="2028"/>
      <c r="AF354" s="2028"/>
      <c r="AG354" s="2028"/>
      <c r="AH354" s="2028"/>
      <c r="AI354" s="2028"/>
      <c r="AJ354" s="2028"/>
      <c r="AK354" s="637"/>
      <c r="AL354" s="637"/>
      <c r="AM354" s="637"/>
      <c r="AN354" s="631"/>
      <c r="AO354" s="731"/>
      <c r="AP354" s="732">
        <f>IF(C412="Yes",3,0)</f>
        <v>0</v>
      </c>
    </row>
    <row r="355" spans="1:81" s="584" customFormat="1" ht="12.55" customHeight="1">
      <c r="A355" s="637"/>
      <c r="B355" s="645"/>
      <c r="C355" s="2028"/>
      <c r="D355" s="2028"/>
      <c r="E355" s="2028"/>
      <c r="F355" s="2028"/>
      <c r="G355" s="2028"/>
      <c r="H355" s="2028"/>
      <c r="I355" s="2028"/>
      <c r="J355" s="2028"/>
      <c r="K355" s="2028"/>
      <c r="L355" s="2028"/>
      <c r="M355" s="2028"/>
      <c r="N355" s="2028"/>
      <c r="O355" s="2028"/>
      <c r="P355" s="2028"/>
      <c r="Q355" s="2028"/>
      <c r="R355" s="2028"/>
      <c r="S355" s="2028"/>
      <c r="T355" s="2028"/>
      <c r="U355" s="2028"/>
      <c r="V355" s="2028"/>
      <c r="W355" s="2028"/>
      <c r="X355" s="2028"/>
      <c r="Y355" s="2028"/>
      <c r="Z355" s="2028"/>
      <c r="AA355" s="2028"/>
      <c r="AB355" s="2028"/>
      <c r="AC355" s="2028"/>
      <c r="AD355" s="2028"/>
      <c r="AE355" s="2028"/>
      <c r="AF355" s="2028"/>
      <c r="AG355" s="2028"/>
      <c r="AH355" s="2028"/>
      <c r="AI355" s="2028"/>
      <c r="AJ355" s="2028"/>
      <c r="AK355" s="637"/>
      <c r="AL355" s="637"/>
      <c r="AM355" s="637"/>
      <c r="AN355" s="631"/>
      <c r="AO355" s="733" t="s">
        <v>228</v>
      </c>
      <c r="AP355" s="734">
        <f>SUM(AP346:AP354)</f>
        <v>12</v>
      </c>
      <c r="AQ355" s="1937">
        <f>IF(AP355&gt;0,AP355,0)</f>
        <v>12</v>
      </c>
      <c r="AR355" s="1937"/>
    </row>
    <row r="356" spans="1:81" s="584" customFormat="1" ht="12.75" customHeight="1">
      <c r="A356" s="637"/>
      <c r="B356" s="645"/>
      <c r="C356" s="2028"/>
      <c r="D356" s="2028"/>
      <c r="E356" s="2028"/>
      <c r="F356" s="2028"/>
      <c r="G356" s="2028"/>
      <c r="H356" s="2028"/>
      <c r="I356" s="2028"/>
      <c r="J356" s="2028"/>
      <c r="K356" s="2028"/>
      <c r="L356" s="2028"/>
      <c r="M356" s="2028"/>
      <c r="N356" s="2028"/>
      <c r="O356" s="2028"/>
      <c r="P356" s="2028"/>
      <c r="Q356" s="2028"/>
      <c r="R356" s="2028"/>
      <c r="S356" s="2028"/>
      <c r="T356" s="2028"/>
      <c r="U356" s="2028"/>
      <c r="V356" s="2028"/>
      <c r="W356" s="2028"/>
      <c r="X356" s="2028"/>
      <c r="Y356" s="2028"/>
      <c r="Z356" s="2028"/>
      <c r="AA356" s="2028"/>
      <c r="AB356" s="2028"/>
      <c r="AC356" s="2028"/>
      <c r="AD356" s="2028"/>
      <c r="AE356" s="2028"/>
      <c r="AF356" s="2028"/>
      <c r="AG356" s="2028"/>
      <c r="AH356" s="2028"/>
      <c r="AI356" s="2028"/>
      <c r="AJ356" s="2028"/>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1934" t="s">
        <v>1571</v>
      </c>
      <c r="D358" s="1934"/>
      <c r="E358" s="1934"/>
      <c r="F358" s="1934"/>
      <c r="G358" s="1934"/>
      <c r="H358" s="1934"/>
      <c r="I358" s="1934"/>
      <c r="J358" s="1934"/>
      <c r="K358" s="1934"/>
      <c r="L358" s="1934"/>
      <c r="M358" s="1934"/>
      <c r="N358" s="1934"/>
      <c r="O358" s="1934"/>
      <c r="P358" s="1934"/>
      <c r="Q358" s="1934"/>
      <c r="R358" s="1934"/>
      <c r="S358" s="1934"/>
      <c r="T358" s="1934"/>
      <c r="U358" s="1934"/>
      <c r="V358" s="1934"/>
      <c r="W358" s="1934"/>
      <c r="X358" s="1934"/>
      <c r="Y358" s="1934"/>
      <c r="Z358" s="1934"/>
      <c r="AA358" s="1934"/>
      <c r="AB358" s="1934"/>
      <c r="AC358" s="1934"/>
      <c r="AD358" s="1934"/>
      <c r="AE358" s="1934"/>
      <c r="AF358" s="1934"/>
      <c r="AG358" s="1934"/>
      <c r="AH358" s="1934"/>
      <c r="AI358" s="1934"/>
      <c r="AJ358" s="1934"/>
      <c r="AK358" s="637"/>
      <c r="AL358" s="637"/>
      <c r="AM358" s="637"/>
      <c r="AN358" s="631"/>
      <c r="AO358" s="729" t="s">
        <v>465</v>
      </c>
      <c r="AP358" s="730">
        <f>IF(C431="Yes",5,0)</f>
        <v>5</v>
      </c>
    </row>
    <row r="359" spans="1:81" s="584" customFormat="1" ht="12.75" customHeight="1">
      <c r="A359" s="637"/>
      <c r="B359" s="645"/>
      <c r="C359" s="1934"/>
      <c r="D359" s="1934"/>
      <c r="E359" s="1934"/>
      <c r="F359" s="1934"/>
      <c r="G359" s="1934"/>
      <c r="H359" s="1934"/>
      <c r="I359" s="1934"/>
      <c r="J359" s="1934"/>
      <c r="K359" s="1934"/>
      <c r="L359" s="1934"/>
      <c r="M359" s="1934"/>
      <c r="N359" s="1934"/>
      <c r="O359" s="1934"/>
      <c r="P359" s="1934"/>
      <c r="Q359" s="1934"/>
      <c r="R359" s="1934"/>
      <c r="S359" s="1934"/>
      <c r="T359" s="1934"/>
      <c r="U359" s="1934"/>
      <c r="V359" s="1934"/>
      <c r="W359" s="1934"/>
      <c r="X359" s="1934"/>
      <c r="Y359" s="1934"/>
      <c r="Z359" s="1934"/>
      <c r="AA359" s="1934"/>
      <c r="AB359" s="1934"/>
      <c r="AC359" s="1934"/>
      <c r="AD359" s="1934"/>
      <c r="AE359" s="1934"/>
      <c r="AF359" s="1934"/>
      <c r="AG359" s="1934"/>
      <c r="AH359" s="1934"/>
      <c r="AI359" s="1934"/>
      <c r="AJ359" s="1934"/>
      <c r="AK359" s="637"/>
      <c r="AL359" s="637"/>
      <c r="AM359" s="637"/>
      <c r="AN359" s="631"/>
      <c r="AO359" s="729" t="s">
        <v>470</v>
      </c>
      <c r="AP359" s="730">
        <f>IF(C438="Yes",5,0)</f>
        <v>5</v>
      </c>
    </row>
    <row r="360" spans="1:81" s="584" customFormat="1" ht="68.150000000000006" customHeight="1">
      <c r="A360" s="637"/>
      <c r="B360" s="645"/>
      <c r="C360" s="1934"/>
      <c r="D360" s="1934"/>
      <c r="E360" s="1934"/>
      <c r="F360" s="1934"/>
      <c r="G360" s="1934"/>
      <c r="H360" s="1934"/>
      <c r="I360" s="1934"/>
      <c r="J360" s="1934"/>
      <c r="K360" s="1934"/>
      <c r="L360" s="1934"/>
      <c r="M360" s="1934"/>
      <c r="N360" s="1934"/>
      <c r="O360" s="1934"/>
      <c r="P360" s="1934"/>
      <c r="Q360" s="1934"/>
      <c r="R360" s="1934"/>
      <c r="S360" s="1934"/>
      <c r="T360" s="1934"/>
      <c r="U360" s="1934"/>
      <c r="V360" s="1934"/>
      <c r="W360" s="1934"/>
      <c r="X360" s="1934"/>
      <c r="Y360" s="1934"/>
      <c r="Z360" s="1934"/>
      <c r="AA360" s="1934"/>
      <c r="AB360" s="1934"/>
      <c r="AC360" s="1934"/>
      <c r="AD360" s="1934"/>
      <c r="AE360" s="1934"/>
      <c r="AF360" s="1934"/>
      <c r="AG360" s="1934"/>
      <c r="AH360" s="1934"/>
      <c r="AI360" s="1934"/>
      <c r="AJ360" s="1934"/>
      <c r="AK360" s="637"/>
      <c r="AL360" s="637"/>
      <c r="AM360" s="637"/>
      <c r="AN360" s="631"/>
      <c r="AO360" s="729" t="s">
        <v>655</v>
      </c>
      <c r="AP360" s="735">
        <f>IF(C442="Yes",5,0)</f>
        <v>0</v>
      </c>
    </row>
    <row r="361" spans="1:81" s="584" customFormat="1" ht="12.55" customHeight="1">
      <c r="A361" s="637"/>
      <c r="B361" s="645"/>
      <c r="C361" s="584" t="s">
        <v>1572</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2577</v>
      </c>
      <c r="D362" s="737"/>
      <c r="E362" s="737"/>
      <c r="F362" s="737"/>
      <c r="G362" s="737"/>
      <c r="H362" s="737"/>
      <c r="I362" s="737"/>
      <c r="J362" s="737"/>
      <c r="K362" s="737"/>
      <c r="L362" s="737"/>
      <c r="M362" s="701"/>
      <c r="N362" s="701"/>
      <c r="O362" s="738"/>
      <c r="P362" s="737"/>
      <c r="Q362" s="737"/>
      <c r="R362" s="701"/>
      <c r="S362" s="701"/>
      <c r="T362" s="737"/>
      <c r="U362" s="1935">
        <f>Application!CS660-U363</f>
        <v>68</v>
      </c>
      <c r="V362" s="1935"/>
      <c r="W362" s="1935"/>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2578</v>
      </c>
      <c r="D363" s="728"/>
      <c r="E363" s="728"/>
      <c r="F363" s="728"/>
      <c r="G363" s="728"/>
      <c r="H363" s="728"/>
      <c r="I363" s="728"/>
      <c r="J363" s="728"/>
      <c r="K363" s="728"/>
      <c r="L363" s="728"/>
      <c r="M363" s="728"/>
      <c r="N363" s="728"/>
      <c r="O363" s="728"/>
      <c r="P363" s="728"/>
      <c r="Q363" s="728"/>
      <c r="R363" s="728"/>
      <c r="S363" s="728"/>
      <c r="T363" s="728"/>
      <c r="U363" s="1936">
        <f>Application!AG756</f>
        <v>72</v>
      </c>
      <c r="V363" s="1936"/>
      <c r="W363" s="1936"/>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10</v>
      </c>
      <c r="AQ364" s="1937">
        <f>IF(AP364&gt;0,AP364,0)</f>
        <v>10</v>
      </c>
      <c r="AR364" s="1937"/>
    </row>
    <row r="365" spans="1:81" s="584" customFormat="1" ht="12.75" customHeight="1">
      <c r="A365" s="637"/>
      <c r="B365" s="14"/>
      <c r="C365" s="746" t="s">
        <v>2575</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1427</v>
      </c>
      <c r="F366" s="1928" t="s">
        <v>1573</v>
      </c>
      <c r="G366" s="1928"/>
      <c r="H366" s="1928"/>
      <c r="I366" s="1928"/>
      <c r="J366" s="1928"/>
      <c r="K366" s="1928"/>
      <c r="L366" s="1928"/>
      <c r="M366" s="1928"/>
      <c r="N366" s="1928"/>
      <c r="O366" s="1928"/>
      <c r="P366" s="1928"/>
      <c r="Q366" s="1928"/>
      <c r="R366" s="1928"/>
      <c r="S366" s="1928"/>
      <c r="T366" s="1928"/>
      <c r="U366" s="1928"/>
      <c r="V366" s="1928"/>
      <c r="W366" s="1928"/>
      <c r="X366" s="1928"/>
      <c r="Y366" s="1928"/>
      <c r="Z366" s="1928"/>
      <c r="AA366" s="1928"/>
      <c r="AB366" s="1928"/>
      <c r="AC366" s="1928"/>
      <c r="AD366" s="1928"/>
      <c r="AE366" s="1928"/>
      <c r="AF366" s="1928"/>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9"/>
      <c r="G367" s="1929"/>
      <c r="H367" s="1929"/>
      <c r="I367" s="1929"/>
      <c r="J367" s="1929"/>
      <c r="K367" s="1929"/>
      <c r="L367" s="1929"/>
      <c r="M367" s="1929"/>
      <c r="N367" s="1929"/>
      <c r="O367" s="1929"/>
      <c r="P367" s="1929"/>
      <c r="Q367" s="1929"/>
      <c r="R367" s="1929"/>
      <c r="S367" s="1929"/>
      <c r="T367" s="1929"/>
      <c r="U367" s="1929"/>
      <c r="V367" s="1929"/>
      <c r="W367" s="1929"/>
      <c r="X367" s="1929"/>
      <c r="Y367" s="1929"/>
      <c r="Z367" s="1929"/>
      <c r="AA367" s="1929"/>
      <c r="AB367" s="1929"/>
      <c r="AC367" s="1929"/>
      <c r="AD367" s="1929"/>
      <c r="AE367" s="1929"/>
      <c r="AF367" s="1929"/>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9"/>
      <c r="G368" s="1929"/>
      <c r="H368" s="1929"/>
      <c r="I368" s="1929"/>
      <c r="J368" s="1929"/>
      <c r="K368" s="1929"/>
      <c r="L368" s="1929"/>
      <c r="M368" s="1929"/>
      <c r="N368" s="1929"/>
      <c r="O368" s="1929"/>
      <c r="P368" s="1929"/>
      <c r="Q368" s="1929"/>
      <c r="R368" s="1929"/>
      <c r="S368" s="1929"/>
      <c r="T368" s="1929"/>
      <c r="U368" s="1929"/>
      <c r="V368" s="1929"/>
      <c r="W368" s="1929"/>
      <c r="X368" s="1929"/>
      <c r="Y368" s="1929"/>
      <c r="Z368" s="1929"/>
      <c r="AA368" s="1929"/>
      <c r="AB368" s="1929"/>
      <c r="AC368" s="1929"/>
      <c r="AD368" s="1929"/>
      <c r="AE368" s="1929"/>
      <c r="AF368" s="1929"/>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9"/>
      <c r="G369" s="1929"/>
      <c r="H369" s="1929"/>
      <c r="I369" s="1929"/>
      <c r="J369" s="1929"/>
      <c r="K369" s="1929"/>
      <c r="L369" s="1929"/>
      <c r="M369" s="1929"/>
      <c r="N369" s="1929"/>
      <c r="O369" s="1929"/>
      <c r="P369" s="1929"/>
      <c r="Q369" s="1929"/>
      <c r="R369" s="1929"/>
      <c r="S369" s="1929"/>
      <c r="T369" s="1929"/>
      <c r="U369" s="1929"/>
      <c r="V369" s="1929"/>
      <c r="W369" s="1929"/>
      <c r="X369" s="1929"/>
      <c r="Y369" s="1929"/>
      <c r="Z369" s="1929"/>
      <c r="AA369" s="1929"/>
      <c r="AB369" s="1929"/>
      <c r="AC369" s="1929"/>
      <c r="AD369" s="1929"/>
      <c r="AE369" s="1929"/>
      <c r="AF369" s="1929"/>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8" t="s">
        <v>600</v>
      </c>
      <c r="D370" s="1939"/>
      <c r="E370" s="753"/>
      <c r="F370" s="755" t="s">
        <v>1574</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7" t="s">
        <v>1575</v>
      </c>
      <c r="AG370" s="1927"/>
      <c r="AH370" s="1927"/>
      <c r="AI370" s="1927"/>
      <c r="AJ370" s="1927"/>
      <c r="AK370" s="1927"/>
      <c r="AL370" s="1940"/>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1429</v>
      </c>
      <c r="F373" s="1928" t="s">
        <v>1576</v>
      </c>
      <c r="G373" s="1928"/>
      <c r="H373" s="1928"/>
      <c r="I373" s="1928"/>
      <c r="J373" s="1928"/>
      <c r="K373" s="1928"/>
      <c r="L373" s="1928"/>
      <c r="M373" s="1928"/>
      <c r="N373" s="1928"/>
      <c r="O373" s="1928"/>
      <c r="P373" s="1928"/>
      <c r="Q373" s="1928"/>
      <c r="R373" s="1928"/>
      <c r="S373" s="1928"/>
      <c r="T373" s="1928"/>
      <c r="U373" s="1928"/>
      <c r="V373" s="1928"/>
      <c r="W373" s="1928"/>
      <c r="X373" s="1928"/>
      <c r="Y373" s="1928"/>
      <c r="Z373" s="1928"/>
      <c r="AA373" s="1928"/>
      <c r="AB373" s="1928"/>
      <c r="AC373" s="1928"/>
      <c r="AD373" s="1928"/>
      <c r="AE373" s="1928"/>
      <c r="AF373" s="1928"/>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9"/>
      <c r="G374" s="1929"/>
      <c r="H374" s="1929"/>
      <c r="I374" s="1929"/>
      <c r="J374" s="1929"/>
      <c r="K374" s="1929"/>
      <c r="L374" s="1929"/>
      <c r="M374" s="1929"/>
      <c r="N374" s="1929"/>
      <c r="O374" s="1929"/>
      <c r="P374" s="1929"/>
      <c r="Q374" s="1929"/>
      <c r="R374" s="1929"/>
      <c r="S374" s="1929"/>
      <c r="T374" s="1929"/>
      <c r="U374" s="1929"/>
      <c r="V374" s="1929"/>
      <c r="W374" s="1929"/>
      <c r="X374" s="1929"/>
      <c r="Y374" s="1929"/>
      <c r="Z374" s="1929"/>
      <c r="AA374" s="1929"/>
      <c r="AB374" s="1929"/>
      <c r="AC374" s="1929"/>
      <c r="AD374" s="1929"/>
      <c r="AE374" s="1929"/>
      <c r="AF374" s="1929"/>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9"/>
      <c r="G375" s="1929"/>
      <c r="H375" s="1929"/>
      <c r="I375" s="1929"/>
      <c r="J375" s="1929"/>
      <c r="K375" s="1929"/>
      <c r="L375" s="1929"/>
      <c r="M375" s="1929"/>
      <c r="N375" s="1929"/>
      <c r="O375" s="1929"/>
      <c r="P375" s="1929"/>
      <c r="Q375" s="1929"/>
      <c r="R375" s="1929"/>
      <c r="S375" s="1929"/>
      <c r="T375" s="1929"/>
      <c r="U375" s="1929"/>
      <c r="V375" s="1929"/>
      <c r="W375" s="1929"/>
      <c r="X375" s="1929"/>
      <c r="Y375" s="1929"/>
      <c r="Z375" s="1929"/>
      <c r="AA375" s="1929"/>
      <c r="AB375" s="1929"/>
      <c r="AC375" s="1929"/>
      <c r="AD375" s="1929"/>
      <c r="AE375" s="1929"/>
      <c r="AF375" s="1929"/>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9"/>
      <c r="G376" s="1929"/>
      <c r="H376" s="1929"/>
      <c r="I376" s="1929"/>
      <c r="J376" s="1929"/>
      <c r="K376" s="1929"/>
      <c r="L376" s="1929"/>
      <c r="M376" s="1929"/>
      <c r="N376" s="1929"/>
      <c r="O376" s="1929"/>
      <c r="P376" s="1929"/>
      <c r="Q376" s="1929"/>
      <c r="R376" s="1929"/>
      <c r="S376" s="1929"/>
      <c r="T376" s="1929"/>
      <c r="U376" s="1929"/>
      <c r="V376" s="1929"/>
      <c r="W376" s="1929"/>
      <c r="X376" s="1929"/>
      <c r="Y376" s="1929"/>
      <c r="Z376" s="1929"/>
      <c r="AA376" s="1929"/>
      <c r="AB376" s="1929"/>
      <c r="AC376" s="1929"/>
      <c r="AD376" s="1929"/>
      <c r="AE376" s="1929"/>
      <c r="AF376" s="1929"/>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9"/>
      <c r="G377" s="1929"/>
      <c r="H377" s="1929"/>
      <c r="I377" s="1929"/>
      <c r="J377" s="1929"/>
      <c r="K377" s="1929"/>
      <c r="L377" s="1929"/>
      <c r="M377" s="1929"/>
      <c r="N377" s="1929"/>
      <c r="O377" s="1929"/>
      <c r="P377" s="1929"/>
      <c r="Q377" s="1929"/>
      <c r="R377" s="1929"/>
      <c r="S377" s="1929"/>
      <c r="T377" s="1929"/>
      <c r="U377" s="1929"/>
      <c r="V377" s="1929"/>
      <c r="W377" s="1929"/>
      <c r="X377" s="1929"/>
      <c r="Y377" s="1929"/>
      <c r="Z377" s="1929"/>
      <c r="AA377" s="1929"/>
      <c r="AB377" s="1929"/>
      <c r="AC377" s="1929"/>
      <c r="AD377" s="1929"/>
      <c r="AE377" s="1929"/>
      <c r="AF377" s="1929"/>
      <c r="AL377" s="766"/>
      <c r="AN377" s="631"/>
      <c r="BS377" s="30"/>
      <c r="BT377" s="30"/>
      <c r="BU377" s="14"/>
      <c r="BV377" s="14"/>
      <c r="BW377" s="14"/>
      <c r="BX377" s="14"/>
      <c r="BY377" s="14"/>
      <c r="BZ377" s="14"/>
      <c r="CA377" s="14"/>
      <c r="CB377" s="14"/>
      <c r="CC377" s="14"/>
    </row>
    <row r="378" spans="1:81" s="584" customFormat="1" ht="12.75" customHeight="1">
      <c r="A378" s="570"/>
      <c r="B378" s="14"/>
      <c r="C378" s="1938" t="s">
        <v>600</v>
      </c>
      <c r="D378" s="1939"/>
      <c r="E378" s="725"/>
      <c r="F378" s="755" t="s">
        <v>1577</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7" t="s">
        <v>1575</v>
      </c>
      <c r="AG378" s="1927"/>
      <c r="AH378" s="1927"/>
      <c r="AI378" s="1927"/>
      <c r="AJ378" s="1927"/>
      <c r="AK378" s="1927"/>
      <c r="AL378" s="1940"/>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1432</v>
      </c>
      <c r="F381" s="1928" t="s">
        <v>1578</v>
      </c>
      <c r="G381" s="1928"/>
      <c r="H381" s="1928"/>
      <c r="I381" s="1928"/>
      <c r="J381" s="1928"/>
      <c r="K381" s="1928"/>
      <c r="L381" s="1928"/>
      <c r="M381" s="1928"/>
      <c r="N381" s="1928"/>
      <c r="O381" s="1928"/>
      <c r="P381" s="1928"/>
      <c r="Q381" s="1928"/>
      <c r="R381" s="1928"/>
      <c r="S381" s="1928"/>
      <c r="T381" s="1928"/>
      <c r="U381" s="1928"/>
      <c r="V381" s="1928"/>
      <c r="W381" s="1928"/>
      <c r="X381" s="1928"/>
      <c r="Y381" s="1928"/>
      <c r="Z381" s="1928"/>
      <c r="AA381" s="1928"/>
      <c r="AB381" s="1928"/>
      <c r="AC381" s="1928"/>
      <c r="AD381" s="1928"/>
      <c r="AE381" s="1928"/>
      <c r="AF381" s="1928"/>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9"/>
      <c r="G382" s="1929"/>
      <c r="H382" s="1929"/>
      <c r="I382" s="1929"/>
      <c r="J382" s="1929"/>
      <c r="K382" s="1929"/>
      <c r="L382" s="1929"/>
      <c r="M382" s="1929"/>
      <c r="N382" s="1929"/>
      <c r="O382" s="1929"/>
      <c r="P382" s="1929"/>
      <c r="Q382" s="1929"/>
      <c r="R382" s="1929"/>
      <c r="S382" s="1929"/>
      <c r="T382" s="1929"/>
      <c r="U382" s="1929"/>
      <c r="V382" s="1929"/>
      <c r="W382" s="1929"/>
      <c r="X382" s="1929"/>
      <c r="Y382" s="1929"/>
      <c r="Z382" s="1929"/>
      <c r="AA382" s="1929"/>
      <c r="AB382" s="1929"/>
      <c r="AC382" s="1929"/>
      <c r="AD382" s="1929"/>
      <c r="AE382" s="1929"/>
      <c r="AF382" s="1929"/>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9"/>
      <c r="G383" s="1929"/>
      <c r="H383" s="1929"/>
      <c r="I383" s="1929"/>
      <c r="J383" s="1929"/>
      <c r="K383" s="1929"/>
      <c r="L383" s="1929"/>
      <c r="M383" s="1929"/>
      <c r="N383" s="1929"/>
      <c r="O383" s="1929"/>
      <c r="P383" s="1929"/>
      <c r="Q383" s="1929"/>
      <c r="R383" s="1929"/>
      <c r="S383" s="1929"/>
      <c r="T383" s="1929"/>
      <c r="U383" s="1929"/>
      <c r="V383" s="1929"/>
      <c r="W383" s="1929"/>
      <c r="X383" s="1929"/>
      <c r="Y383" s="1929"/>
      <c r="Z383" s="1929"/>
      <c r="AA383" s="1929"/>
      <c r="AB383" s="1929"/>
      <c r="AC383" s="1929"/>
      <c r="AD383" s="1929"/>
      <c r="AE383" s="1929"/>
      <c r="AF383" s="1929"/>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9"/>
      <c r="G384" s="1929"/>
      <c r="H384" s="1929"/>
      <c r="I384" s="1929"/>
      <c r="J384" s="1929"/>
      <c r="K384" s="1929"/>
      <c r="L384" s="1929"/>
      <c r="M384" s="1929"/>
      <c r="N384" s="1929"/>
      <c r="O384" s="1929"/>
      <c r="P384" s="1929"/>
      <c r="Q384" s="1929"/>
      <c r="R384" s="1929"/>
      <c r="S384" s="1929"/>
      <c r="T384" s="1929"/>
      <c r="U384" s="1929"/>
      <c r="V384" s="1929"/>
      <c r="W384" s="1929"/>
      <c r="X384" s="1929"/>
      <c r="Y384" s="1929"/>
      <c r="Z384" s="1929"/>
      <c r="AA384" s="1929"/>
      <c r="AB384" s="1929"/>
      <c r="AC384" s="1929"/>
      <c r="AD384" s="1929"/>
      <c r="AE384" s="1929"/>
      <c r="AF384" s="1929"/>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9"/>
      <c r="G385" s="1929"/>
      <c r="H385" s="1929"/>
      <c r="I385" s="1929"/>
      <c r="J385" s="1929"/>
      <c r="K385" s="1929"/>
      <c r="L385" s="1929"/>
      <c r="M385" s="1929"/>
      <c r="N385" s="1929"/>
      <c r="O385" s="1929"/>
      <c r="P385" s="1929"/>
      <c r="Q385" s="1929"/>
      <c r="R385" s="1929"/>
      <c r="S385" s="1929"/>
      <c r="T385" s="1929"/>
      <c r="U385" s="1929"/>
      <c r="V385" s="1929"/>
      <c r="W385" s="1929"/>
      <c r="X385" s="1929"/>
      <c r="Y385" s="1929"/>
      <c r="Z385" s="1929"/>
      <c r="AA385" s="1929"/>
      <c r="AB385" s="1929"/>
      <c r="AC385" s="1929"/>
      <c r="AD385" s="1929"/>
      <c r="AE385" s="1929"/>
      <c r="AF385" s="1929"/>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8" t="s">
        <v>554</v>
      </c>
      <c r="D386" s="1939"/>
      <c r="E386" s="725"/>
      <c r="F386" s="755" t="s">
        <v>1579</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7" t="s">
        <v>1580</v>
      </c>
      <c r="AG386" s="1927"/>
      <c r="AH386" s="1927"/>
      <c r="AI386" s="1927"/>
      <c r="AJ386" s="1927"/>
      <c r="AK386" s="1927"/>
      <c r="AL386" s="1940"/>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8" t="s">
        <v>600</v>
      </c>
      <c r="D388" s="1939"/>
      <c r="E388" s="725"/>
      <c r="F388" s="772" t="s">
        <v>1581</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7" t="s">
        <v>1575</v>
      </c>
      <c r="AG388" s="1927"/>
      <c r="AH388" s="1927"/>
      <c r="AI388" s="1927"/>
      <c r="AJ388" s="1927"/>
      <c r="AK388" s="1927"/>
      <c r="AL388" s="1940"/>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1582</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1583</v>
      </c>
      <c r="F392" s="1928" t="s">
        <v>1584</v>
      </c>
      <c r="G392" s="1928"/>
      <c r="H392" s="1928"/>
      <c r="I392" s="1928"/>
      <c r="J392" s="1928"/>
      <c r="K392" s="1928"/>
      <c r="L392" s="1928"/>
      <c r="M392" s="1928"/>
      <c r="N392" s="1928"/>
      <c r="O392" s="1928"/>
      <c r="P392" s="1928"/>
      <c r="Q392" s="1928"/>
      <c r="R392" s="1928"/>
      <c r="S392" s="1928"/>
      <c r="T392" s="1928"/>
      <c r="U392" s="1928"/>
      <c r="V392" s="1928"/>
      <c r="W392" s="1928"/>
      <c r="X392" s="1928"/>
      <c r="Y392" s="1928"/>
      <c r="Z392" s="1928"/>
      <c r="AA392" s="1928"/>
      <c r="AB392" s="1928"/>
      <c r="AC392" s="1928"/>
      <c r="AD392" s="1928"/>
      <c r="AE392" s="1928"/>
      <c r="AF392" s="1928"/>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9"/>
      <c r="G393" s="1929"/>
      <c r="H393" s="1929"/>
      <c r="I393" s="1929"/>
      <c r="J393" s="1929"/>
      <c r="K393" s="1929"/>
      <c r="L393" s="1929"/>
      <c r="M393" s="1929"/>
      <c r="N393" s="1929"/>
      <c r="O393" s="1929"/>
      <c r="P393" s="1929"/>
      <c r="Q393" s="1929"/>
      <c r="R393" s="1929"/>
      <c r="S393" s="1929"/>
      <c r="T393" s="1929"/>
      <c r="U393" s="1929"/>
      <c r="V393" s="1929"/>
      <c r="W393" s="1929"/>
      <c r="X393" s="1929"/>
      <c r="Y393" s="1929"/>
      <c r="Z393" s="1929"/>
      <c r="AA393" s="1929"/>
      <c r="AB393" s="1929"/>
      <c r="AC393" s="1929"/>
      <c r="AD393" s="1929"/>
      <c r="AE393" s="1929"/>
      <c r="AF393" s="1929"/>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9"/>
      <c r="G394" s="1929"/>
      <c r="H394" s="1929"/>
      <c r="I394" s="1929"/>
      <c r="J394" s="1929"/>
      <c r="K394" s="1929"/>
      <c r="L394" s="1929"/>
      <c r="M394" s="1929"/>
      <c r="N394" s="1929"/>
      <c r="O394" s="1929"/>
      <c r="P394" s="1929"/>
      <c r="Q394" s="1929"/>
      <c r="R394" s="1929"/>
      <c r="S394" s="1929"/>
      <c r="T394" s="1929"/>
      <c r="U394" s="1929"/>
      <c r="V394" s="1929"/>
      <c r="W394" s="1929"/>
      <c r="X394" s="1929"/>
      <c r="Y394" s="1929"/>
      <c r="Z394" s="1929"/>
      <c r="AA394" s="1929"/>
      <c r="AB394" s="1929"/>
      <c r="AC394" s="1929"/>
      <c r="AD394" s="1929"/>
      <c r="AE394" s="1929"/>
      <c r="AF394" s="1929"/>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9"/>
      <c r="G395" s="1929"/>
      <c r="H395" s="1929"/>
      <c r="I395" s="1929"/>
      <c r="J395" s="1929"/>
      <c r="K395" s="1929"/>
      <c r="L395" s="1929"/>
      <c r="M395" s="1929"/>
      <c r="N395" s="1929"/>
      <c r="O395" s="1929"/>
      <c r="P395" s="1929"/>
      <c r="Q395" s="1929"/>
      <c r="R395" s="1929"/>
      <c r="S395" s="1929"/>
      <c r="T395" s="1929"/>
      <c r="U395" s="1929"/>
      <c r="V395" s="1929"/>
      <c r="W395" s="1929"/>
      <c r="X395" s="1929"/>
      <c r="Y395" s="1929"/>
      <c r="Z395" s="1929"/>
      <c r="AA395" s="1929"/>
      <c r="AB395" s="1929"/>
      <c r="AC395" s="1929"/>
      <c r="AD395" s="1929"/>
      <c r="AE395" s="1929"/>
      <c r="AF395" s="1929"/>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8" t="s">
        <v>554</v>
      </c>
      <c r="D396" s="1939"/>
      <c r="E396" s="725"/>
      <c r="F396" s="755" t="s">
        <v>1585</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7" t="s">
        <v>1575</v>
      </c>
      <c r="AG396" s="1927"/>
      <c r="AH396" s="1927"/>
      <c r="AI396" s="1927"/>
      <c r="AJ396" s="1927"/>
      <c r="AK396" s="1927"/>
      <c r="AL396" s="1940"/>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8" t="s">
        <v>600</v>
      </c>
      <c r="D398" s="1939"/>
      <c r="E398" s="753"/>
      <c r="F398" s="755" t="s">
        <v>1586</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7" t="s">
        <v>1587</v>
      </c>
      <c r="AG398" s="1927"/>
      <c r="AH398" s="1927"/>
      <c r="AI398" s="1927"/>
      <c r="AJ398" s="1927"/>
      <c r="AK398" s="1927"/>
      <c r="AL398" s="1940"/>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8" t="s">
        <v>600</v>
      </c>
      <c r="D401" s="1939"/>
      <c r="E401" s="749" t="s">
        <v>1588</v>
      </c>
      <c r="F401" s="1928" t="s">
        <v>1589</v>
      </c>
      <c r="G401" s="1928"/>
      <c r="H401" s="1928"/>
      <c r="I401" s="1928"/>
      <c r="J401" s="1928"/>
      <c r="K401" s="1928"/>
      <c r="L401" s="1928"/>
      <c r="M401" s="1928"/>
      <c r="N401" s="1928"/>
      <c r="O401" s="1928"/>
      <c r="P401" s="1928"/>
      <c r="Q401" s="1928"/>
      <c r="R401" s="1928"/>
      <c r="S401" s="1928"/>
      <c r="T401" s="1928"/>
      <c r="U401" s="1928"/>
      <c r="V401" s="1928"/>
      <c r="W401" s="1928"/>
      <c r="X401" s="1928"/>
      <c r="Y401" s="1928"/>
      <c r="Z401" s="1928"/>
      <c r="AA401" s="1928"/>
      <c r="AB401" s="1928"/>
      <c r="AC401" s="1928"/>
      <c r="AD401" s="1928"/>
      <c r="AE401" s="1928"/>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9"/>
      <c r="G402" s="1929"/>
      <c r="H402" s="1929"/>
      <c r="I402" s="1929"/>
      <c r="J402" s="1929"/>
      <c r="K402" s="1929"/>
      <c r="L402" s="1929"/>
      <c r="M402" s="1929"/>
      <c r="N402" s="1929"/>
      <c r="O402" s="1929"/>
      <c r="P402" s="1929"/>
      <c r="Q402" s="1929"/>
      <c r="R402" s="1929"/>
      <c r="S402" s="1929"/>
      <c r="T402" s="1929"/>
      <c r="U402" s="1929"/>
      <c r="V402" s="1929"/>
      <c r="W402" s="1929"/>
      <c r="X402" s="1929"/>
      <c r="Y402" s="1929"/>
      <c r="Z402" s="1929"/>
      <c r="AA402" s="1929"/>
      <c r="AB402" s="1929"/>
      <c r="AC402" s="1929"/>
      <c r="AD402" s="1929"/>
      <c r="AE402" s="1929"/>
      <c r="AF402" s="1997" t="s">
        <v>1575</v>
      </c>
      <c r="AG402" s="1997"/>
      <c r="AH402" s="1997"/>
      <c r="AI402" s="1997"/>
      <c r="AJ402" s="1997"/>
      <c r="AK402" s="1997"/>
      <c r="AL402" s="2027"/>
      <c r="AM402" s="604"/>
      <c r="AN402" s="631"/>
      <c r="BS402" s="604"/>
      <c r="BT402" s="604"/>
      <c r="BY402" s="604"/>
      <c r="BZ402" s="604"/>
      <c r="CA402" s="604"/>
      <c r="CB402" s="604"/>
      <c r="CC402" s="604"/>
    </row>
    <row r="403" spans="1:81" s="584" customFormat="1" ht="12.75" customHeight="1">
      <c r="A403" s="570"/>
      <c r="B403" s="14"/>
      <c r="C403" s="765"/>
      <c r="D403" s="14"/>
      <c r="E403" s="725"/>
      <c r="F403" s="1929"/>
      <c r="G403" s="1929"/>
      <c r="H403" s="1929"/>
      <c r="I403" s="1929"/>
      <c r="J403" s="1929"/>
      <c r="K403" s="1929"/>
      <c r="L403" s="1929"/>
      <c r="M403" s="1929"/>
      <c r="N403" s="1929"/>
      <c r="O403" s="1929"/>
      <c r="P403" s="1929"/>
      <c r="Q403" s="1929"/>
      <c r="R403" s="1929"/>
      <c r="S403" s="1929"/>
      <c r="T403" s="1929"/>
      <c r="U403" s="1929"/>
      <c r="V403" s="1929"/>
      <c r="W403" s="1929"/>
      <c r="X403" s="1929"/>
      <c r="Y403" s="1929"/>
      <c r="Z403" s="1929"/>
      <c r="AA403" s="1929"/>
      <c r="AB403" s="1929"/>
      <c r="AC403" s="1929"/>
      <c r="AD403" s="1929"/>
      <c r="AE403" s="1929"/>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11"/>
      <c r="G404" s="2011"/>
      <c r="H404" s="2011"/>
      <c r="I404" s="2011"/>
      <c r="J404" s="2011"/>
      <c r="K404" s="2011"/>
      <c r="L404" s="2011"/>
      <c r="M404" s="2011"/>
      <c r="N404" s="2011"/>
      <c r="O404" s="2011"/>
      <c r="P404" s="2011"/>
      <c r="Q404" s="2011"/>
      <c r="R404" s="2011"/>
      <c r="S404" s="2011"/>
      <c r="T404" s="2011"/>
      <c r="U404" s="2011"/>
      <c r="V404" s="2011"/>
      <c r="W404" s="2011"/>
      <c r="X404" s="2011"/>
      <c r="Y404" s="2011"/>
      <c r="Z404" s="2011"/>
      <c r="AA404" s="2011"/>
      <c r="AB404" s="2011"/>
      <c r="AC404" s="2011"/>
      <c r="AD404" s="2011"/>
      <c r="AE404" s="2011"/>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1590</v>
      </c>
      <c r="F406" s="1928" t="s">
        <v>1591</v>
      </c>
      <c r="G406" s="1928"/>
      <c r="H406" s="1928"/>
      <c r="I406" s="1928"/>
      <c r="J406" s="1928"/>
      <c r="K406" s="1928"/>
      <c r="L406" s="1928"/>
      <c r="M406" s="1928"/>
      <c r="N406" s="1928"/>
      <c r="O406" s="1928"/>
      <c r="P406" s="1928"/>
      <c r="Q406" s="1928"/>
      <c r="R406" s="1928"/>
      <c r="S406" s="1928"/>
      <c r="T406" s="1928"/>
      <c r="U406" s="1928"/>
      <c r="V406" s="1928"/>
      <c r="W406" s="1928"/>
      <c r="X406" s="1928"/>
      <c r="Y406" s="1928"/>
      <c r="Z406" s="1928"/>
      <c r="AA406" s="1928"/>
      <c r="AB406" s="1928"/>
      <c r="AC406" s="1928"/>
      <c r="AD406" s="1928"/>
      <c r="AE406" s="1928"/>
      <c r="AF406" s="781"/>
      <c r="AG406" s="781"/>
      <c r="AH406" s="781"/>
      <c r="AI406" s="781"/>
      <c r="AJ406" s="781"/>
      <c r="AK406" s="781"/>
      <c r="AL406" s="782"/>
      <c r="AM406" s="604"/>
    </row>
    <row r="407" spans="1:81">
      <c r="A407" s="570"/>
      <c r="C407" s="765"/>
      <c r="E407" s="725"/>
      <c r="F407" s="1929"/>
      <c r="G407" s="1929"/>
      <c r="H407" s="1929"/>
      <c r="I407" s="1929"/>
      <c r="J407" s="1929"/>
      <c r="K407" s="1929"/>
      <c r="L407" s="1929"/>
      <c r="M407" s="1929"/>
      <c r="N407" s="1929"/>
      <c r="O407" s="1929"/>
      <c r="P407" s="1929"/>
      <c r="Q407" s="1929"/>
      <c r="R407" s="1929"/>
      <c r="S407" s="1929"/>
      <c r="T407" s="1929"/>
      <c r="U407" s="1929"/>
      <c r="V407" s="1929"/>
      <c r="W407" s="1929"/>
      <c r="X407" s="1929"/>
      <c r="Y407" s="1929"/>
      <c r="Z407" s="1929"/>
      <c r="AA407" s="1929"/>
      <c r="AB407" s="1929"/>
      <c r="AC407" s="1929"/>
      <c r="AD407" s="1929"/>
      <c r="AE407" s="1929"/>
      <c r="AF407" s="573"/>
      <c r="AG407" s="570"/>
      <c r="AH407" s="584"/>
      <c r="AI407" s="584"/>
      <c r="AJ407" s="584"/>
      <c r="AK407" s="584"/>
      <c r="AL407" s="766"/>
      <c r="AM407" s="604"/>
    </row>
    <row r="408" spans="1:81" s="584" customFormat="1" ht="12.75" customHeight="1">
      <c r="A408" s="570"/>
      <c r="B408" s="14"/>
      <c r="C408" s="765"/>
      <c r="D408" s="14"/>
      <c r="E408" s="725"/>
      <c r="F408" s="1929"/>
      <c r="G408" s="1929"/>
      <c r="H408" s="1929"/>
      <c r="I408" s="1929"/>
      <c r="J408" s="1929"/>
      <c r="K408" s="1929"/>
      <c r="L408" s="1929"/>
      <c r="M408" s="1929"/>
      <c r="N408" s="1929"/>
      <c r="O408" s="1929"/>
      <c r="P408" s="1929"/>
      <c r="Q408" s="1929"/>
      <c r="R408" s="1929"/>
      <c r="S408" s="1929"/>
      <c r="T408" s="1929"/>
      <c r="U408" s="1929"/>
      <c r="V408" s="1929"/>
      <c r="W408" s="1929"/>
      <c r="X408" s="1929"/>
      <c r="Y408" s="1929"/>
      <c r="Z408" s="1929"/>
      <c r="AA408" s="1929"/>
      <c r="AB408" s="1929"/>
      <c r="AC408" s="1929"/>
      <c r="AD408" s="1929"/>
      <c r="AE408" s="1929"/>
      <c r="AL408" s="766"/>
      <c r="AM408" s="604"/>
      <c r="AN408" s="631"/>
    </row>
    <row r="409" spans="1:81" s="584" customFormat="1" ht="12.75" customHeight="1">
      <c r="A409" s="570"/>
      <c r="B409" s="14"/>
      <c r="C409" s="773"/>
      <c r="F409" s="1929"/>
      <c r="G409" s="1929"/>
      <c r="H409" s="1929"/>
      <c r="I409" s="1929"/>
      <c r="J409" s="1929"/>
      <c r="K409" s="1929"/>
      <c r="L409" s="1929"/>
      <c r="M409" s="1929"/>
      <c r="N409" s="1929"/>
      <c r="O409" s="1929"/>
      <c r="P409" s="1929"/>
      <c r="Q409" s="1929"/>
      <c r="R409" s="1929"/>
      <c r="S409" s="1929"/>
      <c r="T409" s="1929"/>
      <c r="U409" s="1929"/>
      <c r="V409" s="1929"/>
      <c r="W409" s="1929"/>
      <c r="X409" s="1929"/>
      <c r="Y409" s="1929"/>
      <c r="Z409" s="1929"/>
      <c r="AA409" s="1929"/>
      <c r="AB409" s="1929"/>
      <c r="AC409" s="1929"/>
      <c r="AD409" s="1929"/>
      <c r="AE409" s="1929"/>
      <c r="AL409" s="766"/>
      <c r="AM409" s="604"/>
      <c r="AN409" s="631"/>
    </row>
    <row r="410" spans="1:81" s="584" customFormat="1" ht="12.75" customHeight="1">
      <c r="A410" s="570"/>
      <c r="B410" s="14"/>
      <c r="C410" s="1938" t="s">
        <v>600</v>
      </c>
      <c r="D410" s="1939"/>
      <c r="E410" s="725"/>
      <c r="F410" s="755" t="s">
        <v>1592</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7" t="s">
        <v>1575</v>
      </c>
      <c r="AG410" s="1997"/>
      <c r="AH410" s="1997"/>
      <c r="AI410" s="1997"/>
      <c r="AJ410" s="1997"/>
      <c r="AK410" s="1997"/>
      <c r="AL410" s="2027"/>
      <c r="AM410" s="604"/>
      <c r="AN410" s="631"/>
    </row>
    <row r="411" spans="1:81" s="584" customFormat="1" ht="12.75" customHeight="1">
      <c r="A411" s="570"/>
      <c r="B411" s="14"/>
      <c r="C411" s="773"/>
      <c r="AL411" s="766"/>
      <c r="AM411" s="604"/>
      <c r="AN411" s="631"/>
    </row>
    <row r="412" spans="1:81" s="584" customFormat="1" ht="12.75" customHeight="1">
      <c r="A412" s="570"/>
      <c r="B412" s="14"/>
      <c r="C412" s="1938" t="s">
        <v>600</v>
      </c>
      <c r="D412" s="1939"/>
      <c r="E412" s="753"/>
      <c r="F412" s="755" t="s">
        <v>1593</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7" t="s">
        <v>1587</v>
      </c>
      <c r="AG412" s="1997"/>
      <c r="AH412" s="1997"/>
      <c r="AI412" s="1997"/>
      <c r="AJ412" s="1997"/>
      <c r="AK412" s="1997"/>
      <c r="AL412" s="2027"/>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2576</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1594</v>
      </c>
      <c r="F416" s="1928" t="s">
        <v>1595</v>
      </c>
      <c r="G416" s="1928"/>
      <c r="H416" s="1928"/>
      <c r="I416" s="1928"/>
      <c r="J416" s="1928"/>
      <c r="K416" s="1928"/>
      <c r="L416" s="1928"/>
      <c r="M416" s="1928"/>
      <c r="N416" s="1928"/>
      <c r="O416" s="1928"/>
      <c r="P416" s="1928"/>
      <c r="Q416" s="1928"/>
      <c r="R416" s="1928"/>
      <c r="S416" s="1928"/>
      <c r="T416" s="1928"/>
      <c r="U416" s="1928"/>
      <c r="V416" s="1928"/>
      <c r="W416" s="1928"/>
      <c r="X416" s="1928"/>
      <c r="Y416" s="1928"/>
      <c r="Z416" s="1928"/>
      <c r="AA416" s="1928"/>
      <c r="AB416" s="1928"/>
      <c r="AC416" s="1928"/>
      <c r="AD416" s="1928"/>
      <c r="AE416" s="1928"/>
      <c r="AF416" s="748"/>
      <c r="AG416" s="748"/>
      <c r="AH416" s="748"/>
      <c r="AI416" s="748"/>
      <c r="AJ416" s="748"/>
      <c r="AK416" s="748"/>
      <c r="AL416" s="779"/>
      <c r="AM416" s="604"/>
      <c r="AN416" s="631"/>
    </row>
    <row r="417" spans="1:60" s="584" customFormat="1" ht="12.75" customHeight="1">
      <c r="A417" s="570"/>
      <c r="B417" s="14"/>
      <c r="C417" s="765"/>
      <c r="D417" s="14"/>
      <c r="E417" s="725"/>
      <c r="F417" s="1929"/>
      <c r="G417" s="1929"/>
      <c r="H417" s="1929"/>
      <c r="I417" s="1929"/>
      <c r="J417" s="1929"/>
      <c r="K417" s="1929"/>
      <c r="L417" s="1929"/>
      <c r="M417" s="1929"/>
      <c r="N417" s="1929"/>
      <c r="O417" s="1929"/>
      <c r="P417" s="1929"/>
      <c r="Q417" s="1929"/>
      <c r="R417" s="1929"/>
      <c r="S417" s="1929"/>
      <c r="T417" s="1929"/>
      <c r="U417" s="1929"/>
      <c r="V417" s="1929"/>
      <c r="W417" s="1929"/>
      <c r="X417" s="1929"/>
      <c r="Y417" s="1929"/>
      <c r="Z417" s="1929"/>
      <c r="AA417" s="1929"/>
      <c r="AB417" s="1929"/>
      <c r="AC417" s="1929"/>
      <c r="AD417" s="1929"/>
      <c r="AE417" s="1929"/>
      <c r="AF417" s="573"/>
      <c r="AG417" s="570"/>
      <c r="AL417" s="766"/>
      <c r="AM417" s="604"/>
      <c r="AN417" s="631"/>
    </row>
    <row r="418" spans="1:60" s="584" customFormat="1" ht="12.55" customHeight="1">
      <c r="A418" s="570"/>
      <c r="B418" s="14"/>
      <c r="C418" s="765"/>
      <c r="D418" s="14"/>
      <c r="E418" s="725"/>
      <c r="F418" s="1929"/>
      <c r="G418" s="1929"/>
      <c r="H418" s="1929"/>
      <c r="I418" s="1929"/>
      <c r="J418" s="1929"/>
      <c r="K418" s="1929"/>
      <c r="L418" s="1929"/>
      <c r="M418" s="1929"/>
      <c r="N418" s="1929"/>
      <c r="O418" s="1929"/>
      <c r="P418" s="1929"/>
      <c r="Q418" s="1929"/>
      <c r="R418" s="1929"/>
      <c r="S418" s="1929"/>
      <c r="T418" s="1929"/>
      <c r="U418" s="1929"/>
      <c r="V418" s="1929"/>
      <c r="W418" s="1929"/>
      <c r="X418" s="1929"/>
      <c r="Y418" s="1929"/>
      <c r="Z418" s="1929"/>
      <c r="AA418" s="1929"/>
      <c r="AB418" s="1929"/>
      <c r="AC418" s="1929"/>
      <c r="AD418" s="1929"/>
      <c r="AE418" s="1929"/>
      <c r="AL418" s="766"/>
      <c r="AM418" s="604"/>
      <c r="AN418" s="631"/>
    </row>
    <row r="419" spans="1:60" s="584" customFormat="1" ht="12.75" customHeight="1">
      <c r="A419" s="570"/>
      <c r="B419" s="14"/>
      <c r="C419" s="1938" t="s">
        <v>600</v>
      </c>
      <c r="D419" s="1939"/>
      <c r="E419" s="725"/>
      <c r="F419" s="755" t="s">
        <v>1596</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7" t="s">
        <v>1575</v>
      </c>
      <c r="AG419" s="1997"/>
      <c r="AH419" s="1997"/>
      <c r="AI419" s="1997"/>
      <c r="AJ419" s="1997"/>
      <c r="AK419" s="1997"/>
      <c r="AL419" s="2027"/>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3" customHeight="1">
      <c r="A422" s="570"/>
      <c r="C422" s="780"/>
      <c r="D422" s="781"/>
      <c r="E422" s="749" t="s">
        <v>1597</v>
      </c>
      <c r="F422" s="1928" t="s">
        <v>1598</v>
      </c>
      <c r="G422" s="1928"/>
      <c r="H422" s="1928"/>
      <c r="I422" s="1928"/>
      <c r="J422" s="1928"/>
      <c r="K422" s="1928"/>
      <c r="L422" s="1928"/>
      <c r="M422" s="1928"/>
      <c r="N422" s="1928"/>
      <c r="O422" s="1928"/>
      <c r="P422" s="1928"/>
      <c r="Q422" s="1928"/>
      <c r="R422" s="1928"/>
      <c r="S422" s="1928"/>
      <c r="T422" s="1928"/>
      <c r="U422" s="1928"/>
      <c r="V422" s="1928"/>
      <c r="W422" s="1928"/>
      <c r="X422" s="1928"/>
      <c r="Y422" s="1928"/>
      <c r="Z422" s="1928"/>
      <c r="AA422" s="1928"/>
      <c r="AB422" s="1928"/>
      <c r="AC422" s="1928"/>
      <c r="AD422" s="1928"/>
      <c r="AE422" s="1928"/>
      <c r="AF422" s="781"/>
      <c r="AG422" s="781"/>
      <c r="AH422" s="781"/>
      <c r="AI422" s="781"/>
      <c r="AJ422" s="781"/>
      <c r="AK422" s="781"/>
      <c r="AL422" s="782"/>
      <c r="AM422" s="604"/>
      <c r="AO422" s="584"/>
      <c r="AP422" s="584"/>
      <c r="BD422" s="14"/>
      <c r="BE422" s="14"/>
      <c r="BF422" s="14"/>
      <c r="BG422" s="14"/>
      <c r="BH422" s="14"/>
    </row>
    <row r="423" spans="1:60">
      <c r="A423" s="570"/>
      <c r="C423" s="765"/>
      <c r="E423" s="725"/>
      <c r="F423" s="1929"/>
      <c r="G423" s="1929"/>
      <c r="H423" s="1929"/>
      <c r="I423" s="1929"/>
      <c r="J423" s="1929"/>
      <c r="K423" s="1929"/>
      <c r="L423" s="1929"/>
      <c r="M423" s="1929"/>
      <c r="N423" s="1929"/>
      <c r="O423" s="1929"/>
      <c r="P423" s="1929"/>
      <c r="Q423" s="1929"/>
      <c r="R423" s="1929"/>
      <c r="S423" s="1929"/>
      <c r="T423" s="1929"/>
      <c r="U423" s="1929"/>
      <c r="V423" s="1929"/>
      <c r="W423" s="1929"/>
      <c r="X423" s="1929"/>
      <c r="Y423" s="1929"/>
      <c r="Z423" s="1929"/>
      <c r="AA423" s="1929"/>
      <c r="AB423" s="1929"/>
      <c r="AC423" s="1929"/>
      <c r="AD423" s="1929"/>
      <c r="AE423" s="1929"/>
      <c r="AF423" s="628"/>
      <c r="AG423" s="628"/>
      <c r="AH423" s="628"/>
      <c r="AI423" s="628"/>
      <c r="AJ423" s="628"/>
      <c r="AK423" s="628"/>
      <c r="AL423" s="784"/>
      <c r="AM423" s="604"/>
      <c r="AO423" s="584"/>
      <c r="AP423" s="584"/>
    </row>
    <row r="424" spans="1:60" s="584" customFormat="1" ht="12.75" customHeight="1">
      <c r="A424" s="570"/>
      <c r="B424" s="14"/>
      <c r="C424" s="765"/>
      <c r="D424" s="14"/>
      <c r="E424" s="725"/>
      <c r="F424" s="1929"/>
      <c r="G424" s="1929"/>
      <c r="H424" s="1929"/>
      <c r="I424" s="1929"/>
      <c r="J424" s="1929"/>
      <c r="K424" s="1929"/>
      <c r="L424" s="1929"/>
      <c r="M424" s="1929"/>
      <c r="N424" s="1929"/>
      <c r="O424" s="1929"/>
      <c r="P424" s="1929"/>
      <c r="Q424" s="1929"/>
      <c r="R424" s="1929"/>
      <c r="S424" s="1929"/>
      <c r="T424" s="1929"/>
      <c r="U424" s="1929"/>
      <c r="V424" s="1929"/>
      <c r="W424" s="1929"/>
      <c r="X424" s="1929"/>
      <c r="Y424" s="1929"/>
      <c r="Z424" s="1929"/>
      <c r="AA424" s="1929"/>
      <c r="AB424" s="1929"/>
      <c r="AC424" s="1929"/>
      <c r="AD424" s="1929"/>
      <c r="AE424" s="1929"/>
      <c r="AF424" s="628"/>
      <c r="AG424" s="628"/>
      <c r="AH424" s="628"/>
      <c r="AI424" s="628"/>
      <c r="AJ424" s="628"/>
      <c r="AK424" s="628"/>
      <c r="AL424" s="784"/>
      <c r="AM424" s="604"/>
      <c r="AN424" s="631"/>
    </row>
    <row r="425" spans="1:60" s="584" customFormat="1" ht="12.75" customHeight="1">
      <c r="A425" s="570"/>
      <c r="B425" s="14"/>
      <c r="C425" s="785"/>
      <c r="D425" s="764"/>
      <c r="E425" s="753"/>
      <c r="F425" s="1929"/>
      <c r="G425" s="1929"/>
      <c r="H425" s="1929"/>
      <c r="I425" s="1929"/>
      <c r="J425" s="1929"/>
      <c r="K425" s="1929"/>
      <c r="L425" s="1929"/>
      <c r="M425" s="1929"/>
      <c r="N425" s="1929"/>
      <c r="O425" s="1929"/>
      <c r="P425" s="1929"/>
      <c r="Q425" s="1929"/>
      <c r="R425" s="1929"/>
      <c r="S425" s="1929"/>
      <c r="T425" s="1929"/>
      <c r="U425" s="1929"/>
      <c r="V425" s="1929"/>
      <c r="W425" s="1929"/>
      <c r="X425" s="1929"/>
      <c r="Y425" s="1929"/>
      <c r="Z425" s="1929"/>
      <c r="AA425" s="1929"/>
      <c r="AB425" s="1929"/>
      <c r="AC425" s="1929"/>
      <c r="AD425" s="1929"/>
      <c r="AE425" s="1929"/>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9"/>
      <c r="G426" s="1929"/>
      <c r="H426" s="1929"/>
      <c r="I426" s="1929"/>
      <c r="J426" s="1929"/>
      <c r="K426" s="1929"/>
      <c r="L426" s="1929"/>
      <c r="M426" s="1929"/>
      <c r="N426" s="1929"/>
      <c r="O426" s="1929"/>
      <c r="P426" s="1929"/>
      <c r="Q426" s="1929"/>
      <c r="R426" s="1929"/>
      <c r="S426" s="1929"/>
      <c r="T426" s="1929"/>
      <c r="U426" s="1929"/>
      <c r="V426" s="1929"/>
      <c r="W426" s="1929"/>
      <c r="X426" s="1929"/>
      <c r="Y426" s="1929"/>
      <c r="Z426" s="1929"/>
      <c r="AA426" s="1929"/>
      <c r="AB426" s="1929"/>
      <c r="AC426" s="1929"/>
      <c r="AD426" s="1929"/>
      <c r="AE426" s="1929"/>
      <c r="AF426" s="628"/>
      <c r="AG426" s="628"/>
      <c r="AH426" s="628"/>
      <c r="AI426" s="628"/>
      <c r="AJ426" s="628"/>
      <c r="AK426" s="628"/>
      <c r="AL426" s="784"/>
      <c r="AM426" s="604"/>
      <c r="AN426" s="631"/>
    </row>
    <row r="427" spans="1:60" s="584" customFormat="1" ht="12.75" customHeight="1">
      <c r="A427" s="570"/>
      <c r="B427" s="14"/>
      <c r="C427" s="785"/>
      <c r="D427" s="764"/>
      <c r="E427" s="753"/>
      <c r="F427" s="1929"/>
      <c r="G427" s="1929"/>
      <c r="H427" s="1929"/>
      <c r="I427" s="1929"/>
      <c r="J427" s="1929"/>
      <c r="K427" s="1929"/>
      <c r="L427" s="1929"/>
      <c r="M427" s="1929"/>
      <c r="N427" s="1929"/>
      <c r="O427" s="1929"/>
      <c r="P427" s="1929"/>
      <c r="Q427" s="1929"/>
      <c r="R427" s="1929"/>
      <c r="S427" s="1929"/>
      <c r="T427" s="1929"/>
      <c r="U427" s="1929"/>
      <c r="V427" s="1929"/>
      <c r="W427" s="1929"/>
      <c r="X427" s="1929"/>
      <c r="Y427" s="1929"/>
      <c r="Z427" s="1929"/>
      <c r="AA427" s="1929"/>
      <c r="AB427" s="1929"/>
      <c r="AC427" s="1929"/>
      <c r="AD427" s="1929"/>
      <c r="AE427" s="1929"/>
      <c r="AF427" s="628"/>
      <c r="AG427" s="628"/>
      <c r="AH427" s="628"/>
      <c r="AI427" s="628"/>
      <c r="AJ427" s="628"/>
      <c r="AK427" s="628"/>
      <c r="AL427" s="784"/>
      <c r="AM427" s="604"/>
      <c r="AN427" s="631"/>
    </row>
    <row r="428" spans="1:60" s="584" customFormat="1" ht="12.75" customHeight="1">
      <c r="A428" s="570"/>
      <c r="B428" s="14"/>
      <c r="C428" s="785"/>
      <c r="D428" s="764"/>
      <c r="E428" s="753"/>
      <c r="F428" s="1929"/>
      <c r="G428" s="1929"/>
      <c r="H428" s="1929"/>
      <c r="I428" s="1929"/>
      <c r="J428" s="1929"/>
      <c r="K428" s="1929"/>
      <c r="L428" s="1929"/>
      <c r="M428" s="1929"/>
      <c r="N428" s="1929"/>
      <c r="O428" s="1929"/>
      <c r="P428" s="1929"/>
      <c r="Q428" s="1929"/>
      <c r="R428" s="1929"/>
      <c r="S428" s="1929"/>
      <c r="T428" s="1929"/>
      <c r="U428" s="1929"/>
      <c r="V428" s="1929"/>
      <c r="W428" s="1929"/>
      <c r="X428" s="1929"/>
      <c r="Y428" s="1929"/>
      <c r="Z428" s="1929"/>
      <c r="AA428" s="1929"/>
      <c r="AB428" s="1929"/>
      <c r="AC428" s="1929"/>
      <c r="AD428" s="1929"/>
      <c r="AE428" s="1929"/>
      <c r="AF428" s="628"/>
      <c r="AG428" s="628"/>
      <c r="AH428" s="628"/>
      <c r="AI428" s="628"/>
      <c r="AJ428" s="628"/>
      <c r="AK428" s="628"/>
      <c r="AL428" s="784"/>
      <c r="AM428" s="604"/>
      <c r="AN428" s="631"/>
    </row>
    <row r="429" spans="1:60" s="584" customFormat="1" ht="12.75" customHeight="1">
      <c r="A429" s="570"/>
      <c r="B429" s="14"/>
      <c r="C429" s="785"/>
      <c r="D429" s="764"/>
      <c r="E429" s="753"/>
      <c r="F429" s="1929"/>
      <c r="G429" s="1929"/>
      <c r="H429" s="1929"/>
      <c r="I429" s="1929"/>
      <c r="J429" s="1929"/>
      <c r="K429" s="1929"/>
      <c r="L429" s="1929"/>
      <c r="M429" s="1929"/>
      <c r="N429" s="1929"/>
      <c r="O429" s="1929"/>
      <c r="P429" s="1929"/>
      <c r="Q429" s="1929"/>
      <c r="R429" s="1929"/>
      <c r="S429" s="1929"/>
      <c r="T429" s="1929"/>
      <c r="U429" s="1929"/>
      <c r="V429" s="1929"/>
      <c r="W429" s="1929"/>
      <c r="X429" s="1929"/>
      <c r="Y429" s="1929"/>
      <c r="Z429" s="1929"/>
      <c r="AA429" s="1929"/>
      <c r="AB429" s="1929"/>
      <c r="AC429" s="1929"/>
      <c r="AD429" s="1929"/>
      <c r="AE429" s="1929"/>
      <c r="AF429" s="628"/>
      <c r="AG429" s="628"/>
      <c r="AH429" s="628"/>
      <c r="AI429" s="628"/>
      <c r="AJ429" s="628"/>
      <c r="AK429" s="628"/>
      <c r="AL429" s="784"/>
      <c r="AM429" s="604"/>
      <c r="AN429" s="631"/>
    </row>
    <row r="430" spans="1:60" s="584" customFormat="1" ht="17.25" customHeight="1">
      <c r="A430" s="570"/>
      <c r="B430" s="14"/>
      <c r="C430" s="785"/>
      <c r="D430" s="764"/>
      <c r="E430" s="753"/>
      <c r="F430" s="1929"/>
      <c r="G430" s="1929"/>
      <c r="H430" s="1929"/>
      <c r="I430" s="1929"/>
      <c r="J430" s="1929"/>
      <c r="K430" s="1929"/>
      <c r="L430" s="1929"/>
      <c r="M430" s="1929"/>
      <c r="N430" s="1929"/>
      <c r="O430" s="1929"/>
      <c r="P430" s="1929"/>
      <c r="Q430" s="1929"/>
      <c r="R430" s="1929"/>
      <c r="S430" s="1929"/>
      <c r="T430" s="1929"/>
      <c r="U430" s="1929"/>
      <c r="V430" s="1929"/>
      <c r="W430" s="1929"/>
      <c r="X430" s="1929"/>
      <c r="Y430" s="1929"/>
      <c r="Z430" s="1929"/>
      <c r="AA430" s="1929"/>
      <c r="AB430" s="1929"/>
      <c r="AC430" s="1929"/>
      <c r="AD430" s="1929"/>
      <c r="AE430" s="1929"/>
      <c r="AL430" s="766"/>
      <c r="AM430" s="604"/>
      <c r="AN430" s="631"/>
    </row>
    <row r="431" spans="1:60" s="584" customFormat="1" ht="12.75" customHeight="1">
      <c r="A431" s="570"/>
      <c r="B431" s="14"/>
      <c r="C431" s="1938" t="s">
        <v>554</v>
      </c>
      <c r="D431" s="1939"/>
      <c r="E431" s="753"/>
      <c r="F431" s="630" t="s">
        <v>1599</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7" t="s">
        <v>1575</v>
      </c>
      <c r="AG431" s="1997"/>
      <c r="AH431" s="1997"/>
      <c r="AI431" s="1997"/>
      <c r="AJ431" s="1997"/>
      <c r="AK431" s="1997"/>
      <c r="AL431" s="2027"/>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1600</v>
      </c>
      <c r="F434" s="1928" t="s">
        <v>1601</v>
      </c>
      <c r="G434" s="1928"/>
      <c r="H434" s="1928"/>
      <c r="I434" s="1928"/>
      <c r="J434" s="1928"/>
      <c r="K434" s="1928"/>
      <c r="L434" s="1928"/>
      <c r="M434" s="1928"/>
      <c r="N434" s="1928"/>
      <c r="O434" s="1928"/>
      <c r="P434" s="1928"/>
      <c r="Q434" s="1928"/>
      <c r="R434" s="1928"/>
      <c r="S434" s="1928"/>
      <c r="T434" s="1928"/>
      <c r="U434" s="1928"/>
      <c r="V434" s="1928"/>
      <c r="W434" s="1928"/>
      <c r="X434" s="1928"/>
      <c r="Y434" s="1928"/>
      <c r="Z434" s="1928"/>
      <c r="AA434" s="1928"/>
      <c r="AB434" s="1928"/>
      <c r="AC434" s="1928"/>
      <c r="AD434" s="1928"/>
      <c r="AE434" s="1928"/>
      <c r="AF434" s="748"/>
      <c r="AG434" s="748"/>
      <c r="AH434" s="748"/>
      <c r="AI434" s="748"/>
      <c r="AJ434" s="748"/>
      <c r="AK434" s="748"/>
      <c r="AL434" s="779"/>
      <c r="AM434" s="604"/>
      <c r="AN434" s="631"/>
    </row>
    <row r="435" spans="1:40" s="584" customFormat="1" ht="12.75" customHeight="1">
      <c r="A435" s="570"/>
      <c r="B435" s="14"/>
      <c r="C435" s="785"/>
      <c r="D435" s="764"/>
      <c r="E435" s="753"/>
      <c r="F435" s="1929"/>
      <c r="G435" s="1929"/>
      <c r="H435" s="1929"/>
      <c r="I435" s="1929"/>
      <c r="J435" s="1929"/>
      <c r="K435" s="1929"/>
      <c r="L435" s="1929"/>
      <c r="M435" s="1929"/>
      <c r="N435" s="1929"/>
      <c r="O435" s="1929"/>
      <c r="P435" s="1929"/>
      <c r="Q435" s="1929"/>
      <c r="R435" s="1929"/>
      <c r="S435" s="1929"/>
      <c r="T435" s="1929"/>
      <c r="U435" s="1929"/>
      <c r="V435" s="1929"/>
      <c r="W435" s="1929"/>
      <c r="X435" s="1929"/>
      <c r="Y435" s="1929"/>
      <c r="Z435" s="1929"/>
      <c r="AA435" s="1929"/>
      <c r="AB435" s="1929"/>
      <c r="AC435" s="1929"/>
      <c r="AD435" s="1929"/>
      <c r="AE435" s="1929"/>
      <c r="AF435" s="625"/>
      <c r="AG435" s="625"/>
      <c r="AH435" s="625"/>
      <c r="AI435" s="625"/>
      <c r="AJ435" s="625"/>
      <c r="AK435" s="625"/>
      <c r="AL435" s="754"/>
      <c r="AM435" s="604"/>
      <c r="AN435" s="631"/>
    </row>
    <row r="436" spans="1:40" s="584" customFormat="1" ht="12.75" customHeight="1">
      <c r="A436" s="570"/>
      <c r="B436" s="14"/>
      <c r="C436" s="785"/>
      <c r="D436" s="764"/>
      <c r="E436" s="753"/>
      <c r="F436" s="1929"/>
      <c r="G436" s="1929"/>
      <c r="H436" s="1929"/>
      <c r="I436" s="1929"/>
      <c r="J436" s="1929"/>
      <c r="K436" s="1929"/>
      <c r="L436" s="1929"/>
      <c r="M436" s="1929"/>
      <c r="N436" s="1929"/>
      <c r="O436" s="1929"/>
      <c r="P436" s="1929"/>
      <c r="Q436" s="1929"/>
      <c r="R436" s="1929"/>
      <c r="S436" s="1929"/>
      <c r="T436" s="1929"/>
      <c r="U436" s="1929"/>
      <c r="V436" s="1929"/>
      <c r="W436" s="1929"/>
      <c r="X436" s="1929"/>
      <c r="Y436" s="1929"/>
      <c r="Z436" s="1929"/>
      <c r="AA436" s="1929"/>
      <c r="AB436" s="1929"/>
      <c r="AC436" s="1929"/>
      <c r="AD436" s="1929"/>
      <c r="AE436" s="1929"/>
      <c r="AF436" s="625"/>
      <c r="AG436" s="625"/>
      <c r="AH436" s="625"/>
      <c r="AI436" s="625"/>
      <c r="AJ436" s="625"/>
      <c r="AK436" s="625"/>
      <c r="AL436" s="754"/>
      <c r="AM436" s="604"/>
      <c r="AN436" s="631"/>
    </row>
    <row r="437" spans="1:40" s="584" customFormat="1" ht="12.75" customHeight="1">
      <c r="A437" s="570"/>
      <c r="B437" s="14"/>
      <c r="C437" s="785"/>
      <c r="D437" s="764"/>
      <c r="E437" s="753"/>
      <c r="F437" s="1929"/>
      <c r="G437" s="1929"/>
      <c r="H437" s="1929"/>
      <c r="I437" s="1929"/>
      <c r="J437" s="1929"/>
      <c r="K437" s="1929"/>
      <c r="L437" s="1929"/>
      <c r="M437" s="1929"/>
      <c r="N437" s="1929"/>
      <c r="O437" s="1929"/>
      <c r="P437" s="1929"/>
      <c r="Q437" s="1929"/>
      <c r="R437" s="1929"/>
      <c r="S437" s="1929"/>
      <c r="T437" s="1929"/>
      <c r="U437" s="1929"/>
      <c r="V437" s="1929"/>
      <c r="W437" s="1929"/>
      <c r="X437" s="1929"/>
      <c r="Y437" s="1929"/>
      <c r="Z437" s="1929"/>
      <c r="AA437" s="1929"/>
      <c r="AB437" s="1929"/>
      <c r="AC437" s="1929"/>
      <c r="AD437" s="1929"/>
      <c r="AE437" s="1929"/>
      <c r="AL437" s="766"/>
      <c r="AM437" s="604"/>
      <c r="AN437" s="631"/>
    </row>
    <row r="438" spans="1:40" s="584" customFormat="1" ht="12.75" customHeight="1">
      <c r="A438" s="570"/>
      <c r="B438" s="14"/>
      <c r="C438" s="1938" t="s">
        <v>554</v>
      </c>
      <c r="D438" s="1939"/>
      <c r="E438" s="753"/>
      <c r="F438" s="755" t="s">
        <v>1605</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7" t="s">
        <v>1575</v>
      </c>
      <c r="AG438" s="1997"/>
      <c r="AH438" s="1997"/>
      <c r="AI438" s="1997"/>
      <c r="AJ438" s="1997"/>
      <c r="AK438" s="1997"/>
      <c r="AL438" s="2027"/>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1582</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6" t="s">
        <v>600</v>
      </c>
      <c r="D442" s="2057"/>
      <c r="E442" s="749" t="s">
        <v>1610</v>
      </c>
      <c r="F442" s="1928" t="s">
        <v>1611</v>
      </c>
      <c r="G442" s="1928"/>
      <c r="H442" s="1928"/>
      <c r="I442" s="1928"/>
      <c r="J442" s="1928"/>
      <c r="K442" s="1928"/>
      <c r="L442" s="1928"/>
      <c r="M442" s="1928"/>
      <c r="N442" s="1928"/>
      <c r="O442" s="1928"/>
      <c r="P442" s="1928"/>
      <c r="Q442" s="1928"/>
      <c r="R442" s="1928"/>
      <c r="S442" s="1928"/>
      <c r="T442" s="1928"/>
      <c r="U442" s="1928"/>
      <c r="V442" s="1928"/>
      <c r="W442" s="1928"/>
      <c r="X442" s="1928"/>
      <c r="Y442" s="1928"/>
      <c r="Z442" s="1928"/>
      <c r="AA442" s="1928"/>
      <c r="AB442" s="1928"/>
      <c r="AC442" s="1928"/>
      <c r="AD442" s="1928"/>
      <c r="AE442" s="1928"/>
      <c r="AF442" s="2023" t="s">
        <v>1575</v>
      </c>
      <c r="AG442" s="2023"/>
      <c r="AH442" s="2023"/>
      <c r="AI442" s="2023"/>
      <c r="AJ442" s="2023"/>
      <c r="AK442" s="2023"/>
      <c r="AL442" s="2024"/>
      <c r="AM442" s="604"/>
      <c r="AN442" s="787"/>
    </row>
    <row r="443" spans="1:40" s="584" customFormat="1" ht="12.75" customHeight="1">
      <c r="A443" s="570"/>
      <c r="B443" s="14"/>
      <c r="C443" s="785"/>
      <c r="D443" s="764"/>
      <c r="E443" s="753"/>
      <c r="F443" s="1929"/>
      <c r="G443" s="1929"/>
      <c r="H443" s="1929"/>
      <c r="I443" s="1929"/>
      <c r="J443" s="1929"/>
      <c r="K443" s="1929"/>
      <c r="L443" s="1929"/>
      <c r="M443" s="1929"/>
      <c r="N443" s="1929"/>
      <c r="O443" s="1929"/>
      <c r="P443" s="1929"/>
      <c r="Q443" s="1929"/>
      <c r="R443" s="1929"/>
      <c r="S443" s="1929"/>
      <c r="T443" s="1929"/>
      <c r="U443" s="1929"/>
      <c r="V443" s="1929"/>
      <c r="W443" s="1929"/>
      <c r="X443" s="1929"/>
      <c r="Y443" s="1929"/>
      <c r="Z443" s="1929"/>
      <c r="AA443" s="1929"/>
      <c r="AB443" s="1929"/>
      <c r="AC443" s="1929"/>
      <c r="AD443" s="1929"/>
      <c r="AE443" s="1929"/>
      <c r="AF443" s="625"/>
      <c r="AG443" s="625"/>
      <c r="AH443" s="625"/>
      <c r="AI443" s="625"/>
      <c r="AJ443" s="625"/>
      <c r="AK443" s="625"/>
      <c r="AL443" s="754"/>
      <c r="AM443" s="604"/>
      <c r="AN443" s="788"/>
    </row>
    <row r="444" spans="1:40" s="584" customFormat="1" ht="17.8" customHeight="1">
      <c r="A444" s="570"/>
      <c r="B444" s="14"/>
      <c r="C444" s="790"/>
      <c r="D444" s="757"/>
      <c r="E444" s="758"/>
      <c r="F444" s="2011"/>
      <c r="G444" s="2011"/>
      <c r="H444" s="2011"/>
      <c r="I444" s="2011"/>
      <c r="J444" s="2011"/>
      <c r="K444" s="2011"/>
      <c r="L444" s="2011"/>
      <c r="M444" s="2011"/>
      <c r="N444" s="2011"/>
      <c r="O444" s="2011"/>
      <c r="P444" s="2011"/>
      <c r="Q444" s="2011"/>
      <c r="R444" s="2011"/>
      <c r="S444" s="2011"/>
      <c r="T444" s="2011"/>
      <c r="U444" s="2011"/>
      <c r="V444" s="2011"/>
      <c r="W444" s="2011"/>
      <c r="X444" s="2011"/>
      <c r="Y444" s="2011"/>
      <c r="Z444" s="2011"/>
      <c r="AA444" s="2011"/>
      <c r="AB444" s="2011"/>
      <c r="AC444" s="2011"/>
      <c r="AD444" s="2011"/>
      <c r="AE444" s="2011"/>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8" t="s">
        <v>600</v>
      </c>
      <c r="D446" s="1939"/>
      <c r="E446" s="749" t="s">
        <v>1616</v>
      </c>
      <c r="F446" s="1928" t="s">
        <v>1617</v>
      </c>
      <c r="G446" s="1928"/>
      <c r="H446" s="1928"/>
      <c r="I446" s="1928"/>
      <c r="J446" s="1928"/>
      <c r="K446" s="1928"/>
      <c r="L446" s="1928"/>
      <c r="M446" s="1928"/>
      <c r="N446" s="1928"/>
      <c r="O446" s="1928"/>
      <c r="P446" s="1928"/>
      <c r="Q446" s="1928"/>
      <c r="R446" s="1928"/>
      <c r="S446" s="1928"/>
      <c r="T446" s="1928"/>
      <c r="U446" s="1928"/>
      <c r="V446" s="1928"/>
      <c r="W446" s="1928"/>
      <c r="X446" s="1928"/>
      <c r="Y446" s="1928"/>
      <c r="Z446" s="1928"/>
      <c r="AA446" s="1928"/>
      <c r="AB446" s="1928"/>
      <c r="AC446" s="1928"/>
      <c r="AD446" s="1928"/>
      <c r="AE446" s="1928"/>
      <c r="AF446" s="2023" t="s">
        <v>1575</v>
      </c>
      <c r="AG446" s="2023"/>
      <c r="AH446" s="2023"/>
      <c r="AI446" s="2023"/>
      <c r="AJ446" s="2023"/>
      <c r="AK446" s="2023"/>
      <c r="AL446" s="2024"/>
      <c r="AM446" s="604"/>
      <c r="AN446" s="569"/>
    </row>
    <row r="447" spans="1:40" s="584" customFormat="1" ht="12.75" customHeight="1">
      <c r="A447" s="570"/>
      <c r="B447" s="14"/>
      <c r="C447" s="765"/>
      <c r="D447" s="14"/>
      <c r="E447" s="725"/>
      <c r="F447" s="1929"/>
      <c r="G447" s="1929"/>
      <c r="H447" s="1929"/>
      <c r="I447" s="1929"/>
      <c r="J447" s="1929"/>
      <c r="K447" s="1929"/>
      <c r="L447" s="1929"/>
      <c r="M447" s="1929"/>
      <c r="N447" s="1929"/>
      <c r="O447" s="1929"/>
      <c r="P447" s="1929"/>
      <c r="Q447" s="1929"/>
      <c r="R447" s="1929"/>
      <c r="S447" s="1929"/>
      <c r="T447" s="1929"/>
      <c r="U447" s="1929"/>
      <c r="V447" s="1929"/>
      <c r="W447" s="1929"/>
      <c r="X447" s="1929"/>
      <c r="Y447" s="1929"/>
      <c r="Z447" s="1929"/>
      <c r="AA447" s="1929"/>
      <c r="AB447" s="1929"/>
      <c r="AC447" s="1929"/>
      <c r="AD447" s="1929"/>
      <c r="AE447" s="1929"/>
      <c r="AF447" s="573"/>
      <c r="AG447" s="570"/>
      <c r="AL447" s="766"/>
      <c r="AM447" s="604"/>
      <c r="AN447" s="569"/>
    </row>
    <row r="448" spans="1:40" s="584" customFormat="1" ht="12.75" customHeight="1">
      <c r="A448" s="570"/>
      <c r="B448" s="14"/>
      <c r="C448" s="765"/>
      <c r="D448" s="14"/>
      <c r="E448" s="725"/>
      <c r="F448" s="1929"/>
      <c r="G448" s="1929"/>
      <c r="H448" s="1929"/>
      <c r="I448" s="1929"/>
      <c r="J448" s="1929"/>
      <c r="K448" s="1929"/>
      <c r="L448" s="1929"/>
      <c r="M448" s="1929"/>
      <c r="N448" s="1929"/>
      <c r="O448" s="1929"/>
      <c r="P448" s="1929"/>
      <c r="Q448" s="1929"/>
      <c r="R448" s="1929"/>
      <c r="S448" s="1929"/>
      <c r="T448" s="1929"/>
      <c r="U448" s="1929"/>
      <c r="V448" s="1929"/>
      <c r="W448" s="1929"/>
      <c r="X448" s="1929"/>
      <c r="Y448" s="1929"/>
      <c r="Z448" s="1929"/>
      <c r="AA448" s="1929"/>
      <c r="AB448" s="1929"/>
      <c r="AC448" s="1929"/>
      <c r="AD448" s="1929"/>
      <c r="AE448" s="1929"/>
      <c r="AF448" s="573"/>
      <c r="AG448" s="570"/>
      <c r="AL448" s="766"/>
      <c r="AM448" s="604"/>
      <c r="AN448" s="569"/>
    </row>
    <row r="449" spans="1:48" s="584" customFormat="1" ht="12.75" customHeight="1">
      <c r="A449" s="570"/>
      <c r="B449" s="14"/>
      <c r="C449" s="790"/>
      <c r="D449" s="757"/>
      <c r="E449" s="758"/>
      <c r="F449" s="2011"/>
      <c r="G449" s="2011"/>
      <c r="H449" s="2011"/>
      <c r="I449" s="2011"/>
      <c r="J449" s="2011"/>
      <c r="K449" s="2011"/>
      <c r="L449" s="2011"/>
      <c r="M449" s="2011"/>
      <c r="N449" s="2011"/>
      <c r="O449" s="2011"/>
      <c r="P449" s="2011"/>
      <c r="Q449" s="2011"/>
      <c r="R449" s="2011"/>
      <c r="S449" s="2011"/>
      <c r="T449" s="2011"/>
      <c r="U449" s="2011"/>
      <c r="V449" s="2011"/>
      <c r="W449" s="2011"/>
      <c r="X449" s="2011"/>
      <c r="Y449" s="2011"/>
      <c r="Z449" s="2011"/>
      <c r="AA449" s="2011"/>
      <c r="AB449" s="2011"/>
      <c r="AC449" s="2011"/>
      <c r="AD449" s="2011"/>
      <c r="AE449" s="2011"/>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1619</v>
      </c>
      <c r="F451" s="1928" t="s">
        <v>1620</v>
      </c>
      <c r="G451" s="1928"/>
      <c r="H451" s="1928"/>
      <c r="I451" s="1928"/>
      <c r="J451" s="1928"/>
      <c r="K451" s="1928"/>
      <c r="L451" s="1928"/>
      <c r="M451" s="1928"/>
      <c r="N451" s="1928"/>
      <c r="O451" s="1928"/>
      <c r="P451" s="1928"/>
      <c r="Q451" s="1928"/>
      <c r="R451" s="1928"/>
      <c r="S451" s="1928"/>
      <c r="T451" s="1928"/>
      <c r="U451" s="1928"/>
      <c r="V451" s="1928"/>
      <c r="W451" s="1928"/>
      <c r="X451" s="1928"/>
      <c r="Y451" s="1928"/>
      <c r="Z451" s="1928"/>
      <c r="AA451" s="1928"/>
      <c r="AB451" s="1928"/>
      <c r="AC451" s="1928"/>
      <c r="AD451" s="1928"/>
      <c r="AE451" s="1928"/>
      <c r="AF451" s="1928"/>
      <c r="AG451" s="778"/>
      <c r="AH451" s="748"/>
      <c r="AI451" s="748"/>
      <c r="AJ451" s="748"/>
      <c r="AK451" s="748"/>
      <c r="AL451" s="779"/>
      <c r="AM451" s="604"/>
      <c r="AN451" s="631"/>
    </row>
    <row r="452" spans="1:48" s="584" customFormat="1" ht="12.75" customHeight="1">
      <c r="A452" s="570"/>
      <c r="B452" s="14"/>
      <c r="C452" s="765"/>
      <c r="D452" s="14"/>
      <c r="E452" s="725"/>
      <c r="F452" s="1929"/>
      <c r="G452" s="1929"/>
      <c r="H452" s="1929"/>
      <c r="I452" s="1929"/>
      <c r="J452" s="1929"/>
      <c r="K452" s="1929"/>
      <c r="L452" s="1929"/>
      <c r="M452" s="1929"/>
      <c r="N452" s="1929"/>
      <c r="O452" s="1929"/>
      <c r="P452" s="1929"/>
      <c r="Q452" s="1929"/>
      <c r="R452" s="1929"/>
      <c r="S452" s="1929"/>
      <c r="T452" s="1929"/>
      <c r="U452" s="1929"/>
      <c r="V452" s="1929"/>
      <c r="W452" s="1929"/>
      <c r="X452" s="1929"/>
      <c r="Y452" s="1929"/>
      <c r="Z452" s="1929"/>
      <c r="AA452" s="1929"/>
      <c r="AB452" s="1929"/>
      <c r="AC452" s="1929"/>
      <c r="AD452" s="1929"/>
      <c r="AE452" s="1929"/>
      <c r="AF452" s="1929"/>
      <c r="AL452" s="766"/>
      <c r="AM452" s="604"/>
      <c r="AN452" s="631"/>
    </row>
    <row r="453" spans="1:48" s="584" customFormat="1" ht="12.75" customHeight="1">
      <c r="A453" s="570"/>
      <c r="B453" s="14"/>
      <c r="C453" s="773"/>
      <c r="F453" s="1929"/>
      <c r="G453" s="1929"/>
      <c r="H453" s="1929"/>
      <c r="I453" s="1929"/>
      <c r="J453" s="1929"/>
      <c r="K453" s="1929"/>
      <c r="L453" s="1929"/>
      <c r="M453" s="1929"/>
      <c r="N453" s="1929"/>
      <c r="O453" s="1929"/>
      <c r="P453" s="1929"/>
      <c r="Q453" s="1929"/>
      <c r="R453" s="1929"/>
      <c r="S453" s="1929"/>
      <c r="T453" s="1929"/>
      <c r="U453" s="1929"/>
      <c r="V453" s="1929"/>
      <c r="W453" s="1929"/>
      <c r="X453" s="1929"/>
      <c r="Y453" s="1929"/>
      <c r="Z453" s="1929"/>
      <c r="AA453" s="1929"/>
      <c r="AB453" s="1929"/>
      <c r="AC453" s="1929"/>
      <c r="AD453" s="1929"/>
      <c r="AE453" s="1929"/>
      <c r="AF453" s="1929"/>
      <c r="AL453" s="766"/>
      <c r="AM453" s="604"/>
      <c r="AN453" s="631"/>
    </row>
    <row r="454" spans="1:48" s="584" customFormat="1" ht="12.75" customHeight="1">
      <c r="A454" s="570"/>
      <c r="B454" s="14"/>
      <c r="C454" s="773"/>
      <c r="F454" s="1929"/>
      <c r="G454" s="1929"/>
      <c r="H454" s="1929"/>
      <c r="I454" s="1929"/>
      <c r="J454" s="1929"/>
      <c r="K454" s="1929"/>
      <c r="L454" s="1929"/>
      <c r="M454" s="1929"/>
      <c r="N454" s="1929"/>
      <c r="O454" s="1929"/>
      <c r="P454" s="1929"/>
      <c r="Q454" s="1929"/>
      <c r="R454" s="1929"/>
      <c r="S454" s="1929"/>
      <c r="T454" s="1929"/>
      <c r="U454" s="1929"/>
      <c r="V454" s="1929"/>
      <c r="W454" s="1929"/>
      <c r="X454" s="1929"/>
      <c r="Y454" s="1929"/>
      <c r="Z454" s="1929"/>
      <c r="AA454" s="1929"/>
      <c r="AB454" s="1929"/>
      <c r="AC454" s="1929"/>
      <c r="AD454" s="1929"/>
      <c r="AE454" s="1929"/>
      <c r="AF454" s="1929"/>
      <c r="AL454" s="766"/>
      <c r="AM454" s="604"/>
      <c r="AN454" s="631"/>
    </row>
    <row r="455" spans="1:48" s="584" customFormat="1" ht="12.75" customHeight="1">
      <c r="A455" s="570"/>
      <c r="B455" s="14"/>
      <c r="C455" s="1938" t="s">
        <v>600</v>
      </c>
      <c r="D455" s="1939"/>
      <c r="E455" s="753"/>
      <c r="F455" s="755" t="s">
        <v>1592</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7" t="s">
        <v>1575</v>
      </c>
      <c r="AG455" s="1927"/>
      <c r="AH455" s="1927"/>
      <c r="AI455" s="1927"/>
      <c r="AJ455" s="1927"/>
      <c r="AK455" s="1927"/>
      <c r="AL455" s="1940"/>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1621</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1622</v>
      </c>
      <c r="AK458" s="1924">
        <f>IF(Application!D214="N/A",AS347,AS349)</f>
        <v>11</v>
      </c>
      <c r="AL458" s="1925"/>
      <c r="AM458" s="1926"/>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1623</v>
      </c>
      <c r="C461" s="573"/>
      <c r="E461" s="630"/>
      <c r="AE461" s="1927" t="s">
        <v>1624</v>
      </c>
      <c r="AF461" s="1927"/>
      <c r="AG461" s="1927"/>
      <c r="AH461" s="1927"/>
      <c r="AI461" s="1927"/>
      <c r="AJ461" s="1927"/>
      <c r="AK461" s="1927"/>
      <c r="AL461" s="625"/>
      <c r="AN461" s="631"/>
      <c r="AO461" s="584" t="s">
        <v>1602</v>
      </c>
      <c r="AP461" s="584">
        <v>5</v>
      </c>
      <c r="AT461" s="584" t="s">
        <v>1602</v>
      </c>
      <c r="AU461" s="584">
        <v>5</v>
      </c>
      <c r="AV461" s="786"/>
    </row>
    <row r="462" spans="1:48" s="584" customFormat="1" ht="12.75" hidden="1" customHeight="1">
      <c r="A462" s="573"/>
      <c r="B462" s="570" t="s">
        <v>1625</v>
      </c>
      <c r="C462" s="573"/>
      <c r="E462" s="630"/>
      <c r="AE462" s="625"/>
      <c r="AF462" s="625"/>
      <c r="AG462" s="625"/>
      <c r="AH462" s="625"/>
      <c r="AI462" s="625"/>
      <c r="AJ462" s="625"/>
      <c r="AK462" s="625"/>
      <c r="AL462" s="625"/>
      <c r="AN462" s="631"/>
      <c r="AO462" s="584" t="s">
        <v>1626</v>
      </c>
      <c r="AP462" s="584">
        <v>5</v>
      </c>
      <c r="AT462" s="584" t="s">
        <v>1603</v>
      </c>
      <c r="AU462" s="584">
        <v>5</v>
      </c>
      <c r="AV462" s="786"/>
    </row>
    <row r="463" spans="1:48" s="584" customFormat="1" ht="12.75" hidden="1" customHeight="1">
      <c r="A463" s="573"/>
      <c r="B463" s="573" t="s">
        <v>1627</v>
      </c>
      <c r="C463" s="573"/>
      <c r="E463" s="630"/>
      <c r="AE463" s="625"/>
      <c r="AF463" s="625"/>
      <c r="AG463" s="625"/>
      <c r="AH463" s="625"/>
      <c r="AI463" s="625"/>
      <c r="AJ463" s="625"/>
      <c r="AK463" s="625"/>
      <c r="AL463" s="625"/>
      <c r="AN463" s="631"/>
      <c r="AO463" s="584" t="s">
        <v>1604</v>
      </c>
      <c r="AP463" s="584">
        <v>5</v>
      </c>
      <c r="AQ463" s="573"/>
      <c r="AR463" s="573"/>
      <c r="AS463" s="789"/>
      <c r="AT463" s="584" t="s">
        <v>1604</v>
      </c>
      <c r="AU463" s="584">
        <v>5</v>
      </c>
      <c r="AV463" s="570"/>
    </row>
    <row r="464" spans="1:48" s="584" customFormat="1" ht="12.75" hidden="1" customHeight="1">
      <c r="A464" s="573"/>
      <c r="B464" s="573" t="s">
        <v>1628</v>
      </c>
      <c r="C464" s="573"/>
      <c r="E464" s="630"/>
      <c r="AE464" s="625"/>
      <c r="AF464" s="625"/>
      <c r="AG464" s="625"/>
      <c r="AH464" s="625"/>
      <c r="AI464" s="625"/>
      <c r="AJ464" s="625"/>
      <c r="AK464" s="625"/>
      <c r="AL464" s="625"/>
      <c r="AN464" s="631"/>
      <c r="AO464" s="584" t="s">
        <v>1606</v>
      </c>
      <c r="AP464" s="584">
        <v>5</v>
      </c>
      <c r="AQ464" s="573"/>
      <c r="AR464" s="573"/>
      <c r="AT464" s="584" t="s">
        <v>1606</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1607</v>
      </c>
      <c r="AP465" s="584">
        <v>5</v>
      </c>
      <c r="AQ465" s="573"/>
      <c r="AR465" s="573"/>
      <c r="AT465" s="584" t="s">
        <v>1607</v>
      </c>
      <c r="AU465" s="584">
        <v>5</v>
      </c>
    </row>
    <row r="466" spans="1:59" s="584" customFormat="1" ht="12.75" hidden="1" customHeight="1">
      <c r="A466" s="573"/>
      <c r="C466" s="746" t="s">
        <v>1629</v>
      </c>
      <c r="D466" s="604"/>
      <c r="AE466" s="625"/>
      <c r="AF466" s="625"/>
      <c r="AG466" s="630"/>
      <c r="AH466" s="630"/>
      <c r="AI466" s="630"/>
      <c r="AJ466" s="630"/>
      <c r="AK466" s="630"/>
      <c r="AL466" s="630"/>
      <c r="AN466" s="631"/>
      <c r="AO466" s="584" t="s">
        <v>1608</v>
      </c>
      <c r="AP466" s="584">
        <v>5</v>
      </c>
      <c r="AT466" s="584" t="s">
        <v>1608</v>
      </c>
      <c r="AU466" s="584">
        <v>5</v>
      </c>
    </row>
    <row r="467" spans="1:59" s="584" customFormat="1" ht="12.75" hidden="1" customHeight="1">
      <c r="A467" s="573"/>
      <c r="C467" s="2004" t="s">
        <v>600</v>
      </c>
      <c r="D467" s="2005"/>
      <c r="E467" s="795" t="s">
        <v>516</v>
      </c>
      <c r="F467" s="2025" t="s">
        <v>1630</v>
      </c>
      <c r="G467" s="2025"/>
      <c r="H467" s="2025"/>
      <c r="I467" s="2025"/>
      <c r="J467" s="2025"/>
      <c r="K467" s="2025"/>
      <c r="L467" s="2025"/>
      <c r="M467" s="2025"/>
      <c r="N467" s="2025"/>
      <c r="O467" s="2025"/>
      <c r="P467" s="2025"/>
      <c r="Q467" s="2025"/>
      <c r="R467" s="2025"/>
      <c r="S467" s="2025"/>
      <c r="T467" s="2025"/>
      <c r="U467" s="2025"/>
      <c r="V467" s="2025"/>
      <c r="W467" s="2025"/>
      <c r="X467" s="2025"/>
      <c r="Y467" s="2025"/>
      <c r="Z467" s="2025"/>
      <c r="AA467" s="2025"/>
      <c r="AB467" s="2025"/>
      <c r="AC467" s="2025"/>
      <c r="AD467" s="2025"/>
      <c r="AE467" s="2025"/>
      <c r="AF467" s="748"/>
      <c r="AG467" s="748"/>
      <c r="AH467" s="748"/>
      <c r="AI467" s="748"/>
      <c r="AJ467" s="748"/>
      <c r="AK467" s="779"/>
      <c r="AN467" s="631"/>
      <c r="AO467" s="584" t="s">
        <v>1631</v>
      </c>
      <c r="AP467" s="584">
        <v>5</v>
      </c>
      <c r="AS467" s="792"/>
      <c r="AT467" s="584" t="s">
        <v>1609</v>
      </c>
      <c r="AU467" s="584">
        <v>5</v>
      </c>
    </row>
    <row r="468" spans="1:59" s="584" customFormat="1" ht="12.75" hidden="1" customHeight="1">
      <c r="C468" s="796"/>
      <c r="E468" s="797"/>
      <c r="F468" s="2026"/>
      <c r="G468" s="2026"/>
      <c r="H468" s="2026"/>
      <c r="I468" s="2026"/>
      <c r="J468" s="2026"/>
      <c r="K468" s="2026"/>
      <c r="L468" s="2026"/>
      <c r="M468" s="2026"/>
      <c r="N468" s="2026"/>
      <c r="O468" s="2026"/>
      <c r="P468" s="2026"/>
      <c r="Q468" s="2026"/>
      <c r="R468" s="2026"/>
      <c r="S468" s="2026"/>
      <c r="T468" s="2026"/>
      <c r="U468" s="2026"/>
      <c r="V468" s="2026"/>
      <c r="W468" s="2026"/>
      <c r="X468" s="2026"/>
      <c r="Y468" s="2026"/>
      <c r="Z468" s="2026"/>
      <c r="AA468" s="2026"/>
      <c r="AB468" s="2026"/>
      <c r="AC468" s="2026"/>
      <c r="AD468" s="2026"/>
      <c r="AE468" s="2026"/>
      <c r="AG468" s="585"/>
      <c r="AH468" s="585"/>
      <c r="AI468" s="585"/>
      <c r="AJ468" s="585"/>
      <c r="AK468" s="766"/>
      <c r="AN468" s="631"/>
      <c r="AO468" s="584" t="s">
        <v>1612</v>
      </c>
      <c r="AP468" s="584">
        <v>1</v>
      </c>
      <c r="AT468" s="584" t="s">
        <v>1612</v>
      </c>
      <c r="AU468" s="584">
        <v>1</v>
      </c>
    </row>
    <row r="469" spans="1:59" s="584" customFormat="1" ht="12.75" hidden="1" customHeight="1">
      <c r="C469" s="798"/>
      <c r="D469" s="761"/>
      <c r="E469" s="799"/>
      <c r="F469" s="2020" t="s">
        <v>600</v>
      </c>
      <c r="G469" s="2020"/>
      <c r="H469" s="2020"/>
      <c r="I469" s="2020"/>
      <c r="J469" s="2020"/>
      <c r="K469" s="2020"/>
      <c r="L469" s="2020"/>
      <c r="M469" s="2020"/>
      <c r="N469" s="2020"/>
      <c r="O469" s="2020"/>
      <c r="P469" s="2020"/>
      <c r="Q469" s="2020"/>
      <c r="R469" s="2020"/>
      <c r="S469" s="2020"/>
      <c r="T469" s="2020"/>
      <c r="U469" s="2020"/>
      <c r="V469" s="2020"/>
      <c r="W469" s="2020"/>
      <c r="X469" s="2020"/>
      <c r="Y469" s="2020"/>
      <c r="Z469" s="2020"/>
      <c r="AA469" s="800"/>
      <c r="AB469" s="692"/>
      <c r="AC469" s="692"/>
      <c r="AD469" s="761"/>
      <c r="AE469" s="761"/>
      <c r="AF469" s="761"/>
      <c r="AG469" s="801">
        <f>IF($C$467="Yes",(VLOOKUP($F$469,$AT$460:$AU$468,2,FALSE)),0)</f>
        <v>0</v>
      </c>
      <c r="AH469" s="802" t="s">
        <v>1440</v>
      </c>
      <c r="AI469" s="801"/>
      <c r="AJ469" s="801"/>
      <c r="AK469" s="776"/>
      <c r="AN469" s="631"/>
      <c r="AS469" s="789"/>
      <c r="AX469" s="789"/>
      <c r="BB469" s="789" t="s">
        <v>1613</v>
      </c>
      <c r="BF469" s="789" t="s">
        <v>1614</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21" t="s">
        <v>554</v>
      </c>
      <c r="D471" s="2022"/>
      <c r="E471" s="795" t="s">
        <v>767</v>
      </c>
      <c r="F471" s="803" t="s">
        <v>1632</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1615</v>
      </c>
      <c r="AX471" s="671">
        <v>3</v>
      </c>
      <c r="AY471" s="627"/>
      <c r="BB471" s="792">
        <v>0.4</v>
      </c>
      <c r="BC471" s="627">
        <v>3</v>
      </c>
      <c r="BF471" s="792">
        <v>0.4</v>
      </c>
      <c r="BG471" s="627">
        <v>4</v>
      </c>
    </row>
    <row r="472" spans="1:59" s="584" customFormat="1" ht="12.75" hidden="1" customHeight="1">
      <c r="C472" s="804" t="s">
        <v>1633</v>
      </c>
      <c r="F472" s="805" t="s">
        <v>1634</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1618</v>
      </c>
      <c r="AX472" s="671">
        <v>5</v>
      </c>
      <c r="AY472" s="627"/>
      <c r="BB472" s="792">
        <v>0.6</v>
      </c>
      <c r="BC472" s="627">
        <v>4</v>
      </c>
      <c r="BF472" s="792">
        <v>0.6</v>
      </c>
      <c r="BG472" s="627">
        <v>5</v>
      </c>
    </row>
    <row r="473" spans="1:59" s="584" customFormat="1" ht="12.75" hidden="1" customHeight="1">
      <c r="C473" s="785"/>
      <c r="D473" s="764"/>
      <c r="E473" s="806"/>
      <c r="F473" s="805" t="s">
        <v>1635</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1636</v>
      </c>
      <c r="G474" s="584"/>
      <c r="H474" s="584"/>
      <c r="I474" s="805"/>
      <c r="J474" s="805"/>
      <c r="K474" s="805"/>
      <c r="L474" s="805"/>
      <c r="M474" s="805"/>
      <c r="N474" s="805"/>
      <c r="O474" s="805"/>
      <c r="P474" s="805"/>
      <c r="Q474" s="805"/>
      <c r="R474" s="805"/>
      <c r="S474" s="805"/>
      <c r="T474" s="805"/>
      <c r="U474" s="805"/>
      <c r="V474" s="1933" t="s">
        <v>600</v>
      </c>
      <c r="W474" s="1933"/>
      <c r="X474" s="1933"/>
      <c r="Y474" s="805"/>
      <c r="Z474" s="805"/>
      <c r="AA474" s="805"/>
      <c r="AB474" s="805"/>
      <c r="AC474" s="805"/>
      <c r="AD474" s="643"/>
      <c r="AE474" s="643"/>
      <c r="AF474" s="643"/>
      <c r="AG474" s="647">
        <f>IF(AND($C$471="Yes",$V$476="N/A",$V$481="N/A",$V$485="N/A",$V$487="N/A"),(VLOOKUP(V474,$AW$470:$AX$472,2,FALSE)),0)</f>
        <v>0</v>
      </c>
      <c r="AH474" s="674" t="s">
        <v>1440</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1637</v>
      </c>
      <c r="G476" s="584"/>
      <c r="H476" s="584"/>
      <c r="I476" s="805"/>
      <c r="J476" s="805"/>
      <c r="K476" s="805"/>
      <c r="L476" s="805"/>
      <c r="M476" s="805"/>
      <c r="N476" s="805"/>
      <c r="O476" s="805"/>
      <c r="P476" s="805"/>
      <c r="Q476" s="805"/>
      <c r="R476" s="805"/>
      <c r="S476" s="805"/>
      <c r="T476" s="805"/>
      <c r="U476" s="805"/>
      <c r="V476" s="1933" t="s">
        <v>600</v>
      </c>
      <c r="W476" s="1933"/>
      <c r="X476" s="1933"/>
      <c r="Y476" s="805"/>
      <c r="Z476" s="805"/>
      <c r="AA476" s="805"/>
      <c r="AB476" s="805"/>
      <c r="AC476" s="805"/>
      <c r="AD476" s="643"/>
      <c r="AE476" s="643"/>
      <c r="AF476" s="643"/>
      <c r="AG476" s="647">
        <f>IF(AND($C$471="Yes",$V$474="N/A", $V$481="N/A",$V$485="N/A",$V$487="N/A"),(VLOOKUP(V476,$AT$470:$AU$472,2,FALSE)),0)</f>
        <v>0</v>
      </c>
      <c r="AH476" s="674" t="s">
        <v>1440</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1638</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1639</v>
      </c>
      <c r="AP478" s="671">
        <v>2</v>
      </c>
    </row>
    <row r="479" spans="1:59" s="584" customFormat="1" ht="12.75" hidden="1" customHeight="1">
      <c r="C479" s="796"/>
      <c r="F479" s="643" t="s">
        <v>1640</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1641</v>
      </c>
      <c r="AP479" s="584">
        <v>2</v>
      </c>
    </row>
    <row r="480" spans="1:59" s="630" customFormat="1" ht="12.75" hidden="1" customHeight="1">
      <c r="A480" s="584"/>
      <c r="B480" s="584"/>
      <c r="C480" s="773"/>
      <c r="D480" s="604"/>
      <c r="E480" s="604"/>
      <c r="F480" s="643" t="s">
        <v>1642</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1643</v>
      </c>
      <c r="AP480" s="584">
        <v>2</v>
      </c>
    </row>
    <row r="481" spans="1:81" s="584" customFormat="1" ht="12.75" hidden="1" customHeight="1">
      <c r="C481" s="811"/>
      <c r="F481" s="809" t="s">
        <v>1644</v>
      </c>
      <c r="M481" s="797"/>
      <c r="N481" s="797"/>
      <c r="O481" s="797"/>
      <c r="P481" s="797"/>
      <c r="Q481" s="585"/>
      <c r="R481" s="585"/>
      <c r="S481" s="585"/>
      <c r="T481" s="585"/>
      <c r="U481" s="585"/>
      <c r="V481" s="1933" t="s">
        <v>600</v>
      </c>
      <c r="W481" s="1933"/>
      <c r="X481" s="1933"/>
      <c r="Y481" s="585"/>
      <c r="Z481" s="585"/>
      <c r="AA481" s="585"/>
      <c r="AB481" s="585"/>
      <c r="AC481" s="585"/>
      <c r="AG481" s="647">
        <f>IF(AND($C$471="Yes",$V$474="N/A",$V$476="N/A", $V$485="N/A",$V$487="N/A"),(VLOOKUP($V$481,$AT$474:$AU$476,2,FALSE)),0)</f>
        <v>0</v>
      </c>
      <c r="AH481" s="674" t="s">
        <v>1440</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1645</v>
      </c>
      <c r="D483" s="748"/>
      <c r="E483" s="748"/>
      <c r="F483" s="814" t="s">
        <v>1646</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07"/>
      <c r="E484" s="2007"/>
      <c r="F484" s="805" t="s">
        <v>1647</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1648</v>
      </c>
      <c r="AP484" s="671">
        <v>5</v>
      </c>
      <c r="AQ484" s="573"/>
    </row>
    <row r="485" spans="1:81" s="604" customFormat="1" ht="12.75" hidden="1" customHeight="1">
      <c r="A485" s="713"/>
      <c r="B485" s="584"/>
      <c r="C485" s="796"/>
      <c r="D485" s="584"/>
      <c r="E485" s="584"/>
      <c r="F485" s="816" t="s">
        <v>1636</v>
      </c>
      <c r="G485" s="584"/>
      <c r="H485" s="584"/>
      <c r="I485" s="584"/>
      <c r="J485" s="584"/>
      <c r="K485" s="584"/>
      <c r="L485" s="584"/>
      <c r="M485" s="584"/>
      <c r="N485" s="584"/>
      <c r="O485" s="584"/>
      <c r="P485" s="584"/>
      <c r="Q485" s="584"/>
      <c r="R485" s="584"/>
      <c r="S485" s="584"/>
      <c r="T485" s="584"/>
      <c r="U485" s="584"/>
      <c r="V485" s="1933" t="s">
        <v>600</v>
      </c>
      <c r="W485" s="1933"/>
      <c r="X485" s="1933"/>
      <c r="Y485" s="584"/>
      <c r="Z485" s="584"/>
      <c r="AA485" s="584"/>
      <c r="AB485" s="584"/>
      <c r="AC485" s="584"/>
      <c r="AD485" s="584"/>
      <c r="AE485" s="584"/>
      <c r="AF485" s="584"/>
      <c r="AG485" s="647">
        <f>IF(AND($C$471="Yes",$V$474="N/A",V476="N/A",$V$481="N/A",$V$487="N/A"),(VLOOKUP($V$485,$BB$470:$BC$473,2,FALSE)),0)</f>
        <v>0</v>
      </c>
      <c r="AH485" s="674" t="s">
        <v>1440</v>
      </c>
      <c r="AI485" s="585"/>
      <c r="AJ485" s="584"/>
      <c r="AK485" s="766"/>
      <c r="AL485" s="584"/>
      <c r="AM485" s="584"/>
      <c r="AN485" s="718"/>
      <c r="AO485" s="584" t="s">
        <v>1649</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1650</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1637</v>
      </c>
      <c r="G487" s="800"/>
      <c r="H487" s="800"/>
      <c r="I487" s="761"/>
      <c r="J487" s="761"/>
      <c r="K487" s="761"/>
      <c r="L487" s="761"/>
      <c r="M487" s="761"/>
      <c r="N487" s="761"/>
      <c r="O487" s="761"/>
      <c r="P487" s="761"/>
      <c r="Q487" s="761"/>
      <c r="R487" s="761"/>
      <c r="S487" s="761"/>
      <c r="T487" s="761"/>
      <c r="U487" s="761"/>
      <c r="V487" s="1933" t="s">
        <v>600</v>
      </c>
      <c r="W487" s="1933"/>
      <c r="X487" s="1933"/>
      <c r="Y487" s="761"/>
      <c r="Z487" s="761"/>
      <c r="AA487" s="761"/>
      <c r="AB487" s="761"/>
      <c r="AC487" s="761"/>
      <c r="AD487" s="761"/>
      <c r="AE487" s="761"/>
      <c r="AF487" s="761"/>
      <c r="AG487" s="817">
        <f>IF(AND($C$471="Yes",$V$474="N/A",$V$476="N/A",$V$481="N/A",$V$485="N/A"),(VLOOKUP($V$487,$BF$470:$BG$472,2,FALSE)),0)</f>
        <v>0</v>
      </c>
      <c r="AH487" s="802" t="s">
        <v>1440</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1651</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4" t="s">
        <v>600</v>
      </c>
      <c r="D490" s="2005"/>
      <c r="E490" s="795" t="s">
        <v>516</v>
      </c>
      <c r="F490" s="2025" t="s">
        <v>1630</v>
      </c>
      <c r="G490" s="2025"/>
      <c r="H490" s="2025"/>
      <c r="I490" s="2025"/>
      <c r="J490" s="2025"/>
      <c r="K490" s="2025"/>
      <c r="L490" s="2025"/>
      <c r="M490" s="2025"/>
      <c r="N490" s="2025"/>
      <c r="O490" s="2025"/>
      <c r="P490" s="2025"/>
      <c r="Q490" s="2025"/>
      <c r="R490" s="2025"/>
      <c r="S490" s="2025"/>
      <c r="T490" s="2025"/>
      <c r="U490" s="2025"/>
      <c r="V490" s="2025"/>
      <c r="W490" s="2025"/>
      <c r="X490" s="2025"/>
      <c r="Y490" s="2025"/>
      <c r="Z490" s="2025"/>
      <c r="AA490" s="2025"/>
      <c r="AB490" s="2025"/>
      <c r="AC490" s="2025"/>
      <c r="AD490" s="2025"/>
      <c r="AE490" s="2025"/>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6"/>
      <c r="G491" s="2026"/>
      <c r="H491" s="2026"/>
      <c r="I491" s="2026"/>
      <c r="J491" s="2026"/>
      <c r="K491" s="2026"/>
      <c r="L491" s="2026"/>
      <c r="M491" s="2026"/>
      <c r="N491" s="2026"/>
      <c r="O491" s="2026"/>
      <c r="P491" s="2026"/>
      <c r="Q491" s="2026"/>
      <c r="R491" s="2026"/>
      <c r="S491" s="2026"/>
      <c r="T491" s="2026"/>
      <c r="U491" s="2026"/>
      <c r="V491" s="2026"/>
      <c r="W491" s="2026"/>
      <c r="X491" s="2026"/>
      <c r="Y491" s="2026"/>
      <c r="Z491" s="2026"/>
      <c r="AA491" s="2026"/>
      <c r="AB491" s="2026"/>
      <c r="AC491" s="2026"/>
      <c r="AD491" s="2026"/>
      <c r="AE491" s="2026"/>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12" t="s">
        <v>600</v>
      </c>
      <c r="G492" s="2012"/>
      <c r="H492" s="2012"/>
      <c r="I492" s="2012"/>
      <c r="J492" s="2012"/>
      <c r="K492" s="2012"/>
      <c r="L492" s="2012"/>
      <c r="M492" s="2012"/>
      <c r="N492" s="2012"/>
      <c r="O492" s="2012"/>
      <c r="P492" s="2012"/>
      <c r="Q492" s="2012"/>
      <c r="R492" s="2012"/>
      <c r="S492" s="2012"/>
      <c r="T492" s="2012"/>
      <c r="U492" s="2012"/>
      <c r="V492" s="2012"/>
      <c r="W492" s="2012"/>
      <c r="X492" s="2012"/>
      <c r="Y492" s="2012"/>
      <c r="Z492" s="2012"/>
      <c r="AA492" s="800"/>
      <c r="AB492" s="692"/>
      <c r="AC492" s="692"/>
      <c r="AD492" s="761"/>
      <c r="AE492" s="761"/>
      <c r="AF492" s="761"/>
      <c r="AG492" s="801">
        <f>IF($C$490="Yes",(VLOOKUP($F$492,$AO$460:$AP$468,2,FALSE)),0)</f>
        <v>0</v>
      </c>
      <c r="AH492" s="802" t="s">
        <v>1440</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4" t="s">
        <v>600</v>
      </c>
      <c r="D494" s="2005"/>
      <c r="E494" s="795" t="s">
        <v>767</v>
      </c>
      <c r="F494" s="2013" t="s">
        <v>1652</v>
      </c>
      <c r="G494" s="2013"/>
      <c r="H494" s="2013"/>
      <c r="I494" s="2013"/>
      <c r="J494" s="2013"/>
      <c r="K494" s="2013"/>
      <c r="L494" s="2013"/>
      <c r="M494" s="2013"/>
      <c r="N494" s="2013"/>
      <c r="O494" s="2013"/>
      <c r="P494" s="2013"/>
      <c r="Q494" s="2013"/>
      <c r="R494" s="2013"/>
      <c r="S494" s="2013"/>
      <c r="T494" s="2013"/>
      <c r="U494" s="2013"/>
      <c r="V494" s="2013"/>
      <c r="W494" s="2013"/>
      <c r="X494" s="2013"/>
      <c r="Y494" s="2013"/>
      <c r="Z494" s="2013"/>
      <c r="AA494" s="2013"/>
      <c r="AB494" s="2013"/>
      <c r="AC494" s="2013"/>
      <c r="AD494" s="2013"/>
      <c r="AE494" s="2013"/>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4"/>
      <c r="G495" s="2014"/>
      <c r="H495" s="2014"/>
      <c r="I495" s="2014"/>
      <c r="J495" s="2014"/>
      <c r="K495" s="2014"/>
      <c r="L495" s="2014"/>
      <c r="M495" s="2014"/>
      <c r="N495" s="2014"/>
      <c r="O495" s="2014"/>
      <c r="P495" s="2014"/>
      <c r="Q495" s="2014"/>
      <c r="R495" s="2014"/>
      <c r="S495" s="2014"/>
      <c r="T495" s="2014"/>
      <c r="U495" s="2014"/>
      <c r="V495" s="2014"/>
      <c r="W495" s="2014"/>
      <c r="X495" s="2014"/>
      <c r="Y495" s="2014"/>
      <c r="Z495" s="2014"/>
      <c r="AA495" s="2014"/>
      <c r="AB495" s="2014"/>
      <c r="AC495" s="2014"/>
      <c r="AD495" s="2014"/>
      <c r="AE495" s="2014"/>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1653</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5" t="s">
        <v>600</v>
      </c>
      <c r="G497" s="2015"/>
      <c r="H497" s="2015"/>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1440</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4" t="s">
        <v>600</v>
      </c>
      <c r="D499" s="2005"/>
      <c r="E499" s="795" t="s">
        <v>1654</v>
      </c>
      <c r="F499" s="814" t="s">
        <v>1655</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6"/>
      <c r="D501" s="2007"/>
      <c r="E501" s="806"/>
      <c r="F501" s="585" t="s">
        <v>1656</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1440</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8" t="s">
        <v>600</v>
      </c>
      <c r="H502" s="2008"/>
      <c r="I502" s="2008"/>
      <c r="J502" s="2008"/>
      <c r="K502" s="2008"/>
      <c r="L502" s="2008"/>
      <c r="M502" s="2008"/>
      <c r="N502" s="2008"/>
      <c r="O502" s="2008"/>
      <c r="P502" s="2008"/>
      <c r="Q502" s="2008"/>
      <c r="R502" s="2008"/>
      <c r="S502" s="2008"/>
      <c r="T502" s="2008"/>
      <c r="U502" s="2008"/>
      <c r="V502" s="2008"/>
      <c r="W502" s="2008"/>
      <c r="X502" s="2008"/>
      <c r="Y502" s="2008"/>
      <c r="Z502" s="2008"/>
      <c r="AA502" s="2008"/>
      <c r="AB502" s="2008"/>
      <c r="AC502" s="2008"/>
      <c r="AD502" s="2008"/>
      <c r="AE502" s="2008"/>
      <c r="AF502" s="2008"/>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9" t="s">
        <v>600</v>
      </c>
      <c r="D504" s="2010"/>
      <c r="F504" s="585" t="s">
        <v>1657</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1440</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1658</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1659</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9" t="s">
        <v>600</v>
      </c>
      <c r="D508" s="2010"/>
      <c r="F508" s="829" t="s">
        <v>1660</v>
      </c>
      <c r="G508" s="1929" t="s">
        <v>1661</v>
      </c>
      <c r="H508" s="1929"/>
      <c r="I508" s="1929"/>
      <c r="J508" s="1929"/>
      <c r="K508" s="1929"/>
      <c r="L508" s="1929"/>
      <c r="M508" s="1929"/>
      <c r="N508" s="1929"/>
      <c r="O508" s="1929"/>
      <c r="P508" s="1929"/>
      <c r="Q508" s="1929"/>
      <c r="R508" s="1929"/>
      <c r="S508" s="1929"/>
      <c r="T508" s="1929"/>
      <c r="U508" s="1929"/>
      <c r="V508" s="1929"/>
      <c r="W508" s="1929"/>
      <c r="X508" s="1929"/>
      <c r="Y508" s="1929"/>
      <c r="Z508" s="1929"/>
      <c r="AA508" s="1929"/>
      <c r="AB508" s="1929"/>
      <c r="AC508" s="1929"/>
      <c r="AD508" s="1929"/>
      <c r="AE508" s="1929"/>
      <c r="AF508" s="1929"/>
      <c r="AG508" s="647">
        <f>IF(AND($C$508="Yes",$C$499="Yes"),2,0)</f>
        <v>0</v>
      </c>
      <c r="AH508" s="674" t="s">
        <v>1440</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11"/>
      <c r="H509" s="2011"/>
      <c r="I509" s="2011"/>
      <c r="J509" s="2011"/>
      <c r="K509" s="2011"/>
      <c r="L509" s="2011"/>
      <c r="M509" s="2011"/>
      <c r="N509" s="2011"/>
      <c r="O509" s="2011"/>
      <c r="P509" s="2011"/>
      <c r="Q509" s="2011"/>
      <c r="R509" s="2011"/>
      <c r="S509" s="2011"/>
      <c r="T509" s="2011"/>
      <c r="U509" s="2011"/>
      <c r="V509" s="2011"/>
      <c r="W509" s="2011"/>
      <c r="X509" s="2011"/>
      <c r="Y509" s="2011"/>
      <c r="Z509" s="2011"/>
      <c r="AA509" s="2011"/>
      <c r="AB509" s="2011"/>
      <c r="AC509" s="2011"/>
      <c r="AD509" s="2011"/>
      <c r="AE509" s="2011"/>
      <c r="AF509" s="2011"/>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1662</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6" t="s">
        <v>600</v>
      </c>
      <c r="D512" s="2017"/>
      <c r="E512" s="836" t="s">
        <v>1663</v>
      </c>
      <c r="F512" s="805" t="s">
        <v>1664</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1440</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8" t="s">
        <v>600</v>
      </c>
      <c r="G513" s="2018"/>
      <c r="H513" s="2018"/>
      <c r="I513" s="2018"/>
      <c r="J513" s="2018"/>
      <c r="K513" s="2018"/>
      <c r="L513" s="2018"/>
      <c r="M513" s="2018"/>
      <c r="N513" s="2018"/>
      <c r="O513" s="2018"/>
      <c r="P513" s="2018"/>
      <c r="Q513" s="2018"/>
      <c r="R513" s="2018"/>
      <c r="S513" s="2018"/>
      <c r="T513" s="2018"/>
      <c r="U513" s="2018"/>
      <c r="V513" s="2018"/>
      <c r="W513" s="2018"/>
      <c r="X513" s="2018"/>
      <c r="Y513" s="2018"/>
      <c r="Z513" s="2018"/>
      <c r="AA513" s="2018"/>
      <c r="AB513" s="2018"/>
      <c r="AC513" s="2018"/>
      <c r="AD513" s="2018"/>
      <c r="AE513" s="2018"/>
      <c r="AF513" s="2018"/>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9"/>
      <c r="G514" s="2019"/>
      <c r="H514" s="2019"/>
      <c r="I514" s="2019"/>
      <c r="J514" s="2019"/>
      <c r="K514" s="2019"/>
      <c r="L514" s="2019"/>
      <c r="M514" s="2019"/>
      <c r="N514" s="2019"/>
      <c r="O514" s="2019"/>
      <c r="P514" s="2019"/>
      <c r="Q514" s="2019"/>
      <c r="R514" s="2019"/>
      <c r="S514" s="2019"/>
      <c r="T514" s="2019"/>
      <c r="U514" s="2019"/>
      <c r="V514" s="2019"/>
      <c r="W514" s="2019"/>
      <c r="X514" s="2019"/>
      <c r="Y514" s="2019"/>
      <c r="Z514" s="2019"/>
      <c r="AA514" s="2019"/>
      <c r="AB514" s="2019"/>
      <c r="AC514" s="2019"/>
      <c r="AD514" s="2019"/>
      <c r="AE514" s="2019"/>
      <c r="AF514" s="2019"/>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1665</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1666</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2344</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1667</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2345</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1668</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1669</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1670</v>
      </c>
      <c r="AK524" s="1924">
        <f>SUM(AG468:AG513)</f>
        <v>0</v>
      </c>
      <c r="AL524" s="1925"/>
      <c r="AM524" s="1926"/>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2.9" thickTop="1"/>
    <row r="527" spans="1:81" s="584" customFormat="1" ht="12.75" customHeight="1">
      <c r="A527" s="573" t="s">
        <v>1671</v>
      </c>
      <c r="B527" s="573" t="s">
        <v>1672</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30" t="s">
        <v>1673</v>
      </c>
      <c r="AF527" s="1930"/>
      <c r="AG527" s="1930"/>
      <c r="AH527" s="1930"/>
      <c r="AI527" s="1930"/>
      <c r="AJ527" s="1930"/>
      <c r="AK527" s="1930"/>
      <c r="AL527" s="629"/>
      <c r="AM527" s="629"/>
      <c r="AN527" s="631"/>
    </row>
    <row r="528" spans="1:81" s="584" customFormat="1" ht="12.75" customHeight="1">
      <c r="A528" s="573"/>
      <c r="B528" s="573" t="s">
        <v>1436</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9" t="s">
        <v>554</v>
      </c>
      <c r="D530" s="1939"/>
      <c r="E530" s="585"/>
      <c r="F530" s="1998" t="s">
        <v>1674</v>
      </c>
      <c r="G530" s="1999"/>
      <c r="H530" s="1999"/>
      <c r="I530" s="1999"/>
      <c r="J530" s="1999"/>
      <c r="K530" s="1999"/>
      <c r="L530" s="1999"/>
      <c r="M530" s="1999"/>
      <c r="N530" s="1999"/>
      <c r="O530" s="1999"/>
      <c r="P530" s="1999"/>
      <c r="Q530" s="1999"/>
      <c r="R530" s="1999"/>
      <c r="S530" s="1999"/>
      <c r="T530" s="1999"/>
      <c r="U530" s="1999"/>
      <c r="V530" s="1999"/>
      <c r="W530" s="1999"/>
      <c r="X530" s="1999"/>
      <c r="Y530" s="1999"/>
      <c r="Z530" s="1999"/>
      <c r="AA530" s="1999"/>
      <c r="AB530" s="1999"/>
      <c r="AC530" s="1999"/>
      <c r="AD530" s="1999"/>
      <c r="AE530" s="1999"/>
      <c r="AF530" s="1999"/>
      <c r="AG530" s="1999"/>
      <c r="AH530" s="1999"/>
      <c r="AI530" s="1999"/>
      <c r="AJ530" s="1999"/>
      <c r="AK530" s="1999"/>
      <c r="AL530" s="2000"/>
      <c r="AM530" s="629"/>
      <c r="AN530" s="631"/>
    </row>
    <row r="531" spans="1:49" s="584" customFormat="1" ht="12.75" customHeight="1">
      <c r="A531" s="573"/>
      <c r="B531" s="573"/>
      <c r="C531" s="585"/>
      <c r="D531" s="585"/>
      <c r="E531" s="585"/>
      <c r="F531" s="2001"/>
      <c r="G531" s="2002"/>
      <c r="H531" s="2002"/>
      <c r="I531" s="2002"/>
      <c r="J531" s="2002"/>
      <c r="K531" s="2002"/>
      <c r="L531" s="2002"/>
      <c r="M531" s="2002"/>
      <c r="N531" s="2002"/>
      <c r="O531" s="2002"/>
      <c r="P531" s="2002"/>
      <c r="Q531" s="2002"/>
      <c r="R531" s="2002"/>
      <c r="S531" s="2002"/>
      <c r="T531" s="2002"/>
      <c r="U531" s="2002"/>
      <c r="V531" s="2002"/>
      <c r="W531" s="2002"/>
      <c r="X531" s="2002"/>
      <c r="Y531" s="2002"/>
      <c r="Z531" s="2002"/>
      <c r="AA531" s="2002"/>
      <c r="AB531" s="2002"/>
      <c r="AC531" s="2002"/>
      <c r="AD531" s="2002"/>
      <c r="AE531" s="2002"/>
      <c r="AF531" s="2002"/>
      <c r="AG531" s="2002"/>
      <c r="AH531" s="2002"/>
      <c r="AI531" s="2002"/>
      <c r="AJ531" s="2002"/>
      <c r="AK531" s="2002"/>
      <c r="AL531" s="2003"/>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9" t="s">
        <v>600</v>
      </c>
      <c r="D533" s="1939"/>
      <c r="E533" s="840"/>
      <c r="F533" s="678" t="s">
        <v>1675</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6" t="s">
        <v>1676</v>
      </c>
      <c r="G534" s="1917"/>
      <c r="H534" s="1917"/>
      <c r="I534" s="1917"/>
      <c r="J534" s="1917"/>
      <c r="K534" s="1917"/>
      <c r="L534" s="1917"/>
      <c r="M534" s="1917"/>
      <c r="N534" s="1917"/>
      <c r="O534" s="1917"/>
      <c r="P534" s="1917"/>
      <c r="Q534" s="1917"/>
      <c r="R534" s="1917"/>
      <c r="S534" s="1917"/>
      <c r="T534" s="1917"/>
      <c r="U534" s="1917"/>
      <c r="V534" s="1917"/>
      <c r="W534" s="1917"/>
      <c r="X534" s="1917"/>
      <c r="Y534" s="1917"/>
      <c r="Z534" s="1917"/>
      <c r="AA534" s="1917"/>
      <c r="AB534" s="1917"/>
      <c r="AC534" s="1917"/>
      <c r="AD534" s="1917"/>
      <c r="AE534" s="1917"/>
      <c r="AF534" s="1917"/>
      <c r="AG534" s="1917"/>
      <c r="AH534" s="1917"/>
      <c r="AI534" s="1917"/>
      <c r="AJ534" s="1917"/>
      <c r="AK534" s="1917"/>
      <c r="AL534" s="1918"/>
      <c r="AM534" s="629"/>
      <c r="AN534" s="631"/>
      <c r="AS534" s="904"/>
      <c r="AT534" s="904"/>
      <c r="AU534" s="904"/>
      <c r="AV534" s="904"/>
      <c r="AW534" s="904"/>
    </row>
    <row r="535" spans="1:49" s="584" customFormat="1" ht="12.75" customHeight="1">
      <c r="B535" s="840"/>
      <c r="C535" s="840"/>
      <c r="D535" s="840"/>
      <c r="E535" s="840"/>
      <c r="F535" s="1916"/>
      <c r="G535" s="1917"/>
      <c r="H535" s="1917"/>
      <c r="I535" s="1917"/>
      <c r="J535" s="1917"/>
      <c r="K535" s="1917"/>
      <c r="L535" s="1917"/>
      <c r="M535" s="1917"/>
      <c r="N535" s="1917"/>
      <c r="O535" s="1917"/>
      <c r="P535" s="1917"/>
      <c r="Q535" s="1917"/>
      <c r="R535" s="1917"/>
      <c r="S535" s="1917"/>
      <c r="T535" s="1917"/>
      <c r="U535" s="1917"/>
      <c r="V535" s="1917"/>
      <c r="W535" s="1917"/>
      <c r="X535" s="1917"/>
      <c r="Y535" s="1917"/>
      <c r="Z535" s="1917"/>
      <c r="AA535" s="1917"/>
      <c r="AB535" s="1917"/>
      <c r="AC535" s="1917"/>
      <c r="AD535" s="1917"/>
      <c r="AE535" s="1917"/>
      <c r="AF535" s="1917"/>
      <c r="AG535" s="1917"/>
      <c r="AH535" s="1917"/>
      <c r="AI535" s="1917"/>
      <c r="AJ535" s="1917"/>
      <c r="AK535" s="1917"/>
      <c r="AL535" s="1918"/>
      <c r="AM535" s="629"/>
      <c r="AN535" s="631"/>
    </row>
    <row r="536" spans="1:49" s="584" customFormat="1" ht="12.75" customHeight="1">
      <c r="B536" s="840"/>
      <c r="C536" s="840"/>
      <c r="D536" s="840"/>
      <c r="E536" s="840"/>
      <c r="F536" s="845" t="s">
        <v>2346</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6" t="s">
        <v>1677</v>
      </c>
      <c r="G537" s="1917"/>
      <c r="H537" s="1917"/>
      <c r="I537" s="1917"/>
      <c r="J537" s="1917"/>
      <c r="K537" s="1917"/>
      <c r="L537" s="1917"/>
      <c r="M537" s="1917"/>
      <c r="N537" s="1917"/>
      <c r="O537" s="1917"/>
      <c r="P537" s="1917"/>
      <c r="Q537" s="1917"/>
      <c r="R537" s="1917"/>
      <c r="S537" s="1917"/>
      <c r="T537" s="1917"/>
      <c r="U537" s="1917"/>
      <c r="V537" s="1917"/>
      <c r="W537" s="1917"/>
      <c r="X537" s="1917"/>
      <c r="Y537" s="1917"/>
      <c r="Z537" s="1917"/>
      <c r="AA537" s="1917"/>
      <c r="AB537" s="1917"/>
      <c r="AC537" s="1917"/>
      <c r="AD537" s="1917"/>
      <c r="AE537" s="1917"/>
      <c r="AF537" s="1917"/>
      <c r="AG537" s="1917"/>
      <c r="AH537" s="1917"/>
      <c r="AI537" s="1917"/>
      <c r="AJ537" s="1917"/>
      <c r="AK537" s="1917"/>
      <c r="AL537" s="847"/>
      <c r="AM537" s="629"/>
      <c r="AN537" s="631"/>
    </row>
    <row r="538" spans="1:49" s="584" customFormat="1" ht="12.75" customHeight="1">
      <c r="B538" s="840"/>
      <c r="C538" s="840"/>
      <c r="D538" s="840"/>
      <c r="E538" s="840"/>
      <c r="F538" s="1919"/>
      <c r="G538" s="1920"/>
      <c r="H538" s="1920"/>
      <c r="I538" s="1920"/>
      <c r="J538" s="1920"/>
      <c r="K538" s="1920"/>
      <c r="L538" s="1920"/>
      <c r="M538" s="1920"/>
      <c r="N538" s="1920"/>
      <c r="O538" s="1920"/>
      <c r="P538" s="1920"/>
      <c r="Q538" s="1920"/>
      <c r="R538" s="1920"/>
      <c r="S538" s="1920"/>
      <c r="T538" s="1920"/>
      <c r="U538" s="1920"/>
      <c r="V538" s="1920"/>
      <c r="W538" s="1920"/>
      <c r="X538" s="1920"/>
      <c r="Y538" s="1920"/>
      <c r="Z538" s="1920"/>
      <c r="AA538" s="1920"/>
      <c r="AB538" s="1920"/>
      <c r="AC538" s="1920"/>
      <c r="AD538" s="1920"/>
      <c r="AE538" s="1920"/>
      <c r="AF538" s="1920"/>
      <c r="AG538" s="1920"/>
      <c r="AH538" s="1920"/>
      <c r="AI538" s="1920"/>
      <c r="AJ538" s="1920"/>
      <c r="AK538" s="1920"/>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11">
        <f>Application!AJ991</f>
        <v>66820414</v>
      </c>
      <c r="AQ539" s="1911"/>
      <c r="AR539" s="1911"/>
      <c r="AS539" s="584" t="s">
        <v>2535</v>
      </c>
    </row>
    <row r="540" spans="1:49" s="584" customFormat="1" ht="12.75" customHeight="1">
      <c r="A540" s="532"/>
      <c r="B540" s="481" t="s">
        <v>1678</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21">
        <f>'Sources and Uses Budget'!S107+'Sources and Uses Budget'!T107</f>
        <v>55350237</v>
      </c>
      <c r="AG540" s="1921"/>
      <c r="AH540" s="1921"/>
      <c r="AI540" s="1921"/>
      <c r="AJ540" s="1921"/>
      <c r="AK540" s="629"/>
      <c r="AL540" s="629"/>
      <c r="AM540" s="629"/>
      <c r="AN540" s="631"/>
    </row>
    <row r="541" spans="1:49" s="584" customFormat="1" ht="12.75" customHeight="1">
      <c r="A541" s="659"/>
      <c r="B541" s="659" t="s">
        <v>1679</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22">
        <f>IFERROR(AP548,0)</f>
        <v>130299807.2</v>
      </c>
      <c r="AG541" s="1922"/>
      <c r="AH541" s="1922"/>
      <c r="AI541" s="1922"/>
      <c r="AJ541" s="1922"/>
      <c r="AK541" s="629"/>
      <c r="AL541" s="629"/>
      <c r="AM541" s="629"/>
      <c r="AN541" s="631"/>
      <c r="AP541" s="1911">
        <f>Application!AJ1044</f>
        <v>32073798.719999999</v>
      </c>
      <c r="AQ541" s="1911"/>
      <c r="AR541" s="1911"/>
      <c r="AS541" s="584" t="s">
        <v>2057</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3">
        <f>IFERROR(ROUNDDOWN(IF(C533="YES",((1-(AF540/AF541))*2),(1-(AF540/AF541))),2),0)</f>
        <v>0.56999999999999995</v>
      </c>
      <c r="AG542" s="1923"/>
      <c r="AH542" s="1923"/>
      <c r="AI542" s="1923"/>
      <c r="AJ542" s="1923"/>
      <c r="AK542" s="629"/>
      <c r="AL542" s="629"/>
      <c r="AM542" s="629"/>
      <c r="AN542" s="631"/>
      <c r="AP542" s="1912">
        <f>Application!AJ1048</f>
        <v>68156822.280000001</v>
      </c>
      <c r="AQ542" s="1912"/>
      <c r="AR542" s="1912"/>
      <c r="AS542" s="584" t="s">
        <v>2536</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31">
        <f>IF(((AP541+AP542)/AP539)&gt;0.8,0.8,((AP541+AP542)/AP539))</f>
        <v>0.8</v>
      </c>
      <c r="AQ543" s="1931"/>
      <c r="AR543" s="1931"/>
      <c r="AS543" s="584" t="s">
        <v>2537</v>
      </c>
    </row>
    <row r="544" spans="1:49" s="584" customFormat="1" ht="12.75" customHeight="1">
      <c r="A544" s="658"/>
      <c r="B544" s="1977" t="s">
        <v>2347</v>
      </c>
      <c r="C544" s="1978"/>
      <c r="D544" s="1978"/>
      <c r="E544" s="1978"/>
      <c r="F544" s="1978"/>
      <c r="G544" s="1978"/>
      <c r="H544" s="1978"/>
      <c r="I544" s="1978"/>
      <c r="J544" s="1978"/>
      <c r="K544" s="1978"/>
      <c r="L544" s="1978"/>
      <c r="M544" s="1978"/>
      <c r="N544" s="1978"/>
      <c r="O544" s="1978"/>
      <c r="P544" s="1978"/>
      <c r="Q544" s="1978"/>
      <c r="R544" s="1978"/>
      <c r="S544" s="1978"/>
      <c r="T544" s="1978"/>
      <c r="U544" s="1978"/>
      <c r="V544" s="1978"/>
      <c r="W544" s="1978"/>
      <c r="X544" s="1978"/>
      <c r="Y544" s="1978"/>
      <c r="Z544" s="1978"/>
      <c r="AA544" s="1978"/>
      <c r="AB544" s="1978"/>
      <c r="AC544" s="1978"/>
      <c r="AD544" s="1978"/>
      <c r="AE544" s="1978"/>
      <c r="AF544" s="1978"/>
      <c r="AG544" s="1978"/>
      <c r="AH544" s="1978"/>
      <c r="AI544" s="1978"/>
      <c r="AJ544" s="1979"/>
      <c r="AK544" s="629"/>
      <c r="AL544" s="629"/>
      <c r="AM544" s="629"/>
      <c r="AN544" s="631"/>
    </row>
    <row r="545" spans="1:45" s="584" customFormat="1" ht="12.75" customHeight="1">
      <c r="A545" s="658"/>
      <c r="B545" s="1980"/>
      <c r="C545" s="1981"/>
      <c r="D545" s="1981"/>
      <c r="E545" s="1981"/>
      <c r="F545" s="1981"/>
      <c r="G545" s="1981"/>
      <c r="H545" s="1981"/>
      <c r="I545" s="1981"/>
      <c r="J545" s="1981"/>
      <c r="K545" s="1981"/>
      <c r="L545" s="1981"/>
      <c r="M545" s="1981"/>
      <c r="N545" s="1981"/>
      <c r="O545" s="1981"/>
      <c r="P545" s="1981"/>
      <c r="Q545" s="1981"/>
      <c r="R545" s="1981"/>
      <c r="S545" s="1981"/>
      <c r="T545" s="1981"/>
      <c r="U545" s="1981"/>
      <c r="V545" s="1981"/>
      <c r="W545" s="1981"/>
      <c r="X545" s="1981"/>
      <c r="Y545" s="1981"/>
      <c r="Z545" s="1981"/>
      <c r="AA545" s="1981"/>
      <c r="AB545" s="1981"/>
      <c r="AC545" s="1981"/>
      <c r="AD545" s="1981"/>
      <c r="AE545" s="1981"/>
      <c r="AF545" s="1981"/>
      <c r="AG545" s="1981"/>
      <c r="AH545" s="1981"/>
      <c r="AI545" s="1981"/>
      <c r="AJ545" s="1982"/>
      <c r="AK545" s="629"/>
      <c r="AL545" s="629"/>
      <c r="AM545" s="629"/>
      <c r="AN545" s="631"/>
      <c r="AP545" s="1911">
        <f>AP546-AP541-AP542</f>
        <v>76843476</v>
      </c>
      <c r="AQ545" s="1932"/>
      <c r="AR545" s="1932"/>
      <c r="AS545" s="584" t="s">
        <v>2539</v>
      </c>
    </row>
    <row r="546" spans="1:45" s="584" customFormat="1" ht="12.75" customHeight="1">
      <c r="A546" s="658"/>
      <c r="B546" s="1983"/>
      <c r="C546" s="1984"/>
      <c r="D546" s="1984"/>
      <c r="E546" s="1984"/>
      <c r="F546" s="1984"/>
      <c r="G546" s="1984"/>
      <c r="H546" s="1984"/>
      <c r="I546" s="1984"/>
      <c r="J546" s="1984"/>
      <c r="K546" s="1984"/>
      <c r="L546" s="1984"/>
      <c r="M546" s="1984"/>
      <c r="N546" s="1984"/>
      <c r="O546" s="1984"/>
      <c r="P546" s="1984"/>
      <c r="Q546" s="1984"/>
      <c r="R546" s="1984"/>
      <c r="S546" s="1984"/>
      <c r="T546" s="1984"/>
      <c r="U546" s="1984"/>
      <c r="V546" s="1984"/>
      <c r="W546" s="1984"/>
      <c r="X546" s="1984"/>
      <c r="Y546" s="1984"/>
      <c r="Z546" s="1984"/>
      <c r="AA546" s="1984"/>
      <c r="AB546" s="1984"/>
      <c r="AC546" s="1984"/>
      <c r="AD546" s="1984"/>
      <c r="AE546" s="1984"/>
      <c r="AF546" s="1984"/>
      <c r="AG546" s="1984"/>
      <c r="AH546" s="1984"/>
      <c r="AI546" s="1984"/>
      <c r="AJ546" s="1985"/>
      <c r="AK546" s="629"/>
      <c r="AL546" s="629"/>
      <c r="AM546" s="629"/>
      <c r="AN546" s="631"/>
      <c r="AP546" s="1911">
        <f>Application!AJ1052</f>
        <v>177074097</v>
      </c>
      <c r="AQ546" s="1911"/>
      <c r="AR546" s="1911"/>
      <c r="AS546" s="584" t="s">
        <v>2538</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1680</v>
      </c>
      <c r="AK548" s="1986">
        <f>IFERROR(IF(AND(C530="N/A",C533="N/A"),0,IF(AF542=0,0,IF((AF542*100)&gt;12,12,(AF542*100)))),0)</f>
        <v>12</v>
      </c>
      <c r="AL548" s="1986"/>
      <c r="AM548" s="1987"/>
      <c r="AN548" s="631"/>
      <c r="AP548" s="1900">
        <f>AP545+(AP539*AP543)</f>
        <v>130299807.2</v>
      </c>
      <c r="AQ548" s="1901"/>
      <c r="AR548" s="1902"/>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2337</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30" t="s">
        <v>1426</v>
      </c>
      <c r="AF551" s="1930"/>
      <c r="AG551" s="1930"/>
      <c r="AH551" s="1930"/>
      <c r="AI551" s="1930"/>
      <c r="AJ551" s="1930"/>
      <c r="AK551" s="1930"/>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7" t="s">
        <v>2338</v>
      </c>
      <c r="C553" s="1917"/>
      <c r="D553" s="1917"/>
      <c r="E553" s="1917"/>
      <c r="F553" s="1917"/>
      <c r="G553" s="1917"/>
      <c r="H553" s="1917"/>
      <c r="I553" s="1917"/>
      <c r="J553" s="1917"/>
      <c r="K553" s="1917"/>
      <c r="L553" s="1917"/>
      <c r="M553" s="1917"/>
      <c r="N553" s="1917"/>
      <c r="O553" s="1917"/>
      <c r="P553" s="1917"/>
      <c r="Q553" s="1917"/>
      <c r="R553" s="1917"/>
      <c r="S553" s="1917"/>
      <c r="T553" s="1917"/>
      <c r="U553" s="1917"/>
      <c r="V553" s="1917"/>
      <c r="W553" s="1917"/>
      <c r="X553" s="1917"/>
      <c r="Y553" s="1917"/>
      <c r="Z553" s="1917"/>
      <c r="AA553" s="1917"/>
      <c r="AB553" s="1917"/>
      <c r="AC553" s="1917"/>
      <c r="AD553" s="1917"/>
      <c r="AE553" s="1917"/>
      <c r="AF553" s="1917"/>
      <c r="AG553" s="1917"/>
      <c r="AH553" s="1917"/>
      <c r="AI553" s="1917"/>
      <c r="AJ553" s="1917"/>
      <c r="AK553" s="676"/>
      <c r="AL553" s="607"/>
      <c r="AM553" s="637"/>
      <c r="AN553" s="631"/>
    </row>
    <row r="554" spans="1:45" s="584" customFormat="1" ht="12.75" customHeight="1">
      <c r="A554" s="637"/>
      <c r="B554" s="1917"/>
      <c r="C554" s="1917"/>
      <c r="D554" s="1917"/>
      <c r="E554" s="1917"/>
      <c r="F554" s="1917"/>
      <c r="G554" s="1917"/>
      <c r="H554" s="1917"/>
      <c r="I554" s="1917"/>
      <c r="J554" s="1917"/>
      <c r="K554" s="1917"/>
      <c r="L554" s="1917"/>
      <c r="M554" s="1917"/>
      <c r="N554" s="1917"/>
      <c r="O554" s="1917"/>
      <c r="P554" s="1917"/>
      <c r="Q554" s="1917"/>
      <c r="R554" s="1917"/>
      <c r="S554" s="1917"/>
      <c r="T554" s="1917"/>
      <c r="U554" s="1917"/>
      <c r="V554" s="1917"/>
      <c r="W554" s="1917"/>
      <c r="X554" s="1917"/>
      <c r="Y554" s="1917"/>
      <c r="Z554" s="1917"/>
      <c r="AA554" s="1917"/>
      <c r="AB554" s="1917"/>
      <c r="AC554" s="1917"/>
      <c r="AD554" s="1917"/>
      <c r="AE554" s="1917"/>
      <c r="AF554" s="1917"/>
      <c r="AG554" s="1917"/>
      <c r="AH554" s="1917"/>
      <c r="AI554" s="1917"/>
      <c r="AJ554" s="1917"/>
      <c r="AK554" s="676"/>
      <c r="AL554" s="607"/>
      <c r="AM554" s="637"/>
      <c r="AN554" s="631"/>
    </row>
    <row r="555" spans="1:45" s="584" customFormat="1" ht="12.75" customHeight="1">
      <c r="A555" s="637"/>
      <c r="B555" s="1917"/>
      <c r="C555" s="1917"/>
      <c r="D555" s="1917"/>
      <c r="E555" s="1917"/>
      <c r="F555" s="1917"/>
      <c r="G555" s="1917"/>
      <c r="H555" s="1917"/>
      <c r="I555" s="1917"/>
      <c r="J555" s="1917"/>
      <c r="K555" s="1917"/>
      <c r="L555" s="1917"/>
      <c r="M555" s="1917"/>
      <c r="N555" s="1917"/>
      <c r="O555" s="1917"/>
      <c r="P555" s="1917"/>
      <c r="Q555" s="1917"/>
      <c r="R555" s="1917"/>
      <c r="S555" s="1917"/>
      <c r="T555" s="1917"/>
      <c r="U555" s="1917"/>
      <c r="V555" s="1917"/>
      <c r="W555" s="1917"/>
      <c r="X555" s="1917"/>
      <c r="Y555" s="1917"/>
      <c r="Z555" s="1917"/>
      <c r="AA555" s="1917"/>
      <c r="AB555" s="1917"/>
      <c r="AC555" s="1917"/>
      <c r="AD555" s="1917"/>
      <c r="AE555" s="1917"/>
      <c r="AF555" s="1917"/>
      <c r="AG555" s="1917"/>
      <c r="AH555" s="1917"/>
      <c r="AI555" s="1917"/>
      <c r="AJ555" s="1917"/>
      <c r="AK555" s="676"/>
      <c r="AL555" s="607"/>
      <c r="AM555" s="637"/>
      <c r="AN555" s="631"/>
    </row>
    <row r="556" spans="1:45" s="584" customFormat="1" ht="12.75" customHeight="1">
      <c r="A556" s="637"/>
      <c r="B556" s="1917"/>
      <c r="C556" s="1917"/>
      <c r="D556" s="1917"/>
      <c r="E556" s="1917"/>
      <c r="F556" s="1917"/>
      <c r="G556" s="1917"/>
      <c r="H556" s="1917"/>
      <c r="I556" s="1917"/>
      <c r="J556" s="1917"/>
      <c r="K556" s="1917"/>
      <c r="L556" s="1917"/>
      <c r="M556" s="1917"/>
      <c r="N556" s="1917"/>
      <c r="O556" s="1917"/>
      <c r="P556" s="1917"/>
      <c r="Q556" s="1917"/>
      <c r="R556" s="1917"/>
      <c r="S556" s="1917"/>
      <c r="T556" s="1917"/>
      <c r="U556" s="1917"/>
      <c r="V556" s="1917"/>
      <c r="W556" s="1917"/>
      <c r="X556" s="1917"/>
      <c r="Y556" s="1917"/>
      <c r="Z556" s="1917"/>
      <c r="AA556" s="1917"/>
      <c r="AB556" s="1917"/>
      <c r="AC556" s="1917"/>
      <c r="AD556" s="1917"/>
      <c r="AE556" s="1917"/>
      <c r="AF556" s="1917"/>
      <c r="AG556" s="1917"/>
      <c r="AH556" s="1917"/>
      <c r="AI556" s="1917"/>
      <c r="AJ556" s="1917"/>
      <c r="AK556" s="676"/>
      <c r="AL556" s="607"/>
      <c r="AM556" s="637"/>
      <c r="AN556" s="631"/>
    </row>
    <row r="557" spans="1:45" s="584" customFormat="1" ht="12.75" customHeight="1">
      <c r="A557" s="637"/>
      <c r="B557" s="1917"/>
      <c r="C557" s="1917"/>
      <c r="D557" s="1917"/>
      <c r="E557" s="1917"/>
      <c r="F557" s="1917"/>
      <c r="G557" s="1917"/>
      <c r="H557" s="1917"/>
      <c r="I557" s="1917"/>
      <c r="J557" s="1917"/>
      <c r="K557" s="1917"/>
      <c r="L557" s="1917"/>
      <c r="M557" s="1917"/>
      <c r="N557" s="1917"/>
      <c r="O557" s="1917"/>
      <c r="P557" s="1917"/>
      <c r="Q557" s="1917"/>
      <c r="R557" s="1917"/>
      <c r="S557" s="1917"/>
      <c r="T557" s="1917"/>
      <c r="U557" s="1917"/>
      <c r="V557" s="1917"/>
      <c r="W557" s="1917"/>
      <c r="X557" s="1917"/>
      <c r="Y557" s="1917"/>
      <c r="Z557" s="1917"/>
      <c r="AA557" s="1917"/>
      <c r="AB557" s="1917"/>
      <c r="AC557" s="1917"/>
      <c r="AD557" s="1917"/>
      <c r="AE557" s="1917"/>
      <c r="AF557" s="1917"/>
      <c r="AG557" s="1917"/>
      <c r="AH557" s="1917"/>
      <c r="AI557" s="1917"/>
      <c r="AJ557" s="1917"/>
      <c r="AK557" s="676"/>
      <c r="AL557" s="607"/>
      <c r="AM557" s="637"/>
      <c r="AN557" s="631"/>
    </row>
    <row r="558" spans="1:45" s="584" customFormat="1" ht="12.75" customHeight="1">
      <c r="A558" s="637"/>
      <c r="B558" s="1917"/>
      <c r="C558" s="1917"/>
      <c r="D558" s="1917"/>
      <c r="E558" s="1917"/>
      <c r="F558" s="1917"/>
      <c r="G558" s="1917"/>
      <c r="H558" s="1917"/>
      <c r="I558" s="1917"/>
      <c r="J558" s="1917"/>
      <c r="K558" s="1917"/>
      <c r="L558" s="1917"/>
      <c r="M558" s="1917"/>
      <c r="N558" s="1917"/>
      <c r="O558" s="1917"/>
      <c r="P558" s="1917"/>
      <c r="Q558" s="1917"/>
      <c r="R558" s="1917"/>
      <c r="S558" s="1917"/>
      <c r="T558" s="1917"/>
      <c r="U558" s="1917"/>
      <c r="V558" s="1917"/>
      <c r="W558" s="1917"/>
      <c r="X558" s="1917"/>
      <c r="Y558" s="1917"/>
      <c r="Z558" s="1917"/>
      <c r="AA558" s="1917"/>
      <c r="AB558" s="1917"/>
      <c r="AC558" s="1917"/>
      <c r="AD558" s="1917"/>
      <c r="AE558" s="1917"/>
      <c r="AF558" s="1917"/>
      <c r="AG558" s="1917"/>
      <c r="AH558" s="1917"/>
      <c r="AI558" s="1917"/>
      <c r="AJ558" s="1917"/>
      <c r="AK558" s="676"/>
      <c r="AL558" s="607"/>
      <c r="AM558" s="637"/>
      <c r="AN558" s="631"/>
    </row>
    <row r="559" spans="1:45" s="584" customFormat="1" ht="12.75" customHeight="1">
      <c r="A559" s="637"/>
      <c r="B559" s="1917"/>
      <c r="C559" s="1917"/>
      <c r="D559" s="1917"/>
      <c r="E559" s="1917"/>
      <c r="F559" s="1917"/>
      <c r="G559" s="1917"/>
      <c r="H559" s="1917"/>
      <c r="I559" s="1917"/>
      <c r="J559" s="1917"/>
      <c r="K559" s="1917"/>
      <c r="L559" s="1917"/>
      <c r="M559" s="1917"/>
      <c r="N559" s="1917"/>
      <c r="O559" s="1917"/>
      <c r="P559" s="1917"/>
      <c r="Q559" s="1917"/>
      <c r="R559" s="1917"/>
      <c r="S559" s="1917"/>
      <c r="T559" s="1917"/>
      <c r="U559" s="1917"/>
      <c r="V559" s="1917"/>
      <c r="W559" s="1917"/>
      <c r="X559" s="1917"/>
      <c r="Y559" s="1917"/>
      <c r="Z559" s="1917"/>
      <c r="AA559" s="1917"/>
      <c r="AB559" s="1917"/>
      <c r="AC559" s="1917"/>
      <c r="AD559" s="1917"/>
      <c r="AE559" s="1917"/>
      <c r="AF559" s="1917"/>
      <c r="AG559" s="1917"/>
      <c r="AH559" s="1917"/>
      <c r="AI559" s="1917"/>
      <c r="AJ559" s="1917"/>
      <c r="AK559" s="676"/>
      <c r="AL559" s="607"/>
      <c r="AM559" s="637"/>
      <c r="AN559" s="631"/>
    </row>
    <row r="560" spans="1:45" ht="12.75" customHeight="1">
      <c r="A560" s="637"/>
      <c r="B560" s="1917"/>
      <c r="C560" s="1917"/>
      <c r="D560" s="1917"/>
      <c r="E560" s="1917"/>
      <c r="F560" s="1917"/>
      <c r="G560" s="1917"/>
      <c r="H560" s="1917"/>
      <c r="I560" s="1917"/>
      <c r="J560" s="1917"/>
      <c r="K560" s="1917"/>
      <c r="L560" s="1917"/>
      <c r="M560" s="1917"/>
      <c r="N560" s="1917"/>
      <c r="O560" s="1917"/>
      <c r="P560" s="1917"/>
      <c r="Q560" s="1917"/>
      <c r="R560" s="1917"/>
      <c r="S560" s="1917"/>
      <c r="T560" s="1917"/>
      <c r="U560" s="1917"/>
      <c r="V560" s="1917"/>
      <c r="W560" s="1917"/>
      <c r="X560" s="1917"/>
      <c r="Y560" s="1917"/>
      <c r="Z560" s="1917"/>
      <c r="AA560" s="1917"/>
      <c r="AB560" s="1917"/>
      <c r="AC560" s="1917"/>
      <c r="AD560" s="1917"/>
      <c r="AE560" s="1917"/>
      <c r="AF560" s="1917"/>
      <c r="AG560" s="1917"/>
      <c r="AH560" s="1917"/>
      <c r="AI560" s="1917"/>
      <c r="AJ560" s="1917"/>
      <c r="AK560" s="676"/>
      <c r="AL560" s="607"/>
      <c r="AM560" s="637"/>
    </row>
    <row r="561" spans="1:42" s="584" customFormat="1" ht="12.75" customHeight="1">
      <c r="B561" s="1917"/>
      <c r="C561" s="1917"/>
      <c r="D561" s="1917"/>
      <c r="E561" s="1917"/>
      <c r="F561" s="1917"/>
      <c r="G561" s="1917"/>
      <c r="H561" s="1917"/>
      <c r="I561" s="1917"/>
      <c r="J561" s="1917"/>
      <c r="K561" s="1917"/>
      <c r="L561" s="1917"/>
      <c r="M561" s="1917"/>
      <c r="N561" s="1917"/>
      <c r="O561" s="1917"/>
      <c r="P561" s="1917"/>
      <c r="Q561" s="1917"/>
      <c r="R561" s="1917"/>
      <c r="S561" s="1917"/>
      <c r="T561" s="1917"/>
      <c r="U561" s="1917"/>
      <c r="V561" s="1917"/>
      <c r="W561" s="1917"/>
      <c r="X561" s="1917"/>
      <c r="Y561" s="1917"/>
      <c r="Z561" s="1917"/>
      <c r="AA561" s="1917"/>
      <c r="AB561" s="1917"/>
      <c r="AC561" s="1917"/>
      <c r="AD561" s="1917"/>
      <c r="AE561" s="1917"/>
      <c r="AF561" s="1917"/>
      <c r="AG561" s="1917"/>
      <c r="AH561" s="1917"/>
      <c r="AI561" s="1917"/>
      <c r="AJ561" s="1917"/>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1506</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1507</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1889</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7" t="s">
        <v>1450</v>
      </c>
      <c r="AG567" s="1997"/>
      <c r="AH567" s="1997"/>
      <c r="AI567" s="1997"/>
      <c r="AJ567" s="1997"/>
      <c r="AK567" s="1997"/>
      <c r="AL567" s="1997"/>
      <c r="AN567" s="631"/>
    </row>
    <row r="568" spans="1:42" s="584" customFormat="1" ht="12.75" customHeight="1">
      <c r="B568" s="570"/>
      <c r="C568" s="650"/>
      <c r="D568" s="697"/>
      <c r="E568" s="872" t="s">
        <v>1890</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1891</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1892</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1893</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2540</v>
      </c>
      <c r="AP571" s="584" t="b">
        <f>IF(Application!AF418&gt;=25,TRUE,FALSE)</f>
        <v>1</v>
      </c>
    </row>
    <row r="572" spans="1:42" s="584" customFormat="1" ht="12.75" customHeight="1">
      <c r="B572" s="570"/>
      <c r="C572" s="650"/>
      <c r="D572" s="697"/>
      <c r="E572" s="872" t="s">
        <v>1894</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2541</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1895</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7" t="s">
        <v>1508</v>
      </c>
      <c r="AG574" s="1997"/>
      <c r="AH574" s="1997"/>
      <c r="AI574" s="1997"/>
      <c r="AJ574" s="1997"/>
      <c r="AK574" s="1997"/>
      <c r="AL574" s="1997"/>
      <c r="AN574" s="631"/>
    </row>
    <row r="575" spans="1:42" s="584" customFormat="1" ht="12.75" customHeight="1">
      <c r="B575" s="570"/>
      <c r="C575" s="968"/>
      <c r="D575" s="697"/>
      <c r="E575" s="872" t="s">
        <v>1896</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1897</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1899</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1898</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1509</v>
      </c>
      <c r="AP579" s="584">
        <v>4</v>
      </c>
    </row>
    <row r="580" spans="1:53" s="584" customFormat="1" ht="12.75" customHeight="1">
      <c r="B580" s="570"/>
      <c r="C580" s="966"/>
      <c r="D580" s="697" t="s">
        <v>279</v>
      </c>
      <c r="E580" s="872" t="s">
        <v>1900</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7" t="s">
        <v>1490</v>
      </c>
      <c r="AG580" s="1997"/>
      <c r="AH580" s="1997"/>
      <c r="AI580" s="1997"/>
      <c r="AJ580" s="1997"/>
      <c r="AK580" s="1997"/>
      <c r="AL580" s="1997"/>
      <c r="AN580" s="631"/>
      <c r="AO580" s="645" t="s">
        <v>1510</v>
      </c>
      <c r="AP580" s="584">
        <v>3</v>
      </c>
    </row>
    <row r="581" spans="1:53" s="584" customFormat="1" ht="12.75" customHeight="1">
      <c r="B581" s="570"/>
      <c r="C581" s="968"/>
      <c r="D581" s="697"/>
      <c r="E581" s="872" t="s">
        <v>1896</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1897</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2543</v>
      </c>
    </row>
    <row r="583" spans="1:53" s="584" customFormat="1" ht="12.75" customHeight="1">
      <c r="B583" s="570"/>
      <c r="C583" s="968"/>
      <c r="D583" s="697"/>
      <c r="E583" s="872" t="s">
        <v>1899</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2544</v>
      </c>
    </row>
    <row r="584" spans="1:53" s="584" customFormat="1" ht="12.75" customHeight="1">
      <c r="B584" s="570"/>
      <c r="C584" s="968"/>
      <c r="D584" s="697"/>
      <c r="E584" s="872" t="s">
        <v>1898</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2545</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1509</v>
      </c>
      <c r="E586" s="872" t="s">
        <v>1901</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7" t="s">
        <v>1511</v>
      </c>
      <c r="AG586" s="1997"/>
      <c r="AH586" s="1997"/>
      <c r="AI586" s="1997"/>
      <c r="AJ586" s="1997"/>
      <c r="AK586" s="1997"/>
      <c r="AL586" s="1997"/>
      <c r="AN586" s="631"/>
      <c r="AO586" s="584" t="str">
        <f>X623</f>
        <v>N/A</v>
      </c>
    </row>
    <row r="587" spans="1:53" s="584" customFormat="1" ht="12.75" customHeight="1">
      <c r="B587" s="570"/>
      <c r="C587" s="968"/>
      <c r="D587" s="697"/>
      <c r="E587" s="872" t="s">
        <v>1902</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1903</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2546</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2547</v>
      </c>
    </row>
    <row r="590" spans="1:53" s="584" customFormat="1" ht="12.75" customHeight="1">
      <c r="B590" s="644"/>
      <c r="C590" s="966"/>
      <c r="D590" s="697"/>
      <c r="E590" s="570" t="s">
        <v>2058</v>
      </c>
      <c r="O590" s="2036" t="s">
        <v>1291</v>
      </c>
      <c r="P590" s="2036"/>
      <c r="Q590" s="2036"/>
      <c r="R590" s="2036"/>
      <c r="S590" s="2036"/>
      <c r="T590" s="2036"/>
      <c r="U590" s="2036"/>
      <c r="V590" s="2036"/>
      <c r="W590" s="2036"/>
      <c r="X590" s="2036"/>
      <c r="Y590" s="2036"/>
      <c r="Z590" s="2036"/>
      <c r="AA590" s="2036"/>
      <c r="AB590" s="2036"/>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1510</v>
      </c>
      <c r="E592" s="872" t="s">
        <v>1905</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7" t="s">
        <v>1464</v>
      </c>
      <c r="AG592" s="1997"/>
      <c r="AH592" s="1997"/>
      <c r="AI592" s="1997"/>
      <c r="AJ592" s="1997"/>
      <c r="AK592" s="1997"/>
      <c r="AL592" s="1997"/>
      <c r="AN592" s="631"/>
    </row>
    <row r="593" spans="2:47" s="584" customFormat="1" ht="12.75" customHeight="1">
      <c r="B593" s="570"/>
      <c r="C593" s="966"/>
      <c r="D593" s="697"/>
      <c r="E593" s="872" t="s">
        <v>1904</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1512</v>
      </c>
      <c r="E595" s="971"/>
      <c r="F595" s="971"/>
      <c r="G595" s="971"/>
      <c r="H595" s="1941" t="s">
        <v>697</v>
      </c>
      <c r="I595" s="1941"/>
      <c r="J595" s="971"/>
      <c r="K595" s="971"/>
      <c r="L595" s="971"/>
      <c r="N595" s="22"/>
      <c r="O595" s="22"/>
      <c r="P595" s="22"/>
      <c r="Q595" s="1195" t="s">
        <v>2542</v>
      </c>
      <c r="R595" s="2037"/>
      <c r="S595" s="2037"/>
      <c r="T595" s="2037"/>
      <c r="U595" s="2037"/>
      <c r="V595" s="2037"/>
      <c r="W595" s="2037"/>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8" t="str">
        <f>IF(AND(H595="(i)",NOT(AP571)),AO588,IF(AND(H595="(iv)",OR(R595=AO584,R595=AO583),NOT(AP572)),AO589,""))</f>
        <v/>
      </c>
      <c r="Z596" s="2038"/>
      <c r="AA596" s="2038"/>
      <c r="AB596" s="2038"/>
      <c r="AC596" s="2038"/>
      <c r="AD596" s="2038"/>
      <c r="AE596" s="2038"/>
      <c r="AF596" s="2038"/>
      <c r="AG596" s="2038"/>
      <c r="AH596" s="2038"/>
      <c r="AI596" s="2038"/>
      <c r="AJ596" s="2038"/>
      <c r="AK596" s="2038"/>
      <c r="AL596" s="2038"/>
      <c r="AM596" s="2039"/>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8"/>
      <c r="Z597" s="2038"/>
      <c r="AA597" s="2038"/>
      <c r="AB597" s="2038"/>
      <c r="AC597" s="2038"/>
      <c r="AD597" s="2038"/>
      <c r="AE597" s="2038"/>
      <c r="AF597" s="2038"/>
      <c r="AG597" s="2038"/>
      <c r="AH597" s="2038"/>
      <c r="AI597" s="2038"/>
      <c r="AJ597" s="2038"/>
      <c r="AK597" s="2038"/>
      <c r="AL597" s="2038"/>
      <c r="AM597" s="2039"/>
      <c r="AN597" s="631"/>
      <c r="AO597" s="645"/>
      <c r="AT597" s="645"/>
    </row>
    <row r="598" spans="2:47" s="584" customFormat="1" ht="12.75" customHeight="1">
      <c r="B598" s="570"/>
      <c r="C598" s="968"/>
      <c r="D598" s="570" t="s">
        <v>1906</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1907</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1908</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1909</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1512</v>
      </c>
      <c r="F603" s="971"/>
      <c r="G603" s="971"/>
      <c r="I603" s="2035" t="s">
        <v>600</v>
      </c>
      <c r="J603" s="2035"/>
      <c r="K603" s="2035"/>
      <c r="L603" s="2035"/>
      <c r="M603" s="2035"/>
      <c r="N603" s="2035"/>
      <c r="O603" s="2035"/>
      <c r="P603" s="2035"/>
      <c r="Q603" s="2035"/>
      <c r="R603" s="2035"/>
      <c r="S603" s="2035"/>
      <c r="T603" s="2035"/>
      <c r="U603" s="2035"/>
      <c r="V603" s="2035"/>
      <c r="W603" s="2035"/>
      <c r="X603" s="2035"/>
      <c r="Y603" s="2035"/>
      <c r="Z603" s="2035"/>
      <c r="AA603" s="2035"/>
      <c r="AB603" s="2035"/>
      <c r="AC603" s="2035"/>
      <c r="AD603" s="2035"/>
      <c r="AE603" s="2035"/>
      <c r="AF603" s="570"/>
      <c r="AG603" s="570"/>
      <c r="AH603" s="570"/>
      <c r="AI603" s="570"/>
      <c r="AJ603" s="570"/>
      <c r="AK603" s="570"/>
      <c r="AL603" s="570"/>
      <c r="AN603" s="631"/>
      <c r="AO603" s="584" t="s">
        <v>1513</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1514</v>
      </c>
      <c r="AP604" s="584">
        <v>2</v>
      </c>
    </row>
    <row r="605" spans="2:47" s="584" customFormat="1" ht="12.75" customHeight="1">
      <c r="B605" s="2033" t="s">
        <v>600</v>
      </c>
      <c r="C605" s="2033"/>
      <c r="D605" s="676"/>
      <c r="E605" s="1917" t="s">
        <v>1515</v>
      </c>
      <c r="F605" s="1917"/>
      <c r="G605" s="1917"/>
      <c r="H605" s="1917"/>
      <c r="I605" s="1917"/>
      <c r="J605" s="1917"/>
      <c r="K605" s="1917"/>
      <c r="L605" s="1917"/>
      <c r="M605" s="1917"/>
      <c r="N605" s="1917"/>
      <c r="O605" s="1917"/>
      <c r="P605" s="1917"/>
      <c r="Q605" s="1917"/>
      <c r="R605" s="1917"/>
      <c r="S605" s="1917"/>
      <c r="T605" s="1917"/>
      <c r="U605" s="1917"/>
      <c r="V605" s="1917"/>
      <c r="W605" s="1917"/>
      <c r="X605" s="1917"/>
      <c r="Y605" s="1917"/>
      <c r="Z605" s="1917"/>
      <c r="AA605" s="1917"/>
      <c r="AB605" s="1917"/>
      <c r="AC605" s="1917"/>
      <c r="AD605" s="1917"/>
      <c r="AE605" s="1917"/>
      <c r="AF605" s="1917"/>
      <c r="AG605" s="1917"/>
      <c r="AH605" s="676"/>
      <c r="AI605" s="676"/>
      <c r="AJ605" s="676"/>
      <c r="AK605" s="676"/>
      <c r="AL605" s="676"/>
      <c r="AN605" s="631"/>
    </row>
    <row r="606" spans="2:47" s="584" customFormat="1" ht="12.75" customHeight="1">
      <c r="B606" s="570"/>
      <c r="C606" s="968"/>
      <c r="D606" s="676"/>
      <c r="E606" s="1917"/>
      <c r="F606" s="1917"/>
      <c r="G606" s="1917"/>
      <c r="H606" s="1917"/>
      <c r="I606" s="1917"/>
      <c r="J606" s="1917"/>
      <c r="K606" s="1917"/>
      <c r="L606" s="1917"/>
      <c r="M606" s="1917"/>
      <c r="N606" s="1917"/>
      <c r="O606" s="1917"/>
      <c r="P606" s="1917"/>
      <c r="Q606" s="1917"/>
      <c r="R606" s="1917"/>
      <c r="S606" s="1917"/>
      <c r="T606" s="1917"/>
      <c r="U606" s="1917"/>
      <c r="V606" s="1917"/>
      <c r="W606" s="1917"/>
      <c r="X606" s="1917"/>
      <c r="Y606" s="1917"/>
      <c r="Z606" s="1917"/>
      <c r="AA606" s="1917"/>
      <c r="AB606" s="1917"/>
      <c r="AC606" s="1917"/>
      <c r="AD606" s="1917"/>
      <c r="AE606" s="1917"/>
      <c r="AF606" s="1917"/>
      <c r="AG606" s="1917"/>
      <c r="AH606" s="676"/>
      <c r="AI606" s="676"/>
      <c r="AJ606" s="676"/>
      <c r="AK606" s="676"/>
      <c r="AL606" s="676"/>
      <c r="AN606" s="631"/>
    </row>
    <row r="607" spans="2:47" s="584" customFormat="1" ht="12.75" customHeight="1">
      <c r="B607" s="570"/>
      <c r="C607" s="968"/>
      <c r="D607" s="676"/>
      <c r="E607" s="1917"/>
      <c r="F607" s="1917"/>
      <c r="G607" s="1917"/>
      <c r="H607" s="1917"/>
      <c r="I607" s="1917"/>
      <c r="J607" s="1917"/>
      <c r="K607" s="1917"/>
      <c r="L607" s="1917"/>
      <c r="M607" s="1917"/>
      <c r="N607" s="1917"/>
      <c r="O607" s="1917"/>
      <c r="P607" s="1917"/>
      <c r="Q607" s="1917"/>
      <c r="R607" s="1917"/>
      <c r="S607" s="1917"/>
      <c r="T607" s="1917"/>
      <c r="U607" s="1917"/>
      <c r="V607" s="1917"/>
      <c r="W607" s="1917"/>
      <c r="X607" s="1917"/>
      <c r="Y607" s="1917"/>
      <c r="Z607" s="1917"/>
      <c r="AA607" s="1917"/>
      <c r="AB607" s="1917"/>
      <c r="AC607" s="1917"/>
      <c r="AD607" s="1917"/>
      <c r="AE607" s="1917"/>
      <c r="AF607" s="1917"/>
      <c r="AG607" s="1917"/>
      <c r="AH607" s="676"/>
      <c r="AI607" s="676"/>
      <c r="AJ607" s="676"/>
      <c r="AK607" s="676"/>
      <c r="AL607" s="676"/>
      <c r="AN607" s="631"/>
    </row>
    <row r="608" spans="2:47" s="584" customFormat="1" ht="12.75" customHeight="1">
      <c r="B608" s="570"/>
      <c r="C608" s="968"/>
      <c r="D608" s="676"/>
      <c r="E608" s="1917"/>
      <c r="F608" s="1917"/>
      <c r="G608" s="1917"/>
      <c r="H608" s="1917"/>
      <c r="I608" s="1917"/>
      <c r="J608" s="1917"/>
      <c r="K608" s="1917"/>
      <c r="L608" s="1917"/>
      <c r="M608" s="1917"/>
      <c r="N608" s="1917"/>
      <c r="O608" s="1917"/>
      <c r="P608" s="1917"/>
      <c r="Q608" s="1917"/>
      <c r="R608" s="1917"/>
      <c r="S608" s="1917"/>
      <c r="T608" s="1917"/>
      <c r="U608" s="1917"/>
      <c r="V608" s="1917"/>
      <c r="W608" s="1917"/>
      <c r="X608" s="1917"/>
      <c r="Y608" s="1917"/>
      <c r="Z608" s="1917"/>
      <c r="AA608" s="1917"/>
      <c r="AB608" s="1917"/>
      <c r="AC608" s="1917"/>
      <c r="AD608" s="1917"/>
      <c r="AE608" s="1917"/>
      <c r="AF608" s="1917"/>
      <c r="AG608" s="1917"/>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1516</v>
      </c>
      <c r="AJ610" s="1924">
        <f>VLOOKUP($H$595,$AO$575:$AP$580,2,FALSE)+IF(R595=AO583,0,VLOOKUP($I$603,$AO$602:$AP$604,2,FALSE))</f>
        <v>7</v>
      </c>
      <c r="AK610" s="1926"/>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1517</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34" t="s">
        <v>1885</v>
      </c>
      <c r="F614" s="2034"/>
      <c r="G614" s="2034"/>
      <c r="H614" s="2034"/>
      <c r="I614" s="2034"/>
      <c r="J614" s="2034"/>
      <c r="K614" s="2034"/>
      <c r="L614" s="2034"/>
      <c r="M614" s="2034"/>
      <c r="N614" s="2034"/>
      <c r="O614" s="2034"/>
      <c r="P614" s="2034"/>
      <c r="Q614" s="2034"/>
      <c r="R614" s="2034"/>
      <c r="S614" s="2034"/>
      <c r="T614" s="2034"/>
      <c r="U614" s="2034"/>
      <c r="V614" s="2034"/>
      <c r="W614" s="2034"/>
      <c r="X614" s="2034"/>
      <c r="Y614" s="2034"/>
      <c r="Z614" s="2034"/>
      <c r="AA614" s="2034"/>
      <c r="AB614" s="2034"/>
      <c r="AC614" s="2034"/>
      <c r="AD614" s="2034"/>
      <c r="AE614" s="573"/>
      <c r="AF614" s="1997" t="s">
        <v>1464</v>
      </c>
      <c r="AG614" s="1997"/>
      <c r="AH614" s="1997"/>
      <c r="AI614" s="1997"/>
      <c r="AJ614" s="1997"/>
      <c r="AK614" s="1997"/>
      <c r="AL614" s="1997"/>
      <c r="AM614" s="584"/>
      <c r="AN614" s="712"/>
    </row>
    <row r="615" spans="1:42" s="584" customFormat="1" ht="12.75" customHeight="1">
      <c r="A615" s="713"/>
      <c r="B615" s="570"/>
      <c r="C615" s="968"/>
      <c r="D615" s="697"/>
      <c r="E615" s="2034"/>
      <c r="F615" s="2034"/>
      <c r="G615" s="2034"/>
      <c r="H615" s="2034"/>
      <c r="I615" s="2034"/>
      <c r="J615" s="2034"/>
      <c r="K615" s="2034"/>
      <c r="L615" s="2034"/>
      <c r="M615" s="2034"/>
      <c r="N615" s="2034"/>
      <c r="O615" s="2034"/>
      <c r="P615" s="2034"/>
      <c r="Q615" s="2034"/>
      <c r="R615" s="2034"/>
      <c r="S615" s="2034"/>
      <c r="T615" s="2034"/>
      <c r="U615" s="2034"/>
      <c r="V615" s="2034"/>
      <c r="W615" s="2034"/>
      <c r="X615" s="2034"/>
      <c r="Y615" s="2034"/>
      <c r="Z615" s="2034"/>
      <c r="AA615" s="2034"/>
      <c r="AB615" s="2034"/>
      <c r="AC615" s="2034"/>
      <c r="AD615" s="2034"/>
      <c r="AE615" s="570"/>
      <c r="AF615" s="570"/>
      <c r="AG615" s="570"/>
      <c r="AH615" s="570"/>
      <c r="AI615" s="570"/>
      <c r="AJ615" s="570"/>
      <c r="AK615" s="570"/>
      <c r="AL615" s="570"/>
      <c r="AN615" s="631"/>
    </row>
    <row r="616" spans="1:42" s="584" customFormat="1" ht="12.75" customHeight="1">
      <c r="B616" s="570"/>
      <c r="C616" s="966"/>
      <c r="D616" s="697"/>
      <c r="E616" s="2034"/>
      <c r="F616" s="2034"/>
      <c r="G616" s="2034"/>
      <c r="H616" s="2034"/>
      <c r="I616" s="2034"/>
      <c r="J616" s="2034"/>
      <c r="K616" s="2034"/>
      <c r="L616" s="2034"/>
      <c r="M616" s="2034"/>
      <c r="N616" s="2034"/>
      <c r="O616" s="2034"/>
      <c r="P616" s="2034"/>
      <c r="Q616" s="2034"/>
      <c r="R616" s="2034"/>
      <c r="S616" s="2034"/>
      <c r="T616" s="2034"/>
      <c r="U616" s="2034"/>
      <c r="V616" s="2034"/>
      <c r="W616" s="2034"/>
      <c r="X616" s="2034"/>
      <c r="Y616" s="2034"/>
      <c r="Z616" s="2034"/>
      <c r="AA616" s="2034"/>
      <c r="AB616" s="2034"/>
      <c r="AC616" s="2034"/>
      <c r="AD616" s="2034"/>
      <c r="AE616" s="570"/>
      <c r="AF616" s="570"/>
      <c r="AG616" s="570"/>
      <c r="AH616" s="570"/>
      <c r="AI616" s="570"/>
      <c r="AJ616" s="570"/>
      <c r="AK616" s="570"/>
      <c r="AL616" s="570"/>
      <c r="AN616" s="631"/>
    </row>
    <row r="617" spans="1:42" s="584" customFormat="1" ht="12.75" customHeight="1">
      <c r="B617" s="570"/>
      <c r="C617" s="966"/>
      <c r="D617" s="697"/>
      <c r="E617" s="2034"/>
      <c r="F617" s="2034"/>
      <c r="G617" s="2034"/>
      <c r="H617" s="2034"/>
      <c r="I617" s="2034"/>
      <c r="J617" s="2034"/>
      <c r="K617" s="2034"/>
      <c r="L617" s="2034"/>
      <c r="M617" s="2034"/>
      <c r="N617" s="2034"/>
      <c r="O617" s="2034"/>
      <c r="P617" s="2034"/>
      <c r="Q617" s="2034"/>
      <c r="R617" s="2034"/>
      <c r="S617" s="2034"/>
      <c r="T617" s="2034"/>
      <c r="U617" s="2034"/>
      <c r="V617" s="2034"/>
      <c r="W617" s="2034"/>
      <c r="X617" s="2034"/>
      <c r="Y617" s="2034"/>
      <c r="Z617" s="2034"/>
      <c r="AA617" s="2034"/>
      <c r="AB617" s="2034"/>
      <c r="AC617" s="2034"/>
      <c r="AD617" s="2034"/>
      <c r="AE617" s="570"/>
      <c r="AF617" s="570"/>
      <c r="AG617" s="570"/>
      <c r="AH617" s="570"/>
      <c r="AI617" s="570"/>
      <c r="AJ617" s="570"/>
      <c r="AK617" s="570"/>
      <c r="AL617" s="570"/>
      <c r="AN617" s="631"/>
    </row>
    <row r="618" spans="1:42" s="584" customFormat="1" ht="12.75" customHeight="1">
      <c r="B618" s="570"/>
      <c r="C618" s="966"/>
      <c r="D618" s="697"/>
      <c r="E618" s="2034"/>
      <c r="F618" s="2034"/>
      <c r="G618" s="2034"/>
      <c r="H618" s="2034"/>
      <c r="I618" s="2034"/>
      <c r="J618" s="2034"/>
      <c r="K618" s="2034"/>
      <c r="L618" s="2034"/>
      <c r="M618" s="2034"/>
      <c r="N618" s="2034"/>
      <c r="O618" s="2034"/>
      <c r="P618" s="2034"/>
      <c r="Q618" s="2034"/>
      <c r="R618" s="2034"/>
      <c r="S618" s="2034"/>
      <c r="T618" s="2034"/>
      <c r="U618" s="2034"/>
      <c r="V618" s="2034"/>
      <c r="W618" s="2034"/>
      <c r="X618" s="2034"/>
      <c r="Y618" s="2034"/>
      <c r="Z618" s="2034"/>
      <c r="AA618" s="2034"/>
      <c r="AB618" s="2034"/>
      <c r="AC618" s="2034"/>
      <c r="AD618" s="2034"/>
      <c r="AE618" s="570"/>
      <c r="AF618" s="570"/>
      <c r="AG618" s="570"/>
      <c r="AH618" s="570"/>
      <c r="AI618" s="570"/>
      <c r="AJ618" s="570"/>
      <c r="AK618" s="570"/>
      <c r="AL618" s="570"/>
      <c r="AN618" s="631"/>
    </row>
    <row r="619" spans="1:42" s="584" customFormat="1" ht="12.75" customHeight="1">
      <c r="B619" s="570"/>
      <c r="C619" s="966"/>
      <c r="D619" s="697"/>
      <c r="E619" s="2034"/>
      <c r="F619" s="2034"/>
      <c r="G619" s="2034"/>
      <c r="H619" s="2034"/>
      <c r="I619" s="2034"/>
      <c r="J619" s="2034"/>
      <c r="K619" s="2034"/>
      <c r="L619" s="2034"/>
      <c r="M619" s="2034"/>
      <c r="N619" s="2034"/>
      <c r="O619" s="2034"/>
      <c r="P619" s="2034"/>
      <c r="Q619" s="2034"/>
      <c r="R619" s="2034"/>
      <c r="S619" s="2034"/>
      <c r="T619" s="2034"/>
      <c r="U619" s="2034"/>
      <c r="V619" s="2034"/>
      <c r="W619" s="2034"/>
      <c r="X619" s="2034"/>
      <c r="Y619" s="2034"/>
      <c r="Z619" s="2034"/>
      <c r="AA619" s="2034"/>
      <c r="AB619" s="2034"/>
      <c r="AC619" s="2034"/>
      <c r="AD619" s="2034"/>
      <c r="AE619" s="570"/>
      <c r="AF619" s="570"/>
      <c r="AG619" s="570"/>
      <c r="AH619" s="570"/>
      <c r="AI619" s="570"/>
      <c r="AJ619" s="570"/>
      <c r="AK619" s="570"/>
      <c r="AL619" s="570"/>
      <c r="AN619" s="631"/>
    </row>
    <row r="620" spans="1:42" s="584" customFormat="1" ht="12.75" customHeight="1">
      <c r="A620" s="671"/>
      <c r="B620" s="650"/>
      <c r="C620" s="975"/>
      <c r="D620" s="697"/>
      <c r="E620" s="2034"/>
      <c r="F620" s="2034"/>
      <c r="G620" s="2034"/>
      <c r="H620" s="2034"/>
      <c r="I620" s="2034"/>
      <c r="J620" s="2034"/>
      <c r="K620" s="2034"/>
      <c r="L620" s="2034"/>
      <c r="M620" s="2034"/>
      <c r="N620" s="2034"/>
      <c r="O620" s="2034"/>
      <c r="P620" s="2034"/>
      <c r="Q620" s="2034"/>
      <c r="R620" s="2034"/>
      <c r="S620" s="2034"/>
      <c r="T620" s="2034"/>
      <c r="U620" s="2034"/>
      <c r="V620" s="2034"/>
      <c r="W620" s="2034"/>
      <c r="X620" s="2034"/>
      <c r="Y620" s="2034"/>
      <c r="Z620" s="2034"/>
      <c r="AA620" s="2034"/>
      <c r="AB620" s="2034"/>
      <c r="AC620" s="2034"/>
      <c r="AD620" s="2034"/>
      <c r="AE620" s="650"/>
      <c r="AF620" s="650"/>
      <c r="AG620" s="650"/>
      <c r="AH620" s="650"/>
      <c r="AI620" s="650"/>
      <c r="AJ620" s="650"/>
      <c r="AK620" s="570"/>
      <c r="AL620" s="570"/>
      <c r="AN620" s="631"/>
    </row>
    <row r="621" spans="1:42" s="584" customFormat="1" ht="12.75" customHeight="1">
      <c r="B621" s="650"/>
      <c r="C621" s="975"/>
      <c r="D621" s="697"/>
      <c r="E621" s="2034"/>
      <c r="F621" s="2034"/>
      <c r="G621" s="2034"/>
      <c r="H621" s="2034"/>
      <c r="I621" s="2034"/>
      <c r="J621" s="2034"/>
      <c r="K621" s="2034"/>
      <c r="L621" s="2034"/>
      <c r="M621" s="2034"/>
      <c r="N621" s="2034"/>
      <c r="O621" s="2034"/>
      <c r="P621" s="2034"/>
      <c r="Q621" s="2034"/>
      <c r="R621" s="2034"/>
      <c r="S621" s="2034"/>
      <c r="T621" s="2034"/>
      <c r="U621" s="2034"/>
      <c r="V621" s="2034"/>
      <c r="W621" s="2034"/>
      <c r="X621" s="2034"/>
      <c r="Y621" s="2034"/>
      <c r="Z621" s="2034"/>
      <c r="AA621" s="2034"/>
      <c r="AB621" s="2034"/>
      <c r="AC621" s="2034"/>
      <c r="AD621" s="2034"/>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1518</v>
      </c>
      <c r="F623" s="976"/>
      <c r="G623" s="976"/>
      <c r="H623" s="976"/>
      <c r="I623" s="976"/>
      <c r="J623" s="976"/>
      <c r="K623" s="976"/>
      <c r="L623" s="976"/>
      <c r="M623" s="976"/>
      <c r="N623" s="976"/>
      <c r="O623" s="976"/>
      <c r="P623" s="976"/>
      <c r="Q623" s="976"/>
      <c r="R623" s="976"/>
      <c r="U623" s="976"/>
      <c r="V623" s="976"/>
      <c r="W623" s="976"/>
      <c r="X623" s="2033" t="s">
        <v>600</v>
      </c>
      <c r="Y623" s="2033"/>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1519</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7" t="s">
        <v>1520</v>
      </c>
      <c r="AG625" s="1997"/>
      <c r="AH625" s="1997"/>
      <c r="AI625" s="1997"/>
      <c r="AJ625" s="1997"/>
      <c r="AK625" s="1997"/>
      <c r="AL625" s="1997"/>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1509</v>
      </c>
      <c r="AP626" s="714">
        <v>4</v>
      </c>
    </row>
    <row r="627" spans="1:42" s="584" customFormat="1" ht="12.75" customHeight="1">
      <c r="B627" s="570"/>
      <c r="C627" s="966"/>
      <c r="D627" s="570" t="s">
        <v>1512</v>
      </c>
      <c r="E627" s="971"/>
      <c r="F627" s="971"/>
      <c r="G627" s="971"/>
      <c r="H627" s="1941" t="s">
        <v>697</v>
      </c>
      <c r="I627" s="1941"/>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1510</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1521</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1522</v>
      </c>
      <c r="AJ629" s="1924">
        <f>VLOOKUP($H$627,$AO$594:$AP$596,2,FALSE)</f>
        <v>3</v>
      </c>
      <c r="AK629" s="1926"/>
      <c r="AL629" s="629"/>
      <c r="AN629" s="631"/>
      <c r="AO629" s="645" t="s">
        <v>1523</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1524</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17" t="s">
        <v>2417</v>
      </c>
      <c r="F633" s="1917"/>
      <c r="G633" s="1917"/>
      <c r="H633" s="1917"/>
      <c r="I633" s="1917"/>
      <c r="J633" s="1917"/>
      <c r="K633" s="1917"/>
      <c r="L633" s="1917"/>
      <c r="M633" s="1917"/>
      <c r="N633" s="1917"/>
      <c r="O633" s="1917"/>
      <c r="P633" s="1917"/>
      <c r="Q633" s="1917"/>
      <c r="R633" s="1917"/>
      <c r="S633" s="1917"/>
      <c r="T633" s="1917"/>
      <c r="U633" s="1917"/>
      <c r="V633" s="1917"/>
      <c r="W633" s="1917"/>
      <c r="X633" s="1917"/>
      <c r="Y633" s="1917"/>
      <c r="Z633" s="1917"/>
      <c r="AA633" s="1917"/>
      <c r="AB633" s="1917"/>
      <c r="AC633" s="1917"/>
      <c r="AD633" s="1917"/>
      <c r="AE633" s="570"/>
      <c r="AF633" s="1997" t="s">
        <v>1464</v>
      </c>
      <c r="AG633" s="1997"/>
      <c r="AH633" s="1997"/>
      <c r="AI633" s="1997"/>
      <c r="AJ633" s="1997"/>
      <c r="AK633" s="1997"/>
      <c r="AL633" s="1997"/>
      <c r="AN633" s="631"/>
    </row>
    <row r="634" spans="1:42" s="584" customFormat="1" ht="12.75" customHeight="1">
      <c r="B634" s="570"/>
      <c r="C634" s="570"/>
      <c r="D634" s="697"/>
      <c r="E634" s="1917"/>
      <c r="F634" s="1917"/>
      <c r="G634" s="1917"/>
      <c r="H634" s="1917"/>
      <c r="I634" s="1917"/>
      <c r="J634" s="1917"/>
      <c r="K634" s="1917"/>
      <c r="L634" s="1917"/>
      <c r="M634" s="1917"/>
      <c r="N634" s="1917"/>
      <c r="O634" s="1917"/>
      <c r="P634" s="1917"/>
      <c r="Q634" s="1917"/>
      <c r="R634" s="1917"/>
      <c r="S634" s="1917"/>
      <c r="T634" s="1917"/>
      <c r="U634" s="1917"/>
      <c r="V634" s="1917"/>
      <c r="W634" s="1917"/>
      <c r="X634" s="1917"/>
      <c r="Y634" s="1917"/>
      <c r="Z634" s="1917"/>
      <c r="AA634" s="1917"/>
      <c r="AB634" s="1917"/>
      <c r="AC634" s="1917"/>
      <c r="AD634" s="1917"/>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1525</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7" t="s">
        <v>1520</v>
      </c>
      <c r="AG636" s="1997"/>
      <c r="AH636" s="1997"/>
      <c r="AI636" s="1997"/>
      <c r="AJ636" s="1997"/>
      <c r="AK636" s="1997"/>
      <c r="AL636" s="1997"/>
      <c r="AN636" s="631"/>
    </row>
    <row r="637" spans="1:42" s="584" customFormat="1" ht="12.75" customHeight="1">
      <c r="B637" s="570"/>
      <c r="C637" s="966"/>
      <c r="D637" s="697"/>
      <c r="E637" s="650" t="s">
        <v>1526</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1512</v>
      </c>
      <c r="E639" s="971"/>
      <c r="F639" s="971"/>
      <c r="G639" s="971"/>
      <c r="H639" s="1941" t="s">
        <v>697</v>
      </c>
      <c r="I639" s="1941"/>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1527</v>
      </c>
      <c r="AJ641" s="1924">
        <f>VLOOKUP(H639,AT594:AU596,2,FALSE)</f>
        <v>3</v>
      </c>
      <c r="AK641" s="1926"/>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1528</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1529</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17" t="s">
        <v>1530</v>
      </c>
      <c r="F646" s="1917"/>
      <c r="G646" s="1917"/>
      <c r="H646" s="1917"/>
      <c r="I646" s="1917"/>
      <c r="J646" s="1917"/>
      <c r="K646" s="1917"/>
      <c r="L646" s="1917"/>
      <c r="M646" s="1917"/>
      <c r="N646" s="1917"/>
      <c r="O646" s="1917"/>
      <c r="P646" s="1917"/>
      <c r="Q646" s="1917"/>
      <c r="R646" s="1917"/>
      <c r="S646" s="1917"/>
      <c r="T646" s="1917"/>
      <c r="U646" s="1917"/>
      <c r="V646" s="1917"/>
      <c r="W646" s="1917"/>
      <c r="X646" s="1917"/>
      <c r="Y646" s="1917"/>
      <c r="Z646" s="1917"/>
      <c r="AA646" s="1917"/>
      <c r="AB646" s="1917"/>
      <c r="AC646" s="1917"/>
      <c r="AD646" s="570"/>
      <c r="AE646" s="570"/>
      <c r="AF646" s="1997" t="s">
        <v>1490</v>
      </c>
      <c r="AG646" s="1997"/>
      <c r="AH646" s="1997"/>
      <c r="AI646" s="1997"/>
      <c r="AJ646" s="1997"/>
      <c r="AK646" s="1997"/>
      <c r="AL646" s="1997"/>
      <c r="AN646" s="631"/>
    </row>
    <row r="647" spans="1:42" s="584" customFormat="1" ht="12.75" customHeight="1">
      <c r="B647" s="570"/>
      <c r="C647" s="573"/>
      <c r="D647" s="570"/>
      <c r="E647" s="1917"/>
      <c r="F647" s="1917"/>
      <c r="G647" s="1917"/>
      <c r="H647" s="1917"/>
      <c r="I647" s="1917"/>
      <c r="J647" s="1917"/>
      <c r="K647" s="1917"/>
      <c r="L647" s="1917"/>
      <c r="M647" s="1917"/>
      <c r="N647" s="1917"/>
      <c r="O647" s="1917"/>
      <c r="P647" s="1917"/>
      <c r="Q647" s="1917"/>
      <c r="R647" s="1917"/>
      <c r="S647" s="1917"/>
      <c r="T647" s="1917"/>
      <c r="U647" s="1917"/>
      <c r="V647" s="1917"/>
      <c r="W647" s="1917"/>
      <c r="X647" s="1917"/>
      <c r="Y647" s="1917"/>
      <c r="Z647" s="1917"/>
      <c r="AA647" s="1917"/>
      <c r="AB647" s="1917"/>
      <c r="AC647" s="1917"/>
      <c r="AD647" s="570"/>
      <c r="AE647" s="570"/>
      <c r="AF647" s="570"/>
      <c r="AG647" s="570"/>
      <c r="AH647" s="570"/>
      <c r="AI647" s="570"/>
      <c r="AJ647" s="570"/>
      <c r="AK647" s="570"/>
      <c r="AL647" s="570"/>
      <c r="AN647" s="631"/>
    </row>
    <row r="648" spans="1:42" s="584" customFormat="1" ht="12.75" customHeight="1">
      <c r="B648" s="570"/>
      <c r="C648" s="573"/>
      <c r="D648" s="697"/>
      <c r="E648" s="1917"/>
      <c r="F648" s="1917"/>
      <c r="G648" s="1917"/>
      <c r="H648" s="1917"/>
      <c r="I648" s="1917"/>
      <c r="J648" s="1917"/>
      <c r="K648" s="1917"/>
      <c r="L648" s="1917"/>
      <c r="M648" s="1917"/>
      <c r="N648" s="1917"/>
      <c r="O648" s="1917"/>
      <c r="P648" s="1917"/>
      <c r="Q648" s="1917"/>
      <c r="R648" s="1917"/>
      <c r="S648" s="1917"/>
      <c r="T648" s="1917"/>
      <c r="U648" s="1917"/>
      <c r="V648" s="1917"/>
      <c r="W648" s="1917"/>
      <c r="X648" s="1917"/>
      <c r="Y648" s="1917"/>
      <c r="Z648" s="1917"/>
      <c r="AA648" s="1917"/>
      <c r="AB648" s="1917"/>
      <c r="AC648" s="1917"/>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17" t="s">
        <v>1531</v>
      </c>
      <c r="F650" s="1917"/>
      <c r="G650" s="1917"/>
      <c r="H650" s="1917"/>
      <c r="I650" s="1917"/>
      <c r="J650" s="1917"/>
      <c r="K650" s="1917"/>
      <c r="L650" s="1917"/>
      <c r="M650" s="1917"/>
      <c r="N650" s="1917"/>
      <c r="O650" s="1917"/>
      <c r="P650" s="1917"/>
      <c r="Q650" s="1917"/>
      <c r="R650" s="1917"/>
      <c r="S650" s="1917"/>
      <c r="T650" s="1917"/>
      <c r="U650" s="1917"/>
      <c r="V650" s="1917"/>
      <c r="W650" s="1917"/>
      <c r="X650" s="1917"/>
      <c r="Y650" s="1917"/>
      <c r="Z650" s="1917"/>
      <c r="AA650" s="1917"/>
      <c r="AB650" s="1917"/>
      <c r="AC650" s="1917"/>
      <c r="AD650" s="570"/>
      <c r="AE650" s="570"/>
      <c r="AF650" s="1997" t="s">
        <v>1511</v>
      </c>
      <c r="AG650" s="1997"/>
      <c r="AH650" s="1997"/>
      <c r="AI650" s="1997"/>
      <c r="AJ650" s="1997"/>
      <c r="AK650" s="1997"/>
      <c r="AL650" s="1997"/>
      <c r="AN650" s="631"/>
    </row>
    <row r="651" spans="1:42" s="584" customFormat="1" ht="12.75" customHeight="1">
      <c r="B651" s="570"/>
      <c r="C651" s="573"/>
      <c r="D651" s="570"/>
      <c r="E651" s="1917"/>
      <c r="F651" s="1917"/>
      <c r="G651" s="1917"/>
      <c r="H651" s="1917"/>
      <c r="I651" s="1917"/>
      <c r="J651" s="1917"/>
      <c r="K651" s="1917"/>
      <c r="L651" s="1917"/>
      <c r="M651" s="1917"/>
      <c r="N651" s="1917"/>
      <c r="O651" s="1917"/>
      <c r="P651" s="1917"/>
      <c r="Q651" s="1917"/>
      <c r="R651" s="1917"/>
      <c r="S651" s="1917"/>
      <c r="T651" s="1917"/>
      <c r="U651" s="1917"/>
      <c r="V651" s="1917"/>
      <c r="W651" s="1917"/>
      <c r="X651" s="1917"/>
      <c r="Y651" s="1917"/>
      <c r="Z651" s="1917"/>
      <c r="AA651" s="1917"/>
      <c r="AB651" s="1917"/>
      <c r="AC651" s="1917"/>
      <c r="AD651" s="570"/>
      <c r="AE651" s="570"/>
      <c r="AF651" s="570"/>
      <c r="AG651" s="570"/>
      <c r="AH651" s="570"/>
      <c r="AI651" s="570"/>
      <c r="AJ651" s="570"/>
      <c r="AK651" s="570"/>
      <c r="AL651" s="570"/>
      <c r="AN651" s="631"/>
    </row>
    <row r="652" spans="1:42" s="584" customFormat="1" ht="15" customHeight="1">
      <c r="B652" s="570"/>
      <c r="C652" s="573"/>
      <c r="D652" s="697"/>
      <c r="E652" s="1917"/>
      <c r="F652" s="1917"/>
      <c r="G652" s="1917"/>
      <c r="H652" s="1917"/>
      <c r="I652" s="1917"/>
      <c r="J652" s="1917"/>
      <c r="K652" s="1917"/>
      <c r="L652" s="1917"/>
      <c r="M652" s="1917"/>
      <c r="N652" s="1917"/>
      <c r="O652" s="1917"/>
      <c r="P652" s="1917"/>
      <c r="Q652" s="1917"/>
      <c r="R652" s="1917"/>
      <c r="S652" s="1917"/>
      <c r="T652" s="1917"/>
      <c r="U652" s="1917"/>
      <c r="V652" s="1917"/>
      <c r="W652" s="1917"/>
      <c r="X652" s="1917"/>
      <c r="Y652" s="1917"/>
      <c r="Z652" s="1917"/>
      <c r="AA652" s="1917"/>
      <c r="AB652" s="1917"/>
      <c r="AC652" s="1917"/>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17" t="s">
        <v>1532</v>
      </c>
      <c r="F654" s="1917"/>
      <c r="G654" s="1917"/>
      <c r="H654" s="1917"/>
      <c r="I654" s="1917"/>
      <c r="J654" s="1917"/>
      <c r="K654" s="1917"/>
      <c r="L654" s="1917"/>
      <c r="M654" s="1917"/>
      <c r="N654" s="1917"/>
      <c r="O654" s="1917"/>
      <c r="P654" s="1917"/>
      <c r="Q654" s="1917"/>
      <c r="R654" s="1917"/>
      <c r="S654" s="1917"/>
      <c r="T654" s="1917"/>
      <c r="U654" s="1917"/>
      <c r="V654" s="1917"/>
      <c r="W654" s="1917"/>
      <c r="X654" s="1917"/>
      <c r="Y654" s="1917"/>
      <c r="Z654" s="1917"/>
      <c r="AA654" s="1917"/>
      <c r="AB654" s="1917"/>
      <c r="AC654" s="1917"/>
      <c r="AD654" s="570"/>
      <c r="AE654" s="570"/>
      <c r="AF654" s="1997" t="s">
        <v>1464</v>
      </c>
      <c r="AG654" s="1997"/>
      <c r="AH654" s="1997"/>
      <c r="AI654" s="1997"/>
      <c r="AJ654" s="1997"/>
      <c r="AK654" s="1997"/>
      <c r="AL654" s="1997"/>
      <c r="AN654" s="631"/>
    </row>
    <row r="655" spans="1:42" s="584" customFormat="1" ht="12.75" customHeight="1">
      <c r="B655" s="570"/>
      <c r="C655" s="966"/>
      <c r="D655" s="570"/>
      <c r="E655" s="1917"/>
      <c r="F655" s="1917"/>
      <c r="G655" s="1917"/>
      <c r="H655" s="1917"/>
      <c r="I655" s="1917"/>
      <c r="J655" s="1917"/>
      <c r="K655" s="1917"/>
      <c r="L655" s="1917"/>
      <c r="M655" s="1917"/>
      <c r="N655" s="1917"/>
      <c r="O655" s="1917"/>
      <c r="P655" s="1917"/>
      <c r="Q655" s="1917"/>
      <c r="R655" s="1917"/>
      <c r="S655" s="1917"/>
      <c r="T655" s="1917"/>
      <c r="U655" s="1917"/>
      <c r="V655" s="1917"/>
      <c r="W655" s="1917"/>
      <c r="X655" s="1917"/>
      <c r="Y655" s="1917"/>
      <c r="Z655" s="1917"/>
      <c r="AA655" s="1917"/>
      <c r="AB655" s="1917"/>
      <c r="AC655" s="1917"/>
      <c r="AD655" s="570"/>
      <c r="AE655" s="1997"/>
      <c r="AF655" s="1997"/>
      <c r="AG655" s="1997"/>
      <c r="AH655" s="1997"/>
      <c r="AI655" s="1997"/>
      <c r="AJ655" s="1997"/>
      <c r="AK655" s="1997"/>
      <c r="AL655" s="628"/>
      <c r="AN655" s="631"/>
      <c r="AO655" s="584" t="s">
        <v>600</v>
      </c>
      <c r="AP655" s="707">
        <v>0</v>
      </c>
    </row>
    <row r="656" spans="1:42" s="584" customFormat="1" ht="12.75" customHeight="1">
      <c r="A656" s="713"/>
      <c r="B656" s="570"/>
      <c r="C656" s="570"/>
      <c r="D656" s="697"/>
      <c r="E656" s="1917"/>
      <c r="F656" s="1917"/>
      <c r="G656" s="1917"/>
      <c r="H656" s="1917"/>
      <c r="I656" s="1917"/>
      <c r="J656" s="1917"/>
      <c r="K656" s="1917"/>
      <c r="L656" s="1917"/>
      <c r="M656" s="1917"/>
      <c r="N656" s="1917"/>
      <c r="O656" s="1917"/>
      <c r="P656" s="1917"/>
      <c r="Q656" s="1917"/>
      <c r="R656" s="1917"/>
      <c r="S656" s="1917"/>
      <c r="T656" s="1917"/>
      <c r="U656" s="1917"/>
      <c r="V656" s="1917"/>
      <c r="W656" s="1917"/>
      <c r="X656" s="1917"/>
      <c r="Y656" s="1917"/>
      <c r="Z656" s="1917"/>
      <c r="AA656" s="1917"/>
      <c r="AB656" s="1917"/>
      <c r="AC656" s="1917"/>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1509</v>
      </c>
      <c r="E658" s="1917" t="s">
        <v>1533</v>
      </c>
      <c r="F658" s="1917"/>
      <c r="G658" s="1917"/>
      <c r="H658" s="1917"/>
      <c r="I658" s="1917"/>
      <c r="J658" s="1917"/>
      <c r="K658" s="1917"/>
      <c r="L658" s="1917"/>
      <c r="M658" s="1917"/>
      <c r="N658" s="1917"/>
      <c r="O658" s="1917"/>
      <c r="P658" s="1917"/>
      <c r="Q658" s="1917"/>
      <c r="R658" s="1917"/>
      <c r="S658" s="1917"/>
      <c r="T658" s="1917"/>
      <c r="U658" s="1917"/>
      <c r="V658" s="1917"/>
      <c r="W658" s="1917"/>
      <c r="X658" s="1917"/>
      <c r="Y658" s="1917"/>
      <c r="Z658" s="1917"/>
      <c r="AA658" s="1917"/>
      <c r="AB658" s="1917"/>
      <c r="AC658" s="1917"/>
      <c r="AD658" s="570"/>
      <c r="AE658" s="570"/>
      <c r="AF658" s="1997" t="s">
        <v>1511</v>
      </c>
      <c r="AG658" s="1997"/>
      <c r="AH658" s="1997"/>
      <c r="AI658" s="1997"/>
      <c r="AJ658" s="1997"/>
      <c r="AK658" s="1997"/>
      <c r="AL658" s="1997"/>
      <c r="AN658" s="631"/>
    </row>
    <row r="659" spans="1:42" s="584" customFormat="1" ht="12.75" customHeight="1">
      <c r="A659" s="704"/>
      <c r="B659" s="570"/>
      <c r="C659" s="982"/>
      <c r="D659" s="697"/>
      <c r="E659" s="1917"/>
      <c r="F659" s="1917"/>
      <c r="G659" s="1917"/>
      <c r="H659" s="1917"/>
      <c r="I659" s="1917"/>
      <c r="J659" s="1917"/>
      <c r="K659" s="1917"/>
      <c r="L659" s="1917"/>
      <c r="M659" s="1917"/>
      <c r="N659" s="1917"/>
      <c r="O659" s="1917"/>
      <c r="P659" s="1917"/>
      <c r="Q659" s="1917"/>
      <c r="R659" s="1917"/>
      <c r="S659" s="1917"/>
      <c r="T659" s="1917"/>
      <c r="U659" s="1917"/>
      <c r="V659" s="1917"/>
      <c r="W659" s="1917"/>
      <c r="X659" s="1917"/>
      <c r="Y659" s="1917"/>
      <c r="Z659" s="1917"/>
      <c r="AA659" s="1917"/>
      <c r="AB659" s="1917"/>
      <c r="AC659" s="1917"/>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7"/>
      <c r="F660" s="1917"/>
      <c r="G660" s="1917"/>
      <c r="H660" s="1917"/>
      <c r="I660" s="1917"/>
      <c r="J660" s="1917"/>
      <c r="K660" s="1917"/>
      <c r="L660" s="1917"/>
      <c r="M660" s="1917"/>
      <c r="N660" s="1917"/>
      <c r="O660" s="1917"/>
      <c r="P660" s="1917"/>
      <c r="Q660" s="1917"/>
      <c r="R660" s="1917"/>
      <c r="S660" s="1917"/>
      <c r="T660" s="1917"/>
      <c r="U660" s="1917"/>
      <c r="V660" s="1917"/>
      <c r="W660" s="1917"/>
      <c r="X660" s="1917"/>
      <c r="Y660" s="1917"/>
      <c r="Z660" s="1917"/>
      <c r="AA660" s="1917"/>
      <c r="AB660" s="1917"/>
      <c r="AC660" s="1917"/>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1510</v>
      </c>
      <c r="E662" s="1917" t="s">
        <v>1534</v>
      </c>
      <c r="F662" s="1917"/>
      <c r="G662" s="1917"/>
      <c r="H662" s="1917"/>
      <c r="I662" s="1917"/>
      <c r="J662" s="1917"/>
      <c r="K662" s="1917"/>
      <c r="L662" s="1917"/>
      <c r="M662" s="1917"/>
      <c r="N662" s="1917"/>
      <c r="O662" s="1917"/>
      <c r="P662" s="1917"/>
      <c r="Q662" s="1917"/>
      <c r="R662" s="1917"/>
      <c r="S662" s="1917"/>
      <c r="T662" s="1917"/>
      <c r="U662" s="1917"/>
      <c r="V662" s="1917"/>
      <c r="W662" s="1917"/>
      <c r="X662" s="1917"/>
      <c r="Y662" s="1917"/>
      <c r="Z662" s="1917"/>
      <c r="AA662" s="1917"/>
      <c r="AB662" s="1917"/>
      <c r="AC662" s="1917"/>
      <c r="AD662" s="570"/>
      <c r="AE662" s="570"/>
      <c r="AF662" s="1997" t="s">
        <v>1464</v>
      </c>
      <c r="AG662" s="1997"/>
      <c r="AH662" s="1997"/>
      <c r="AI662" s="1997"/>
      <c r="AJ662" s="1997"/>
      <c r="AK662" s="1997"/>
      <c r="AL662" s="1997"/>
      <c r="AM662" s="630"/>
      <c r="AN662" s="631"/>
    </row>
    <row r="663" spans="1:42" s="584" customFormat="1" ht="12.75" customHeight="1">
      <c r="B663" s="570"/>
      <c r="C663" s="966"/>
      <c r="D663" s="697"/>
      <c r="E663" s="1917"/>
      <c r="F663" s="1917"/>
      <c r="G663" s="1917"/>
      <c r="H663" s="1917"/>
      <c r="I663" s="1917"/>
      <c r="J663" s="1917"/>
      <c r="K663" s="1917"/>
      <c r="L663" s="1917"/>
      <c r="M663" s="1917"/>
      <c r="N663" s="1917"/>
      <c r="O663" s="1917"/>
      <c r="P663" s="1917"/>
      <c r="Q663" s="1917"/>
      <c r="R663" s="1917"/>
      <c r="S663" s="1917"/>
      <c r="T663" s="1917"/>
      <c r="U663" s="1917"/>
      <c r="V663" s="1917"/>
      <c r="W663" s="1917"/>
      <c r="X663" s="1917"/>
      <c r="Y663" s="1917"/>
      <c r="Z663" s="1917"/>
      <c r="AA663" s="1917"/>
      <c r="AB663" s="1917"/>
      <c r="AC663" s="1917"/>
      <c r="AD663" s="570"/>
      <c r="AE663" s="570"/>
      <c r="AF663" s="570"/>
      <c r="AG663" s="570"/>
      <c r="AH663" s="570"/>
      <c r="AI663" s="570"/>
      <c r="AJ663" s="570"/>
      <c r="AK663" s="570"/>
      <c r="AL663" s="570"/>
      <c r="AM663" s="630"/>
      <c r="AN663" s="631"/>
    </row>
    <row r="664" spans="1:42" s="584" customFormat="1" ht="12.75" customHeight="1">
      <c r="B664" s="570"/>
      <c r="C664" s="966"/>
      <c r="D664" s="697"/>
      <c r="E664" s="1917"/>
      <c r="F664" s="1917"/>
      <c r="G664" s="1917"/>
      <c r="H664" s="1917"/>
      <c r="I664" s="1917"/>
      <c r="J664" s="1917"/>
      <c r="K664" s="1917"/>
      <c r="L664" s="1917"/>
      <c r="M664" s="1917"/>
      <c r="N664" s="1917"/>
      <c r="O664" s="1917"/>
      <c r="P664" s="1917"/>
      <c r="Q664" s="1917"/>
      <c r="R664" s="1917"/>
      <c r="S664" s="1917"/>
      <c r="T664" s="1917"/>
      <c r="U664" s="1917"/>
      <c r="V664" s="1917"/>
      <c r="W664" s="1917"/>
      <c r="X664" s="1917"/>
      <c r="Y664" s="1917"/>
      <c r="Z664" s="1917"/>
      <c r="AA664" s="1917"/>
      <c r="AB664" s="1917"/>
      <c r="AC664" s="1917"/>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1521</v>
      </c>
      <c r="E666" s="1917" t="s">
        <v>1535</v>
      </c>
      <c r="F666" s="1917"/>
      <c r="G666" s="1917"/>
      <c r="H666" s="1917"/>
      <c r="I666" s="1917"/>
      <c r="J666" s="1917"/>
      <c r="K666" s="1917"/>
      <c r="L666" s="1917"/>
      <c r="M666" s="1917"/>
      <c r="N666" s="1917"/>
      <c r="O666" s="1917"/>
      <c r="P666" s="1917"/>
      <c r="Q666" s="1917"/>
      <c r="R666" s="1917"/>
      <c r="S666" s="1917"/>
      <c r="T666" s="1917"/>
      <c r="U666" s="1917"/>
      <c r="V666" s="1917"/>
      <c r="W666" s="1917"/>
      <c r="X666" s="1917"/>
      <c r="Y666" s="1917"/>
      <c r="Z666" s="1917"/>
      <c r="AA666" s="1917"/>
      <c r="AB666" s="1917"/>
      <c r="AC666" s="1917"/>
      <c r="AD666" s="570"/>
      <c r="AE666" s="570"/>
      <c r="AF666" s="1997" t="s">
        <v>1520</v>
      </c>
      <c r="AG666" s="1997"/>
      <c r="AH666" s="1997"/>
      <c r="AI666" s="1997"/>
      <c r="AJ666" s="1997"/>
      <c r="AK666" s="1997"/>
      <c r="AL666" s="1997"/>
      <c r="AM666" s="630"/>
      <c r="AN666" s="631"/>
    </row>
    <row r="667" spans="1:42" s="584" customFormat="1" ht="12.75" customHeight="1">
      <c r="A667" s="713"/>
      <c r="B667" s="570"/>
      <c r="C667" s="966"/>
      <c r="D667" s="697"/>
      <c r="E667" s="1917"/>
      <c r="F667" s="1917"/>
      <c r="G667" s="1917"/>
      <c r="H667" s="1917"/>
      <c r="I667" s="1917"/>
      <c r="J667" s="1917"/>
      <c r="K667" s="1917"/>
      <c r="L667" s="1917"/>
      <c r="M667" s="1917"/>
      <c r="N667" s="1917"/>
      <c r="O667" s="1917"/>
      <c r="P667" s="1917"/>
      <c r="Q667" s="1917"/>
      <c r="R667" s="1917"/>
      <c r="S667" s="1917"/>
      <c r="T667" s="1917"/>
      <c r="U667" s="1917"/>
      <c r="V667" s="1917"/>
      <c r="W667" s="1917"/>
      <c r="X667" s="1917"/>
      <c r="Y667" s="1917"/>
      <c r="Z667" s="1917"/>
      <c r="AA667" s="1917"/>
      <c r="AB667" s="1917"/>
      <c r="AC667" s="1917"/>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7"/>
      <c r="F668" s="1917"/>
      <c r="G668" s="1917"/>
      <c r="H668" s="1917"/>
      <c r="I668" s="1917"/>
      <c r="J668" s="1917"/>
      <c r="K668" s="1917"/>
      <c r="L668" s="1917"/>
      <c r="M668" s="1917"/>
      <c r="N668" s="1917"/>
      <c r="O668" s="1917"/>
      <c r="P668" s="1917"/>
      <c r="Q668" s="1917"/>
      <c r="R668" s="1917"/>
      <c r="S668" s="1917"/>
      <c r="T668" s="1917"/>
      <c r="U668" s="1917"/>
      <c r="V668" s="1917"/>
      <c r="W668" s="1917"/>
      <c r="X668" s="1917"/>
      <c r="Y668" s="1917"/>
      <c r="Z668" s="1917"/>
      <c r="AA668" s="1917"/>
      <c r="AB668" s="1917"/>
      <c r="AC668" s="1917"/>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1523</v>
      </c>
      <c r="E670" s="1917" t="s">
        <v>1536</v>
      </c>
      <c r="F670" s="1917"/>
      <c r="G670" s="1917"/>
      <c r="H670" s="1917"/>
      <c r="I670" s="1917"/>
      <c r="J670" s="1917"/>
      <c r="K670" s="1917"/>
      <c r="L670" s="1917"/>
      <c r="M670" s="1917"/>
      <c r="N670" s="1917"/>
      <c r="O670" s="1917"/>
      <c r="P670" s="1917"/>
      <c r="Q670" s="1917"/>
      <c r="R670" s="1917"/>
      <c r="S670" s="1917"/>
      <c r="T670" s="1917"/>
      <c r="U670" s="1917"/>
      <c r="V670" s="1917"/>
      <c r="W670" s="1917"/>
      <c r="X670" s="1917"/>
      <c r="Y670" s="1917"/>
      <c r="Z670" s="1917"/>
      <c r="AA670" s="1917"/>
      <c r="AB670" s="1917"/>
      <c r="AC670" s="1917"/>
      <c r="AD670" s="570"/>
      <c r="AE670" s="570"/>
      <c r="AF670" s="1997" t="s">
        <v>1537</v>
      </c>
      <c r="AG670" s="1997"/>
      <c r="AH670" s="1997"/>
      <c r="AI670" s="1997"/>
      <c r="AJ670" s="1997"/>
      <c r="AK670" s="1997"/>
      <c r="AL670" s="1997"/>
      <c r="AM670" s="630"/>
      <c r="AN670" s="631"/>
      <c r="AO670" s="645" t="s">
        <v>697</v>
      </c>
      <c r="AP670" s="584">
        <v>3</v>
      </c>
    </row>
    <row r="671" spans="1:42" s="584" customFormat="1" ht="12.75" customHeight="1">
      <c r="A671" s="713"/>
      <c r="B671" s="570"/>
      <c r="C671" s="966"/>
      <c r="D671" s="697"/>
      <c r="E671" s="1917"/>
      <c r="F671" s="1917"/>
      <c r="G671" s="1917"/>
      <c r="H671" s="1917"/>
      <c r="I671" s="1917"/>
      <c r="J671" s="1917"/>
      <c r="K671" s="1917"/>
      <c r="L671" s="1917"/>
      <c r="M671" s="1917"/>
      <c r="N671" s="1917"/>
      <c r="O671" s="1917"/>
      <c r="P671" s="1917"/>
      <c r="Q671" s="1917"/>
      <c r="R671" s="1917"/>
      <c r="S671" s="1917"/>
      <c r="T671" s="1917"/>
      <c r="U671" s="1917"/>
      <c r="V671" s="1917"/>
      <c r="W671" s="1917"/>
      <c r="X671" s="1917"/>
      <c r="Y671" s="1917"/>
      <c r="Z671" s="1917"/>
      <c r="AA671" s="1917"/>
      <c r="AB671" s="1917"/>
      <c r="AC671" s="1917"/>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17"/>
      <c r="F672" s="1917"/>
      <c r="G672" s="1917"/>
      <c r="H672" s="1917"/>
      <c r="I672" s="1917"/>
      <c r="J672" s="1917"/>
      <c r="K672" s="1917"/>
      <c r="L672" s="1917"/>
      <c r="M672" s="1917"/>
      <c r="N672" s="1917"/>
      <c r="O672" s="1917"/>
      <c r="P672" s="1917"/>
      <c r="Q672" s="1917"/>
      <c r="R672" s="1917"/>
      <c r="S672" s="1917"/>
      <c r="T672" s="1917"/>
      <c r="U672" s="1917"/>
      <c r="V672" s="1917"/>
      <c r="W672" s="1917"/>
      <c r="X672" s="1917"/>
      <c r="Y672" s="1917"/>
      <c r="Z672" s="1917"/>
      <c r="AA672" s="1917"/>
      <c r="AB672" s="1917"/>
      <c r="AC672" s="1917"/>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1512</v>
      </c>
      <c r="E674" s="971"/>
      <c r="F674" s="971"/>
      <c r="G674" s="971"/>
      <c r="H674" s="1941" t="s">
        <v>600</v>
      </c>
      <c r="I674" s="1941"/>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1538</v>
      </c>
      <c r="AJ676" s="1924">
        <f>VLOOKUP($H$674,$AO$622:$AP$629,2,FALSE)</f>
        <v>0</v>
      </c>
      <c r="AK676" s="1926"/>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2456</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2548</v>
      </c>
      <c r="AX678" s="584">
        <f>Application!Y212</f>
        <v>72</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2549</v>
      </c>
      <c r="AX679" s="1196">
        <f>Application!G753</f>
        <v>140</v>
      </c>
    </row>
    <row r="680" spans="1:51" s="584" customFormat="1" ht="12.75" customHeight="1">
      <c r="A680" s="713"/>
      <c r="B680" s="570"/>
      <c r="C680" s="983"/>
      <c r="D680" s="697" t="s">
        <v>697</v>
      </c>
      <c r="E680" s="2032" t="s">
        <v>2555</v>
      </c>
      <c r="F680" s="2032"/>
      <c r="G680" s="2032"/>
      <c r="H680" s="2032"/>
      <c r="I680" s="2032"/>
      <c r="J680" s="2032"/>
      <c r="K680" s="2032"/>
      <c r="L680" s="2032"/>
      <c r="M680" s="2032"/>
      <c r="N680" s="2032"/>
      <c r="O680" s="2032"/>
      <c r="P680" s="2032"/>
      <c r="Q680" s="2032"/>
      <c r="R680" s="2032"/>
      <c r="S680" s="2032"/>
      <c r="T680" s="2032"/>
      <c r="U680" s="2032"/>
      <c r="V680" s="2032"/>
      <c r="W680" s="2032"/>
      <c r="X680" s="2032"/>
      <c r="Y680" s="2032"/>
      <c r="Z680" s="2032"/>
      <c r="AA680" s="2032"/>
      <c r="AB680" s="2032"/>
      <c r="AC680" s="570"/>
      <c r="AD680" s="570"/>
      <c r="AE680" s="570"/>
      <c r="AF680" s="1997" t="s">
        <v>1464</v>
      </c>
      <c r="AG680" s="1997"/>
      <c r="AH680" s="1997"/>
      <c r="AI680" s="1997"/>
      <c r="AJ680" s="1997"/>
      <c r="AK680" s="1997"/>
      <c r="AL680" s="1997"/>
      <c r="AN680" s="631"/>
      <c r="AW680" s="22" t="s">
        <v>2550</v>
      </c>
      <c r="AX680" s="584">
        <f>Application!CC632</f>
        <v>0</v>
      </c>
    </row>
    <row r="681" spans="1:51" s="584" customFormat="1" ht="12.75" customHeight="1">
      <c r="A681" s="713"/>
      <c r="B681" s="570"/>
      <c r="C681" s="983"/>
      <c r="D681" s="697"/>
      <c r="E681" s="2032"/>
      <c r="F681" s="2032"/>
      <c r="G681" s="2032"/>
      <c r="H681" s="2032"/>
      <c r="I681" s="2032"/>
      <c r="J681" s="2032"/>
      <c r="K681" s="2032"/>
      <c r="L681" s="2032"/>
      <c r="M681" s="2032"/>
      <c r="N681" s="2032"/>
      <c r="O681" s="2032"/>
      <c r="P681" s="2032"/>
      <c r="Q681" s="2032"/>
      <c r="R681" s="2032"/>
      <c r="S681" s="2032"/>
      <c r="T681" s="2032"/>
      <c r="U681" s="2032"/>
      <c r="V681" s="2032"/>
      <c r="W681" s="2032"/>
      <c r="X681" s="2032"/>
      <c r="Y681" s="2032"/>
      <c r="Z681" s="2032"/>
      <c r="AA681" s="2032"/>
      <c r="AB681" s="2032"/>
      <c r="AC681" s="570"/>
      <c r="AD681" s="570"/>
      <c r="AE681" s="570"/>
      <c r="AF681" s="570"/>
      <c r="AG681" s="570"/>
      <c r="AH681" s="570"/>
      <c r="AI681" s="570"/>
      <c r="AJ681" s="570"/>
      <c r="AK681" s="570"/>
      <c r="AL681" s="570"/>
      <c r="AN681" s="631"/>
      <c r="AW681" s="22" t="s">
        <v>2551</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2552</v>
      </c>
      <c r="AX682" s="584">
        <f>Application!CM632</f>
        <v>0</v>
      </c>
    </row>
    <row r="683" spans="1:51" s="584" customFormat="1" ht="12.75" customHeight="1">
      <c r="B683" s="570"/>
      <c r="C683" s="966"/>
      <c r="D683" s="697" t="s">
        <v>518</v>
      </c>
      <c r="E683" s="1917" t="s">
        <v>2454</v>
      </c>
      <c r="F683" s="1917"/>
      <c r="G683" s="1917"/>
      <c r="H683" s="1917"/>
      <c r="I683" s="1917"/>
      <c r="J683" s="1917"/>
      <c r="K683" s="1917"/>
      <c r="L683" s="1917"/>
      <c r="M683" s="1917"/>
      <c r="N683" s="1917"/>
      <c r="O683" s="1917"/>
      <c r="P683" s="1917"/>
      <c r="Q683" s="1917"/>
      <c r="R683" s="1917"/>
      <c r="S683" s="1917"/>
      <c r="T683" s="1917"/>
      <c r="U683" s="1917"/>
      <c r="V683" s="1917"/>
      <c r="W683" s="1917"/>
      <c r="X683" s="1917"/>
      <c r="Y683" s="1917"/>
      <c r="Z683" s="1917"/>
      <c r="AA683" s="1917"/>
      <c r="AB683" s="1917"/>
      <c r="AC683" s="570"/>
      <c r="AD683" s="570"/>
      <c r="AE683" s="570"/>
      <c r="AF683" s="1997" t="s">
        <v>1464</v>
      </c>
      <c r="AG683" s="1997"/>
      <c r="AH683" s="1997"/>
      <c r="AI683" s="1997"/>
      <c r="AJ683" s="1997"/>
      <c r="AK683" s="1997"/>
      <c r="AL683" s="1997"/>
      <c r="AN683" s="631"/>
      <c r="AW683" s="22" t="s">
        <v>2553</v>
      </c>
      <c r="AX683" s="584">
        <f>AX680+AX681+AX682</f>
        <v>0</v>
      </c>
    </row>
    <row r="684" spans="1:51" s="584" customFormat="1" ht="12.75" customHeight="1">
      <c r="B684" s="570"/>
      <c r="C684" s="975"/>
      <c r="D684" s="697"/>
      <c r="E684" s="1917"/>
      <c r="F684" s="1917"/>
      <c r="G684" s="1917"/>
      <c r="H684" s="1917"/>
      <c r="I684" s="1917"/>
      <c r="J684" s="1917"/>
      <c r="K684" s="1917"/>
      <c r="L684" s="1917"/>
      <c r="M684" s="1917"/>
      <c r="N684" s="1917"/>
      <c r="O684" s="1917"/>
      <c r="P684" s="1917"/>
      <c r="Q684" s="1917"/>
      <c r="R684" s="1917"/>
      <c r="S684" s="1917"/>
      <c r="T684" s="1917"/>
      <c r="U684" s="1917"/>
      <c r="V684" s="1917"/>
      <c r="W684" s="1917"/>
      <c r="X684" s="1917"/>
      <c r="Y684" s="1917"/>
      <c r="Z684" s="1917"/>
      <c r="AA684" s="1917"/>
      <c r="AB684" s="1917"/>
      <c r="AC684" s="570"/>
      <c r="AD684" s="570"/>
      <c r="AE684" s="650"/>
      <c r="AF684" s="570"/>
      <c r="AG684" s="570"/>
      <c r="AH684" s="570"/>
      <c r="AI684" s="570"/>
      <c r="AJ684" s="570"/>
      <c r="AK684" s="570"/>
      <c r="AL684" s="570"/>
      <c r="AN684" s="631"/>
      <c r="AO684" s="1932" t="b">
        <f>IF(Application!D211="Special Needs",IF(AY684&gt;=0.25,TRUE,FALSE),IF(AX684&gt;=0.25,TRUE,FALSE))</f>
        <v>0</v>
      </c>
      <c r="AP684" s="1932"/>
      <c r="AW684" s="22" t="s">
        <v>2554</v>
      </c>
      <c r="AX684" s="584">
        <f>IFERROR(AX683/AX679,0)</f>
        <v>0</v>
      </c>
      <c r="AY684" s="584">
        <f>IFERROR(AX683/(AX679-AX678),0)</f>
        <v>0</v>
      </c>
    </row>
    <row r="685" spans="1:51" s="584" customFormat="1" ht="12.75" customHeight="1">
      <c r="B685" s="570"/>
      <c r="C685" s="975"/>
      <c r="E685" s="1917"/>
      <c r="F685" s="1917"/>
      <c r="G685" s="1917"/>
      <c r="H685" s="1917"/>
      <c r="I685" s="1917"/>
      <c r="J685" s="1917"/>
      <c r="K685" s="1917"/>
      <c r="L685" s="1917"/>
      <c r="M685" s="1917"/>
      <c r="N685" s="1917"/>
      <c r="O685" s="1917"/>
      <c r="P685" s="1917"/>
      <c r="Q685" s="1917"/>
      <c r="R685" s="1917"/>
      <c r="S685" s="1917"/>
      <c r="T685" s="1917"/>
      <c r="U685" s="1917"/>
      <c r="V685" s="1917"/>
      <c r="W685" s="1917"/>
      <c r="X685" s="1917"/>
      <c r="Y685" s="1917"/>
      <c r="Z685" s="1917"/>
      <c r="AA685" s="1917"/>
      <c r="AB685" s="1917"/>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7"/>
      <c r="F686" s="1917"/>
      <c r="G686" s="1917"/>
      <c r="H686" s="1917"/>
      <c r="I686" s="1917"/>
      <c r="J686" s="1917"/>
      <c r="K686" s="1917"/>
      <c r="L686" s="1917"/>
      <c r="M686" s="1917"/>
      <c r="N686" s="1917"/>
      <c r="O686" s="1917"/>
      <c r="P686" s="1917"/>
      <c r="Q686" s="1917"/>
      <c r="R686" s="1917"/>
      <c r="S686" s="1917"/>
      <c r="T686" s="1917"/>
      <c r="U686" s="1917"/>
      <c r="V686" s="1917"/>
      <c r="W686" s="1917"/>
      <c r="X686" s="1917"/>
      <c r="Y686" s="1917"/>
      <c r="Z686" s="1917"/>
      <c r="AA686" s="1917"/>
      <c r="AB686" s="1917"/>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17" t="s">
        <v>2455</v>
      </c>
      <c r="F688" s="1917"/>
      <c r="G688" s="1917"/>
      <c r="H688" s="1917"/>
      <c r="I688" s="1917"/>
      <c r="J688" s="1917"/>
      <c r="K688" s="1917"/>
      <c r="L688" s="1917"/>
      <c r="M688" s="1917"/>
      <c r="N688" s="1917"/>
      <c r="O688" s="1917"/>
      <c r="P688" s="1917"/>
      <c r="Q688" s="1917"/>
      <c r="R688" s="1917"/>
      <c r="S688" s="1917"/>
      <c r="T688" s="1917"/>
      <c r="U688" s="1917"/>
      <c r="V688" s="1917"/>
      <c r="W688" s="1917"/>
      <c r="X688" s="1917"/>
      <c r="Y688" s="1917"/>
      <c r="Z688" s="1917"/>
      <c r="AA688" s="1917"/>
      <c r="AB688" s="1917"/>
      <c r="AC688" s="570"/>
      <c r="AD688" s="570"/>
      <c r="AE688" s="570"/>
      <c r="AF688" s="1997" t="s">
        <v>1520</v>
      </c>
      <c r="AG688" s="1997"/>
      <c r="AH688" s="1997"/>
      <c r="AI688" s="1997"/>
      <c r="AJ688" s="1997"/>
      <c r="AK688" s="1997"/>
      <c r="AL688" s="1997"/>
      <c r="AN688" s="631"/>
      <c r="AO688" s="645" t="s">
        <v>518</v>
      </c>
      <c r="AP688" s="584">
        <v>1</v>
      </c>
    </row>
    <row r="689" spans="1:42" s="584" customFormat="1" ht="12" customHeight="1">
      <c r="B689" s="570"/>
      <c r="C689" s="966"/>
      <c r="E689" s="1917"/>
      <c r="F689" s="1917"/>
      <c r="G689" s="1917"/>
      <c r="H689" s="1917"/>
      <c r="I689" s="1917"/>
      <c r="J689" s="1917"/>
      <c r="K689" s="1917"/>
      <c r="L689" s="1917"/>
      <c r="M689" s="1917"/>
      <c r="N689" s="1917"/>
      <c r="O689" s="1917"/>
      <c r="P689" s="1917"/>
      <c r="Q689" s="1917"/>
      <c r="R689" s="1917"/>
      <c r="S689" s="1917"/>
      <c r="T689" s="1917"/>
      <c r="U689" s="1917"/>
      <c r="V689" s="1917"/>
      <c r="W689" s="1917"/>
      <c r="X689" s="1917"/>
      <c r="Y689" s="1917"/>
      <c r="Z689" s="1917"/>
      <c r="AA689" s="1917"/>
      <c r="AB689" s="1917"/>
      <c r="AC689" s="570"/>
      <c r="AD689" s="570"/>
      <c r="AE689" s="650"/>
      <c r="AF689" s="570"/>
      <c r="AG689" s="570"/>
      <c r="AH689" s="570"/>
      <c r="AI689" s="570"/>
      <c r="AJ689" s="570"/>
      <c r="AK689" s="570"/>
      <c r="AL689" s="570"/>
      <c r="AN689" s="631"/>
    </row>
    <row r="690" spans="1:42" s="584" customFormat="1" ht="12" customHeight="1">
      <c r="B690" s="570"/>
      <c r="C690" s="966"/>
      <c r="D690" s="570"/>
      <c r="E690" s="1917"/>
      <c r="F690" s="1917"/>
      <c r="G690" s="1917"/>
      <c r="H690" s="1917"/>
      <c r="I690" s="1917"/>
      <c r="J690" s="1917"/>
      <c r="K690" s="1917"/>
      <c r="L690" s="1917"/>
      <c r="M690" s="1917"/>
      <c r="N690" s="1917"/>
      <c r="O690" s="1917"/>
      <c r="P690" s="1917"/>
      <c r="Q690" s="1917"/>
      <c r="R690" s="1917"/>
      <c r="S690" s="1917"/>
      <c r="T690" s="1917"/>
      <c r="U690" s="1917"/>
      <c r="V690" s="1917"/>
      <c r="W690" s="1917"/>
      <c r="X690" s="1917"/>
      <c r="Y690" s="1917"/>
      <c r="Z690" s="1917"/>
      <c r="AA690" s="1917"/>
      <c r="AB690" s="1917"/>
      <c r="AC690" s="570"/>
      <c r="AD690" s="570"/>
      <c r="AE690" s="650"/>
      <c r="AF690" s="570"/>
      <c r="AG690" s="570"/>
      <c r="AH690" s="570"/>
      <c r="AI690" s="570"/>
      <c r="AJ690" s="570"/>
      <c r="AK690" s="570"/>
      <c r="AL690" s="570"/>
      <c r="AN690" s="631"/>
    </row>
    <row r="691" spans="1:42" s="584" customFormat="1" ht="12" customHeight="1">
      <c r="B691" s="570"/>
      <c r="C691" s="966"/>
      <c r="D691" s="570"/>
      <c r="E691" s="1917"/>
      <c r="F691" s="1917"/>
      <c r="G691" s="1917"/>
      <c r="H691" s="1917"/>
      <c r="I691" s="1917"/>
      <c r="J691" s="1917"/>
      <c r="K691" s="1917"/>
      <c r="L691" s="1917"/>
      <c r="M691" s="1917"/>
      <c r="N691" s="1917"/>
      <c r="O691" s="1917"/>
      <c r="P691" s="1917"/>
      <c r="Q691" s="1917"/>
      <c r="R691" s="1917"/>
      <c r="S691" s="1917"/>
      <c r="T691" s="1917"/>
      <c r="U691" s="1917"/>
      <c r="V691" s="1917"/>
      <c r="W691" s="1917"/>
      <c r="X691" s="1917"/>
      <c r="Y691" s="1917"/>
      <c r="Z691" s="1917"/>
      <c r="AA691" s="1917"/>
      <c r="AB691" s="1917"/>
      <c r="AC691" s="570"/>
      <c r="AD691" s="570"/>
      <c r="AE691" s="650"/>
      <c r="AF691" s="570"/>
      <c r="AG691" s="570"/>
      <c r="AH691" s="570"/>
      <c r="AI691" s="570"/>
      <c r="AJ691" s="570"/>
      <c r="AK691" s="570"/>
      <c r="AL691" s="570"/>
      <c r="AN691" s="631"/>
    </row>
    <row r="692" spans="1:42" s="604" customFormat="1" ht="13" customHeight="1">
      <c r="A692" s="584"/>
      <c r="B692" s="570"/>
      <c r="C692" s="966"/>
      <c r="D692" s="570"/>
      <c r="E692" s="1917"/>
      <c r="F692" s="1917"/>
      <c r="G692" s="1917"/>
      <c r="H692" s="1917"/>
      <c r="I692" s="1917"/>
      <c r="J692" s="1917"/>
      <c r="K692" s="1917"/>
      <c r="L692" s="1917"/>
      <c r="M692" s="1917"/>
      <c r="N692" s="1917"/>
      <c r="O692" s="1917"/>
      <c r="P692" s="1917"/>
      <c r="Q692" s="1917"/>
      <c r="R692" s="1917"/>
      <c r="S692" s="1917"/>
      <c r="T692" s="1917"/>
      <c r="U692" s="1917"/>
      <c r="V692" s="1917"/>
      <c r="W692" s="1917"/>
      <c r="X692" s="1917"/>
      <c r="Y692" s="1917"/>
      <c r="Z692" s="1917"/>
      <c r="AA692" s="1917"/>
      <c r="AB692" s="1917"/>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17" t="s">
        <v>1884</v>
      </c>
      <c r="F694" s="1917"/>
      <c r="G694" s="1917"/>
      <c r="H694" s="1917"/>
      <c r="I694" s="1917"/>
      <c r="J694" s="1917"/>
      <c r="K694" s="1917"/>
      <c r="L694" s="1917"/>
      <c r="M694" s="1917"/>
      <c r="N694" s="1917"/>
      <c r="O694" s="1917"/>
      <c r="P694" s="1917"/>
      <c r="Q694" s="1917"/>
      <c r="R694" s="1917"/>
      <c r="S694" s="1917"/>
      <c r="T694" s="1917"/>
      <c r="U694" s="1917"/>
      <c r="V694" s="1917"/>
      <c r="W694" s="1917"/>
      <c r="X694" s="1917"/>
      <c r="Y694" s="1917"/>
      <c r="Z694" s="1917"/>
      <c r="AA694" s="1917"/>
      <c r="AB694" s="1917"/>
      <c r="AC694" s="570"/>
      <c r="AD694" s="570"/>
      <c r="AE694" s="650"/>
      <c r="AF694" s="650"/>
      <c r="AG694" s="650"/>
      <c r="AH694" s="650"/>
      <c r="AI694" s="650"/>
      <c r="AJ694" s="570"/>
      <c r="AK694" s="570"/>
      <c r="AL694" s="570"/>
      <c r="AM694" s="584"/>
      <c r="AN694" s="718"/>
      <c r="AO694" s="645" t="s">
        <v>518</v>
      </c>
      <c r="AP694" s="584">
        <f>3*$AO$684</f>
        <v>0</v>
      </c>
    </row>
    <row r="695" spans="1:42" s="604" customFormat="1" ht="12.75" customHeight="1">
      <c r="A695" s="584"/>
      <c r="B695" s="570"/>
      <c r="C695" s="966"/>
      <c r="D695" s="570"/>
      <c r="E695" s="1917"/>
      <c r="F695" s="1917"/>
      <c r="G695" s="1917"/>
      <c r="H695" s="1917"/>
      <c r="I695" s="1917"/>
      <c r="J695" s="1917"/>
      <c r="K695" s="1917"/>
      <c r="L695" s="1917"/>
      <c r="M695" s="1917"/>
      <c r="N695" s="1917"/>
      <c r="O695" s="1917"/>
      <c r="P695" s="1917"/>
      <c r="Q695" s="1917"/>
      <c r="R695" s="1917"/>
      <c r="S695" s="1917"/>
      <c r="T695" s="1917"/>
      <c r="U695" s="1917"/>
      <c r="V695" s="1917"/>
      <c r="W695" s="1917"/>
      <c r="X695" s="1917"/>
      <c r="Y695" s="1917"/>
      <c r="Z695" s="1917"/>
      <c r="AA695" s="1917"/>
      <c r="AB695" s="1917"/>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17"/>
      <c r="F696" s="1917"/>
      <c r="G696" s="1917"/>
      <c r="H696" s="1917"/>
      <c r="I696" s="1917"/>
      <c r="J696" s="1917"/>
      <c r="K696" s="1917"/>
      <c r="L696" s="1917"/>
      <c r="M696" s="1917"/>
      <c r="N696" s="1917"/>
      <c r="O696" s="1917"/>
      <c r="P696" s="1917"/>
      <c r="Q696" s="1917"/>
      <c r="R696" s="1917"/>
      <c r="S696" s="1917"/>
      <c r="T696" s="1917"/>
      <c r="U696" s="1917"/>
      <c r="V696" s="1917"/>
      <c r="W696" s="1917"/>
      <c r="X696" s="1917"/>
      <c r="Y696" s="1917"/>
      <c r="Z696" s="1917"/>
      <c r="AA696" s="1917"/>
      <c r="AB696" s="1917"/>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1512</v>
      </c>
      <c r="E698" s="971"/>
      <c r="F698" s="971"/>
      <c r="G698" s="971"/>
      <c r="H698" s="1941" t="s">
        <v>600</v>
      </c>
      <c r="I698" s="1941"/>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1539</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1517</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2457</v>
      </c>
      <c r="AJ700" s="1924">
        <f>VLOOKUP($H$698,$AO$692:$AP$694,2,FALSE)</f>
        <v>0</v>
      </c>
      <c r="AK700" s="1926"/>
      <c r="AL700" s="629"/>
      <c r="AM700" s="584"/>
      <c r="AN700" s="718"/>
      <c r="AP700" s="604" t="s">
        <v>1524</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1540</v>
      </c>
    </row>
    <row r="702" spans="1:42" s="604" customFormat="1" ht="12.75" customHeight="1">
      <c r="A702" s="584"/>
      <c r="B702" s="570"/>
      <c r="C702" s="573" t="s">
        <v>1541</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1542</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1543</v>
      </c>
    </row>
    <row r="704" spans="1:42" s="604" customFormat="1" ht="12.75" customHeight="1">
      <c r="A704" s="671"/>
      <c r="B704" s="570"/>
      <c r="C704" s="966"/>
      <c r="D704" s="697" t="s">
        <v>697</v>
      </c>
      <c r="E704" s="2030" t="s">
        <v>1886</v>
      </c>
      <c r="F704" s="2030"/>
      <c r="G704" s="2030"/>
      <c r="H704" s="2030"/>
      <c r="I704" s="2030"/>
      <c r="J704" s="2030"/>
      <c r="K704" s="2030"/>
      <c r="L704" s="2030"/>
      <c r="M704" s="2030"/>
      <c r="N704" s="2030"/>
      <c r="O704" s="2030"/>
      <c r="P704" s="2030"/>
      <c r="Q704" s="2030"/>
      <c r="R704" s="2030"/>
      <c r="S704" s="2030"/>
      <c r="T704" s="2030"/>
      <c r="U704" s="2030"/>
      <c r="V704" s="2030"/>
      <c r="W704" s="2030"/>
      <c r="X704" s="2030"/>
      <c r="Y704" s="2030"/>
      <c r="Z704" s="2030"/>
      <c r="AA704" s="2030"/>
      <c r="AB704" s="2030"/>
      <c r="AC704" s="570"/>
      <c r="AD704" s="570"/>
      <c r="AE704" s="570"/>
      <c r="AF704" s="1997" t="s">
        <v>1464</v>
      </c>
      <c r="AG704" s="1997"/>
      <c r="AH704" s="1997"/>
      <c r="AI704" s="1997"/>
      <c r="AJ704" s="1997"/>
      <c r="AK704" s="1997"/>
      <c r="AL704" s="1997"/>
      <c r="AM704" s="584"/>
      <c r="AN704" s="718"/>
      <c r="AP704" s="604" t="s">
        <v>1544</v>
      </c>
    </row>
    <row r="705" spans="1:52" s="604" customFormat="1" ht="11.9" customHeight="1">
      <c r="A705" s="584"/>
      <c r="B705" s="570"/>
      <c r="C705" s="968"/>
      <c r="D705" s="697"/>
      <c r="E705" s="2030"/>
      <c r="F705" s="2030"/>
      <c r="G705" s="2030"/>
      <c r="H705" s="2030"/>
      <c r="I705" s="2030"/>
      <c r="J705" s="2030"/>
      <c r="K705" s="2030"/>
      <c r="L705" s="2030"/>
      <c r="M705" s="2030"/>
      <c r="N705" s="2030"/>
      <c r="O705" s="2030"/>
      <c r="P705" s="2030"/>
      <c r="Q705" s="2030"/>
      <c r="R705" s="2030"/>
      <c r="S705" s="2030"/>
      <c r="T705" s="2030"/>
      <c r="U705" s="2030"/>
      <c r="V705" s="2030"/>
      <c r="W705" s="2030"/>
      <c r="X705" s="2030"/>
      <c r="Y705" s="2030"/>
      <c r="Z705" s="2030"/>
      <c r="AA705" s="2030"/>
      <c r="AB705" s="2030"/>
      <c r="AC705" s="570"/>
      <c r="AD705" s="570"/>
      <c r="AE705" s="570"/>
      <c r="AF705" s="570"/>
      <c r="AG705" s="570"/>
      <c r="AH705" s="570"/>
      <c r="AI705" s="570"/>
      <c r="AJ705" s="570"/>
      <c r="AK705" s="570"/>
      <c r="AL705" s="570"/>
      <c r="AM705" s="584"/>
      <c r="AN705" s="718"/>
      <c r="AP705" s="604" t="s">
        <v>1545</v>
      </c>
    </row>
    <row r="706" spans="1:52" s="604" customFormat="1" ht="14.05" customHeight="1">
      <c r="A706" s="584"/>
      <c r="B706" s="644"/>
      <c r="C706" s="966"/>
      <c r="D706" s="697"/>
      <c r="E706" s="2030"/>
      <c r="F706" s="2030"/>
      <c r="G706" s="2030"/>
      <c r="H706" s="2030"/>
      <c r="I706" s="2030"/>
      <c r="J706" s="2030"/>
      <c r="K706" s="2030"/>
      <c r="L706" s="2030"/>
      <c r="M706" s="2030"/>
      <c r="N706" s="2030"/>
      <c r="O706" s="2030"/>
      <c r="P706" s="2030"/>
      <c r="Q706" s="2030"/>
      <c r="R706" s="2030"/>
      <c r="S706" s="2030"/>
      <c r="T706" s="2030"/>
      <c r="U706" s="2030"/>
      <c r="V706" s="2030"/>
      <c r="W706" s="2030"/>
      <c r="X706" s="2030"/>
      <c r="Y706" s="2030"/>
      <c r="Z706" s="2030"/>
      <c r="AA706" s="2030"/>
      <c r="AB706" s="2030"/>
      <c r="AC706" s="570"/>
      <c r="AD706" s="570"/>
      <c r="AE706" s="650"/>
      <c r="AF706" s="570"/>
      <c r="AG706" s="570"/>
      <c r="AH706" s="570"/>
      <c r="AI706" s="570"/>
      <c r="AJ706" s="570"/>
      <c r="AK706" s="570"/>
      <c r="AL706" s="570"/>
      <c r="AM706" s="584"/>
      <c r="AN706" s="718"/>
      <c r="AP706" s="604" t="s">
        <v>1546</v>
      </c>
    </row>
    <row r="707" spans="1:52" s="604" customFormat="1" ht="14.0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1548</v>
      </c>
    </row>
    <row r="708" spans="1:52" s="604" customFormat="1" ht="14.05" customHeight="1">
      <c r="A708" s="584"/>
      <c r="B708" s="570"/>
      <c r="C708" s="966"/>
      <c r="D708" s="697" t="s">
        <v>518</v>
      </c>
      <c r="E708" s="2031" t="s">
        <v>1547</v>
      </c>
      <c r="F708" s="2031"/>
      <c r="G708" s="2031"/>
      <c r="H708" s="2031"/>
      <c r="I708" s="2031"/>
      <c r="J708" s="2031"/>
      <c r="K708" s="2031"/>
      <c r="L708" s="2031"/>
      <c r="M708" s="2031"/>
      <c r="N708" s="2031"/>
      <c r="O708" s="2031"/>
      <c r="P708" s="2031"/>
      <c r="Q708" s="2031"/>
      <c r="R708" s="2031"/>
      <c r="S708" s="2031"/>
      <c r="T708" s="2031"/>
      <c r="U708" s="2031"/>
      <c r="V708" s="2031"/>
      <c r="W708" s="2031"/>
      <c r="X708" s="2031"/>
      <c r="Y708" s="2031"/>
      <c r="Z708" s="2031"/>
      <c r="AA708" s="2031"/>
      <c r="AB708" s="2031"/>
      <c r="AC708" s="570"/>
      <c r="AD708" s="570"/>
      <c r="AE708" s="570"/>
      <c r="AF708" s="1997" t="s">
        <v>1520</v>
      </c>
      <c r="AG708" s="1997"/>
      <c r="AH708" s="1997"/>
      <c r="AI708" s="1997"/>
      <c r="AJ708" s="1997"/>
      <c r="AK708" s="1997"/>
      <c r="AL708" s="1997"/>
      <c r="AM708" s="584"/>
      <c r="AN708" s="719"/>
    </row>
    <row r="709" spans="1:52" s="604" customFormat="1" ht="12.75" customHeight="1">
      <c r="A709" s="584"/>
      <c r="B709" s="570"/>
      <c r="C709" s="968"/>
      <c r="D709" s="570"/>
      <c r="E709" s="2031"/>
      <c r="F709" s="2031"/>
      <c r="G709" s="2031"/>
      <c r="H709" s="2031"/>
      <c r="I709" s="2031"/>
      <c r="J709" s="2031"/>
      <c r="K709" s="2031"/>
      <c r="L709" s="2031"/>
      <c r="M709" s="2031"/>
      <c r="N709" s="2031"/>
      <c r="O709" s="2031"/>
      <c r="P709" s="2031"/>
      <c r="Q709" s="2031"/>
      <c r="R709" s="2031"/>
      <c r="S709" s="2031"/>
      <c r="T709" s="2031"/>
      <c r="U709" s="2031"/>
      <c r="V709" s="2031"/>
      <c r="W709" s="2031"/>
      <c r="X709" s="2031"/>
      <c r="Y709" s="2031"/>
      <c r="Z709" s="2031"/>
      <c r="AA709" s="2031"/>
      <c r="AB709" s="2031"/>
      <c r="AC709" s="570"/>
      <c r="AD709" s="570"/>
      <c r="AE709" s="570"/>
      <c r="AF709" s="570"/>
      <c r="AG709" s="570"/>
      <c r="AH709" s="570"/>
      <c r="AI709" s="570"/>
      <c r="AJ709" s="570"/>
      <c r="AK709" s="570"/>
      <c r="AL709" s="570"/>
      <c r="AM709" s="584"/>
      <c r="AN709" s="718"/>
      <c r="AP709" s="584" t="s">
        <v>600</v>
      </c>
      <c r="AQ709" s="707">
        <v>0</v>
      </c>
    </row>
    <row r="710" spans="1:52" s="604" customFormat="1" ht="14.05" customHeight="1">
      <c r="A710" s="584"/>
      <c r="B710" s="570"/>
      <c r="C710" s="968"/>
      <c r="D710" s="570"/>
      <c r="E710" s="2031"/>
      <c r="F710" s="2031"/>
      <c r="G710" s="2031"/>
      <c r="H710" s="2031"/>
      <c r="I710" s="2031"/>
      <c r="J710" s="2031"/>
      <c r="K710" s="2031"/>
      <c r="L710" s="2031"/>
      <c r="M710" s="2031"/>
      <c r="N710" s="2031"/>
      <c r="O710" s="2031"/>
      <c r="P710" s="2031"/>
      <c r="Q710" s="2031"/>
      <c r="R710" s="2031"/>
      <c r="S710" s="2031"/>
      <c r="T710" s="2031"/>
      <c r="U710" s="2031"/>
      <c r="V710" s="2031"/>
      <c r="W710" s="2031"/>
      <c r="X710" s="2031"/>
      <c r="Y710" s="2031"/>
      <c r="Z710" s="2031"/>
      <c r="AA710" s="2031"/>
      <c r="AB710" s="2031"/>
      <c r="AC710" s="570"/>
      <c r="AD710" s="570"/>
      <c r="AE710" s="570"/>
      <c r="AF710" s="570"/>
      <c r="AG710" s="570"/>
      <c r="AH710" s="570"/>
      <c r="AI710" s="570"/>
      <c r="AJ710" s="570"/>
      <c r="AK710" s="570"/>
      <c r="AL710" s="570"/>
      <c r="AM710" s="584"/>
      <c r="AN710" s="718"/>
      <c r="AP710" s="645" t="s">
        <v>697</v>
      </c>
      <c r="AQ710" s="584">
        <v>3</v>
      </c>
    </row>
    <row r="711" spans="1:52" s="604" customFormat="1" ht="14.0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4.05" customHeight="1">
      <c r="A712" s="584"/>
      <c r="B712" s="570"/>
      <c r="C712" s="968"/>
      <c r="D712" s="570" t="s">
        <v>1512</v>
      </c>
      <c r="E712" s="971"/>
      <c r="F712" s="971"/>
      <c r="G712" s="971"/>
      <c r="H712" s="1941" t="s">
        <v>600</v>
      </c>
      <c r="I712" s="1941"/>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1549</v>
      </c>
      <c r="AJ714" s="1924">
        <f>VLOOKUP($H$712,$AP$709:$AQ$711,2,FALSE)</f>
        <v>0</v>
      </c>
      <c r="AK714" s="1926"/>
      <c r="AL714" s="629"/>
      <c r="AM714" s="584"/>
      <c r="AN714" s="718"/>
      <c r="AP714" s="1924"/>
      <c r="AQ714" s="1926"/>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1550</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17" t="s">
        <v>1887</v>
      </c>
      <c r="F718" s="1917"/>
      <c r="G718" s="1917"/>
      <c r="H718" s="1917"/>
      <c r="I718" s="1917"/>
      <c r="J718" s="1917"/>
      <c r="K718" s="1917"/>
      <c r="L718" s="1917"/>
      <c r="M718" s="1917"/>
      <c r="N718" s="1917"/>
      <c r="O718" s="1917"/>
      <c r="P718" s="1917"/>
      <c r="Q718" s="1917"/>
      <c r="R718" s="1917"/>
      <c r="S718" s="1917"/>
      <c r="T718" s="1917"/>
      <c r="U718" s="1917"/>
      <c r="V718" s="1917"/>
      <c r="W718" s="1917"/>
      <c r="X718" s="1917"/>
      <c r="Y718" s="1917"/>
      <c r="Z718" s="1917"/>
      <c r="AA718" s="1917"/>
      <c r="AB718" s="1917"/>
      <c r="AC718" s="570"/>
      <c r="AD718" s="570"/>
      <c r="AE718" s="570"/>
      <c r="AF718" s="1997" t="s">
        <v>1464</v>
      </c>
      <c r="AG718" s="1997"/>
      <c r="AH718" s="1997"/>
      <c r="AI718" s="1997"/>
      <c r="AJ718" s="1997"/>
      <c r="AK718" s="1997"/>
      <c r="AL718" s="1997"/>
      <c r="AM718" s="584"/>
      <c r="AN718" s="718"/>
      <c r="AT718" s="14"/>
      <c r="AU718" s="14"/>
      <c r="AV718" s="14"/>
      <c r="AW718" s="14"/>
      <c r="AX718" s="14"/>
      <c r="AY718" s="14"/>
      <c r="AZ718" s="14"/>
    </row>
    <row r="719" spans="1:52" s="604" customFormat="1" ht="12.9">
      <c r="A719" s="584"/>
      <c r="B719" s="570"/>
      <c r="C719" s="968"/>
      <c r="D719" s="697"/>
      <c r="E719" s="1917"/>
      <c r="F719" s="1917"/>
      <c r="G719" s="1917"/>
      <c r="H719" s="1917"/>
      <c r="I719" s="1917"/>
      <c r="J719" s="1917"/>
      <c r="K719" s="1917"/>
      <c r="L719" s="1917"/>
      <c r="M719" s="1917"/>
      <c r="N719" s="1917"/>
      <c r="O719" s="1917"/>
      <c r="P719" s="1917"/>
      <c r="Q719" s="1917"/>
      <c r="R719" s="1917"/>
      <c r="S719" s="1917"/>
      <c r="T719" s="1917"/>
      <c r="U719" s="1917"/>
      <c r="V719" s="1917"/>
      <c r="W719" s="1917"/>
      <c r="X719" s="1917"/>
      <c r="Y719" s="1917"/>
      <c r="Z719" s="1917"/>
      <c r="AA719" s="1917"/>
      <c r="AB719" s="1917"/>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17" t="s">
        <v>1551</v>
      </c>
      <c r="F721" s="1917"/>
      <c r="G721" s="1917"/>
      <c r="H721" s="1917"/>
      <c r="I721" s="1917"/>
      <c r="J721" s="1917"/>
      <c r="K721" s="1917"/>
      <c r="L721" s="1917"/>
      <c r="M721" s="1917"/>
      <c r="N721" s="1917"/>
      <c r="O721" s="1917"/>
      <c r="P721" s="1917"/>
      <c r="Q721" s="1917"/>
      <c r="R721" s="1917"/>
      <c r="S721" s="1917"/>
      <c r="T721" s="1917"/>
      <c r="U721" s="1917"/>
      <c r="V721" s="1917"/>
      <c r="W721" s="1917"/>
      <c r="X721" s="1917"/>
      <c r="Y721" s="1917"/>
      <c r="Z721" s="1917"/>
      <c r="AA721" s="1917"/>
      <c r="AB721" s="1917"/>
      <c r="AC721" s="570"/>
      <c r="AD721" s="570"/>
      <c r="AE721" s="570"/>
      <c r="AF721" s="1997" t="s">
        <v>1520</v>
      </c>
      <c r="AG721" s="1997"/>
      <c r="AH721" s="1997"/>
      <c r="AI721" s="1997"/>
      <c r="AJ721" s="1997"/>
      <c r="AK721" s="1997"/>
      <c r="AL721" s="1997"/>
      <c r="AM721" s="584"/>
      <c r="AN721" s="718"/>
      <c r="AT721" s="14"/>
      <c r="AU721" s="14"/>
      <c r="AV721" s="14"/>
      <c r="AW721" s="14"/>
      <c r="AX721" s="14"/>
      <c r="AY721" s="14"/>
      <c r="AZ721" s="14"/>
    </row>
    <row r="722" spans="1:81" s="604" customFormat="1" ht="12.9">
      <c r="A722" s="584"/>
      <c r="B722" s="570"/>
      <c r="C722" s="968"/>
      <c r="D722" s="570"/>
      <c r="E722" s="1917"/>
      <c r="F722" s="1917"/>
      <c r="G722" s="1917"/>
      <c r="H722" s="1917"/>
      <c r="I722" s="1917"/>
      <c r="J722" s="1917"/>
      <c r="K722" s="1917"/>
      <c r="L722" s="1917"/>
      <c r="M722" s="1917"/>
      <c r="N722" s="1917"/>
      <c r="O722" s="1917"/>
      <c r="P722" s="1917"/>
      <c r="Q722" s="1917"/>
      <c r="R722" s="1917"/>
      <c r="S722" s="1917"/>
      <c r="T722" s="1917"/>
      <c r="U722" s="1917"/>
      <c r="V722" s="1917"/>
      <c r="W722" s="1917"/>
      <c r="X722" s="1917"/>
      <c r="Y722" s="1917"/>
      <c r="Z722" s="1917"/>
      <c r="AA722" s="1917"/>
      <c r="AB722" s="1917"/>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2.9">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1512</v>
      </c>
      <c r="E724" s="971"/>
      <c r="F724" s="971"/>
      <c r="G724" s="971"/>
      <c r="H724" s="1941" t="s">
        <v>697</v>
      </c>
      <c r="I724" s="1941"/>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2.9">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2.9">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1552</v>
      </c>
      <c r="AJ726" s="1924">
        <f>VLOOKUP($H$724,$AO$655:$AP$657,2,FALSE)</f>
        <v>3</v>
      </c>
      <c r="AK726" s="1926"/>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1553</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17" t="s">
        <v>1554</v>
      </c>
      <c r="F730" s="1917"/>
      <c r="G730" s="1917"/>
      <c r="H730" s="1917"/>
      <c r="I730" s="1917"/>
      <c r="J730" s="1917"/>
      <c r="K730" s="1917"/>
      <c r="L730" s="1917"/>
      <c r="M730" s="1917"/>
      <c r="N730" s="1917"/>
      <c r="O730" s="1917"/>
      <c r="P730" s="1917"/>
      <c r="Q730" s="1917"/>
      <c r="R730" s="1917"/>
      <c r="S730" s="1917"/>
      <c r="T730" s="1917"/>
      <c r="U730" s="1917"/>
      <c r="V730" s="1917"/>
      <c r="W730" s="1917"/>
      <c r="X730" s="1917"/>
      <c r="Y730" s="1917"/>
      <c r="Z730" s="1917"/>
      <c r="AA730" s="1917"/>
      <c r="AB730" s="1917"/>
      <c r="AC730" s="570"/>
      <c r="AD730" s="570"/>
      <c r="AE730" s="570"/>
      <c r="AF730" s="1997" t="s">
        <v>1464</v>
      </c>
      <c r="AG730" s="1997"/>
      <c r="AH730" s="1997"/>
      <c r="AI730" s="1997"/>
      <c r="AJ730" s="1997"/>
      <c r="AK730" s="1997"/>
      <c r="AL730" s="1997"/>
      <c r="AM730" s="584"/>
      <c r="AN730" s="718"/>
      <c r="AT730" s="14"/>
      <c r="AU730" s="14"/>
      <c r="AV730" s="14"/>
      <c r="AW730" s="14"/>
      <c r="AX730" s="14"/>
      <c r="AY730" s="14"/>
      <c r="AZ730" s="14"/>
    </row>
    <row r="731" spans="1:81" s="604" customFormat="1">
      <c r="A731" s="584"/>
      <c r="B731" s="570"/>
      <c r="C731" s="966"/>
      <c r="D731" s="697"/>
      <c r="E731" s="1917"/>
      <c r="F731" s="1917"/>
      <c r="G731" s="1917"/>
      <c r="H731" s="1917"/>
      <c r="I731" s="1917"/>
      <c r="J731" s="1917"/>
      <c r="K731" s="1917"/>
      <c r="L731" s="1917"/>
      <c r="M731" s="1917"/>
      <c r="N731" s="1917"/>
      <c r="O731" s="1917"/>
      <c r="P731" s="1917"/>
      <c r="Q731" s="1917"/>
      <c r="R731" s="1917"/>
      <c r="S731" s="1917"/>
      <c r="T731" s="1917"/>
      <c r="U731" s="1917"/>
      <c r="V731" s="1917"/>
      <c r="W731" s="1917"/>
      <c r="X731" s="1917"/>
      <c r="Y731" s="1917"/>
      <c r="Z731" s="1917"/>
      <c r="AA731" s="1917"/>
      <c r="AB731" s="1917"/>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2.9">
      <c r="A732" s="584"/>
      <c r="B732" s="570"/>
      <c r="C732" s="968"/>
      <c r="D732" s="697"/>
      <c r="E732" s="1917"/>
      <c r="F732" s="1917"/>
      <c r="G732" s="1917"/>
      <c r="H732" s="1917"/>
      <c r="I732" s="1917"/>
      <c r="J732" s="1917"/>
      <c r="K732" s="1917"/>
      <c r="L732" s="1917"/>
      <c r="M732" s="1917"/>
      <c r="N732" s="1917"/>
      <c r="O732" s="1917"/>
      <c r="P732" s="1917"/>
      <c r="Q732" s="1917"/>
      <c r="R732" s="1917"/>
      <c r="S732" s="1917"/>
      <c r="T732" s="1917"/>
      <c r="U732" s="1917"/>
      <c r="V732" s="1917"/>
      <c r="W732" s="1917"/>
      <c r="X732" s="1917"/>
      <c r="Y732" s="1917"/>
      <c r="Z732" s="1917"/>
      <c r="AA732" s="1917"/>
      <c r="AB732" s="1917"/>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7"/>
      <c r="F733" s="1917"/>
      <c r="G733" s="1917"/>
      <c r="H733" s="1917"/>
      <c r="I733" s="1917"/>
      <c r="J733" s="1917"/>
      <c r="K733" s="1917"/>
      <c r="L733" s="1917"/>
      <c r="M733" s="1917"/>
      <c r="N733" s="1917"/>
      <c r="O733" s="1917"/>
      <c r="P733" s="1917"/>
      <c r="Q733" s="1917"/>
      <c r="R733" s="1917"/>
      <c r="S733" s="1917"/>
      <c r="T733" s="1917"/>
      <c r="U733" s="1917"/>
      <c r="V733" s="1917"/>
      <c r="W733" s="1917"/>
      <c r="X733" s="1917"/>
      <c r="Y733" s="1917"/>
      <c r="Z733" s="1917"/>
      <c r="AA733" s="1917"/>
      <c r="AB733" s="1917"/>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17" t="s">
        <v>1555</v>
      </c>
      <c r="F735" s="1917"/>
      <c r="G735" s="1917"/>
      <c r="H735" s="1917"/>
      <c r="I735" s="1917"/>
      <c r="J735" s="1917"/>
      <c r="K735" s="1917"/>
      <c r="L735" s="1917"/>
      <c r="M735" s="1917"/>
      <c r="N735" s="1917"/>
      <c r="O735" s="1917"/>
      <c r="P735" s="1917"/>
      <c r="Q735" s="1917"/>
      <c r="R735" s="1917"/>
      <c r="S735" s="1917"/>
      <c r="T735" s="1917"/>
      <c r="U735" s="1917"/>
      <c r="V735" s="1917"/>
      <c r="W735" s="1917"/>
      <c r="X735" s="1917"/>
      <c r="Y735" s="1917"/>
      <c r="Z735" s="1917"/>
      <c r="AA735" s="1917"/>
      <c r="AB735" s="609"/>
      <c r="AC735" s="570"/>
      <c r="AD735" s="570"/>
      <c r="AE735" s="570"/>
      <c r="AF735" s="1997" t="s">
        <v>1520</v>
      </c>
      <c r="AG735" s="1997"/>
      <c r="AH735" s="1997"/>
      <c r="AI735" s="1997"/>
      <c r="AJ735" s="1997"/>
      <c r="AK735" s="1997"/>
      <c r="AL735" s="1997"/>
      <c r="AM735" s="584"/>
      <c r="AN735" s="718"/>
      <c r="AO735" s="30"/>
      <c r="AP735" s="14"/>
    </row>
    <row r="736" spans="1:81" s="604" customFormat="1">
      <c r="A736" s="584"/>
      <c r="B736" s="570"/>
      <c r="C736" s="966"/>
      <c r="D736" s="697"/>
      <c r="E736" s="1917"/>
      <c r="F736" s="1917"/>
      <c r="G736" s="1917"/>
      <c r="H736" s="1917"/>
      <c r="I736" s="1917"/>
      <c r="J736" s="1917"/>
      <c r="K736" s="1917"/>
      <c r="L736" s="1917"/>
      <c r="M736" s="1917"/>
      <c r="N736" s="1917"/>
      <c r="O736" s="1917"/>
      <c r="P736" s="1917"/>
      <c r="Q736" s="1917"/>
      <c r="R736" s="1917"/>
      <c r="S736" s="1917"/>
      <c r="T736" s="1917"/>
      <c r="U736" s="1917"/>
      <c r="V736" s="1917"/>
      <c r="W736" s="1917"/>
      <c r="X736" s="1917"/>
      <c r="Y736" s="1917"/>
      <c r="Z736" s="1917"/>
      <c r="AA736" s="1917"/>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7"/>
      <c r="F737" s="1917"/>
      <c r="G737" s="1917"/>
      <c r="H737" s="1917"/>
      <c r="I737" s="1917"/>
      <c r="J737" s="1917"/>
      <c r="K737" s="1917"/>
      <c r="L737" s="1917"/>
      <c r="M737" s="1917"/>
      <c r="N737" s="1917"/>
      <c r="O737" s="1917"/>
      <c r="P737" s="1917"/>
      <c r="Q737" s="1917"/>
      <c r="R737" s="1917"/>
      <c r="S737" s="1917"/>
      <c r="T737" s="1917"/>
      <c r="U737" s="1917"/>
      <c r="V737" s="1917"/>
      <c r="W737" s="1917"/>
      <c r="X737" s="1917"/>
      <c r="Y737" s="1917"/>
      <c r="Z737" s="1917"/>
      <c r="AA737" s="1917"/>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7"/>
      <c r="F738" s="1917"/>
      <c r="G738" s="1917"/>
      <c r="H738" s="1917"/>
      <c r="I738" s="1917"/>
      <c r="J738" s="1917"/>
      <c r="K738" s="1917"/>
      <c r="L738" s="1917"/>
      <c r="M738" s="1917"/>
      <c r="N738" s="1917"/>
      <c r="O738" s="1917"/>
      <c r="P738" s="1917"/>
      <c r="Q738" s="1917"/>
      <c r="R738" s="1917"/>
      <c r="S738" s="1917"/>
      <c r="T738" s="1917"/>
      <c r="U738" s="1917"/>
      <c r="V738" s="1917"/>
      <c r="W738" s="1917"/>
      <c r="X738" s="1917"/>
      <c r="Y738" s="1917"/>
      <c r="Z738" s="1917"/>
      <c r="AA738" s="1917"/>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1512</v>
      </c>
      <c r="E740" s="971"/>
      <c r="F740" s="971"/>
      <c r="G740" s="971"/>
      <c r="H740" s="1941" t="s">
        <v>600</v>
      </c>
      <c r="I740" s="1941"/>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1556</v>
      </c>
      <c r="AJ742" s="1924">
        <f>VLOOKUP($H$740,$AO$669:$AP$671,2,FALSE)</f>
        <v>0</v>
      </c>
      <c r="AK742" s="1926"/>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1546</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17" t="s">
        <v>1557</v>
      </c>
      <c r="F746" s="1917"/>
      <c r="G746" s="1917"/>
      <c r="H746" s="1917"/>
      <c r="I746" s="1917"/>
      <c r="J746" s="1917"/>
      <c r="K746" s="1917"/>
      <c r="L746" s="1917"/>
      <c r="M746" s="1917"/>
      <c r="N746" s="1917"/>
      <c r="O746" s="1917"/>
      <c r="P746" s="1917"/>
      <c r="Q746" s="1917"/>
      <c r="R746" s="1917"/>
      <c r="S746" s="1917"/>
      <c r="T746" s="1917"/>
      <c r="U746" s="1917"/>
      <c r="V746" s="1917"/>
      <c r="W746" s="1917"/>
      <c r="X746" s="1917"/>
      <c r="Y746" s="1917"/>
      <c r="Z746" s="1917"/>
      <c r="AA746" s="1917"/>
      <c r="AB746" s="1917"/>
      <c r="AC746" s="570"/>
      <c r="AD746" s="570"/>
      <c r="AE746" s="570"/>
      <c r="AF746" s="1997" t="s">
        <v>1520</v>
      </c>
      <c r="AG746" s="1997"/>
      <c r="AH746" s="1997"/>
      <c r="AI746" s="1997"/>
      <c r="AJ746" s="1997"/>
      <c r="AK746" s="1997"/>
      <c r="AL746" s="1997"/>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2.9">
      <c r="A747" s="584"/>
      <c r="B747" s="570"/>
      <c r="C747" s="968"/>
      <c r="D747" s="697"/>
      <c r="E747" s="1917"/>
      <c r="F747" s="1917"/>
      <c r="G747" s="1917"/>
      <c r="H747" s="1917"/>
      <c r="I747" s="1917"/>
      <c r="J747" s="1917"/>
      <c r="K747" s="1917"/>
      <c r="L747" s="1917"/>
      <c r="M747" s="1917"/>
      <c r="N747" s="1917"/>
      <c r="O747" s="1917"/>
      <c r="P747" s="1917"/>
      <c r="Q747" s="1917"/>
      <c r="R747" s="1917"/>
      <c r="S747" s="1917"/>
      <c r="T747" s="1917"/>
      <c r="U747" s="1917"/>
      <c r="V747" s="1917"/>
      <c r="W747" s="1917"/>
      <c r="X747" s="1917"/>
      <c r="Y747" s="1917"/>
      <c r="Z747" s="1917"/>
      <c r="AA747" s="1917"/>
      <c r="AB747" s="1917"/>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17" t="s">
        <v>1558</v>
      </c>
      <c r="F749" s="1917"/>
      <c r="G749" s="1917"/>
      <c r="H749" s="1917"/>
      <c r="I749" s="1917"/>
      <c r="J749" s="1917"/>
      <c r="K749" s="1917"/>
      <c r="L749" s="1917"/>
      <c r="M749" s="1917"/>
      <c r="N749" s="1917"/>
      <c r="O749" s="1917"/>
      <c r="P749" s="1917"/>
      <c r="Q749" s="1917"/>
      <c r="R749" s="1917"/>
      <c r="S749" s="1917"/>
      <c r="T749" s="1917"/>
      <c r="U749" s="1917"/>
      <c r="V749" s="1917"/>
      <c r="W749" s="1917"/>
      <c r="X749" s="1917"/>
      <c r="Y749" s="1917"/>
      <c r="Z749" s="1917"/>
      <c r="AA749" s="1917"/>
      <c r="AB749" s="1917"/>
      <c r="AC749" s="570"/>
      <c r="AD749" s="570"/>
      <c r="AE749" s="570"/>
      <c r="AF749" s="1997" t="s">
        <v>1537</v>
      </c>
      <c r="AG749" s="1997"/>
      <c r="AH749" s="1997"/>
      <c r="AI749" s="1997"/>
      <c r="AJ749" s="1997"/>
      <c r="AK749" s="1997"/>
      <c r="AL749" s="1997"/>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7"/>
      <c r="F750" s="1917"/>
      <c r="G750" s="1917"/>
      <c r="H750" s="1917"/>
      <c r="I750" s="1917"/>
      <c r="J750" s="1917"/>
      <c r="K750" s="1917"/>
      <c r="L750" s="1917"/>
      <c r="M750" s="1917"/>
      <c r="N750" s="1917"/>
      <c r="O750" s="1917"/>
      <c r="P750" s="1917"/>
      <c r="Q750" s="1917"/>
      <c r="R750" s="1917"/>
      <c r="S750" s="1917"/>
      <c r="T750" s="1917"/>
      <c r="U750" s="1917"/>
      <c r="V750" s="1917"/>
      <c r="W750" s="1917"/>
      <c r="X750" s="1917"/>
      <c r="Y750" s="1917"/>
      <c r="Z750" s="1917"/>
      <c r="AA750" s="1917"/>
      <c r="AB750" s="1917"/>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2.9">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1512</v>
      </c>
      <c r="E752" s="971"/>
      <c r="F752" s="971"/>
      <c r="G752" s="971"/>
      <c r="H752" s="1941" t="s">
        <v>697</v>
      </c>
      <c r="I752" s="1941"/>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4.0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1559</v>
      </c>
      <c r="AJ754" s="1924">
        <f>VLOOKUP($H$752,$AO$686:$AP$688,2,FALSE)</f>
        <v>2</v>
      </c>
      <c r="AK754" s="1926"/>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1548</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697</v>
      </c>
      <c r="E758" s="1917" t="s">
        <v>1883</v>
      </c>
      <c r="F758" s="1917"/>
      <c r="G758" s="1917"/>
      <c r="H758" s="1917"/>
      <c r="I758" s="1917"/>
      <c r="J758" s="1917"/>
      <c r="K758" s="1917"/>
      <c r="L758" s="1917"/>
      <c r="M758" s="1917"/>
      <c r="N758" s="1917"/>
      <c r="O758" s="1917"/>
      <c r="P758" s="1917"/>
      <c r="Q758" s="1917"/>
      <c r="R758" s="1917"/>
      <c r="S758" s="1917"/>
      <c r="T758" s="1917"/>
      <c r="U758" s="1917"/>
      <c r="V758" s="1917"/>
      <c r="W758" s="1917"/>
      <c r="X758" s="1917"/>
      <c r="Y758" s="1917"/>
      <c r="Z758" s="1917"/>
      <c r="AA758" s="1917"/>
      <c r="AB758" s="1917"/>
      <c r="AC758" s="1917"/>
      <c r="AD758" s="1917"/>
      <c r="AE758" s="570"/>
      <c r="AF758" s="1997" t="s">
        <v>1520</v>
      </c>
      <c r="AG758" s="1997"/>
      <c r="AH758" s="1997"/>
      <c r="AI758" s="1997"/>
      <c r="AJ758" s="1997"/>
      <c r="AK758" s="1997"/>
      <c r="AL758" s="1997"/>
      <c r="AM758" s="647"/>
      <c r="AN758" s="718"/>
      <c r="AO758" s="584" t="s">
        <v>600</v>
      </c>
      <c r="AP758" s="707">
        <v>0</v>
      </c>
    </row>
    <row r="759" spans="1:74" s="604" customFormat="1" ht="13.75" customHeight="1">
      <c r="A759" s="584"/>
      <c r="B759" s="650"/>
      <c r="C759" s="975"/>
      <c r="D759" s="697"/>
      <c r="E759" s="1917"/>
      <c r="F759" s="1917"/>
      <c r="G759" s="1917"/>
      <c r="H759" s="1917"/>
      <c r="I759" s="1917"/>
      <c r="J759" s="1917"/>
      <c r="K759" s="1917"/>
      <c r="L759" s="1917"/>
      <c r="M759" s="1917"/>
      <c r="N759" s="1917"/>
      <c r="O759" s="1917"/>
      <c r="P759" s="1917"/>
      <c r="Q759" s="1917"/>
      <c r="R759" s="1917"/>
      <c r="S759" s="1917"/>
      <c r="T759" s="1917"/>
      <c r="U759" s="1917"/>
      <c r="V759" s="1917"/>
      <c r="W759" s="1917"/>
      <c r="X759" s="1917"/>
      <c r="Y759" s="1917"/>
      <c r="Z759" s="1917"/>
      <c r="AA759" s="1917"/>
      <c r="AB759" s="1917"/>
      <c r="AC759" s="1917"/>
      <c r="AD759" s="1917"/>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17"/>
      <c r="F760" s="1917"/>
      <c r="G760" s="1917"/>
      <c r="H760" s="1917"/>
      <c r="I760" s="1917"/>
      <c r="J760" s="1917"/>
      <c r="K760" s="1917"/>
      <c r="L760" s="1917"/>
      <c r="M760" s="1917"/>
      <c r="N760" s="1917"/>
      <c r="O760" s="1917"/>
      <c r="P760" s="1917"/>
      <c r="Q760" s="1917"/>
      <c r="R760" s="1917"/>
      <c r="S760" s="1917"/>
      <c r="T760" s="1917"/>
      <c r="U760" s="1917"/>
      <c r="V760" s="1917"/>
      <c r="W760" s="1917"/>
      <c r="X760" s="1917"/>
      <c r="Y760" s="1917"/>
      <c r="Z760" s="1917"/>
      <c r="AA760" s="1917"/>
      <c r="AB760" s="1917"/>
      <c r="AC760" s="1917"/>
      <c r="AD760" s="1917"/>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5"/>
      <c r="D761" s="697"/>
      <c r="E761" s="1917"/>
      <c r="F761" s="1917"/>
      <c r="G761" s="1917"/>
      <c r="H761" s="1917"/>
      <c r="I761" s="1917"/>
      <c r="J761" s="1917"/>
      <c r="K761" s="1917"/>
      <c r="L761" s="1917"/>
      <c r="M761" s="1917"/>
      <c r="N761" s="1917"/>
      <c r="O761" s="1917"/>
      <c r="P761" s="1917"/>
      <c r="Q761" s="1917"/>
      <c r="R761" s="1917"/>
      <c r="S761" s="1917"/>
      <c r="T761" s="1917"/>
      <c r="U761" s="1917"/>
      <c r="V761" s="1917"/>
      <c r="W761" s="1917"/>
      <c r="X761" s="1917"/>
      <c r="Y761" s="1917"/>
      <c r="Z761" s="1917"/>
      <c r="AA761" s="1917"/>
      <c r="AB761" s="1917"/>
      <c r="AC761" s="1917"/>
      <c r="AD761" s="1917"/>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9" t="s">
        <v>1888</v>
      </c>
      <c r="F763" s="2029"/>
      <c r="G763" s="2029"/>
      <c r="H763" s="2029"/>
      <c r="I763" s="2029"/>
      <c r="J763" s="2029"/>
      <c r="K763" s="2029"/>
      <c r="L763" s="2029"/>
      <c r="M763" s="2029"/>
      <c r="N763" s="2029"/>
      <c r="O763" s="2029"/>
      <c r="P763" s="2029"/>
      <c r="Q763" s="2029"/>
      <c r="R763" s="2029"/>
      <c r="S763" s="2029"/>
      <c r="T763" s="2029"/>
      <c r="U763" s="2029"/>
      <c r="V763" s="2029"/>
      <c r="W763" s="2029"/>
      <c r="X763" s="2029"/>
      <c r="Y763" s="2029"/>
      <c r="Z763" s="2029"/>
      <c r="AA763" s="2029"/>
      <c r="AB763" s="2029"/>
      <c r="AC763" s="2029"/>
      <c r="AD763" s="2029"/>
      <c r="AE763" s="570"/>
      <c r="AF763" s="1997" t="s">
        <v>1464</v>
      </c>
      <c r="AG763" s="1997"/>
      <c r="AH763" s="1997"/>
      <c r="AI763" s="1997"/>
      <c r="AJ763" s="1997"/>
      <c r="AK763" s="1997"/>
      <c r="AL763" s="1997"/>
      <c r="AM763" s="647"/>
      <c r="AN763" s="631"/>
    </row>
    <row r="764" spans="1:74" s="584" customFormat="1" ht="12.75" customHeight="1">
      <c r="B764" s="650"/>
      <c r="C764" s="975"/>
      <c r="D764" s="697"/>
      <c r="E764" s="2029"/>
      <c r="F764" s="2029"/>
      <c r="G764" s="2029"/>
      <c r="H764" s="2029"/>
      <c r="I764" s="2029"/>
      <c r="J764" s="2029"/>
      <c r="K764" s="2029"/>
      <c r="L764" s="2029"/>
      <c r="M764" s="2029"/>
      <c r="N764" s="2029"/>
      <c r="O764" s="2029"/>
      <c r="P764" s="2029"/>
      <c r="Q764" s="2029"/>
      <c r="R764" s="2029"/>
      <c r="S764" s="2029"/>
      <c r="T764" s="2029"/>
      <c r="U764" s="2029"/>
      <c r="V764" s="2029"/>
      <c r="W764" s="2029"/>
      <c r="X764" s="2029"/>
      <c r="Y764" s="2029"/>
      <c r="Z764" s="2029"/>
      <c r="AA764" s="2029"/>
      <c r="AB764" s="2029"/>
      <c r="AC764" s="2029"/>
      <c r="AD764" s="2029"/>
      <c r="AE764" s="628"/>
      <c r="AF764" s="628"/>
      <c r="AG764" s="628"/>
      <c r="AH764" s="628"/>
      <c r="AI764" s="628"/>
      <c r="AJ764" s="628"/>
      <c r="AK764" s="628"/>
      <c r="AL764" s="628"/>
      <c r="AM764" s="647"/>
      <c r="AN764" s="631"/>
    </row>
    <row r="765" spans="1:74" s="584" customFormat="1" ht="12.75" customHeight="1">
      <c r="B765" s="650"/>
      <c r="C765" s="975"/>
      <c r="D765" s="697"/>
      <c r="E765" s="2029"/>
      <c r="F765" s="2029"/>
      <c r="G765" s="2029"/>
      <c r="H765" s="2029"/>
      <c r="I765" s="2029"/>
      <c r="J765" s="2029"/>
      <c r="K765" s="2029"/>
      <c r="L765" s="2029"/>
      <c r="M765" s="2029"/>
      <c r="N765" s="2029"/>
      <c r="O765" s="2029"/>
      <c r="P765" s="2029"/>
      <c r="Q765" s="2029"/>
      <c r="R765" s="2029"/>
      <c r="S765" s="2029"/>
      <c r="T765" s="2029"/>
      <c r="U765" s="2029"/>
      <c r="V765" s="2029"/>
      <c r="W765" s="2029"/>
      <c r="X765" s="2029"/>
      <c r="Y765" s="2029"/>
      <c r="Z765" s="2029"/>
      <c r="AA765" s="2029"/>
      <c r="AB765" s="2029"/>
      <c r="AC765" s="2029"/>
      <c r="AD765" s="2029"/>
      <c r="AE765" s="628"/>
      <c r="AF765" s="628"/>
      <c r="AG765" s="628"/>
      <c r="AH765" s="628"/>
      <c r="AI765" s="628"/>
      <c r="AJ765" s="628"/>
      <c r="AK765" s="628"/>
      <c r="AL765" s="628"/>
      <c r="AM765" s="647"/>
      <c r="AN765" s="631"/>
    </row>
    <row r="766" spans="1:74" s="584" customFormat="1" ht="12.75" customHeight="1">
      <c r="B766" s="650"/>
      <c r="C766" s="975"/>
      <c r="D766" s="697"/>
      <c r="E766" s="2029"/>
      <c r="F766" s="2029"/>
      <c r="G766" s="2029"/>
      <c r="H766" s="2029"/>
      <c r="I766" s="2029"/>
      <c r="J766" s="2029"/>
      <c r="K766" s="2029"/>
      <c r="L766" s="2029"/>
      <c r="M766" s="2029"/>
      <c r="N766" s="2029"/>
      <c r="O766" s="2029"/>
      <c r="P766" s="2029"/>
      <c r="Q766" s="2029"/>
      <c r="R766" s="2029"/>
      <c r="S766" s="2029"/>
      <c r="T766" s="2029"/>
      <c r="U766" s="2029"/>
      <c r="V766" s="2029"/>
      <c r="W766" s="2029"/>
      <c r="X766" s="2029"/>
      <c r="Y766" s="2029"/>
      <c r="Z766" s="2029"/>
      <c r="AA766" s="2029"/>
      <c r="AB766" s="2029"/>
      <c r="AC766" s="2029"/>
      <c r="AD766" s="2029"/>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1512</v>
      </c>
      <c r="E768" s="971"/>
      <c r="F768" s="971"/>
      <c r="G768" s="971"/>
      <c r="H768" s="1941" t="s">
        <v>600</v>
      </c>
      <c r="I768" s="1941"/>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1560</v>
      </c>
      <c r="AJ770" s="1924">
        <f>VLOOKUP($H$768,$AO$758:$AP$760,2,FALSE)</f>
        <v>0</v>
      </c>
      <c r="AK770" s="1926"/>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1561</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697</v>
      </c>
      <c r="E774" s="1917" t="s">
        <v>2348</v>
      </c>
      <c r="F774" s="1917"/>
      <c r="G774" s="1917"/>
      <c r="H774" s="1917"/>
      <c r="I774" s="1917"/>
      <c r="J774" s="1917"/>
      <c r="K774" s="1917"/>
      <c r="L774" s="1917"/>
      <c r="M774" s="1917"/>
      <c r="N774" s="1917"/>
      <c r="O774" s="1917"/>
      <c r="P774" s="1917"/>
      <c r="Q774" s="1917"/>
      <c r="R774" s="1917"/>
      <c r="S774" s="1917"/>
      <c r="T774" s="1917"/>
      <c r="U774" s="1917"/>
      <c r="V774" s="1917"/>
      <c r="W774" s="1917"/>
      <c r="X774" s="1917"/>
      <c r="Y774" s="1917"/>
      <c r="Z774" s="1917"/>
      <c r="AA774" s="1917"/>
      <c r="AB774" s="1917"/>
      <c r="AC774" s="1917"/>
      <c r="AD774" s="1917"/>
      <c r="AE774" s="570"/>
      <c r="AF774" s="1997" t="s">
        <v>1464</v>
      </c>
      <c r="AG774" s="1997"/>
      <c r="AH774" s="1997"/>
      <c r="AI774" s="1997"/>
      <c r="AJ774" s="1997"/>
      <c r="AK774" s="1997"/>
      <c r="AL774" s="1997"/>
      <c r="AM774" s="647"/>
      <c r="AN774" s="718"/>
      <c r="AO774" s="645" t="s">
        <v>554</v>
      </c>
      <c r="AP774" s="584">
        <v>3</v>
      </c>
      <c r="AT774" s="708"/>
      <c r="AU774" s="708"/>
      <c r="AV774" s="708"/>
      <c r="AW774" s="708"/>
      <c r="AX774" s="708"/>
      <c r="AY774" s="708"/>
      <c r="AZ774" s="708"/>
    </row>
    <row r="775" spans="1:81" s="604" customFormat="1" ht="13.75" customHeight="1">
      <c r="A775" s="584"/>
      <c r="B775" s="650"/>
      <c r="C775" s="975"/>
      <c r="D775" s="697"/>
      <c r="E775" s="1917"/>
      <c r="F775" s="1917"/>
      <c r="G775" s="1917"/>
      <c r="H775" s="1917"/>
      <c r="I775" s="1917"/>
      <c r="J775" s="1917"/>
      <c r="K775" s="1917"/>
      <c r="L775" s="1917"/>
      <c r="M775" s="1917"/>
      <c r="N775" s="1917"/>
      <c r="O775" s="1917"/>
      <c r="P775" s="1917"/>
      <c r="Q775" s="1917"/>
      <c r="R775" s="1917"/>
      <c r="S775" s="1917"/>
      <c r="T775" s="1917"/>
      <c r="U775" s="1917"/>
      <c r="V775" s="1917"/>
      <c r="W775" s="1917"/>
      <c r="X775" s="1917"/>
      <c r="Y775" s="1917"/>
      <c r="Z775" s="1917"/>
      <c r="AA775" s="1917"/>
      <c r="AB775" s="1917"/>
      <c r="AC775" s="1917"/>
      <c r="AD775" s="1917"/>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7"/>
      <c r="F776" s="1917"/>
      <c r="G776" s="1917"/>
      <c r="H776" s="1917"/>
      <c r="I776" s="1917"/>
      <c r="J776" s="1917"/>
      <c r="K776" s="1917"/>
      <c r="L776" s="1917"/>
      <c r="M776" s="1917"/>
      <c r="N776" s="1917"/>
      <c r="O776" s="1917"/>
      <c r="P776" s="1917"/>
      <c r="Q776" s="1917"/>
      <c r="R776" s="1917"/>
      <c r="S776" s="1917"/>
      <c r="T776" s="1917"/>
      <c r="U776" s="1917"/>
      <c r="V776" s="1917"/>
      <c r="W776" s="1917"/>
      <c r="X776" s="1917"/>
      <c r="Y776" s="1917"/>
      <c r="Z776" s="1917"/>
      <c r="AA776" s="1917"/>
      <c r="AB776" s="1917"/>
      <c r="AC776" s="1917"/>
      <c r="AD776" s="1917"/>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7"/>
      <c r="F777" s="1917"/>
      <c r="G777" s="1917"/>
      <c r="H777" s="1917"/>
      <c r="I777" s="1917"/>
      <c r="J777" s="1917"/>
      <c r="K777" s="1917"/>
      <c r="L777" s="1917"/>
      <c r="M777" s="1917"/>
      <c r="N777" s="1917"/>
      <c r="O777" s="1917"/>
      <c r="P777" s="1917"/>
      <c r="Q777" s="1917"/>
      <c r="R777" s="1917"/>
      <c r="S777" s="1917"/>
      <c r="T777" s="1917"/>
      <c r="U777" s="1917"/>
      <c r="V777" s="1917"/>
      <c r="W777" s="1917"/>
      <c r="X777" s="1917"/>
      <c r="Y777" s="1917"/>
      <c r="Z777" s="1917"/>
      <c r="AA777" s="1917"/>
      <c r="AB777" s="1917"/>
      <c r="AC777" s="1917"/>
      <c r="AD777" s="1917"/>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1512</v>
      </c>
      <c r="E779" s="971"/>
      <c r="F779" s="971"/>
      <c r="G779" s="971"/>
      <c r="H779" s="1941" t="s">
        <v>600</v>
      </c>
      <c r="I779" s="1941"/>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1562</v>
      </c>
      <c r="AJ781" s="1924">
        <f>VLOOKUP($H$779,$AO$773:$AP$774,2,FALSE)</f>
        <v>0</v>
      </c>
      <c r="AK781" s="1926"/>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1563</v>
      </c>
      <c r="AK783" s="1924">
        <f>IF(($AJ$610+$AJ$629+$AJ$641+$AJ$676+$AJ$700+$AJ$714+$AJ$726+$AJ$742+$AJ$754+$AJ$770+AJ781)&gt;10,10,($AJ$610+$AJ$629+$AJ$641+$AJ$676+$AJ$700+$AJ$714+$AJ$726+$AJ$742+$AJ$754+$AJ$770+AJ781))</f>
        <v>10</v>
      </c>
      <c r="AL783" s="1925"/>
      <c r="AM783" s="1926"/>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8" t="s">
        <v>1681</v>
      </c>
      <c r="B786" s="1989"/>
      <c r="C786" s="1989"/>
      <c r="D786" s="1989"/>
      <c r="E786" s="1989"/>
      <c r="F786" s="1989"/>
      <c r="G786" s="1989"/>
      <c r="H786" s="1989"/>
      <c r="I786" s="1989"/>
      <c r="J786" s="1989"/>
      <c r="K786" s="1989"/>
      <c r="L786" s="1989"/>
      <c r="M786" s="1989"/>
      <c r="N786" s="1989"/>
      <c r="O786" s="1989"/>
      <c r="P786" s="1989"/>
      <c r="Q786" s="1989"/>
      <c r="R786" s="1989"/>
      <c r="S786" s="1989"/>
      <c r="T786" s="1989"/>
      <c r="U786" s="1989"/>
      <c r="V786" s="1989"/>
      <c r="W786" s="1989"/>
      <c r="X786" s="1989"/>
      <c r="Y786" s="1989"/>
      <c r="Z786" s="1989"/>
      <c r="AA786" s="1989"/>
      <c r="AB786" s="1989"/>
      <c r="AC786" s="1989"/>
      <c r="AD786" s="1989"/>
      <c r="AE786" s="1989"/>
      <c r="AF786" s="1989"/>
      <c r="AG786" s="1989"/>
      <c r="AH786" s="1989"/>
      <c r="AI786" s="1989"/>
      <c r="AJ786" s="1989"/>
      <c r="AK786" s="1989"/>
      <c r="AL786" s="1989"/>
      <c r="AM786" s="1989"/>
    </row>
    <row r="787" spans="1:43">
      <c r="A787" s="1990"/>
      <c r="B787" s="1990"/>
      <c r="C787" s="1990"/>
      <c r="D787" s="1990"/>
      <c r="E787" s="1990"/>
      <c r="F787" s="1990"/>
      <c r="G787" s="1990"/>
      <c r="H787" s="1990"/>
      <c r="I787" s="1990"/>
      <c r="J787" s="1990"/>
      <c r="K787" s="1990"/>
      <c r="L787" s="1990"/>
      <c r="M787" s="1990"/>
      <c r="N787" s="1990"/>
      <c r="O787" s="1990"/>
      <c r="P787" s="1990"/>
      <c r="Q787" s="1990"/>
      <c r="R787" s="1990"/>
      <c r="S787" s="1990"/>
      <c r="T787" s="1990"/>
      <c r="U787" s="1990"/>
      <c r="V787" s="1990"/>
      <c r="W787" s="1990"/>
      <c r="X787" s="1990"/>
      <c r="Y787" s="1990"/>
      <c r="Z787" s="1990"/>
      <c r="AA787" s="1990"/>
      <c r="AB787" s="1990"/>
      <c r="AC787" s="1990"/>
      <c r="AD787" s="1990"/>
      <c r="AE787" s="1990"/>
      <c r="AF787" s="1990"/>
      <c r="AG787" s="1990"/>
      <c r="AH787" s="1990"/>
      <c r="AI787" s="1990"/>
      <c r="AJ787" s="1990"/>
      <c r="AK787" s="1990"/>
      <c r="AL787" s="1990"/>
      <c r="AM787" s="1990"/>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7"/>
      <c r="B789" s="1927"/>
      <c r="C789" s="1927"/>
      <c r="D789" s="1927"/>
      <c r="E789" s="1927"/>
      <c r="F789" s="1927"/>
      <c r="G789" s="1927"/>
      <c r="H789" s="1927"/>
      <c r="I789" s="1927"/>
      <c r="J789" s="1927"/>
      <c r="K789" s="1927"/>
      <c r="L789" s="1927"/>
      <c r="M789" s="1927"/>
      <c r="N789" s="1927"/>
      <c r="O789" s="1927"/>
      <c r="P789" s="1927"/>
      <c r="Q789" s="1927"/>
      <c r="R789" s="1927"/>
      <c r="S789" s="1927"/>
      <c r="T789" s="1927"/>
      <c r="U789" s="1927"/>
      <c r="V789" s="1927"/>
      <c r="W789" s="1927"/>
      <c r="X789" s="1927"/>
      <c r="Y789" s="1927"/>
      <c r="Z789" s="1927"/>
      <c r="AA789" s="1927"/>
      <c r="AB789" s="1927"/>
      <c r="AC789" s="1927"/>
      <c r="AD789" s="1927"/>
      <c r="AE789" s="1927"/>
      <c r="AF789" s="1927"/>
      <c r="AG789" s="1927"/>
      <c r="AH789" s="1927"/>
      <c r="AI789" s="1927"/>
      <c r="AJ789" s="1927"/>
      <c r="AK789" s="1927"/>
      <c r="AL789" s="1927"/>
      <c r="AM789" s="1927"/>
      <c r="AP789" s="850"/>
      <c r="AQ789" s="850"/>
    </row>
    <row r="790" spans="1:43">
      <c r="A790" s="1927"/>
      <c r="B790" s="1927"/>
      <c r="C790" s="1927"/>
      <c r="D790" s="1927"/>
      <c r="E790" s="1927"/>
      <c r="F790" s="1927"/>
      <c r="G790" s="1927"/>
      <c r="H790" s="1927"/>
      <c r="I790" s="1927"/>
      <c r="J790" s="1927"/>
      <c r="K790" s="1927"/>
      <c r="L790" s="1927"/>
      <c r="M790" s="1927"/>
      <c r="N790" s="1927"/>
      <c r="O790" s="1927"/>
      <c r="P790" s="1927"/>
      <c r="Q790" s="1927"/>
      <c r="R790" s="1927"/>
      <c r="S790" s="1927"/>
      <c r="T790" s="1927"/>
      <c r="U790" s="1927"/>
      <c r="V790" s="1927"/>
      <c r="W790" s="1927"/>
      <c r="X790" s="1927"/>
      <c r="Y790" s="1927"/>
      <c r="Z790" s="1927"/>
      <c r="AA790" s="1927"/>
      <c r="AB790" s="1927"/>
      <c r="AC790" s="1927"/>
      <c r="AD790" s="1927"/>
      <c r="AE790" s="1927"/>
      <c r="AF790" s="1927"/>
      <c r="AG790" s="1927"/>
      <c r="AH790" s="1927"/>
      <c r="AI790" s="1927"/>
      <c r="AJ790" s="1927"/>
      <c r="AK790" s="1927"/>
      <c r="AL790" s="1927"/>
      <c r="AM790" s="1927"/>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91" t="s">
        <v>1682</v>
      </c>
      <c r="U791" s="1992"/>
      <c r="V791" s="1992"/>
      <c r="W791" s="1992"/>
      <c r="X791" s="1992"/>
      <c r="Y791" s="1993"/>
      <c r="Z791" s="1991" t="s">
        <v>1683</v>
      </c>
      <c r="AA791" s="1992"/>
      <c r="AB791" s="1992"/>
      <c r="AC791" s="1992"/>
      <c r="AD791" s="1992"/>
      <c r="AE791" s="1993"/>
      <c r="AF791" s="1991" t="s">
        <v>1684</v>
      </c>
      <c r="AG791" s="1992"/>
      <c r="AH791" s="1992"/>
      <c r="AI791" s="1992"/>
      <c r="AJ791" s="1992"/>
      <c r="AK791" s="1993"/>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4"/>
      <c r="U792" s="1995"/>
      <c r="V792" s="1995"/>
      <c r="W792" s="1995"/>
      <c r="X792" s="1995"/>
      <c r="Y792" s="1996"/>
      <c r="Z792" s="1994"/>
      <c r="AA792" s="1995"/>
      <c r="AB792" s="1995"/>
      <c r="AC792" s="1995"/>
      <c r="AD792" s="1995"/>
      <c r="AE792" s="1996"/>
      <c r="AF792" s="1994"/>
      <c r="AG792" s="1995"/>
      <c r="AH792" s="1995"/>
      <c r="AI792" s="1995"/>
      <c r="AJ792" s="1995"/>
      <c r="AK792" s="1996"/>
      <c r="AL792" s="852"/>
      <c r="AM792" s="630"/>
      <c r="AO792" s="850"/>
      <c r="AP792" s="850"/>
      <c r="AQ792" s="850"/>
    </row>
    <row r="793" spans="1:43">
      <c r="A793" s="853" t="s">
        <v>767</v>
      </c>
      <c r="B793" s="1948" t="s">
        <v>1416</v>
      </c>
      <c r="C793" s="1948"/>
      <c r="D793" s="1948"/>
      <c r="E793" s="1948"/>
      <c r="F793" s="1948"/>
      <c r="G793" s="1948"/>
      <c r="H793" s="1948"/>
      <c r="I793" s="1948"/>
      <c r="J793" s="1948"/>
      <c r="K793" s="1948"/>
      <c r="L793" s="1948"/>
      <c r="M793" s="1948"/>
      <c r="N793" s="1948"/>
      <c r="O793" s="1948"/>
      <c r="P793" s="1948"/>
      <c r="Q793" s="1948"/>
      <c r="R793" s="1948"/>
      <c r="S793" s="1949"/>
      <c r="T793" s="1976">
        <f>AK56</f>
        <v>0</v>
      </c>
      <c r="U793" s="1952"/>
      <c r="V793" s="1952"/>
      <c r="W793" s="1952"/>
      <c r="X793" s="1952"/>
      <c r="Y793" s="1953"/>
      <c r="Z793" s="1951">
        <v>20</v>
      </c>
      <c r="AA793" s="1952"/>
      <c r="AB793" s="1952"/>
      <c r="AC793" s="1952"/>
      <c r="AD793" s="1952"/>
      <c r="AE793" s="1953"/>
      <c r="AF793" s="1937">
        <f>IF(T793&gt;Z793,Z793,T793)</f>
        <v>0</v>
      </c>
      <c r="AG793" s="1937"/>
      <c r="AH793" s="1937"/>
      <c r="AI793" s="1937"/>
      <c r="AJ793" s="1937"/>
      <c r="AK793" s="1937"/>
      <c r="AL793" s="852"/>
      <c r="AM793" s="630"/>
      <c r="AO793" s="850"/>
      <c r="AP793" s="850"/>
      <c r="AQ793" s="850"/>
    </row>
    <row r="794" spans="1:43">
      <c r="A794" s="853" t="s">
        <v>1654</v>
      </c>
      <c r="B794" s="1948" t="s">
        <v>1425</v>
      </c>
      <c r="C794" s="1948"/>
      <c r="D794" s="1948"/>
      <c r="E794" s="1948"/>
      <c r="F794" s="1948"/>
      <c r="G794" s="1948"/>
      <c r="H794" s="1948"/>
      <c r="I794" s="1948"/>
      <c r="J794" s="1948"/>
      <c r="K794" s="1948"/>
      <c r="L794" s="1948"/>
      <c r="M794" s="1948"/>
      <c r="N794" s="1948"/>
      <c r="O794" s="1948"/>
      <c r="P794" s="1948"/>
      <c r="Q794" s="1948"/>
      <c r="R794" s="1948"/>
      <c r="S794" s="1949"/>
      <c r="T794" s="1976">
        <f>AK78</f>
        <v>10</v>
      </c>
      <c r="U794" s="1952"/>
      <c r="V794" s="1952"/>
      <c r="W794" s="1952"/>
      <c r="X794" s="1952"/>
      <c r="Y794" s="1953"/>
      <c r="Z794" s="1951">
        <v>10</v>
      </c>
      <c r="AA794" s="1952"/>
      <c r="AB794" s="1952"/>
      <c r="AC794" s="1952"/>
      <c r="AD794" s="1952"/>
      <c r="AE794" s="1953"/>
      <c r="AF794" s="1937">
        <f>IF(T794&gt;Z794,Z794,T794)</f>
        <v>10</v>
      </c>
      <c r="AG794" s="1937"/>
      <c r="AH794" s="1937"/>
      <c r="AI794" s="1937"/>
      <c r="AJ794" s="1937"/>
      <c r="AK794" s="1937"/>
      <c r="AL794" s="852"/>
      <c r="AM794" s="630"/>
      <c r="AO794" s="850"/>
      <c r="AP794" s="850"/>
      <c r="AQ794" s="850"/>
    </row>
    <row r="795" spans="1:43">
      <c r="A795" s="853" t="s">
        <v>1663</v>
      </c>
      <c r="B795" s="1948" t="s">
        <v>1435</v>
      </c>
      <c r="C795" s="1948"/>
      <c r="D795" s="1948"/>
      <c r="E795" s="1948"/>
      <c r="F795" s="1948"/>
      <c r="G795" s="1948"/>
      <c r="H795" s="1948"/>
      <c r="I795" s="1948"/>
      <c r="J795" s="1948"/>
      <c r="K795" s="1948"/>
      <c r="L795" s="1948"/>
      <c r="M795" s="1948"/>
      <c r="N795" s="1948"/>
      <c r="O795" s="1948"/>
      <c r="P795" s="1948"/>
      <c r="Q795" s="1948"/>
      <c r="R795" s="1948"/>
      <c r="S795" s="1949"/>
      <c r="T795" s="1976">
        <f ca="1">AK103</f>
        <v>20</v>
      </c>
      <c r="U795" s="1952"/>
      <c r="V795" s="1952"/>
      <c r="W795" s="1952"/>
      <c r="X795" s="1952"/>
      <c r="Y795" s="1953"/>
      <c r="Z795" s="1951">
        <v>20</v>
      </c>
      <c r="AA795" s="1952"/>
      <c r="AB795" s="1952"/>
      <c r="AC795" s="1952"/>
      <c r="AD795" s="1952"/>
      <c r="AE795" s="1953"/>
      <c r="AF795" s="1937">
        <f ca="1">IF(T795&gt;Z795,Z795,T795)</f>
        <v>20</v>
      </c>
      <c r="AG795" s="1937"/>
      <c r="AH795" s="1937"/>
      <c r="AI795" s="1937"/>
      <c r="AJ795" s="1937"/>
      <c r="AK795" s="1937"/>
      <c r="AL795" s="852"/>
      <c r="AM795" s="630"/>
      <c r="AO795" s="850"/>
      <c r="AP795" s="850"/>
      <c r="AQ795" s="850"/>
    </row>
    <row r="796" spans="1:43">
      <c r="A796" s="853" t="s">
        <v>1685</v>
      </c>
      <c r="B796" s="1948" t="s">
        <v>1445</v>
      </c>
      <c r="C796" s="1948"/>
      <c r="D796" s="1948"/>
      <c r="E796" s="1948"/>
      <c r="F796" s="1948"/>
      <c r="G796" s="1948"/>
      <c r="H796" s="1948"/>
      <c r="I796" s="1948"/>
      <c r="J796" s="1948"/>
      <c r="K796" s="1948"/>
      <c r="L796" s="1948"/>
      <c r="M796" s="1948"/>
      <c r="N796" s="1948"/>
      <c r="O796" s="1948"/>
      <c r="P796" s="1948"/>
      <c r="Q796" s="1948"/>
      <c r="R796" s="1948"/>
      <c r="S796" s="1949"/>
      <c r="T796" s="1976">
        <f>AK137</f>
        <v>10</v>
      </c>
      <c r="U796" s="1952"/>
      <c r="V796" s="1952"/>
      <c r="W796" s="1952"/>
      <c r="X796" s="1952"/>
      <c r="Y796" s="1953"/>
      <c r="Z796" s="1951">
        <v>10</v>
      </c>
      <c r="AA796" s="1952"/>
      <c r="AB796" s="1952"/>
      <c r="AC796" s="1952"/>
      <c r="AD796" s="1952"/>
      <c r="AE796" s="1953"/>
      <c r="AF796" s="1937">
        <f>IF(T796&gt;Z796,Z796,T796)</f>
        <v>10</v>
      </c>
      <c r="AG796" s="1937"/>
      <c r="AH796" s="1937"/>
      <c r="AI796" s="1937"/>
      <c r="AJ796" s="1937"/>
      <c r="AK796" s="1937"/>
      <c r="AL796" s="852"/>
      <c r="AM796" s="630"/>
      <c r="AO796" s="850"/>
      <c r="AP796" s="850"/>
      <c r="AQ796" s="850"/>
    </row>
    <row r="797" spans="1:43">
      <c r="A797" s="854" t="s">
        <v>1686</v>
      </c>
      <c r="B797" s="1948" t="s">
        <v>1687</v>
      </c>
      <c r="C797" s="1948"/>
      <c r="D797" s="1948"/>
      <c r="E797" s="1948"/>
      <c r="F797" s="1948"/>
      <c r="G797" s="1948"/>
      <c r="H797" s="1948"/>
      <c r="I797" s="1948"/>
      <c r="J797" s="1948"/>
      <c r="K797" s="1948"/>
      <c r="L797" s="1948"/>
      <c r="M797" s="1948"/>
      <c r="N797" s="1948"/>
      <c r="O797" s="1948"/>
      <c r="P797" s="1948"/>
      <c r="Q797" s="1948"/>
      <c r="R797" s="1948"/>
      <c r="S797" s="1949"/>
      <c r="T797" s="1950">
        <f>SUM(T798:Y799)</f>
        <v>10</v>
      </c>
      <c r="U797" s="1950"/>
      <c r="V797" s="1950"/>
      <c r="W797" s="1950"/>
      <c r="X797" s="1950"/>
      <c r="Y797" s="1950"/>
      <c r="Z797" s="1937">
        <v>10</v>
      </c>
      <c r="AA797" s="1937"/>
      <c r="AB797" s="1937"/>
      <c r="AC797" s="1937"/>
      <c r="AD797" s="1937"/>
      <c r="AE797" s="1937"/>
      <c r="AF797" s="1937">
        <f>IF(T797&gt;Z797,Z797,T797)</f>
        <v>10</v>
      </c>
      <c r="AG797" s="1937"/>
      <c r="AH797" s="1937"/>
      <c r="AI797" s="1937"/>
      <c r="AJ797" s="1937"/>
      <c r="AK797" s="1937"/>
      <c r="AL797" s="852"/>
      <c r="AM797" s="630"/>
    </row>
    <row r="798" spans="1:43">
      <c r="A798" s="569"/>
      <c r="B798" s="635"/>
      <c r="C798" s="1954" t="s">
        <v>1688</v>
      </c>
      <c r="D798" s="1954"/>
      <c r="E798" s="1954"/>
      <c r="F798" s="1954"/>
      <c r="G798" s="1954"/>
      <c r="H798" s="1954"/>
      <c r="I798" s="1954"/>
      <c r="J798" s="1954"/>
      <c r="K798" s="1954"/>
      <c r="L798" s="1954"/>
      <c r="M798" s="1954"/>
      <c r="N798" s="1954"/>
      <c r="O798" s="1954"/>
      <c r="P798" s="1954"/>
      <c r="Q798" s="1954"/>
      <c r="R798" s="1954"/>
      <c r="S798" s="1955"/>
      <c r="T798" s="1956">
        <f>AJ155</f>
        <v>7</v>
      </c>
      <c r="U798" s="1956"/>
      <c r="V798" s="1956"/>
      <c r="W798" s="1956"/>
      <c r="X798" s="1956"/>
      <c r="Y798" s="1956"/>
      <c r="Z798" s="1957">
        <v>7</v>
      </c>
      <c r="AA798" s="1957"/>
      <c r="AB798" s="1957"/>
      <c r="AC798" s="1957"/>
      <c r="AD798" s="1957"/>
      <c r="AE798" s="1957"/>
      <c r="AF798" s="1958"/>
      <c r="AG798" s="1958"/>
      <c r="AH798" s="1958"/>
      <c r="AI798" s="1958"/>
      <c r="AJ798" s="1958"/>
      <c r="AK798" s="1958"/>
      <c r="AL798" s="852"/>
      <c r="AM798" s="630"/>
    </row>
    <row r="799" spans="1:43">
      <c r="A799" s="634"/>
      <c r="B799" s="635"/>
      <c r="C799" s="1954" t="s">
        <v>1689</v>
      </c>
      <c r="D799" s="1954"/>
      <c r="E799" s="1954"/>
      <c r="F799" s="1954"/>
      <c r="G799" s="1954"/>
      <c r="H799" s="1954"/>
      <c r="I799" s="1954"/>
      <c r="J799" s="1954"/>
      <c r="K799" s="1954"/>
      <c r="L799" s="1954"/>
      <c r="M799" s="1954"/>
      <c r="N799" s="1954"/>
      <c r="O799" s="1954"/>
      <c r="P799" s="1954"/>
      <c r="Q799" s="1954"/>
      <c r="R799" s="1954"/>
      <c r="S799" s="1955"/>
      <c r="T799" s="1956">
        <f>AJ169</f>
        <v>3</v>
      </c>
      <c r="U799" s="1956"/>
      <c r="V799" s="1956"/>
      <c r="W799" s="1956"/>
      <c r="X799" s="1956"/>
      <c r="Y799" s="1956"/>
      <c r="Z799" s="1957">
        <v>3</v>
      </c>
      <c r="AA799" s="1957"/>
      <c r="AB799" s="1957"/>
      <c r="AC799" s="1957"/>
      <c r="AD799" s="1957"/>
      <c r="AE799" s="1957"/>
      <c r="AF799" s="1958"/>
      <c r="AG799" s="1958"/>
      <c r="AH799" s="1958"/>
      <c r="AI799" s="1958"/>
      <c r="AJ799" s="1958"/>
      <c r="AK799" s="1958"/>
      <c r="AL799" s="852"/>
      <c r="AM799" s="630"/>
      <c r="AO799" s="584"/>
    </row>
    <row r="800" spans="1:43">
      <c r="A800" s="854" t="s">
        <v>1473</v>
      </c>
      <c r="B800" s="1948" t="s">
        <v>1690</v>
      </c>
      <c r="C800" s="1948"/>
      <c r="D800" s="1948"/>
      <c r="E800" s="1948"/>
      <c r="F800" s="1948"/>
      <c r="G800" s="1948"/>
      <c r="H800" s="1948"/>
      <c r="I800" s="1948"/>
      <c r="J800" s="1948"/>
      <c r="K800" s="1948"/>
      <c r="L800" s="1948"/>
      <c r="M800" s="1948"/>
      <c r="N800" s="1948"/>
      <c r="O800" s="1948"/>
      <c r="P800" s="1948"/>
      <c r="Q800" s="1948"/>
      <c r="R800" s="1948"/>
      <c r="S800" s="1949"/>
      <c r="T800" s="1950">
        <f>AK180</f>
        <v>10</v>
      </c>
      <c r="U800" s="1950"/>
      <c r="V800" s="1950"/>
      <c r="W800" s="1950"/>
      <c r="X800" s="1950"/>
      <c r="Y800" s="1950"/>
      <c r="Z800" s="1937">
        <v>10</v>
      </c>
      <c r="AA800" s="1937"/>
      <c r="AB800" s="1937"/>
      <c r="AC800" s="1937"/>
      <c r="AD800" s="1937"/>
      <c r="AE800" s="1937"/>
      <c r="AF800" s="1937">
        <f>IF(T800&gt;Z800,Z800,T800)</f>
        <v>10</v>
      </c>
      <c r="AG800" s="1937"/>
      <c r="AH800" s="1937"/>
      <c r="AI800" s="1937"/>
      <c r="AJ800" s="1937"/>
      <c r="AK800" s="1937"/>
      <c r="AL800" s="852"/>
      <c r="AM800" s="630"/>
    </row>
    <row r="801" spans="1:81">
      <c r="A801" s="853" t="s">
        <v>1482</v>
      </c>
      <c r="B801" s="1948" t="s">
        <v>1483</v>
      </c>
      <c r="C801" s="1948"/>
      <c r="D801" s="1948"/>
      <c r="E801" s="1948"/>
      <c r="F801" s="1948"/>
      <c r="G801" s="1948"/>
      <c r="H801" s="1948"/>
      <c r="I801" s="1948"/>
      <c r="J801" s="1948"/>
      <c r="K801" s="1948"/>
      <c r="L801" s="1948"/>
      <c r="M801" s="1948"/>
      <c r="N801" s="1948"/>
      <c r="O801" s="1948"/>
      <c r="P801" s="1948"/>
      <c r="Q801" s="1948"/>
      <c r="R801" s="1948"/>
      <c r="S801" s="1949"/>
      <c r="T801" s="1950">
        <f>AK262</f>
        <v>8</v>
      </c>
      <c r="U801" s="1950"/>
      <c r="V801" s="1950"/>
      <c r="W801" s="1950"/>
      <c r="X801" s="1950"/>
      <c r="Y801" s="1950"/>
      <c r="Z801" s="1951">
        <v>8</v>
      </c>
      <c r="AA801" s="1952"/>
      <c r="AB801" s="1952"/>
      <c r="AC801" s="1952"/>
      <c r="AD801" s="1952"/>
      <c r="AE801" s="1953"/>
      <c r="AF801" s="1937">
        <f>IF(T801&gt;Z801,Z801,T801)</f>
        <v>8</v>
      </c>
      <c r="AG801" s="1937"/>
      <c r="AH801" s="1937"/>
      <c r="AI801" s="1937"/>
      <c r="AJ801" s="1937"/>
      <c r="AK801" s="1937"/>
      <c r="AL801" s="852"/>
      <c r="AM801" s="630"/>
    </row>
    <row r="802" spans="1:81" s="568" customFormat="1" hidden="1">
      <c r="A802" s="854" t="s">
        <v>598</v>
      </c>
      <c r="B802" s="1948" t="s">
        <v>1691</v>
      </c>
      <c r="C802" s="1948"/>
      <c r="D802" s="1948"/>
      <c r="E802" s="1948"/>
      <c r="F802" s="1948"/>
      <c r="G802" s="1948"/>
      <c r="H802" s="1948"/>
      <c r="I802" s="1948"/>
      <c r="J802" s="1948"/>
      <c r="K802" s="1948"/>
      <c r="L802" s="1948"/>
      <c r="M802" s="1948"/>
      <c r="N802" s="1948"/>
      <c r="O802" s="1948"/>
      <c r="P802" s="1948"/>
      <c r="Q802" s="1948"/>
      <c r="R802" s="1948"/>
      <c r="S802" s="1949"/>
      <c r="T802" s="1950">
        <f>IF(AK524&gt;5,5,AK524)</f>
        <v>0</v>
      </c>
      <c r="U802" s="1950"/>
      <c r="V802" s="1950"/>
      <c r="W802" s="1950"/>
      <c r="X802" s="1950"/>
      <c r="Y802" s="1950"/>
      <c r="Z802" s="1937">
        <v>5</v>
      </c>
      <c r="AA802" s="1937"/>
      <c r="AB802" s="1937"/>
      <c r="AC802" s="1937"/>
      <c r="AD802" s="1937"/>
      <c r="AE802" s="1937"/>
      <c r="AF802" s="1937">
        <f>IF(T802&gt;Z802,5,T802)</f>
        <v>0</v>
      </c>
      <c r="AG802" s="1937"/>
      <c r="AH802" s="1937"/>
      <c r="AI802" s="1937"/>
      <c r="AJ802" s="1937"/>
      <c r="AK802" s="1937"/>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1488</v>
      </c>
      <c r="B803" s="1948" t="s">
        <v>1692</v>
      </c>
      <c r="C803" s="1948"/>
      <c r="D803" s="1948"/>
      <c r="E803" s="1948"/>
      <c r="F803" s="1948"/>
      <c r="G803" s="1948"/>
      <c r="H803" s="1948"/>
      <c r="I803" s="1948"/>
      <c r="J803" s="1948"/>
      <c r="K803" s="1948"/>
      <c r="L803" s="1948"/>
      <c r="M803" s="1948"/>
      <c r="N803" s="1948"/>
      <c r="O803" s="1948"/>
      <c r="P803" s="1948"/>
      <c r="Q803" s="1948"/>
      <c r="R803" s="1948"/>
      <c r="S803" s="1949"/>
      <c r="T803" s="1950">
        <f>AK274</f>
        <v>10</v>
      </c>
      <c r="U803" s="1950"/>
      <c r="V803" s="1950"/>
      <c r="W803" s="1950"/>
      <c r="X803" s="1950"/>
      <c r="Y803" s="1950"/>
      <c r="Z803" s="1937">
        <v>10</v>
      </c>
      <c r="AA803" s="1937"/>
      <c r="AB803" s="1937"/>
      <c r="AC803" s="1937"/>
      <c r="AD803" s="1937"/>
      <c r="AE803" s="1937"/>
      <c r="AF803" s="1959">
        <f>IF(T803&gt;Z803,Z803,T803)</f>
        <v>10</v>
      </c>
      <c r="AG803" s="1960"/>
      <c r="AH803" s="1960"/>
      <c r="AI803" s="1960"/>
      <c r="AJ803" s="1960"/>
      <c r="AK803" s="1961"/>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1492</v>
      </c>
      <c r="B804" s="1948" t="s">
        <v>1493</v>
      </c>
      <c r="C804" s="1948"/>
      <c r="D804" s="1948"/>
      <c r="E804" s="1948"/>
      <c r="F804" s="1948"/>
      <c r="G804" s="1948"/>
      <c r="H804" s="1948"/>
      <c r="I804" s="1948"/>
      <c r="J804" s="1948"/>
      <c r="K804" s="1948"/>
      <c r="L804" s="1948"/>
      <c r="M804" s="1948"/>
      <c r="N804" s="1948"/>
      <c r="O804" s="1948"/>
      <c r="P804" s="1948"/>
      <c r="Q804" s="1948"/>
      <c r="R804" s="1948"/>
      <c r="S804" s="1949"/>
      <c r="T804" s="1950">
        <f>AK327</f>
        <v>9</v>
      </c>
      <c r="U804" s="1950"/>
      <c r="V804" s="1950"/>
      <c r="W804" s="1950"/>
      <c r="X804" s="1950"/>
      <c r="Y804" s="1950"/>
      <c r="Z804" s="1959">
        <v>10</v>
      </c>
      <c r="AA804" s="1960"/>
      <c r="AB804" s="1960"/>
      <c r="AC804" s="1960"/>
      <c r="AD804" s="1960"/>
      <c r="AE804" s="1961"/>
      <c r="AF804" s="1959">
        <f>IF(T804&gt;Z804,Z804,T804)</f>
        <v>9</v>
      </c>
      <c r="AG804" s="1960"/>
      <c r="AH804" s="1960"/>
      <c r="AI804" s="1960"/>
      <c r="AJ804" s="1960"/>
      <c r="AK804" s="1961"/>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1693</v>
      </c>
      <c r="D805" s="857"/>
      <c r="E805" s="857"/>
      <c r="F805" s="857"/>
      <c r="G805" s="857"/>
      <c r="H805" s="857"/>
      <c r="I805" s="857"/>
      <c r="J805" s="857"/>
      <c r="K805" s="857"/>
      <c r="L805" s="857"/>
      <c r="M805" s="857"/>
      <c r="N805" s="857"/>
      <c r="O805" s="857"/>
      <c r="P805" s="857"/>
      <c r="Q805" s="857"/>
      <c r="R805" s="855"/>
      <c r="S805" s="858"/>
      <c r="T805" s="1956">
        <f>AK327</f>
        <v>9</v>
      </c>
      <c r="U805" s="1956"/>
      <c r="V805" s="1956"/>
      <c r="W805" s="1956"/>
      <c r="X805" s="1956"/>
      <c r="Y805" s="1956"/>
      <c r="Z805" s="1924">
        <v>20</v>
      </c>
      <c r="AA805" s="1925"/>
      <c r="AB805" s="1925"/>
      <c r="AC805" s="1925"/>
      <c r="AD805" s="1925"/>
      <c r="AE805" s="1926"/>
      <c r="AF805" s="1958"/>
      <c r="AG805" s="1958"/>
      <c r="AH805" s="1958"/>
      <c r="AI805" s="1958"/>
      <c r="AJ805" s="1958"/>
      <c r="AK805" s="1958"/>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1565</v>
      </c>
      <c r="B806" s="1948" t="s">
        <v>857</v>
      </c>
      <c r="C806" s="1948"/>
      <c r="D806" s="1948"/>
      <c r="E806" s="1948"/>
      <c r="F806" s="1948"/>
      <c r="G806" s="1948"/>
      <c r="H806" s="1948"/>
      <c r="I806" s="1948"/>
      <c r="J806" s="1948"/>
      <c r="K806" s="1948"/>
      <c r="L806" s="1948"/>
      <c r="M806" s="1948"/>
      <c r="N806" s="1948"/>
      <c r="O806" s="1948"/>
      <c r="P806" s="1948"/>
      <c r="Q806" s="1948"/>
      <c r="R806" s="1948"/>
      <c r="S806" s="1949"/>
      <c r="T806" s="1950">
        <f>AK458</f>
        <v>11</v>
      </c>
      <c r="U806" s="1950"/>
      <c r="V806" s="1950"/>
      <c r="W806" s="1950"/>
      <c r="X806" s="1950"/>
      <c r="Y806" s="1950"/>
      <c r="Z806" s="1959">
        <v>10</v>
      </c>
      <c r="AA806" s="1960"/>
      <c r="AB806" s="1960"/>
      <c r="AC806" s="1960"/>
      <c r="AD806" s="1960"/>
      <c r="AE806" s="1961"/>
      <c r="AF806" s="1937">
        <f>IF(T806&gt;Z806,Z806,T806)</f>
        <v>10</v>
      </c>
      <c r="AG806" s="1937"/>
      <c r="AH806" s="1937"/>
      <c r="AI806" s="1937"/>
      <c r="AJ806" s="1937"/>
      <c r="AK806" s="1937"/>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1671</v>
      </c>
      <c r="B807" s="1948" t="s">
        <v>1672</v>
      </c>
      <c r="C807" s="1948"/>
      <c r="D807" s="1948"/>
      <c r="E807" s="1948"/>
      <c r="F807" s="1948"/>
      <c r="G807" s="1948"/>
      <c r="H807" s="1948"/>
      <c r="I807" s="1948"/>
      <c r="J807" s="1948"/>
      <c r="K807" s="1948"/>
      <c r="L807" s="1948"/>
      <c r="M807" s="1948"/>
      <c r="N807" s="1948"/>
      <c r="O807" s="1948"/>
      <c r="P807" s="1948"/>
      <c r="Q807" s="1948"/>
      <c r="R807" s="1948"/>
      <c r="S807" s="1949"/>
      <c r="T807" s="1950">
        <f>AK548</f>
        <v>12</v>
      </c>
      <c r="U807" s="1950"/>
      <c r="V807" s="1950"/>
      <c r="W807" s="1950"/>
      <c r="X807" s="1950"/>
      <c r="Y807" s="1950"/>
      <c r="Z807" s="1959">
        <v>12</v>
      </c>
      <c r="AA807" s="1960"/>
      <c r="AB807" s="1960"/>
      <c r="AC807" s="1960"/>
      <c r="AD807" s="1960"/>
      <c r="AE807" s="1961"/>
      <c r="AF807" s="1937">
        <f>IF(T807&gt;Z807,Z807,T807)</f>
        <v>12</v>
      </c>
      <c r="AG807" s="1937"/>
      <c r="AH807" s="1937"/>
      <c r="AI807" s="1937"/>
      <c r="AJ807" s="1937"/>
      <c r="AK807" s="1937"/>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2336</v>
      </c>
      <c r="B808" s="1948" t="s">
        <v>1694</v>
      </c>
      <c r="C808" s="1948"/>
      <c r="D808" s="1948"/>
      <c r="E808" s="1948"/>
      <c r="F808" s="1948"/>
      <c r="G808" s="1948"/>
      <c r="H808" s="1948"/>
      <c r="I808" s="1948"/>
      <c r="J808" s="1948"/>
      <c r="K808" s="1948"/>
      <c r="L808" s="1948"/>
      <c r="M808" s="1948"/>
      <c r="N808" s="1948"/>
      <c r="O808" s="1948"/>
      <c r="P808" s="1948"/>
      <c r="Q808" s="1948"/>
      <c r="R808" s="1948"/>
      <c r="S808" s="1949"/>
      <c r="T808" s="1950">
        <f>AK783</f>
        <v>10</v>
      </c>
      <c r="U808" s="1950"/>
      <c r="V808" s="1950"/>
      <c r="W808" s="1950"/>
      <c r="X808" s="1950"/>
      <c r="Y808" s="1950"/>
      <c r="Z808" s="1959">
        <v>10</v>
      </c>
      <c r="AA808" s="1960"/>
      <c r="AB808" s="1960"/>
      <c r="AC808" s="1960"/>
      <c r="AD808" s="1960"/>
      <c r="AE808" s="1961"/>
      <c r="AF808" s="1937">
        <f>IF(T808&gt;Z808,Z808,T808)</f>
        <v>10</v>
      </c>
      <c r="AG808" s="1937"/>
      <c r="AH808" s="1937"/>
      <c r="AI808" s="1937"/>
      <c r="AJ808" s="1937"/>
      <c r="AK808" s="1937"/>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62" t="s">
        <v>1695</v>
      </c>
      <c r="B809" s="1948"/>
      <c r="C809" s="1948"/>
      <c r="D809" s="1948"/>
      <c r="E809" s="1948"/>
      <c r="F809" s="1948"/>
      <c r="G809" s="1948"/>
      <c r="H809" s="1948"/>
      <c r="I809" s="1948"/>
      <c r="J809" s="1948"/>
      <c r="K809" s="1948"/>
      <c r="L809" s="1948"/>
      <c r="M809" s="1948"/>
      <c r="N809" s="1948"/>
      <c r="O809" s="1948"/>
      <c r="P809" s="1948"/>
      <c r="Q809" s="1948"/>
      <c r="R809" s="1948"/>
      <c r="S809" s="1949"/>
      <c r="T809" s="1963"/>
      <c r="U809" s="1963"/>
      <c r="V809" s="1963"/>
      <c r="W809" s="1963"/>
      <c r="X809" s="1963"/>
      <c r="Y809" s="1963"/>
      <c r="Z809" s="1957" t="s">
        <v>1696</v>
      </c>
      <c r="AA809" s="1957"/>
      <c r="AB809" s="1957"/>
      <c r="AC809" s="1957"/>
      <c r="AD809" s="1957"/>
      <c r="AE809" s="1957"/>
      <c r="AF809" s="1959">
        <f>IF(T809&gt;0,T809,0)</f>
        <v>0</v>
      </c>
      <c r="AG809" s="1960"/>
      <c r="AH809" s="1960"/>
      <c r="AI809" s="1960"/>
      <c r="AJ809" s="1960"/>
      <c r="AK809" s="1961"/>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45">
      <c r="A810" s="1964" t="s">
        <v>1697</v>
      </c>
      <c r="B810" s="1965"/>
      <c r="C810" s="1965"/>
      <c r="D810" s="1965"/>
      <c r="E810" s="1965"/>
      <c r="F810" s="1965"/>
      <c r="G810" s="1965"/>
      <c r="H810" s="1965"/>
      <c r="I810" s="1965"/>
      <c r="J810" s="1965"/>
      <c r="K810" s="1965"/>
      <c r="L810" s="1965"/>
      <c r="M810" s="1965"/>
      <c r="N810" s="1965"/>
      <c r="O810" s="1965"/>
      <c r="P810" s="1965"/>
      <c r="Q810" s="1965"/>
      <c r="R810" s="1965"/>
      <c r="S810" s="1965"/>
      <c r="T810" s="1965"/>
      <c r="U810" s="1965"/>
      <c r="V810" s="1965"/>
      <c r="W810" s="1965"/>
      <c r="X810" s="1965"/>
      <c r="Y810" s="1965"/>
      <c r="Z810" s="1965"/>
      <c r="AA810" s="1965"/>
      <c r="AB810" s="1965"/>
      <c r="AC810" s="1965"/>
      <c r="AD810" s="1965"/>
      <c r="AE810" s="1966"/>
      <c r="AF810" s="1970">
        <f ca="1">SUM(AF793:AK808)-AF809</f>
        <v>119</v>
      </c>
      <c r="AG810" s="1971"/>
      <c r="AH810" s="1971"/>
      <c r="AI810" s="1971"/>
      <c r="AJ810" s="1971"/>
      <c r="AK810" s="1972"/>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45">
      <c r="A811" s="1967"/>
      <c r="B811" s="1968"/>
      <c r="C811" s="1968"/>
      <c r="D811" s="1968"/>
      <c r="E811" s="1968"/>
      <c r="F811" s="1968"/>
      <c r="G811" s="1968"/>
      <c r="H811" s="1968"/>
      <c r="I811" s="1968"/>
      <c r="J811" s="1968"/>
      <c r="K811" s="1968"/>
      <c r="L811" s="1968"/>
      <c r="M811" s="1968"/>
      <c r="N811" s="1968"/>
      <c r="O811" s="1968"/>
      <c r="P811" s="1968"/>
      <c r="Q811" s="1968"/>
      <c r="R811" s="1968"/>
      <c r="S811" s="1968"/>
      <c r="T811" s="1968"/>
      <c r="U811" s="1968"/>
      <c r="V811" s="1968"/>
      <c r="W811" s="1968"/>
      <c r="X811" s="1968"/>
      <c r="Y811" s="1968"/>
      <c r="Z811" s="1968"/>
      <c r="AA811" s="1968"/>
      <c r="AB811" s="1968"/>
      <c r="AC811" s="1968"/>
      <c r="AD811" s="1968"/>
      <c r="AE811" s="1969"/>
      <c r="AF811" s="1973"/>
      <c r="AG811" s="1974"/>
      <c r="AH811" s="1974"/>
      <c r="AI811" s="1974"/>
      <c r="AJ811" s="1974"/>
      <c r="AK811" s="1975"/>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52" workbookViewId="0">
      <selection activeCell="I14" sqref="I14"/>
    </sheetView>
  </sheetViews>
  <sheetFormatPr defaultColWidth="9.15234375" defaultRowHeight="14.15"/>
  <cols>
    <col min="1" max="1" width="2.3828125" style="1079" customWidth="1"/>
    <col min="2" max="9" width="14.69140625" style="1079" customWidth="1"/>
    <col min="10" max="10" width="2.23046875" style="1079" customWidth="1"/>
    <col min="11" max="11" width="11.84375" style="1080" customWidth="1"/>
    <col min="12" max="12" width="10.69140625" style="1079" customWidth="1"/>
    <col min="13" max="13" width="10.3828125" style="1079" customWidth="1"/>
    <col min="14" max="14" width="10.84375" style="1079" customWidth="1"/>
    <col min="15" max="16384" width="9.15234375" style="1079"/>
  </cols>
  <sheetData>
    <row r="1" spans="1:13" ht="30" customHeight="1">
      <c r="A1" s="2150" t="s">
        <v>1698</v>
      </c>
      <c r="B1" s="2150"/>
      <c r="C1" s="2150"/>
      <c r="D1" s="2150"/>
      <c r="E1" s="2150"/>
      <c r="F1" s="2150"/>
      <c r="G1" s="2150"/>
      <c r="H1" s="2150"/>
      <c r="I1" s="2150"/>
      <c r="J1" s="2150"/>
    </row>
    <row r="2" spans="1:13" ht="15" customHeight="1" thickBot="1">
      <c r="A2" s="1081"/>
      <c r="B2" s="1081"/>
      <c r="I2" s="1082"/>
      <c r="K2" s="1083"/>
    </row>
    <row r="3" spans="1:13" s="1086" customFormat="1" ht="20.149999999999999" customHeight="1">
      <c r="A3" s="1140"/>
      <c r="B3" s="1141"/>
      <c r="C3" s="1142"/>
      <c r="D3" s="1147"/>
      <c r="E3" s="1142"/>
      <c r="F3" s="1143" t="s">
        <v>2301</v>
      </c>
      <c r="G3" s="1142"/>
      <c r="H3" s="1144">
        <f>E16</f>
        <v>35288400</v>
      </c>
      <c r="I3" s="1145"/>
    </row>
    <row r="4" spans="1:13" s="1086" customFormat="1" ht="20.149999999999999" customHeight="1">
      <c r="B4" s="1134"/>
      <c r="D4" s="1148"/>
      <c r="F4" s="1132" t="s">
        <v>2303</v>
      </c>
      <c r="G4" s="1131" t="s">
        <v>2302</v>
      </c>
      <c r="H4" s="1133">
        <f>I16</f>
        <v>32077160.902614377</v>
      </c>
      <c r="I4" s="1135"/>
      <c r="K4" s="1090"/>
    </row>
    <row r="5" spans="1:13" s="1086" customFormat="1" ht="20.149999999999999" customHeight="1" thickBot="1">
      <c r="B5" s="1136"/>
      <c r="C5" s="1137"/>
      <c r="D5" s="1149"/>
      <c r="E5" s="1138"/>
      <c r="F5" s="1149" t="s">
        <v>2243</v>
      </c>
      <c r="G5" s="1150"/>
      <c r="H5" s="1146">
        <f>H3/H4</f>
        <v>1.1001098291440095</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1" t="s">
        <v>2241</v>
      </c>
      <c r="C8" s="2152"/>
      <c r="D8" s="2152"/>
      <c r="E8" s="2153"/>
      <c r="G8" s="2154" t="s">
        <v>2242</v>
      </c>
      <c r="H8" s="2155"/>
      <c r="I8" s="2156"/>
      <c r="K8" s="1092"/>
    </row>
    <row r="9" spans="1:13" ht="15" customHeight="1">
      <c r="A9" s="1081"/>
      <c r="B9" s="2145" t="s">
        <v>2280</v>
      </c>
      <c r="C9" s="2145"/>
      <c r="D9" s="2145"/>
      <c r="E9" s="1094">
        <f>G31</f>
        <v>6300000</v>
      </c>
      <c r="G9" s="2148" t="s">
        <v>2278</v>
      </c>
      <c r="H9" s="2148"/>
      <c r="I9" s="1095">
        <f>Application!AM554</f>
        <v>29887200</v>
      </c>
      <c r="K9" s="1096"/>
      <c r="M9" s="1097"/>
    </row>
    <row r="10" spans="1:13" ht="15" customHeight="1" thickBot="1">
      <c r="A10" s="1081"/>
      <c r="B10" s="2145" t="s">
        <v>2281</v>
      </c>
      <c r="C10" s="2145"/>
      <c r="D10" s="2145"/>
      <c r="E10" s="1095">
        <f>G40</f>
        <v>15674400</v>
      </c>
      <c r="G10" s="2148" t="s">
        <v>2244</v>
      </c>
      <c r="H10" s="2148"/>
      <c r="I10" s="1182">
        <f>'Basis &amp; Credits'!AB77</f>
        <v>9528968</v>
      </c>
      <c r="M10" s="1097"/>
    </row>
    <row r="11" spans="1:13" ht="15" customHeight="1">
      <c r="A11" s="1098"/>
      <c r="B11" s="2145" t="s">
        <v>2282</v>
      </c>
      <c r="C11" s="2145"/>
      <c r="D11" s="2145"/>
      <c r="E11" s="1095">
        <f>G49</f>
        <v>700000</v>
      </c>
      <c r="G11" s="2148" t="s">
        <v>2293</v>
      </c>
      <c r="H11" s="2148"/>
      <c r="I11" s="1181">
        <f>I9+I10</f>
        <v>39416168</v>
      </c>
      <c r="M11" s="1097"/>
    </row>
    <row r="12" spans="1:13" ht="15" customHeight="1">
      <c r="A12" s="1084"/>
      <c r="B12" s="2145" t="s">
        <v>2283</v>
      </c>
      <c r="C12" s="2145"/>
      <c r="D12" s="2145"/>
      <c r="E12" s="1095">
        <f>G58</f>
        <v>1400000</v>
      </c>
      <c r="G12" s="1183" t="s">
        <v>2318</v>
      </c>
      <c r="H12" s="1184"/>
      <c r="M12" s="1097"/>
    </row>
    <row r="13" spans="1:13" ht="15" customHeight="1">
      <c r="A13" s="1081"/>
      <c r="B13" s="2145" t="s">
        <v>2284</v>
      </c>
      <c r="C13" s="2145"/>
      <c r="D13" s="2145"/>
      <c r="E13" s="1100">
        <f>G83</f>
        <v>8694000</v>
      </c>
      <c r="G13" s="2149" t="s">
        <v>139</v>
      </c>
      <c r="H13" s="2149"/>
      <c r="I13" s="1099">
        <f>15%*(Application!AJ993&gt;0)</f>
        <v>0</v>
      </c>
      <c r="M13" s="1097"/>
    </row>
    <row r="14" spans="1:13" ht="15" customHeight="1">
      <c r="A14" s="1081"/>
      <c r="B14" s="2145" t="s">
        <v>2285</v>
      </c>
      <c r="C14" s="2145"/>
      <c r="D14" s="2145"/>
      <c r="E14" s="1095">
        <f>IF(G96&gt;G106,G96,0)</f>
        <v>0</v>
      </c>
      <c r="G14" s="1179" t="s">
        <v>2294</v>
      </c>
      <c r="H14" s="1179"/>
      <c r="I14" s="1099">
        <f>IF(Application!AJ1031&gt;0,10%,IF(Application!AJ1035&gt;0,5%,0))</f>
        <v>0.1</v>
      </c>
      <c r="M14" s="1097"/>
    </row>
    <row r="15" spans="1:13" ht="15" customHeight="1" thickBot="1">
      <c r="A15" s="1081"/>
      <c r="B15" s="2146" t="s">
        <v>2304</v>
      </c>
      <c r="C15" s="2146"/>
      <c r="D15" s="2146"/>
      <c r="E15" s="1151">
        <f>IF(E14&gt;0,0,G106)</f>
        <v>2520000</v>
      </c>
      <c r="G15" s="2143" t="s">
        <v>2295</v>
      </c>
      <c r="H15" s="2144"/>
      <c r="I15" s="1153">
        <f>G114</f>
        <v>8.6192810457516339E-2</v>
      </c>
      <c r="M15" s="1097"/>
    </row>
    <row r="16" spans="1:13" ht="15" customHeight="1">
      <c r="A16" s="1081"/>
      <c r="B16" s="2147" t="s">
        <v>2240</v>
      </c>
      <c r="C16" s="2147"/>
      <c r="D16" s="2147"/>
      <c r="E16" s="1152">
        <f>SUM(E9:E15)</f>
        <v>35288400</v>
      </c>
      <c r="G16" s="1180" t="s">
        <v>2279</v>
      </c>
      <c r="H16" s="1180"/>
      <c r="I16" s="1154">
        <f>I11-((I11*I13)+(I11*I14)+(I11*I15))</f>
        <v>32077160.902614377</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140</v>
      </c>
      <c r="O18" s="1124" t="s">
        <v>591</v>
      </c>
      <c r="P18" s="1079">
        <f>MATCH(Application!T189,Application!BV490:BV547,0)</f>
        <v>1</v>
      </c>
      <c r="S18" s="1101">
        <f>SUM(Cdlac[Population])</f>
        <v>72</v>
      </c>
    </row>
    <row r="19" spans="1:20" ht="15" customHeight="1">
      <c r="A19" s="1081"/>
      <c r="B19" s="1081"/>
      <c r="I19" s="1107"/>
      <c r="L19" s="1079" t="s">
        <v>2236</v>
      </c>
      <c r="M19" s="1079" t="s">
        <v>2235</v>
      </c>
      <c r="N19" s="1079" t="s">
        <v>2249</v>
      </c>
      <c r="O19" s="1079" t="s">
        <v>2250</v>
      </c>
      <c r="P19" s="1079" t="s">
        <v>2237</v>
      </c>
      <c r="Q19" s="1079" t="s">
        <v>2238</v>
      </c>
      <c r="R19" s="1079" t="s">
        <v>2251</v>
      </c>
      <c r="S19" s="1079" t="s">
        <v>2257</v>
      </c>
      <c r="T19" s="1079" t="s">
        <v>386</v>
      </c>
    </row>
    <row r="20" spans="1:20" ht="15" customHeight="1">
      <c r="A20" s="1084"/>
      <c r="C20" s="2141" t="s">
        <v>2297</v>
      </c>
      <c r="D20" s="2141" t="s">
        <v>2298</v>
      </c>
      <c r="E20" s="2141" t="s">
        <v>2299</v>
      </c>
      <c r="F20" s="2141" t="s">
        <v>2300</v>
      </c>
      <c r="G20" s="2141" t="s">
        <v>2296</v>
      </c>
      <c r="H20" s="1108"/>
      <c r="I20" s="1107"/>
      <c r="L20" s="1079">
        <f>IFERROR(MIN(4,MATCH(Application!B718,UnitSizes,0)-1),"")</f>
        <v>0</v>
      </c>
      <c r="M20" s="1101">
        <f>Application!G718</f>
        <v>72</v>
      </c>
      <c r="N20" s="1109">
        <f>Application!AC718</f>
        <v>0.3</v>
      </c>
      <c r="O20" s="1109">
        <f>IF(Cdlac[[#This Row],[Quantity]]&gt;0,IF(Cdlac[[#This Row],[Federal]],30%,IF($G$36,40%,Cdlac[[#This Row],[iAMI]])),"")</f>
        <v>0.4</v>
      </c>
      <c r="P20" s="1101" cm="1">
        <f t="array" ref="P20">IF(Cdlac[[#This Row],[Quantity]]&gt;0,INDEX(TcacRents,$P$18,Cdlac[[#This Row],[Bedrooms]]+1)*Cdlac[[#This Row],[AMI]],"")</f>
        <v>1036</v>
      </c>
      <c r="Q20" s="1101" cm="1">
        <f t="array" ref="Q20">IF(Cdlac[[#This Row],[Quantity]]&gt;0,INDEX(HudFmrs,$P$18,Cdlac[[#This Row],[Bedrooms]]+1),"")</f>
        <v>1658</v>
      </c>
      <c r="R20" s="1101">
        <f>IF(Cdlac[[#This Row],[Quantity]]&gt;0,MAX(0,Cdlac[[#This Row],[Fair Market Rent]]-Cdlac[[#This Row],[Restricted Rent]]),"")</f>
        <v>622</v>
      </c>
      <c r="S20" s="1079">
        <f>IF(Cdlac[[#This Row],[Quantity]]&gt;0,AND(Application!AK718&lt;&gt;"N/A",Application!AK718&lt;&gt;"")*Cdlac[[#This Row],[Quantity]],"")</f>
        <v>72</v>
      </c>
      <c r="T20" s="1079" t="b">
        <f>AND('Subsidy Contract Calculation'!F4&gt;0,'Subsidy Contract Calculation'!C4="Federal",Cdlac[[#This Row],[Quantity]]&gt;0)</f>
        <v>0</v>
      </c>
    </row>
    <row r="21" spans="1:20" ht="15" customHeight="1">
      <c r="A21" s="1084"/>
      <c r="C21" s="2142"/>
      <c r="D21" s="2142"/>
      <c r="E21" s="2142"/>
      <c r="F21" s="2142"/>
      <c r="G21" s="2142"/>
      <c r="H21" s="1108"/>
      <c r="I21" s="1107"/>
      <c r="L21" s="1079">
        <f>IFERROR(MIN(4,MATCH(Application!B719,UnitSizes,0)-1),"")</f>
        <v>0</v>
      </c>
      <c r="M21" s="1101">
        <f>Application!G719</f>
        <v>2</v>
      </c>
      <c r="N21" s="1109">
        <f>Application!AC719</f>
        <v>0.4</v>
      </c>
      <c r="O21" s="1109">
        <f>IF(Cdlac[[#This Row],[Quantity]]&gt;0,IF(Cdlac[[#This Row],[Federal]],30%,IF($G$36,40%,Cdlac[[#This Row],[iAMI]])),"")</f>
        <v>0.4</v>
      </c>
      <c r="P21" s="1101" cm="1">
        <f t="array" ref="P21">IF(Cdlac[[#This Row],[Quantity]]&gt;0,INDEX(TcacRents,$P$18,Cdlac[[#This Row],[Bedrooms]]+1)*Cdlac[[#This Row],[AMI]],"")</f>
        <v>1036</v>
      </c>
      <c r="Q21" s="1101" cm="1">
        <f t="array" ref="Q21">IF(Cdlac[[#This Row],[Quantity]]&gt;0,INDEX(HudFmrs,$P$18,Cdlac[[#This Row],[Bedrooms]]+1),"")</f>
        <v>1658</v>
      </c>
      <c r="R21" s="1101">
        <f>IF(Cdlac[[#This Row],[Quantity]]&gt;0,MAX(0,Cdlac[[#This Row],[Fair Market Rent]]-Cdlac[[#This Row],[Restricted Rent]]),"")</f>
        <v>622</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140</v>
      </c>
      <c r="F22" s="1110">
        <f>E22</f>
        <v>140</v>
      </c>
      <c r="G22" s="1110">
        <f>D22*F22</f>
        <v>126</v>
      </c>
      <c r="L22" s="1079">
        <f>IFERROR(MIN(4,MATCH(Application!B720,UnitSizes,0)-1),"")</f>
        <v>0</v>
      </c>
      <c r="M22" s="1101">
        <f>Application!G720</f>
        <v>66</v>
      </c>
      <c r="N22" s="1109">
        <f>Application!AC720</f>
        <v>0.5</v>
      </c>
      <c r="O22" s="1109">
        <f>IF(Cdlac[[#This Row],[Quantity]]&gt;0,IF(Cdlac[[#This Row],[Federal]],30%,IF($G$36,40%,Cdlac[[#This Row],[iAMI]])),"")</f>
        <v>0.4</v>
      </c>
      <c r="P22" s="1101" cm="1">
        <f t="array" ref="P22">IF(Cdlac[[#This Row],[Quantity]]&gt;0,INDEX(TcacRents,$P$18,Cdlac[[#This Row],[Bedrooms]]+1)*Cdlac[[#This Row],[AMI]],"")</f>
        <v>1036</v>
      </c>
      <c r="Q22" s="1101" cm="1">
        <f t="array" ref="Q22">IF(Cdlac[[#This Row],[Quantity]]&gt;0,INDEX(HudFmrs,$P$18,Cdlac[[#This Row],[Bedrooms]]+1),"")</f>
        <v>1658</v>
      </c>
      <c r="R22" s="1101">
        <f>IF(Cdlac[[#This Row],[Quantity]]&gt;0,MAX(0,Cdlac[[#This Row],[Fair Market Rent]]-Cdlac[[#This Row],[Restricted Rent]]),"")</f>
        <v>622</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0</v>
      </c>
      <c r="F23" s="1110">
        <f>E23</f>
        <v>0</v>
      </c>
      <c r="G23" s="1110">
        <f>D23*F23</f>
        <v>0</v>
      </c>
      <c r="L23" s="1079" t="str">
        <f>IFERROR(MIN(4,MATCH(Application!B721,UnitSizes,0)-1),"")</f>
        <v/>
      </c>
      <c r="M23" s="1101">
        <f>Application!G721</f>
        <v>0</v>
      </c>
      <c r="N23" s="1109">
        <f>Application!AC721</f>
        <v>0</v>
      </c>
      <c r="O23" s="1109" t="str">
        <f>IF(Cdlac[[#This Row],[Quantity]]&gt;0,IF(Cdlac[[#This Row],[Federal]],30%,IF($G$36,40%,Cdlac[[#This Row],[iAMI]])),"")</f>
        <v/>
      </c>
      <c r="P23" s="1101" t="str" cm="1">
        <f t="array" ref="P23">IF(Cdlac[[#This Row],[Quantity]]&gt;0,INDEX(TcacRents,$P$18,Cdlac[[#This Row],[Bedrooms]]+1)*Cdlac[[#This Row],[AMI]],"")</f>
        <v/>
      </c>
      <c r="Q23" s="1101" t="str" cm="1">
        <f t="array" ref="Q23">IF(Cdlac[[#This Row],[Quantity]]&gt;0,INDEX(HudFmrs,$P$18,Cdlac[[#This Row],[Bedrooms]]+1),"")</f>
        <v/>
      </c>
      <c r="R23" s="1101" t="str">
        <f>IF(Cdlac[[#This Row],[Quantity]]&gt;0,MAX(0,Cdlac[[#This Row],[Fair Market Rent]]-Cdlac[[#This Row],[Restricted Rent]]),"")</f>
        <v/>
      </c>
      <c r="S23" s="1079" t="str">
        <f>IF(Cdlac[[#This Row],[Quantity]]&gt;0,AND(Application!AK721&lt;&gt;"N/A",Application!AK721&lt;&gt;"")*Cdlac[[#This Row],[Quantity]],"")</f>
        <v/>
      </c>
      <c r="T23" s="1079" t="b">
        <f>AND('Subsidy Contract Calculation'!F7&gt;0,'Subsidy Contract Calculation'!C7="Federal",Cdlac[[#This Row],[Quantity]]&gt;0)</f>
        <v>0</v>
      </c>
    </row>
    <row r="24" spans="1:20" ht="15" customHeight="1">
      <c r="A24" s="1112"/>
      <c r="C24" s="1113">
        <v>2</v>
      </c>
      <c r="D24" s="1111">
        <v>1.25</v>
      </c>
      <c r="E24" s="1110">
        <f>SUMIFS(Cdlac[Quantity],Cdlac[Bedrooms],C24)</f>
        <v>0</v>
      </c>
      <c r="F24" s="1113">
        <f>SUM(E24:E26)-SUM(F25:F26)</f>
        <v>0</v>
      </c>
      <c r="G24" s="1110">
        <f>D24*F24</f>
        <v>0</v>
      </c>
      <c r="H24" s="1112"/>
      <c r="I24" s="1112"/>
      <c r="L24" s="1079" t="str">
        <f>IFERROR(MIN(4,MATCH(Application!B722,UnitSizes,0)-1),"")</f>
        <v/>
      </c>
      <c r="M24" s="1101">
        <f>Application!G722</f>
        <v>0</v>
      </c>
      <c r="N24" s="1109">
        <f>Application!AC722</f>
        <v>0</v>
      </c>
      <c r="O24" s="1109" t="str">
        <f>IF(Cdlac[[#This Row],[Quantity]]&gt;0,IF(Cdlac[[#This Row],[Federal]],30%,IF($G$36,40%,Cdlac[[#This Row],[iAMI]])),"")</f>
        <v/>
      </c>
      <c r="P24" s="1101" t="str" cm="1">
        <f t="array" ref="P24">IF(Cdlac[[#This Row],[Quantity]]&gt;0,INDEX(TcacRents,$P$18,Cdlac[[#This Row],[Bedrooms]]+1)*Cdlac[[#This Row],[AMI]],"")</f>
        <v/>
      </c>
      <c r="Q24" s="1101" t="str" cm="1">
        <f t="array" ref="Q24">IF(Cdlac[[#This Row],[Quantity]]&gt;0,INDEX(HudFmrs,$P$18,Cdlac[[#This Row],[Bedrooms]]+1),"")</f>
        <v/>
      </c>
      <c r="R24" s="1101" t="str">
        <f>IF(Cdlac[[#This Row],[Quantity]]&gt;0,MAX(0,Cdlac[[#This Row],[Fair Market Rent]]-Cdlac[[#This Row],[Restricted Rent]]),"")</f>
        <v/>
      </c>
      <c r="S24" s="1079" t="str">
        <f>IF(Cdlac[[#This Row],[Quantity]]&gt;0,AND(Application!AK722&lt;&gt;"N/A",Application!AK722&lt;&gt;"")*Cdlac[[#This Row],[Quantity]],"")</f>
        <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t="str">
        <f>IFERROR(MIN(4,MATCH(Application!B723,UnitSizes,0)-1),"")</f>
        <v/>
      </c>
      <c r="M25" s="1101">
        <f>Application!G723</f>
        <v>0</v>
      </c>
      <c r="N25" s="1109">
        <f>Application!AC723</f>
        <v>0</v>
      </c>
      <c r="O25" s="1109" t="str">
        <f>IF(Cdlac[[#This Row],[Quantity]]&gt;0,IF(Cdlac[[#This Row],[Federal]],30%,IF($G$36,40%,Cdlac[[#This Row],[iAMI]])),"")</f>
        <v/>
      </c>
      <c r="P25" s="1101" t="str" cm="1">
        <f t="array" ref="P25">IF(Cdlac[[#This Row],[Quantity]]&gt;0,INDEX(TcacRents,$P$18,Cdlac[[#This Row],[Bedrooms]]+1)*Cdlac[[#This Row],[AMI]],"")</f>
        <v/>
      </c>
      <c r="Q25" s="1101" t="str" cm="1">
        <f t="array" ref="Q25">IF(Cdlac[[#This Row],[Quantity]]&gt;0,INDEX(HudFmrs,$P$18,Cdlac[[#This Row],[Bedrooms]]+1),"")</f>
        <v/>
      </c>
      <c r="R25" s="1101" t="str">
        <f>IF(Cdlac[[#This Row],[Quantity]]&gt;0,MAX(0,Cdlac[[#This Row],[Fair Market Rent]]-Cdlac[[#This Row],[Restricted Rent]]),"")</f>
        <v/>
      </c>
      <c r="S25" s="1079" t="str">
        <f>IF(Cdlac[[#This Row],[Quantity]]&gt;0,AND(Application!AK723&lt;&gt;"N/A",Application!AK723&lt;&gt;"")*Cdlac[[#This Row],[Quantity]],"")</f>
        <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57" t="s">
        <v>1699</v>
      </c>
      <c r="D27" s="2158"/>
      <c r="E27" s="1129">
        <f>SUM(E22:E26)</f>
        <v>140</v>
      </c>
      <c r="F27" s="1129">
        <f>SUM(F22:F26)</f>
        <v>140</v>
      </c>
      <c r="G27" s="1130">
        <f>SUMPRODUCT(D22:D26,F22:F26)</f>
        <v>126</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2296</v>
      </c>
      <c r="G29" s="1156">
        <f>G27</f>
        <v>126</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2248</v>
      </c>
      <c r="F30" s="1155" t="s">
        <v>2305</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2289</v>
      </c>
      <c r="F31" s="1081"/>
      <c r="G31" s="1161">
        <f>G30*G29</f>
        <v>6300000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2316</v>
      </c>
      <c r="G35" s="1162" cm="1">
        <f t="array" ref="G35">SUMPRODUCT(Cdlac[Quantity],Cdlac[iAMI],IF(Cdlac[Federal],0,1))/SUMIFS(Cdlac[Quantity],Cdlac[Federal],FALSE)</f>
        <v>0.39571428571428569</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2311</v>
      </c>
      <c r="G36" s="1119" t="b">
        <f>G35&lt;40%</f>
        <v>1</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2252</v>
      </c>
      <c r="G38" s="1116">
        <f>SUMPRODUCT(Cdlac[Quantity],Cdlac[Delta])</f>
        <v>87080</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2317</v>
      </c>
      <c r="F39" s="1155" t="s">
        <v>2305</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2245</v>
      </c>
      <c r="F40" s="1081"/>
      <c r="G40" s="1165">
        <f>G38*G39</f>
        <v>15674400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2306</v>
      </c>
      <c r="G44" s="1167">
        <f>S18</f>
        <v>72</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2307</v>
      </c>
      <c r="G45" s="1167">
        <f>ROUNDDOWN(E27*50%,0)</f>
        <v>70</v>
      </c>
    </row>
    <row r="46" spans="2:20" ht="15" customHeight="1">
      <c r="E46" s="1159"/>
      <c r="G46" s="1167"/>
    </row>
    <row r="47" spans="2:20" ht="15" customHeight="1">
      <c r="E47" s="1159" t="s">
        <v>2258</v>
      </c>
      <c r="G47" s="1156">
        <f>MIN(G44:G45)</f>
        <v>70</v>
      </c>
    </row>
    <row r="48" spans="2:20" ht="15" customHeight="1">
      <c r="E48" s="1159" t="s">
        <v>2248</v>
      </c>
      <c r="F48" s="1155" t="s">
        <v>2305</v>
      </c>
      <c r="G48" s="1166">
        <v>10000</v>
      </c>
    </row>
    <row r="49" spans="2:14" ht="15" customHeight="1">
      <c r="E49" s="1160" t="s">
        <v>2288</v>
      </c>
      <c r="F49" s="1081"/>
      <c r="G49" s="1165">
        <f>G47*G48</f>
        <v>700000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2308</v>
      </c>
      <c r="G53" s="1117">
        <f>SUMIFS(Cdlac[Quantity],Cdlac[iAMI],"&lt;=30%")</f>
        <v>72</v>
      </c>
    </row>
    <row r="54" spans="2:14" ht="15" customHeight="1">
      <c r="E54" s="1159" t="s">
        <v>2307</v>
      </c>
      <c r="G54" s="1117">
        <f>ROUNDDOWN(E27*50%,0)</f>
        <v>70</v>
      </c>
    </row>
    <row r="55" spans="2:14" ht="15" customHeight="1">
      <c r="E55" s="1159"/>
      <c r="G55" s="1117"/>
    </row>
    <row r="56" spans="2:14" ht="15" customHeight="1">
      <c r="E56" s="1159" t="s">
        <v>2258</v>
      </c>
      <c r="G56" s="1156">
        <f>MIN(G53:G54)</f>
        <v>70</v>
      </c>
    </row>
    <row r="57" spans="2:14" ht="15" customHeight="1">
      <c r="E57" s="1159" t="s">
        <v>2248</v>
      </c>
      <c r="F57" s="1155" t="s">
        <v>2305</v>
      </c>
      <c r="G57" s="1166">
        <v>20000</v>
      </c>
    </row>
    <row r="58" spans="2:14" ht="15" customHeight="1">
      <c r="E58" s="1160" t="s">
        <v>2287</v>
      </c>
      <c r="F58" s="1081"/>
      <c r="G58" s="1165">
        <f>G56*G57</f>
        <v>1400000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2261</v>
      </c>
      <c r="G62" s="1156">
        <f>VLOOKUP('Points System'!$H$595,'Points System'!$AO$575:$AP$580,2,FALSE)</f>
        <v>7</v>
      </c>
      <c r="L62" s="1169" t="str">
        <f>'Points System'!H627</f>
        <v>(i)</v>
      </c>
      <c r="M62" s="2159" t="s">
        <v>1517</v>
      </c>
      <c r="N62" s="2160"/>
    </row>
    <row r="63" spans="2:14" ht="15" customHeight="1">
      <c r="E63" s="1124" t="s">
        <v>2248</v>
      </c>
      <c r="F63" s="1155" t="s">
        <v>2305</v>
      </c>
      <c r="G63" s="1114">
        <v>4000</v>
      </c>
      <c r="L63" s="1170" t="str">
        <f>'Points System'!H639</f>
        <v>(i)</v>
      </c>
      <c r="M63" s="2161" t="s">
        <v>2262</v>
      </c>
      <c r="N63" s="2162"/>
    </row>
    <row r="64" spans="2:14" ht="15" customHeight="1">
      <c r="E64" s="1124" t="s">
        <v>2309</v>
      </c>
      <c r="F64" s="1155" t="s">
        <v>2305</v>
      </c>
      <c r="G64" s="1168">
        <f>G27</f>
        <v>126</v>
      </c>
      <c r="L64" s="1170" t="str">
        <f>'Points System'!H674</f>
        <v>N/A</v>
      </c>
      <c r="M64" s="2161" t="s">
        <v>2263</v>
      </c>
      <c r="N64" s="2162"/>
    </row>
    <row r="65" spans="2:14" ht="15" customHeight="1">
      <c r="E65" s="1160" t="s">
        <v>2267</v>
      </c>
      <c r="F65" s="1081"/>
      <c r="G65" s="1165">
        <f>G62*G63*G64</f>
        <v>3528000</v>
      </c>
      <c r="L65" s="1170" t="str">
        <f>IF(OR('Points System'!H698="(ii)",'Points System'!H698="(i)"),"(i)","N/A")</f>
        <v>N/A</v>
      </c>
      <c r="M65" s="2161" t="s">
        <v>2264</v>
      </c>
      <c r="N65" s="2162"/>
    </row>
    <row r="66" spans="2:14" ht="15" customHeight="1">
      <c r="C66" s="1115"/>
      <c r="G66" s="1156"/>
      <c r="L66" s="1171" t="str">
        <f>'Points System'!H712</f>
        <v>N/A</v>
      </c>
      <c r="M66" s="2161" t="s">
        <v>1543</v>
      </c>
      <c r="N66" s="2162"/>
    </row>
    <row r="67" spans="2:14" ht="15" customHeight="1">
      <c r="E67" s="1124" t="s">
        <v>2310</v>
      </c>
      <c r="G67" s="1168">
        <f>COUNTIFS(L62:L69,"(i)")</f>
        <v>4</v>
      </c>
      <c r="L67" s="1170" t="str">
        <f>'Points System'!H724</f>
        <v>(i)</v>
      </c>
      <c r="M67" s="2161" t="s">
        <v>2265</v>
      </c>
      <c r="N67" s="2162"/>
    </row>
    <row r="68" spans="2:14" ht="15" customHeight="1">
      <c r="E68" s="1124" t="s">
        <v>2248</v>
      </c>
      <c r="F68" s="1155" t="s">
        <v>2305</v>
      </c>
      <c r="G68" s="1166">
        <v>4000</v>
      </c>
      <c r="L68" s="1170" t="str">
        <f>'Points System'!H740</f>
        <v>N/A</v>
      </c>
      <c r="M68" s="2161" t="s">
        <v>2266</v>
      </c>
      <c r="N68" s="2162"/>
    </row>
    <row r="69" spans="2:14" ht="15" customHeight="1" thickBot="1">
      <c r="E69" s="1160" t="s">
        <v>2268</v>
      </c>
      <c r="F69" s="1081"/>
      <c r="G69" s="1165">
        <f>G64*G67*G68</f>
        <v>2016000</v>
      </c>
      <c r="L69" s="1172" t="str">
        <f>'Points System'!H752</f>
        <v>(i)</v>
      </c>
      <c r="M69" s="2167" t="s">
        <v>1546</v>
      </c>
      <c r="N69" s="2168"/>
    </row>
    <row r="70" spans="2:14" ht="15" customHeight="1"/>
    <row r="71" spans="2:14" ht="15" customHeight="1">
      <c r="C71" s="1118" t="s">
        <v>2270</v>
      </c>
    </row>
    <row r="72" spans="2:14" ht="15" customHeight="1">
      <c r="C72" s="1115" t="s">
        <v>2271</v>
      </c>
      <c r="G72" s="1078"/>
    </row>
    <row r="73" spans="2:14" ht="15" customHeight="1">
      <c r="C73" s="1115" t="s">
        <v>2272</v>
      </c>
      <c r="G73" s="1078"/>
    </row>
    <row r="74" spans="2:14" ht="15" customHeight="1">
      <c r="C74" s="1115" t="s">
        <v>2500</v>
      </c>
      <c r="G74" s="1078" t="s">
        <v>554</v>
      </c>
    </row>
    <row r="75" spans="2:14" ht="15" customHeight="1">
      <c r="C75" s="1115" t="s">
        <v>2501</v>
      </c>
      <c r="G75" s="1078"/>
    </row>
    <row r="76" spans="2:14" ht="15" customHeight="1"/>
    <row r="77" spans="2:14" ht="15" customHeight="1">
      <c r="B77" s="1116"/>
      <c r="C77" s="1115"/>
      <c r="E77" s="1124" t="s">
        <v>2312</v>
      </c>
      <c r="G77" s="1117" t="b">
        <f>COUNTIFS(G72:G75,"Yes")&gt;=1</f>
        <v>1</v>
      </c>
    </row>
    <row r="78" spans="2:14" ht="15" customHeight="1">
      <c r="E78" s="1115"/>
    </row>
    <row r="79" spans="2:14" ht="15" customHeight="1">
      <c r="E79" s="1124" t="s">
        <v>2309</v>
      </c>
      <c r="F79" s="1155" t="s">
        <v>2305</v>
      </c>
      <c r="G79" s="1156">
        <f>G27</f>
        <v>126</v>
      </c>
    </row>
    <row r="80" spans="2:14" ht="15" customHeight="1">
      <c r="E80" s="1124" t="s">
        <v>2248</v>
      </c>
      <c r="F80" s="1155" t="s">
        <v>2305</v>
      </c>
      <c r="G80" s="1166">
        <v>25000</v>
      </c>
    </row>
    <row r="81" spans="2:14" ht="15" customHeight="1">
      <c r="E81" s="1160" t="s">
        <v>2269</v>
      </c>
      <c r="F81" s="1081"/>
      <c r="G81" s="1165">
        <f>G77*G80*G64</f>
        <v>3150000</v>
      </c>
    </row>
    <row r="82" spans="2:14" ht="15" customHeight="1">
      <c r="C82" s="1115"/>
      <c r="E82" s="1115"/>
    </row>
    <row r="83" spans="2:14" ht="15" customHeight="1">
      <c r="E83" s="1160" t="s">
        <v>2246</v>
      </c>
      <c r="G83" s="1165">
        <f>G81+G69+G65</f>
        <v>8694000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2291</v>
      </c>
      <c r="G87" s="1078" t="s">
        <v>554</v>
      </c>
      <c r="L87" s="2169" t="s">
        <v>2275</v>
      </c>
      <c r="M87" s="2170"/>
      <c r="N87" s="1173">
        <v>30000</v>
      </c>
    </row>
    <row r="88" spans="2:14" ht="15" customHeight="1">
      <c r="C88" s="1115" t="s">
        <v>2292</v>
      </c>
      <c r="G88" s="1119" t="str">
        <f>IF(Application!D211="Large Family","Yes","No")</f>
        <v>No</v>
      </c>
      <c r="L88" s="2163" t="s">
        <v>2239</v>
      </c>
      <c r="M88" s="2164"/>
      <c r="N88" s="1174">
        <v>20000</v>
      </c>
    </row>
    <row r="89" spans="2:14" ht="15" customHeight="1" thickBot="1">
      <c r="C89" s="1115" t="s">
        <v>2273</v>
      </c>
      <c r="G89" s="1078" t="s">
        <v>678</v>
      </c>
      <c r="L89" s="2165" t="s">
        <v>2276</v>
      </c>
      <c r="M89" s="2166"/>
      <c r="N89" s="1175">
        <v>10000</v>
      </c>
    </row>
    <row r="90" spans="2:14" ht="15" customHeight="1">
      <c r="C90" s="1115" t="s">
        <v>2274</v>
      </c>
      <c r="G90" s="1079" t="str">
        <f>Application!T193</f>
        <v>Low Resource</v>
      </c>
    </row>
    <row r="91" spans="2:14" ht="15" customHeight="1">
      <c r="C91" s="1115"/>
    </row>
    <row r="92" spans="2:14" ht="15" customHeight="1">
      <c r="E92" s="1124" t="s">
        <v>2312</v>
      </c>
      <c r="G92" s="1117" t="b">
        <f>AND(COUNTIFS(G88:G89,"Yes")&gt;=1,G87="Yes")</f>
        <v>0</v>
      </c>
    </row>
    <row r="93" spans="2:14" ht="15" customHeight="1">
      <c r="E93" s="1124"/>
      <c r="G93" s="1117"/>
    </row>
    <row r="94" spans="2:14" ht="15" customHeight="1">
      <c r="E94" s="1124" t="s">
        <v>2248</v>
      </c>
      <c r="G94" s="1116">
        <f>IFERROR(INDEX(N87:N89,MATCH(LEFT(G90,17),L87:L89,0)),0)</f>
        <v>0</v>
      </c>
    </row>
    <row r="95" spans="2:14" ht="15" customHeight="1">
      <c r="E95" s="1124" t="str">
        <f>E64</f>
        <v>Bedroom-Adjusted Low-Income Units</v>
      </c>
      <c r="F95" s="1155" t="s">
        <v>2305</v>
      </c>
      <c r="G95" s="1156">
        <f>G27</f>
        <v>126</v>
      </c>
    </row>
    <row r="96" spans="2:14" ht="15" customHeight="1">
      <c r="D96" s="1081"/>
      <c r="E96" s="1160" t="s">
        <v>2247</v>
      </c>
      <c r="F96" s="1081"/>
      <c r="G96" s="1165">
        <f>G95*G94*G92</f>
        <v>0</v>
      </c>
    </row>
    <row r="97" spans="2:9" ht="15" customHeight="1"/>
    <row r="98" spans="2:9" ht="15" customHeight="1">
      <c r="B98" s="1104" t="s">
        <v>2260</v>
      </c>
      <c r="C98" s="1105"/>
      <c r="D98" s="1105"/>
      <c r="E98" s="1105"/>
      <c r="F98" s="1105"/>
      <c r="G98" s="1105"/>
      <c r="H98" s="1105"/>
      <c r="I98" s="1106"/>
    </row>
    <row r="99" spans="2:9" ht="15" customHeight="1"/>
    <row r="100" spans="2:9" ht="15" customHeight="1">
      <c r="F100" s="1158" t="s">
        <v>2286</v>
      </c>
      <c r="G100" s="1078" t="s">
        <v>554</v>
      </c>
    </row>
    <row r="101" spans="2:9" ht="15" customHeight="1">
      <c r="F101" s="1158"/>
    </row>
    <row r="102" spans="2:9" ht="15" customHeight="1">
      <c r="E102" s="1124" t="s">
        <v>2312</v>
      </c>
      <c r="G102" s="1117" t="b">
        <f>G100="Yes"</f>
        <v>1</v>
      </c>
    </row>
    <row r="103" spans="2:9" ht="15" customHeight="1"/>
    <row r="104" spans="2:9" ht="15" customHeight="1">
      <c r="E104" s="1124" t="str">
        <f>E64</f>
        <v>Bedroom-Adjusted Low-Income Units</v>
      </c>
      <c r="G104" s="1156">
        <f>G27</f>
        <v>126</v>
      </c>
    </row>
    <row r="105" spans="2:9" ht="15" customHeight="1">
      <c r="E105" s="1124" t="s">
        <v>2248</v>
      </c>
      <c r="F105" s="1155" t="s">
        <v>2305</v>
      </c>
      <c r="G105" s="1085">
        <v>20000</v>
      </c>
    </row>
    <row r="106" spans="2:9" ht="15" customHeight="1">
      <c r="E106" s="1160" t="s">
        <v>2277</v>
      </c>
      <c r="F106" s="1081"/>
      <c r="G106" s="1165">
        <f>G102*G105*G104</f>
        <v>2520000</v>
      </c>
    </row>
    <row r="107" spans="2:9" ht="15" customHeight="1"/>
    <row r="108" spans="2:9" ht="15" customHeight="1">
      <c r="B108" s="1104" t="s">
        <v>2314</v>
      </c>
      <c r="C108" s="1105"/>
      <c r="D108" s="1105"/>
      <c r="E108" s="1105"/>
      <c r="F108" s="1105"/>
      <c r="G108" s="1105"/>
      <c r="H108" s="1105"/>
      <c r="I108" s="1106"/>
    </row>
    <row r="109" spans="2:9" ht="15" customHeight="1"/>
    <row r="110" spans="2:9" ht="15" customHeight="1">
      <c r="E110" s="1124" t="s">
        <v>591</v>
      </c>
      <c r="G110" s="1079" t="str">
        <f>IF(Application!T189="","",Application!T189)</f>
        <v>Alameda</v>
      </c>
    </row>
    <row r="111" spans="2:9" ht="15" customHeight="1">
      <c r="E111" s="1124"/>
      <c r="G111" s="1116"/>
    </row>
    <row r="112" spans="2:9" ht="15" customHeight="1">
      <c r="E112" s="1124" t="str">
        <f>"2-Bedroom "&amp;G110&amp;" County Basis Limit"</f>
        <v>2-Bedroom Alameda County Basis Limit</v>
      </c>
      <c r="G112" s="1116">
        <f>Application!R987</f>
        <v>658400</v>
      </c>
    </row>
    <row r="113" spans="4:9" ht="15" customHeight="1">
      <c r="E113" s="1124" t="s">
        <v>2313</v>
      </c>
      <c r="G113" s="1116">
        <f>MEDIAN((Application!BR806:BR863))</f>
        <v>489600</v>
      </c>
    </row>
    <row r="114" spans="4:9" ht="15" customHeight="1">
      <c r="D114" s="1081"/>
      <c r="E114" s="1160" t="s">
        <v>2315</v>
      </c>
      <c r="F114" s="1176"/>
      <c r="G114" s="1177">
        <f>((G112-G113)/G113)*0.25</f>
        <v>8.6192810457516339E-2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Punit Bhargava</cp:lastModifiedBy>
  <cp:lastPrinted>2024-04-23T08:28:44Z</cp:lastPrinted>
  <dcterms:created xsi:type="dcterms:W3CDTF">2007-12-27T18:26:28Z</dcterms:created>
  <dcterms:modified xsi:type="dcterms:W3CDTF">2024-04-23T22:20:14Z</dcterms:modified>
</cp:coreProperties>
</file>