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Merced\I Street\Financing\TCAC\Draft\"/>
    </mc:Choice>
  </mc:AlternateContent>
  <xr:revisionPtr revIDLastSave="0" documentId="13_ncr:1_{844FF49D-78EA-419A-AE8A-A1E322B86B52}" xr6:coauthVersionLast="47" xr6:coauthVersionMax="47" xr10:uidLastSave="{00000000-0000-0000-0000-000000000000}"/>
  <bookViews>
    <workbookView xWindow="-108" yWindow="-108" windowWidth="23256" windowHeight="12456"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7" i="9" l="1"/>
  <c r="A66" i="9"/>
  <c r="G54" i="9"/>
  <c r="G53" i="9"/>
  <c r="D90" i="25" l="1"/>
  <c r="E45" i="25"/>
  <c r="B45" i="25"/>
  <c r="E44" i="25"/>
  <c r="B44" i="25"/>
  <c r="E43" i="25"/>
  <c r="B43" i="25"/>
  <c r="E42" i="25"/>
  <c r="B42" i="25"/>
  <c r="G40" i="25"/>
  <c r="G39" i="25"/>
  <c r="B8" i="6"/>
  <c r="L84" i="4"/>
  <c r="J30" i="4"/>
  <c r="I30" i="4"/>
  <c r="H30" i="4"/>
  <c r="G30" i="4"/>
  <c r="F30" i="4"/>
  <c r="AF1010" i="3"/>
  <c r="Z793" i="3"/>
  <c r="I422" i="3"/>
  <c r="S98" i="4" l="1"/>
  <c r="S94" i="4"/>
  <c r="S93" i="4"/>
  <c r="S92" i="4"/>
  <c r="S91" i="4"/>
  <c r="S90" i="4"/>
  <c r="S88" i="4"/>
  <c r="S86" i="4"/>
  <c r="S85" i="4"/>
  <c r="S83" i="4"/>
  <c r="C93" i="4"/>
  <c r="C92" i="4"/>
  <c r="C84" i="4"/>
  <c r="C83" i="4"/>
  <c r="S79" i="4"/>
  <c r="S78" i="4"/>
  <c r="S68" i="4"/>
  <c r="S67" i="4"/>
  <c r="S66" i="4"/>
  <c r="S65" i="4"/>
  <c r="S64" i="4"/>
  <c r="C64" i="4"/>
  <c r="S52" i="4"/>
  <c r="S51" i="4"/>
  <c r="S50" i="4"/>
  <c r="S49" i="4"/>
  <c r="S48" i="4"/>
  <c r="S47" i="4"/>
  <c r="S43" i="4"/>
  <c r="S41" i="4"/>
  <c r="S40" i="4"/>
  <c r="S37" i="4"/>
  <c r="S36" i="4"/>
  <c r="S35" i="4"/>
  <c r="S34" i="4"/>
  <c r="S33" i="4"/>
  <c r="S32" i="4"/>
  <c r="S31" i="4"/>
  <c r="S30" i="4"/>
  <c r="S29" i="4"/>
  <c r="R17" i="4"/>
  <c r="R18" i="4"/>
  <c r="R19" i="4"/>
  <c r="R20" i="4"/>
  <c r="R21" i="4"/>
  <c r="R22" i="4"/>
  <c r="R23" i="4"/>
  <c r="R24" i="4"/>
  <c r="R25" i="4"/>
  <c r="S14" i="4"/>
  <c r="C13" i="4"/>
  <c r="R4" i="4"/>
  <c r="L943" i="3"/>
  <c r="I933" i="3"/>
  <c r="I932" i="3"/>
  <c r="AA934" i="3"/>
  <c r="AA933" i="3"/>
  <c r="AA932" i="3"/>
  <c r="AA925" i="3"/>
  <c r="Q818" i="3"/>
  <c r="Z795" i="3"/>
  <c r="H674" i="3"/>
  <c r="G673" i="3"/>
  <c r="G672" i="3"/>
  <c r="G671" i="3"/>
  <c r="G670" i="3"/>
  <c r="AA666" i="3"/>
  <c r="Z665" i="3"/>
  <c r="Z664" i="3"/>
  <c r="Z663" i="3"/>
  <c r="Z662" i="3"/>
  <c r="H666" i="3"/>
  <c r="G665" i="3"/>
  <c r="G664" i="3"/>
  <c r="G663" i="3"/>
  <c r="G662" i="3"/>
  <c r="AA658" i="3"/>
  <c r="Z657" i="3"/>
  <c r="Z656" i="3"/>
  <c r="Z655" i="3"/>
  <c r="Z654" i="3"/>
  <c r="H658" i="3"/>
  <c r="G657" i="3"/>
  <c r="G656" i="3"/>
  <c r="G655" i="3"/>
  <c r="G654" i="3"/>
  <c r="AA650" i="3"/>
  <c r="Z649" i="3"/>
  <c r="H650" i="3"/>
  <c r="G649" i="3"/>
  <c r="Z648" i="3"/>
  <c r="Z647" i="3"/>
  <c r="Z646" i="3"/>
  <c r="G648" i="3"/>
  <c r="G647" i="3"/>
  <c r="G646" i="3"/>
  <c r="AO635" i="3"/>
  <c r="AO633" i="3"/>
  <c r="Q633" i="3"/>
  <c r="AO632" i="3"/>
  <c r="Q632" i="3"/>
  <c r="AO631" i="3"/>
  <c r="Q631" i="3"/>
  <c r="AO630" i="3"/>
  <c r="Q630" i="3"/>
  <c r="T629" i="3"/>
  <c r="Q629" i="3"/>
  <c r="Q561" i="3"/>
  <c r="Q560" i="3"/>
  <c r="Q559" i="3"/>
  <c r="Q558" i="3"/>
  <c r="O532" i="3"/>
  <c r="O529" i="3"/>
  <c r="O526" i="3"/>
  <c r="O523" i="3"/>
  <c r="AG449" i="3"/>
  <c r="AG444" i="3"/>
  <c r="AG443" i="3"/>
  <c r="AG441" i="3"/>
  <c r="J388" i="3"/>
  <c r="P346" i="3"/>
  <c r="H295" i="3"/>
  <c r="H292" i="3"/>
  <c r="L278" i="3"/>
  <c r="L277" i="3"/>
  <c r="AA251" i="3"/>
  <c r="M250" i="3"/>
  <c r="M249" i="3"/>
  <c r="M248" i="3"/>
  <c r="AC247" i="3"/>
  <c r="W247" i="3"/>
  <c r="M247" i="3"/>
  <c r="M246"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s="1"/>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s="1"/>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G635"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F703" i="3" s="1"/>
  <c r="BE704" i="3"/>
  <c r="BF704" i="3"/>
  <c r="BG704" i="3"/>
  <c r="BE705" i="3"/>
  <c r="BF705" i="3"/>
  <c r="BG705" i="3"/>
  <c r="BE706" i="3"/>
  <c r="BF706" i="3"/>
  <c r="BG706" i="3"/>
  <c r="BE707" i="3"/>
  <c r="BF707" i="3"/>
  <c r="BG707" i="3"/>
  <c r="BE708" i="3"/>
  <c r="BF708" i="3"/>
  <c r="BG708" i="3" s="1"/>
  <c r="BE709" i="3"/>
  <c r="BF709" i="3"/>
  <c r="BG709" i="3"/>
  <c r="BE710" i="3"/>
  <c r="BF710" i="3"/>
  <c r="BG710" i="3"/>
  <c r="BE711" i="3"/>
  <c r="BF711" i="3"/>
  <c r="BG711" i="3"/>
  <c r="BE712" i="3"/>
  <c r="BF712" i="3"/>
  <c r="BG712" i="3"/>
  <c r="BE713" i="3"/>
  <c r="BF713" i="3"/>
  <c r="BG713" i="3"/>
  <c r="BE714" i="3"/>
  <c r="BF714" i="3"/>
  <c r="BG714" i="3"/>
  <c r="BE715" i="3"/>
  <c r="BF715" i="3"/>
  <c r="BG715" i="3" s="1"/>
  <c r="BE716" i="3"/>
  <c r="BF716" i="3"/>
  <c r="BG716" i="3"/>
  <c r="BE717" i="3"/>
  <c r="BF717" i="3"/>
  <c r="BG717" i="3"/>
  <c r="BE718" i="3"/>
  <c r="BF718" i="3"/>
  <c r="BG718" i="3" s="1"/>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AZ722" i="3" s="1"/>
  <c r="BA722" i="3" s="1"/>
  <c r="Y22" i="5"/>
  <c r="AD22" i="5"/>
  <c r="AI22" i="5"/>
  <c r="AZ734" i="3"/>
  <c r="BA734" i="3" s="1"/>
  <c r="AZ725" i="3"/>
  <c r="BA725" i="3" s="1"/>
  <c r="AO654" i="6"/>
  <c r="AO648" i="6"/>
  <c r="AO655" i="6" s="1"/>
  <c r="AK688" i="6" s="1"/>
  <c r="T710" i="6" s="1"/>
  <c r="AF710" i="6" s="1"/>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s="1"/>
  <c r="BN637" i="3"/>
  <c r="BN638" i="3"/>
  <c r="BN639" i="3"/>
  <c r="BN640" i="3"/>
  <c r="BN643" i="3"/>
  <c r="BN644" i="3"/>
  <c r="BN645" i="3"/>
  <c r="BN646" i="3"/>
  <c r="BN647" i="3"/>
  <c r="BN648" i="3"/>
  <c r="BN649" i="3"/>
  <c r="BN650" i="3"/>
  <c r="BN651" i="3"/>
  <c r="BN652" i="3"/>
  <c r="BS599" i="3"/>
  <c r="BS634" i="3"/>
  <c r="L27" i="28" s="1"/>
  <c r="V27" i="28" s="1"/>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c r="O609" i="6" s="1"/>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c r="W834" i="3"/>
  <c r="E15" i="9" s="1"/>
  <c r="G15" i="9" s="1"/>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AC871" i="3" s="1"/>
  <c r="G738" i="3"/>
  <c r="U17" i="28"/>
  <c r="R9" i="4"/>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Y609" i="6" s="1"/>
  <c r="CH546" i="6" s="1"/>
  <c r="BE545" i="6" s="1"/>
  <c r="BE550" i="6" s="1"/>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BK635"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E84" i="15" s="1"/>
  <c r="C84" i="15"/>
  <c r="D84" i="15"/>
  <c r="B85" i="15"/>
  <c r="C85" i="15"/>
  <c r="D85" i="15"/>
  <c r="B86" i="15"/>
  <c r="C86" i="15"/>
  <c r="E86" i="15" s="1"/>
  <c r="D86" i="15"/>
  <c r="B87" i="15"/>
  <c r="C87" i="15"/>
  <c r="E87" i="15" s="1"/>
  <c r="D87" i="15"/>
  <c r="B88" i="15"/>
  <c r="C88" i="15"/>
  <c r="D88" i="15"/>
  <c r="B89" i="15"/>
  <c r="C89" i="15"/>
  <c r="D89" i="15"/>
  <c r="B90" i="15"/>
  <c r="C90" i="15"/>
  <c r="D90" i="15"/>
  <c r="B91" i="15"/>
  <c r="C91" i="15"/>
  <c r="D91" i="15"/>
  <c r="B92" i="15"/>
  <c r="C92" i="15"/>
  <c r="E92" i="15"/>
  <c r="D92" i="15"/>
  <c r="B93" i="15"/>
  <c r="C93" i="15"/>
  <c r="E93" i="15" s="1"/>
  <c r="D93" i="15"/>
  <c r="B94" i="15"/>
  <c r="C94" i="15"/>
  <c r="E94" i="15" s="1"/>
  <c r="D94" i="15"/>
  <c r="B95" i="15"/>
  <c r="C95" i="15"/>
  <c r="E95" i="15"/>
  <c r="D95" i="15"/>
  <c r="E85" i="15"/>
  <c r="D83" i="15"/>
  <c r="C83" i="15"/>
  <c r="B83" i="15"/>
  <c r="B80" i="15"/>
  <c r="C80" i="15"/>
  <c r="E80" i="15" s="1"/>
  <c r="D80" i="15"/>
  <c r="D79" i="15"/>
  <c r="C79" i="15"/>
  <c r="B79" i="15"/>
  <c r="E79" i="15" s="1"/>
  <c r="B73" i="15"/>
  <c r="C73" i="15"/>
  <c r="D73" i="15"/>
  <c r="B74" i="15"/>
  <c r="C74" i="15"/>
  <c r="E74" i="15" s="1"/>
  <c r="D74" i="15"/>
  <c r="B75" i="15"/>
  <c r="C75" i="15"/>
  <c r="E75" i="15"/>
  <c r="D75" i="15"/>
  <c r="B76" i="15"/>
  <c r="C76" i="15"/>
  <c r="E76" i="15" s="1"/>
  <c r="D76" i="15"/>
  <c r="D72" i="15"/>
  <c r="C72" i="15"/>
  <c r="E72" i="15" s="1"/>
  <c r="B72" i="15"/>
  <c r="B66" i="15"/>
  <c r="C66" i="15"/>
  <c r="E66" i="15"/>
  <c r="D66" i="15"/>
  <c r="B67" i="15"/>
  <c r="C67" i="15"/>
  <c r="D67" i="15"/>
  <c r="B68" i="15"/>
  <c r="C68" i="15"/>
  <c r="E68" i="15"/>
  <c r="D68" i="15"/>
  <c r="B69" i="15"/>
  <c r="C69" i="15"/>
  <c r="D69" i="15"/>
  <c r="D65" i="15"/>
  <c r="C65" i="15"/>
  <c r="B65" i="15"/>
  <c r="B57" i="15"/>
  <c r="C57" i="15"/>
  <c r="E57" i="15" s="1"/>
  <c r="D57" i="15"/>
  <c r="B58" i="15"/>
  <c r="C58" i="15"/>
  <c r="E58" i="15" s="1"/>
  <c r="D58" i="15"/>
  <c r="B59" i="15"/>
  <c r="C59" i="15"/>
  <c r="E59" i="15" s="1"/>
  <c r="D59" i="15"/>
  <c r="B60" i="15"/>
  <c r="C60" i="15"/>
  <c r="E60" i="15"/>
  <c r="D60" i="15"/>
  <c r="B61" i="15"/>
  <c r="C61" i="15"/>
  <c r="E61" i="15" s="1"/>
  <c r="D61" i="15"/>
  <c r="D56" i="15"/>
  <c r="C56" i="15"/>
  <c r="B56" i="15"/>
  <c r="B47" i="15"/>
  <c r="C47" i="15"/>
  <c r="E47" i="15" s="1"/>
  <c r="D47" i="15"/>
  <c r="B48" i="15"/>
  <c r="C48" i="15"/>
  <c r="D48" i="15"/>
  <c r="B49" i="15"/>
  <c r="E49" i="15" s="1"/>
  <c r="C49" i="15"/>
  <c r="D49" i="15"/>
  <c r="B50" i="15"/>
  <c r="C50" i="15"/>
  <c r="D50" i="15"/>
  <c r="B51" i="15"/>
  <c r="E51" i="15" s="1"/>
  <c r="C51" i="15"/>
  <c r="D51" i="15"/>
  <c r="B52" i="15"/>
  <c r="C52" i="15"/>
  <c r="D52" i="15"/>
  <c r="B53" i="15"/>
  <c r="C53" i="15"/>
  <c r="D53" i="15"/>
  <c r="D46" i="15"/>
  <c r="C46" i="15"/>
  <c r="E46" i="15" s="1"/>
  <c r="B46" i="15"/>
  <c r="B44" i="15"/>
  <c r="E44" i="15" s="1"/>
  <c r="C44" i="15"/>
  <c r="D44" i="15"/>
  <c r="B42" i="15"/>
  <c r="C42" i="15"/>
  <c r="D42" i="15"/>
  <c r="D41" i="15"/>
  <c r="C41" i="15"/>
  <c r="E41" i="15" s="1"/>
  <c r="B41" i="15"/>
  <c r="B38" i="15"/>
  <c r="C38" i="15"/>
  <c r="E38" i="15" s="1"/>
  <c r="D38" i="15"/>
  <c r="B31" i="15"/>
  <c r="C31" i="15"/>
  <c r="E31" i="15" s="1"/>
  <c r="D31" i="15"/>
  <c r="B32" i="15"/>
  <c r="C32" i="15"/>
  <c r="E32" i="15" s="1"/>
  <c r="D32" i="15"/>
  <c r="B33" i="15"/>
  <c r="E33" i="15" s="1"/>
  <c r="C33" i="15"/>
  <c r="D33" i="15"/>
  <c r="B34" i="15"/>
  <c r="C34" i="15"/>
  <c r="D34" i="15"/>
  <c r="B35" i="15"/>
  <c r="C35" i="15"/>
  <c r="E35" i="15" s="1"/>
  <c r="D35" i="15"/>
  <c r="B36" i="15"/>
  <c r="C36" i="15"/>
  <c r="E36" i="15" s="1"/>
  <c r="D36" i="15"/>
  <c r="B37" i="15"/>
  <c r="C37" i="15"/>
  <c r="E37" i="15" s="1"/>
  <c r="D37" i="15"/>
  <c r="D30" i="15"/>
  <c r="C30" i="15"/>
  <c r="B30" i="15"/>
  <c r="B19" i="15"/>
  <c r="C19" i="15"/>
  <c r="E19" i="15" s="1"/>
  <c r="D19" i="15"/>
  <c r="B20" i="15"/>
  <c r="C20" i="15"/>
  <c r="E20" i="15"/>
  <c r="D20" i="15"/>
  <c r="B21" i="15"/>
  <c r="C21" i="15"/>
  <c r="E21" i="15" s="1"/>
  <c r="D21" i="15"/>
  <c r="B22" i="15"/>
  <c r="C22" i="15"/>
  <c r="E22" i="15" s="1"/>
  <c r="D22" i="15"/>
  <c r="B23" i="15"/>
  <c r="C23" i="15"/>
  <c r="E23" i="15" s="1"/>
  <c r="D23" i="15"/>
  <c r="B24" i="15"/>
  <c r="C24" i="15"/>
  <c r="E24" i="15"/>
  <c r="D24" i="15"/>
  <c r="B25" i="15"/>
  <c r="C25" i="15"/>
  <c r="E25" i="15" s="1"/>
  <c r="D25" i="15"/>
  <c r="B26" i="15"/>
  <c r="C26" i="15"/>
  <c r="E26" i="15"/>
  <c r="D26" i="15"/>
  <c r="B28" i="15"/>
  <c r="C28" i="15"/>
  <c r="D28" i="15"/>
  <c r="B5" i="15"/>
  <c r="C5" i="15"/>
  <c r="B6" i="15"/>
  <c r="C6" i="15"/>
  <c r="E6" i="15" s="1"/>
  <c r="B7" i="15"/>
  <c r="C7" i="15"/>
  <c r="B8" i="15"/>
  <c r="B9" i="15" s="1"/>
  <c r="B13" i="15" s="1"/>
  <c r="C8" i="15"/>
  <c r="E8" i="15" s="1"/>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34" i="15"/>
  <c r="E101" i="15"/>
  <c r="E53" i="15"/>
  <c r="E69" i="15"/>
  <c r="E56" i="15"/>
  <c r="E73" i="15"/>
  <c r="E91" i="15"/>
  <c r="E67" i="15"/>
  <c r="E90" i="15"/>
  <c r="E89" i="15"/>
  <c r="E16" i="15"/>
  <c r="E7" i="15"/>
  <c r="E88" i="15"/>
  <c r="E28" i="15"/>
  <c r="E52" i="15"/>
  <c r="E48" i="15"/>
  <c r="E42" i="15"/>
  <c r="E50" i="15"/>
  <c r="C12" i="15"/>
  <c r="B12" i="15"/>
  <c r="E11" i="15"/>
  <c r="E5" i="15"/>
  <c r="E65" i="15"/>
  <c r="E83" i="15"/>
  <c r="E30"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E67" i="4" s="1"/>
  <c r="R67" i="4" s="1"/>
  <c r="B66" i="4"/>
  <c r="E66" i="4" s="1"/>
  <c r="R66" i="4" s="1"/>
  <c r="B65" i="4"/>
  <c r="E65" i="4" s="1"/>
  <c r="R65" i="4" s="1"/>
  <c r="B36" i="4"/>
  <c r="E36" i="4" s="1"/>
  <c r="R36" i="4" s="1"/>
  <c r="B24" i="4"/>
  <c r="I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2" i="4" s="1"/>
  <c r="D11" i="4"/>
  <c r="D26" i="4"/>
  <c r="D38" i="4"/>
  <c r="D42" i="4"/>
  <c r="D53" i="4"/>
  <c r="D61" i="4"/>
  <c r="D69" i="4"/>
  <c r="D76" i="4"/>
  <c r="D80" i="4"/>
  <c r="D95" i="4"/>
  <c r="D103" i="4"/>
  <c r="C8" i="4"/>
  <c r="C11" i="4"/>
  <c r="C26" i="4"/>
  <c r="B27" i="15" s="1"/>
  <c r="C38" i="4"/>
  <c r="D39" i="15" s="1"/>
  <c r="C42" i="4"/>
  <c r="B43" i="15" s="1"/>
  <c r="C53" i="4"/>
  <c r="B53" i="4" s="1"/>
  <c r="C61" i="4"/>
  <c r="C69" i="4"/>
  <c r="B68" i="18" s="1"/>
  <c r="C76" i="4"/>
  <c r="B77" i="15" s="1"/>
  <c r="C80" i="4"/>
  <c r="B81" i="15" s="1"/>
  <c r="C95" i="4"/>
  <c r="B96" i="15" s="1"/>
  <c r="C103" i="4"/>
  <c r="B103" i="4" s="1"/>
  <c r="C66" i="25"/>
  <c r="Y20" i="5"/>
  <c r="AI20" i="5"/>
  <c r="S26" i="4"/>
  <c r="E25" i="18" s="1"/>
  <c r="S38" i="4"/>
  <c r="S42" i="4"/>
  <c r="S53" i="4"/>
  <c r="E52" i="18" s="1"/>
  <c r="S69" i="4"/>
  <c r="E68" i="18" s="1"/>
  <c r="S80" i="4"/>
  <c r="E79" i="18"/>
  <c r="S95" i="4"/>
  <c r="E94" i="18" s="1"/>
  <c r="S103" i="4"/>
  <c r="E102" i="18"/>
  <c r="F25" i="18"/>
  <c r="F37" i="18"/>
  <c r="F41" i="18"/>
  <c r="F52" i="18"/>
  <c r="F68" i="18"/>
  <c r="F79" i="18"/>
  <c r="F94" i="18"/>
  <c r="F102" i="18"/>
  <c r="T20" i="5"/>
  <c r="T26" i="4"/>
  <c r="T38" i="4"/>
  <c r="H37" i="18" s="1"/>
  <c r="T42" i="4"/>
  <c r="T53" i="4"/>
  <c r="H52" i="18" s="1"/>
  <c r="T11" i="4"/>
  <c r="T69" i="4"/>
  <c r="H68" i="18"/>
  <c r="T80" i="4"/>
  <c r="H79" i="18"/>
  <c r="T95" i="4"/>
  <c r="T103" i="4"/>
  <c r="I11" i="18"/>
  <c r="I25" i="18"/>
  <c r="I37" i="18"/>
  <c r="I41" i="18"/>
  <c r="I52" i="18"/>
  <c r="I68" i="18"/>
  <c r="I79" i="18"/>
  <c r="I94" i="18"/>
  <c r="I102" i="18"/>
  <c r="U66" i="25"/>
  <c r="U67" i="25"/>
  <c r="U68" i="25"/>
  <c r="AP378" i="6"/>
  <c r="AP377" i="6"/>
  <c r="AP376" i="6"/>
  <c r="AP373" i="6"/>
  <c r="AP371" i="6"/>
  <c r="AP381" i="6" s="1"/>
  <c r="AQ381" i="6" s="1"/>
  <c r="AP369" i="6"/>
  <c r="AP366" i="6"/>
  <c r="AP365" i="6"/>
  <c r="AP364" i="6"/>
  <c r="AP362" i="6"/>
  <c r="AP361" i="6"/>
  <c r="AP359" i="6"/>
  <c r="AP358" i="6"/>
  <c r="AP356" i="6"/>
  <c r="AP354" i="6"/>
  <c r="AP368" i="6" s="1"/>
  <c r="AQ368" i="6" s="1"/>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2" i="4" s="1"/>
  <c r="J11" i="4"/>
  <c r="J26" i="4"/>
  <c r="J38" i="4"/>
  <c r="J42" i="4"/>
  <c r="J53" i="4"/>
  <c r="J61" i="4"/>
  <c r="J69" i="4"/>
  <c r="J76" i="4"/>
  <c r="J95"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2" i="4" s="1"/>
  <c r="Q11" i="4"/>
  <c r="Q26" i="4"/>
  <c r="Q38" i="4"/>
  <c r="Q42" i="4"/>
  <c r="Q53" i="4"/>
  <c r="Q61" i="4"/>
  <c r="Q69" i="4"/>
  <c r="Q76" i="4"/>
  <c r="Q80" i="4"/>
  <c r="Q95" i="4"/>
  <c r="G79" i="18"/>
  <c r="D79" i="18"/>
  <c r="C79" i="18"/>
  <c r="F80" i="4"/>
  <c r="G80" i="4"/>
  <c r="H80" i="4"/>
  <c r="B79" i="18"/>
  <c r="G76" i="4"/>
  <c r="F76" i="4"/>
  <c r="B78" i="18"/>
  <c r="E78" i="18"/>
  <c r="H78" i="18"/>
  <c r="B79" i="4"/>
  <c r="E79" i="4" s="1"/>
  <c r="R79" i="4" s="1"/>
  <c r="B78" i="4"/>
  <c r="E78" i="4" s="1"/>
  <c r="R78" i="4" s="1"/>
  <c r="R80" i="4"/>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27" i="4"/>
  <c r="R15" i="4"/>
  <c r="D5" i="15"/>
  <c r="D6" i="15"/>
  <c r="D7" i="15"/>
  <c r="D8" i="15"/>
  <c r="D10" i="15"/>
  <c r="D11" i="15"/>
  <c r="D14" i="15"/>
  <c r="D15" i="15"/>
  <c r="D16" i="15"/>
  <c r="D18" i="15"/>
  <c r="E37" i="18"/>
  <c r="E41" i="18"/>
  <c r="H25"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R8" i="4" s="1"/>
  <c r="B6" i="4"/>
  <c r="E6" i="4" s="1"/>
  <c r="R6" i="4" s="1"/>
  <c r="B7" i="4"/>
  <c r="E7" i="4" s="1"/>
  <c r="R7" i="4" s="1"/>
  <c r="E11" i="4"/>
  <c r="F8" i="4"/>
  <c r="F12" i="4" s="1"/>
  <c r="G8" i="4"/>
  <c r="H8" i="4"/>
  <c r="H11" i="4"/>
  <c r="B9" i="4"/>
  <c r="B10" i="4"/>
  <c r="F11" i="4"/>
  <c r="G11" i="4"/>
  <c r="O12" i="4"/>
  <c r="B13" i="4"/>
  <c r="E13" i="4" s="1"/>
  <c r="R13" i="4" s="1"/>
  <c r="B14" i="4"/>
  <c r="E14" i="4" s="1"/>
  <c r="R14" i="4" s="1"/>
  <c r="B17" i="4"/>
  <c r="B18" i="4"/>
  <c r="B19" i="4"/>
  <c r="R26" i="4" s="1"/>
  <c r="B20" i="4"/>
  <c r="B21" i="4"/>
  <c r="B22" i="4"/>
  <c r="B23" i="4"/>
  <c r="B25" i="4"/>
  <c r="F26" i="4"/>
  <c r="G26" i="4"/>
  <c r="H26" i="4"/>
  <c r="M103" i="4"/>
  <c r="Q103" i="4"/>
  <c r="B27" i="4"/>
  <c r="B29" i="4"/>
  <c r="E29" i="4" s="1"/>
  <c r="R29" i="4" s="1"/>
  <c r="B30" i="4"/>
  <c r="E30" i="4" s="1"/>
  <c r="R30" i="4" s="1"/>
  <c r="B31" i="4"/>
  <c r="E31" i="4" s="1"/>
  <c r="R31" i="4" s="1"/>
  <c r="B32" i="4"/>
  <c r="E32" i="4" s="1"/>
  <c r="R32" i="4" s="1"/>
  <c r="B33" i="4"/>
  <c r="E33" i="4" s="1"/>
  <c r="R33" i="4" s="1"/>
  <c r="B34" i="4"/>
  <c r="E34" i="4" s="1"/>
  <c r="R34" i="4" s="1"/>
  <c r="B35" i="4"/>
  <c r="E35" i="4" s="1"/>
  <c r="R35" i="4" s="1"/>
  <c r="B37" i="4"/>
  <c r="E37" i="4" s="1"/>
  <c r="R37" i="4" s="1"/>
  <c r="F38" i="4"/>
  <c r="G38" i="4"/>
  <c r="H38" i="4"/>
  <c r="O103" i="4"/>
  <c r="B40" i="4"/>
  <c r="E40" i="4" s="1"/>
  <c r="R40" i="4" s="1"/>
  <c r="R42" i="4" s="1"/>
  <c r="B41" i="4"/>
  <c r="E41" i="4" s="1"/>
  <c r="R41" i="4" s="1"/>
  <c r="F42" i="4"/>
  <c r="G42" i="4"/>
  <c r="H42" i="4"/>
  <c r="B43" i="4"/>
  <c r="E43" i="4" s="1"/>
  <c r="R43" i="4" s="1"/>
  <c r="B45" i="4"/>
  <c r="E45" i="4" s="1"/>
  <c r="R45" i="4" s="1"/>
  <c r="R53" i="4" s="1"/>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R55" i="4" s="1"/>
  <c r="R61" i="4" s="1"/>
  <c r="B56" i="4"/>
  <c r="E56" i="4" s="1"/>
  <c r="R56" i="4" s="1"/>
  <c r="B57" i="4"/>
  <c r="E57" i="4" s="1"/>
  <c r="R57" i="4" s="1"/>
  <c r="B58" i="4"/>
  <c r="E58" i="4" s="1"/>
  <c r="R58" i="4" s="1"/>
  <c r="B59" i="4"/>
  <c r="E59" i="4" s="1"/>
  <c r="R59" i="4" s="1"/>
  <c r="B60" i="4"/>
  <c r="E60" i="4" s="1"/>
  <c r="R60" i="4" s="1"/>
  <c r="G61" i="4"/>
  <c r="H61" i="4"/>
  <c r="B64" i="4"/>
  <c r="E64" i="4" s="1"/>
  <c r="R64" i="4" s="1"/>
  <c r="R69" i="4" s="1"/>
  <c r="B68" i="4"/>
  <c r="E68" i="4" s="1"/>
  <c r="R68" i="4" s="1"/>
  <c r="E69" i="4"/>
  <c r="G69" i="4"/>
  <c r="H69" i="4"/>
  <c r="B71" i="4"/>
  <c r="E71" i="4" s="1"/>
  <c r="R71" i="4" s="1"/>
  <c r="R76" i="4" s="1"/>
  <c r="B72" i="4"/>
  <c r="E72" i="4" s="1"/>
  <c r="R72" i="4" s="1"/>
  <c r="B73" i="4"/>
  <c r="E73" i="4" s="1"/>
  <c r="R73" i="4" s="1"/>
  <c r="B74" i="4"/>
  <c r="E74" i="4" s="1"/>
  <c r="R74" i="4" s="1"/>
  <c r="B75" i="4"/>
  <c r="E75" i="4" s="1"/>
  <c r="R75" i="4" s="1"/>
  <c r="H76" i="4"/>
  <c r="B82" i="4"/>
  <c r="E82" i="4" s="1"/>
  <c r="R82" i="4" s="1"/>
  <c r="B83" i="4"/>
  <c r="E83" i="4" s="1"/>
  <c r="R83" i="4" s="1"/>
  <c r="B84" i="4"/>
  <c r="E84" i="4" s="1"/>
  <c r="R84" i="4" s="1"/>
  <c r="S84" i="4" s="1"/>
  <c r="E83" i="18"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R98" i="4" s="1"/>
  <c r="R103" i="4" s="1"/>
  <c r="B99" i="4"/>
  <c r="R99" i="4"/>
  <c r="B100" i="4"/>
  <c r="R100" i="4"/>
  <c r="R102"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B60" i="18"/>
  <c r="H41" i="18"/>
  <c r="B52" i="18"/>
  <c r="N12" i="4"/>
  <c r="B95" i="4"/>
  <c r="G12" i="4"/>
  <c r="C39" i="15"/>
  <c r="E39" i="15"/>
  <c r="B39" i="15"/>
  <c r="B11" i="4"/>
  <c r="B8" i="4"/>
  <c r="B12" i="4" s="1"/>
  <c r="C62" i="15"/>
  <c r="E62" i="15" s="1"/>
  <c r="D62" i="15"/>
  <c r="B62" i="15"/>
  <c r="B54" i="15"/>
  <c r="C54" i="15"/>
  <c r="E54" i="15" s="1"/>
  <c r="D54" i="15"/>
  <c r="B11" i="18"/>
  <c r="G52" i="25"/>
  <c r="AB47" i="26"/>
  <c r="I61" i="18"/>
  <c r="I95" i="18"/>
  <c r="I103" i="18"/>
  <c r="I105" i="18"/>
  <c r="J61" i="18"/>
  <c r="J95" i="18"/>
  <c r="J103" i="18"/>
  <c r="J105" i="18"/>
  <c r="B42" i="4"/>
  <c r="R11" i="4"/>
  <c r="D12" i="15"/>
  <c r="D9" i="15"/>
  <c r="C61" i="18"/>
  <c r="C95" i="18"/>
  <c r="C103" i="18"/>
  <c r="C12" i="18"/>
  <c r="C12" i="4"/>
  <c r="B12" i="18"/>
  <c r="B8" i="18"/>
  <c r="H12" i="4"/>
  <c r="H11" i="18"/>
  <c r="M12" i="4"/>
  <c r="D12" i="18"/>
  <c r="G61" i="18"/>
  <c r="G95" i="18"/>
  <c r="G103" i="18"/>
  <c r="G105" i="18"/>
  <c r="B38" i="4"/>
  <c r="F61" i="18"/>
  <c r="F95" i="18"/>
  <c r="F103" i="18"/>
  <c r="F105" i="18"/>
  <c r="D61" i="18"/>
  <c r="D95" i="18"/>
  <c r="D103" i="18"/>
  <c r="AC28" i="9"/>
  <c r="D13" i="15"/>
  <c r="T24" i="27"/>
  <c r="T24" i="26"/>
  <c r="C785" i="3"/>
  <c r="AO643" i="3"/>
  <c r="AZ197" i="6"/>
  <c r="C742" i="3"/>
  <c r="R971" i="3"/>
  <c r="O29" i="9"/>
  <c r="CM641" i="3"/>
  <c r="BN641" i="3"/>
  <c r="CS641" i="3" s="1"/>
  <c r="U69" i="25"/>
  <c r="AC764" i="3"/>
  <c r="CH641" i="3"/>
  <c r="CH659" i="3" s="1"/>
  <c r="G67" i="25"/>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AC784" i="3"/>
  <c r="BS653" i="3"/>
  <c r="BW654" i="3"/>
  <c r="CL635" i="3"/>
  <c r="T738" i="3"/>
  <c r="Y787" i="3" s="1"/>
  <c r="C40" i="10"/>
  <c r="CC653" i="3"/>
  <c r="CG654" i="3"/>
  <c r="CM653" i="3"/>
  <c r="CQ654" i="3"/>
  <c r="BS641" i="3"/>
  <c r="BS659" i="3" s="1"/>
  <c r="AB970" i="3" s="1"/>
  <c r="BN653" i="3"/>
  <c r="BR654" i="3"/>
  <c r="R973" i="3"/>
  <c r="R970" i="3"/>
  <c r="CH653" i="3"/>
  <c r="CL654" i="3"/>
  <c r="BX653" i="3"/>
  <c r="CB654" i="3"/>
  <c r="Q591" i="6"/>
  <c r="W591" i="6" s="1"/>
  <c r="DH635" i="3"/>
  <c r="T610" i="6"/>
  <c r="AZ573" i="6" s="1"/>
  <c r="DC635" i="3"/>
  <c r="T611" i="6"/>
  <c r="AZ574" i="6" s="1"/>
  <c r="AK540" i="6"/>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T20" i="27"/>
  <c r="T20" i="26"/>
  <c r="T22" i="26"/>
  <c r="Y20" i="26"/>
  <c r="Y22" i="26"/>
  <c r="AD20" i="26"/>
  <c r="AD22" i="26"/>
  <c r="AI20" i="27"/>
  <c r="AI22" i="27"/>
  <c r="AD67" i="5"/>
  <c r="D104" i="15"/>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L28" i="28"/>
  <c r="V28" i="28" s="1"/>
  <c r="CQ655" i="3"/>
  <c r="BW635" i="3"/>
  <c r="AJ206" i="6"/>
  <c r="AJ999" i="3"/>
  <c r="K54" i="9" l="1"/>
  <c r="I53" i="9"/>
  <c r="I58" i="9"/>
  <c r="G58" i="9"/>
  <c r="R95" i="4"/>
  <c r="R38" i="4"/>
  <c r="AK283" i="6"/>
  <c r="T703" i="6" s="1"/>
  <c r="AO694" i="6" s="1"/>
  <c r="G53" i="25"/>
  <c r="AS357" i="6"/>
  <c r="AS355" i="6"/>
  <c r="B102" i="18"/>
  <c r="E103" i="4"/>
  <c r="B104" i="15"/>
  <c r="C104" i="15"/>
  <c r="E104" i="15" s="1"/>
  <c r="E95" i="4"/>
  <c r="B94" i="18"/>
  <c r="D96" i="15"/>
  <c r="C96" i="15"/>
  <c r="E96" i="15" s="1"/>
  <c r="B80" i="4"/>
  <c r="E80" i="4"/>
  <c r="C81" i="15"/>
  <c r="E81" i="15" s="1"/>
  <c r="D81" i="15"/>
  <c r="C77" i="15"/>
  <c r="E77" i="15" s="1"/>
  <c r="E76" i="4"/>
  <c r="B75" i="18"/>
  <c r="B76" i="4"/>
  <c r="D77" i="15"/>
  <c r="D70" i="15"/>
  <c r="C70" i="15"/>
  <c r="B69" i="4"/>
  <c r="B70" i="15"/>
  <c r="E61" i="4"/>
  <c r="S62" i="4"/>
  <c r="E61" i="18" s="1"/>
  <c r="E53" i="4"/>
  <c r="J62" i="4"/>
  <c r="J96" i="4" s="1"/>
  <c r="J104" i="4" s="1"/>
  <c r="M62" i="4"/>
  <c r="M96" i="4" s="1"/>
  <c r="M104" i="4" s="1"/>
  <c r="D43" i="15"/>
  <c r="C43" i="15"/>
  <c r="E43" i="15" s="1"/>
  <c r="E42" i="4"/>
  <c r="O62" i="4"/>
  <c r="O96" i="4" s="1"/>
  <c r="O104" i="4" s="1"/>
  <c r="T62" i="4"/>
  <c r="Q62" i="4"/>
  <c r="Q96" i="4" s="1"/>
  <c r="Q104" i="4" s="1"/>
  <c r="F62" i="4"/>
  <c r="F96" i="4" s="1"/>
  <c r="F104" i="4" s="1"/>
  <c r="E38" i="4"/>
  <c r="P62" i="4"/>
  <c r="P96" i="4" s="1"/>
  <c r="P104" i="4" s="1"/>
  <c r="S96" i="4"/>
  <c r="S104" i="4" s="1"/>
  <c r="E103" i="18" s="1"/>
  <c r="N62" i="4"/>
  <c r="N96" i="4" s="1"/>
  <c r="N104" i="4" s="1"/>
  <c r="B26" i="4"/>
  <c r="B25" i="18"/>
  <c r="C62" i="4"/>
  <c r="B63" i="15" s="1"/>
  <c r="C27" i="15"/>
  <c r="E27" i="15" s="1"/>
  <c r="H62" i="4"/>
  <c r="H96" i="4" s="1"/>
  <c r="H104" i="4" s="1"/>
  <c r="G62" i="4"/>
  <c r="G96" i="4" s="1"/>
  <c r="G104" i="4" s="1"/>
  <c r="D27" i="15"/>
  <c r="E26" i="4"/>
  <c r="L62" i="4"/>
  <c r="L96" i="4" s="1"/>
  <c r="L104" i="4" s="1"/>
  <c r="R12" i="4"/>
  <c r="R62" i="4"/>
  <c r="R96" i="4" s="1"/>
  <c r="R104" i="4" s="1"/>
  <c r="L12" i="4"/>
  <c r="D62" i="4"/>
  <c r="D96" i="4" s="1"/>
  <c r="D104" i="4" s="1"/>
  <c r="I62" i="4"/>
  <c r="I96" i="4" s="1"/>
  <c r="I104" i="4" s="1"/>
  <c r="K4" i="4"/>
  <c r="K8" i="4" s="1"/>
  <c r="E4" i="4"/>
  <c r="E8" i="4" s="1"/>
  <c r="C9" i="15"/>
  <c r="W29" i="9"/>
  <c r="U29" i="9"/>
  <c r="G29" i="9"/>
  <c r="AC870" i="3"/>
  <c r="AC872" i="3" s="1"/>
  <c r="E9" i="9"/>
  <c r="BX659" i="3"/>
  <c r="AB971" i="3" s="1"/>
  <c r="CC530" i="6"/>
  <c r="CC531" i="6" s="1"/>
  <c r="AZ576" i="6"/>
  <c r="BY529" i="6"/>
  <c r="BY531" i="6" s="1"/>
  <c r="AZ575" i="6"/>
  <c r="AZ201" i="6"/>
  <c r="CQ635" i="3"/>
  <c r="O608" i="6"/>
  <c r="CM659" i="3"/>
  <c r="AB973" i="3" s="1"/>
  <c r="AJ973" i="3" s="1"/>
  <c r="BG703" i="3"/>
  <c r="BG738" i="3" s="1"/>
  <c r="AM738" i="3" s="1"/>
  <c r="BF738" i="3"/>
  <c r="BR635" i="3"/>
  <c r="CQ636" i="3" s="1"/>
  <c r="L26" i="28"/>
  <c r="O613" i="6"/>
  <c r="AO613" i="6" s="1"/>
  <c r="BN659" i="3"/>
  <c r="AB969" i="3" s="1"/>
  <c r="AJ969" i="3" s="1"/>
  <c r="L29" i="28"/>
  <c r="V29" i="28" s="1"/>
  <c r="CG635" i="3"/>
  <c r="CC659" i="3"/>
  <c r="AB972" i="3" s="1"/>
  <c r="AZ198" i="6"/>
  <c r="AZ202" i="6" s="1"/>
  <c r="BA203" i="6" s="1"/>
  <c r="O610" i="6"/>
  <c r="BF565" i="6"/>
  <c r="BK568" i="6" s="1"/>
  <c r="AU546" i="6" s="1"/>
  <c r="AX546" i="6" s="1"/>
  <c r="AZ714" i="3"/>
  <c r="BA714" i="3" s="1"/>
  <c r="Y788" i="3"/>
  <c r="E4" i="9" s="1"/>
  <c r="G4" i="9" s="1"/>
  <c r="AZ703" i="3"/>
  <c r="AZ709" i="3"/>
  <c r="BA709" i="3" s="1"/>
  <c r="AZ729" i="3"/>
  <c r="BA729" i="3" s="1"/>
  <c r="AJ971" i="3"/>
  <c r="AZ724" i="3"/>
  <c r="BA724" i="3" s="1"/>
  <c r="AZ720" i="3"/>
  <c r="BA720" i="3" s="1"/>
  <c r="AZ708" i="3"/>
  <c r="BA708" i="3" s="1"/>
  <c r="AZ735" i="3"/>
  <c r="BA735" i="3" s="1"/>
  <c r="Y613" i="6"/>
  <c r="AZ721" i="3"/>
  <c r="BA721" i="3" s="1"/>
  <c r="O611" i="6"/>
  <c r="AZ712" i="3"/>
  <c r="BA712" i="3" s="1"/>
  <c r="AZ723" i="3"/>
  <c r="BA723" i="3" s="1"/>
  <c r="AZ731" i="3"/>
  <c r="BA731" i="3" s="1"/>
  <c r="AZ713" i="3"/>
  <c r="BA713" i="3" s="1"/>
  <c r="AZ732" i="3"/>
  <c r="BA732" i="3" s="1"/>
  <c r="AZ728" i="3"/>
  <c r="BA728" i="3" s="1"/>
  <c r="AZ716" i="3"/>
  <c r="BA716" i="3" s="1"/>
  <c r="AZ726" i="3"/>
  <c r="BA726" i="3" s="1"/>
  <c r="AZ736" i="3"/>
  <c r="BA736" i="3" s="1"/>
  <c r="AZ717" i="3"/>
  <c r="BA717" i="3" s="1"/>
  <c r="CB635" i="3"/>
  <c r="AZ711" i="3"/>
  <c r="BA711" i="3" s="1"/>
  <c r="AZ733" i="3"/>
  <c r="BA733" i="3" s="1"/>
  <c r="AP533" i="6"/>
  <c r="BL583" i="6" s="1"/>
  <c r="AZ719" i="3"/>
  <c r="BA719" i="3" s="1"/>
  <c r="AZ730" i="3"/>
  <c r="BA730" i="3" s="1"/>
  <c r="AZ706" i="3"/>
  <c r="BA706" i="3" s="1"/>
  <c r="AZ704" i="3"/>
  <c r="BA704" i="3" s="1"/>
  <c r="AZ715" i="3"/>
  <c r="BA715" i="3" s="1"/>
  <c r="AZ727" i="3"/>
  <c r="BA727" i="3" s="1"/>
  <c r="AZ705" i="3"/>
  <c r="BA705" i="3" s="1"/>
  <c r="AZ737" i="3"/>
  <c r="BA737" i="3" s="1"/>
  <c r="AJ970" i="3"/>
  <c r="AZ707" i="3"/>
  <c r="BA707" i="3" s="1"/>
  <c r="AZ718" i="3"/>
  <c r="BA718" i="3" s="1"/>
  <c r="AP537" i="6"/>
  <c r="BN587" i="6" s="1"/>
  <c r="BN588" i="6" s="1"/>
  <c r="AZ710" i="3"/>
  <c r="BA710" i="3" s="1"/>
  <c r="L30" i="28"/>
  <c r="V30" i="28" s="1"/>
  <c r="O612" i="6"/>
  <c r="W40" i="9"/>
  <c r="W43" i="9" s="1"/>
  <c r="AG446" i="3"/>
  <c r="Y27" i="27"/>
  <c r="AI27" i="26"/>
  <c r="AD27" i="26"/>
  <c r="AD27" i="27"/>
  <c r="AI27" i="27"/>
  <c r="AD27" i="5"/>
  <c r="T27" i="27"/>
  <c r="T27" i="26"/>
  <c r="Y27" i="26"/>
  <c r="AI27" i="5"/>
  <c r="T27" i="5"/>
  <c r="Y27" i="5"/>
  <c r="Q588" i="6"/>
  <c r="W588" i="6" s="1"/>
  <c r="AC588" i="6" s="1"/>
  <c r="Q585" i="6"/>
  <c r="W585" i="6" s="1"/>
  <c r="AC585" i="6" s="1"/>
  <c r="Y112" i="6"/>
  <c r="C67" i="25"/>
  <c r="C5" i="9"/>
  <c r="C7" i="9"/>
  <c r="T698" i="6"/>
  <c r="AF698" i="6" s="1"/>
  <c r="T7" i="5"/>
  <c r="AD7" i="5"/>
  <c r="R972" i="3"/>
  <c r="BA1000" i="3"/>
  <c r="G9" i="9"/>
  <c r="I8" i="9"/>
  <c r="K8" i="9" s="1"/>
  <c r="M8" i="9" s="1"/>
  <c r="M9"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BI546" i="6" s="1"/>
  <c r="BI550" i="6" s="1"/>
  <c r="AZ203" i="6"/>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O8" i="9"/>
  <c r="AO609" i="6"/>
  <c r="I4" i="9"/>
  <c r="BO572" i="6"/>
  <c r="I15" i="9"/>
  <c r="G22" i="9"/>
  <c r="F40" i="10"/>
  <c r="I40" i="10"/>
  <c r="Z796" i="3" s="1"/>
  <c r="L944" i="3" s="1"/>
  <c r="L945" i="3" s="1"/>
  <c r="AP548" i="6"/>
  <c r="BU528" i="6"/>
  <c r="BU531" i="6" s="1"/>
  <c r="E22" i="9"/>
  <c r="E35" i="9" s="1"/>
  <c r="AP535" i="6"/>
  <c r="BK565" i="6"/>
  <c r="AD63" i="5"/>
  <c r="AI7" i="5"/>
  <c r="T614" i="6"/>
  <c r="AF1000" i="3"/>
  <c r="M54" i="9" l="1"/>
  <c r="K53" i="9"/>
  <c r="K58" i="9" s="1"/>
  <c r="AK474" i="6"/>
  <c r="T704" i="6" s="1"/>
  <c r="AO695" i="6" s="1"/>
  <c r="AO693" i="6" s="1"/>
  <c r="T702" i="6" s="1"/>
  <c r="AF702" i="6" s="1"/>
  <c r="E95" i="18"/>
  <c r="E70" i="15"/>
  <c r="C63" i="15"/>
  <c r="E63" i="15" s="1"/>
  <c r="C96" i="4"/>
  <c r="B61" i="18"/>
  <c r="D63" i="15"/>
  <c r="S106" i="4"/>
  <c r="H61" i="18"/>
  <c r="T96" i="4"/>
  <c r="B97" i="15"/>
  <c r="B96" i="4"/>
  <c r="C97" i="15"/>
  <c r="E97" i="15" s="1"/>
  <c r="B95" i="18"/>
  <c r="D97" i="15"/>
  <c r="C104" i="4"/>
  <c r="B62" i="4"/>
  <c r="E9" i="15"/>
  <c r="C13" i="15"/>
  <c r="E13" i="15" s="1"/>
  <c r="E62" i="4"/>
  <c r="E96" i="4" s="1"/>
  <c r="E104" i="4" s="1"/>
  <c r="E12" i="4"/>
  <c r="K62" i="4"/>
  <c r="K96" i="4" s="1"/>
  <c r="K104" i="4" s="1"/>
  <c r="K12" i="4"/>
  <c r="I9" i="9"/>
  <c r="G5" i="9"/>
  <c r="AJ972" i="3"/>
  <c r="BM532" i="6"/>
  <c r="AU549" i="6"/>
  <c r="AO610" i="6"/>
  <c r="AU573" i="6"/>
  <c r="BH584" i="6"/>
  <c r="AX583" i="6"/>
  <c r="AX588" i="6" s="1"/>
  <c r="AX589" i="6" s="1"/>
  <c r="BD583" i="6"/>
  <c r="BD588" i="6" s="1"/>
  <c r="BB589" i="6" s="1"/>
  <c r="AU574" i="6"/>
  <c r="AO611" i="6"/>
  <c r="AB974" i="3"/>
  <c r="Y614" i="6"/>
  <c r="AR605" i="6" s="1"/>
  <c r="BH583" i="6"/>
  <c r="BH588" i="6" s="1"/>
  <c r="CH550" i="6"/>
  <c r="BE576" i="6"/>
  <c r="AP586" i="6" s="1"/>
  <c r="CE530" i="6"/>
  <c r="CE531" i="6" s="1"/>
  <c r="CC532" i="6" s="1"/>
  <c r="CC535" i="6" s="1"/>
  <c r="V26" i="28"/>
  <c r="V31" i="28" s="1"/>
  <c r="L31" i="28"/>
  <c r="P422" i="3"/>
  <c r="O741" i="3"/>
  <c r="CQ657" i="3"/>
  <c r="U370" i="6" s="1"/>
  <c r="AJ975" i="3"/>
  <c r="AJ1028" i="3" s="1"/>
  <c r="T24" i="5" s="1"/>
  <c r="AZ738" i="3"/>
  <c r="BA703" i="3"/>
  <c r="BA738" i="3" s="1"/>
  <c r="AH738" i="3" s="1"/>
  <c r="AY541" i="6"/>
  <c r="AS542" i="6" s="1"/>
  <c r="O614" i="6"/>
  <c r="AR606" i="6" s="1"/>
  <c r="AR608" i="6" s="1"/>
  <c r="AO608" i="6"/>
  <c r="AU571" i="6"/>
  <c r="BP583" i="6"/>
  <c r="AO612" i="6"/>
  <c r="AR612" i="6" s="1"/>
  <c r="AU575" i="6"/>
  <c r="Y612" i="6"/>
  <c r="AU534" i="6" s="1"/>
  <c r="AC592" i="6"/>
  <c r="T707" i="6" s="1"/>
  <c r="AO698" i="6" s="1"/>
  <c r="E5" i="9"/>
  <c r="AO197" i="6"/>
  <c r="AP192" i="6" s="1"/>
  <c r="BL584" i="6"/>
  <c r="G35" i="9"/>
  <c r="BP586" i="6"/>
  <c r="BP584" i="6"/>
  <c r="K9" i="9"/>
  <c r="BE573" i="6"/>
  <c r="AP583" i="6" s="1"/>
  <c r="BT573" i="6" s="1"/>
  <c r="BS527" i="6"/>
  <c r="BS531" i="6" s="1"/>
  <c r="BQ532" i="6" s="1"/>
  <c r="AU535" i="6"/>
  <c r="BE574" i="6"/>
  <c r="AP584" i="6" s="1"/>
  <c r="CH548" i="6"/>
  <c r="BM547" i="6" s="1"/>
  <c r="BW528" i="6"/>
  <c r="BW531" i="6" s="1"/>
  <c r="BU532" i="6" s="1"/>
  <c r="Q8" i="9"/>
  <c r="O9" i="9"/>
  <c r="K15" i="9"/>
  <c r="I22" i="9"/>
  <c r="I35" i="9" s="1"/>
  <c r="BF585" i="6"/>
  <c r="BF588" i="6" s="1"/>
  <c r="BP585" i="6"/>
  <c r="BL585" i="6"/>
  <c r="BO577" i="6"/>
  <c r="I5" i="9"/>
  <c r="K4" i="9"/>
  <c r="E6" i="9"/>
  <c r="Z805" i="3"/>
  <c r="O54" i="9" l="1"/>
  <c r="M53" i="9"/>
  <c r="M58" i="9" s="1"/>
  <c r="T104" i="4"/>
  <c r="H95" i="18"/>
  <c r="E105" i="18"/>
  <c r="Y11" i="5" s="1"/>
  <c r="Y23" i="5" s="1"/>
  <c r="Y26" i="5" s="1"/>
  <c r="Y28" i="5" s="1"/>
  <c r="Y11" i="26"/>
  <c r="Y23" i="26" s="1"/>
  <c r="Y26" i="26" s="1"/>
  <c r="Y28" i="26" s="1"/>
  <c r="Y63" i="26" s="1"/>
  <c r="Y67" i="26" s="1"/>
  <c r="Y11" i="27"/>
  <c r="Y23" i="27" s="1"/>
  <c r="Y26" i="27" s="1"/>
  <c r="Y28" i="27" s="1"/>
  <c r="Y63" i="27" s="1"/>
  <c r="Y67" i="27" s="1"/>
  <c r="T11" i="5"/>
  <c r="T21" i="5" s="1"/>
  <c r="T11" i="27"/>
  <c r="T11" i="26"/>
  <c r="T23" i="26" s="1"/>
  <c r="AC456" i="3"/>
  <c r="D105" i="15"/>
  <c r="C105" i="15"/>
  <c r="B105" i="15"/>
  <c r="B104" i="4"/>
  <c r="B103" i="18"/>
  <c r="AU533" i="6"/>
  <c r="CC536" i="6"/>
  <c r="BY574" i="6"/>
  <c r="AU537" i="6"/>
  <c r="BL588" i="6"/>
  <c r="BJ589" i="6" s="1"/>
  <c r="BP588" i="6"/>
  <c r="BN589" i="6" s="1"/>
  <c r="BF589" i="6"/>
  <c r="CA529" i="6"/>
  <c r="CA531" i="6" s="1"/>
  <c r="BY532" i="6" s="1"/>
  <c r="BY535" i="6" s="1"/>
  <c r="CH549" i="6"/>
  <c r="BE575" i="6"/>
  <c r="AP585" i="6" s="1"/>
  <c r="CD575" i="6" s="1"/>
  <c r="CD577" i="6" s="1"/>
  <c r="AP193" i="6"/>
  <c r="AU536" i="6"/>
  <c r="AR610" i="6"/>
  <c r="AR609" i="6"/>
  <c r="AR613" i="6"/>
  <c r="AR611" i="6"/>
  <c r="AJ617" i="6" s="1"/>
  <c r="T708" i="6" s="1"/>
  <c r="CC533" i="6"/>
  <c r="BU534" i="6"/>
  <c r="BU533" i="6"/>
  <c r="BU537" i="6" s="1"/>
  <c r="BQ533" i="6"/>
  <c r="BQ537" i="6" s="1"/>
  <c r="BJ590" i="6"/>
  <c r="AV554" i="6" s="1"/>
  <c r="BT577" i="6"/>
  <c r="M15" i="9"/>
  <c r="K22" i="9"/>
  <c r="K35" i="9" s="1"/>
  <c r="BY577" i="6"/>
  <c r="BQ548" i="6"/>
  <c r="BM550" i="6"/>
  <c r="E7" i="9"/>
  <c r="E11" i="9" s="1"/>
  <c r="E37" i="9" s="1"/>
  <c r="G6" i="9"/>
  <c r="S8" i="9"/>
  <c r="Q9" i="9"/>
  <c r="M4" i="9"/>
  <c r="K5" i="9"/>
  <c r="Q54" i="9" l="1"/>
  <c r="O53" i="9"/>
  <c r="O58" i="9"/>
  <c r="T21" i="27"/>
  <c r="T22" i="27" s="1"/>
  <c r="T23" i="27" s="1"/>
  <c r="T26" i="27" s="1"/>
  <c r="T28" i="27" s="1"/>
  <c r="T22" i="5"/>
  <c r="AI21" i="26"/>
  <c r="AI22" i="26" s="1"/>
  <c r="H103" i="18"/>
  <c r="T106" i="4"/>
  <c r="T23" i="5"/>
  <c r="T26" i="26"/>
  <c r="T28" i="26" s="1"/>
  <c r="AB46" i="5"/>
  <c r="AB48" i="5" s="1"/>
  <c r="AB53" i="5" s="1"/>
  <c r="AB54" i="5" s="1"/>
  <c r="AC455" i="3"/>
  <c r="F458" i="3" s="1"/>
  <c r="AB46" i="27"/>
  <c r="AB48" i="27" s="1"/>
  <c r="AB53" i="27" s="1"/>
  <c r="AB54" i="27" s="1"/>
  <c r="AB46" i="26"/>
  <c r="AB48" i="26" s="1"/>
  <c r="J58" i="25"/>
  <c r="E105" i="15"/>
  <c r="BY534" i="6"/>
  <c r="BY533" i="6"/>
  <c r="CC534" i="6" s="1"/>
  <c r="CC537" i="6" s="1"/>
  <c r="CG537" i="6" s="1"/>
  <c r="T706" i="6"/>
  <c r="AF706" i="6"/>
  <c r="AF712" i="6" s="1"/>
  <c r="AK619" i="6"/>
  <c r="BY537" i="6"/>
  <c r="O4" i="9"/>
  <c r="M5" i="9"/>
  <c r="I6" i="9"/>
  <c r="G7" i="9"/>
  <c r="G11" i="9" s="1"/>
  <c r="G37" i="9" s="1"/>
  <c r="E49" i="9"/>
  <c r="E45" i="9"/>
  <c r="U8" i="9"/>
  <c r="S9" i="9"/>
  <c r="CI576" i="6"/>
  <c r="CI577" i="6" s="1"/>
  <c r="CN577" i="6" s="1"/>
  <c r="BD558" i="6" s="1"/>
  <c r="BQ550" i="6"/>
  <c r="BU549" i="6"/>
  <c r="BU550" i="6" s="1"/>
  <c r="CC550" i="6" s="1"/>
  <c r="O15" i="9"/>
  <c r="M22" i="9"/>
  <c r="M35" i="9" s="1"/>
  <c r="S54" i="9" l="1"/>
  <c r="Q53" i="9"/>
  <c r="Q58" i="9"/>
  <c r="H105" i="18"/>
  <c r="X1032" i="3"/>
  <c r="X1033" i="3" s="1"/>
  <c r="D1034" i="3" s="1"/>
  <c r="AC457" i="3"/>
  <c r="T26" i="5"/>
  <c r="T28" i="5" s="1"/>
  <c r="Y63" i="5"/>
  <c r="Y67" i="5" s="1"/>
  <c r="G71" i="25"/>
  <c r="G72" i="25" s="1"/>
  <c r="B75" i="25" s="1"/>
  <c r="B76" i="25"/>
  <c r="O76" i="25" s="1"/>
  <c r="AB53" i="26"/>
  <c r="AB54" i="26" s="1"/>
  <c r="AW562" i="6"/>
  <c r="AT560" i="6"/>
  <c r="G45" i="9"/>
  <c r="G49" i="9"/>
  <c r="I7" i="9"/>
  <c r="I11" i="9" s="1"/>
  <c r="I37" i="9" s="1"/>
  <c r="K6" i="9"/>
  <c r="W8" i="9"/>
  <c r="U9" i="9"/>
  <c r="Q15" i="9"/>
  <c r="O22" i="9"/>
  <c r="O35" i="9" s="1"/>
  <c r="O5" i="9"/>
  <c r="Q4" i="9"/>
  <c r="E48" i="9"/>
  <c r="E60" i="9"/>
  <c r="E47" i="9"/>
  <c r="U54" i="9" l="1"/>
  <c r="S53" i="9"/>
  <c r="S58" i="9"/>
  <c r="AI11" i="5"/>
  <c r="AI23" i="5" s="1"/>
  <c r="AI26" i="5" s="1"/>
  <c r="AI28" i="5" s="1"/>
  <c r="AI11" i="27"/>
  <c r="AI23" i="27" s="1"/>
  <c r="AI26" i="27" s="1"/>
  <c r="AI28" i="27" s="1"/>
  <c r="AD63" i="27" s="1"/>
  <c r="AD11" i="27"/>
  <c r="AD23" i="27" s="1"/>
  <c r="AI11" i="26"/>
  <c r="AI23" i="26" s="1"/>
  <c r="AI26" i="26" s="1"/>
  <c r="AI28" i="26" s="1"/>
  <c r="AD63" i="26" s="1"/>
  <c r="AD11" i="26"/>
  <c r="AD23" i="26" s="1"/>
  <c r="AD11" i="5"/>
  <c r="K7" i="9"/>
  <c r="M6" i="9"/>
  <c r="K11" i="9"/>
  <c r="K37" i="9" s="1"/>
  <c r="G47" i="9"/>
  <c r="G60" i="9"/>
  <c r="G48" i="9"/>
  <c r="S15" i="9"/>
  <c r="Q22" i="9"/>
  <c r="Q35" i="9" s="1"/>
  <c r="I49" i="9"/>
  <c r="I45" i="9"/>
  <c r="Q5" i="9"/>
  <c r="S4" i="9"/>
  <c r="E66" i="9"/>
  <c r="E67" i="9"/>
  <c r="W9" i="9"/>
  <c r="Y8" i="9"/>
  <c r="W54" i="9" l="1"/>
  <c r="U53" i="9"/>
  <c r="U58" i="9" s="1"/>
  <c r="AD23" i="5"/>
  <c r="BE16" i="28"/>
  <c r="AD26" i="26"/>
  <c r="AD28" i="26" s="1"/>
  <c r="T29" i="26" s="1"/>
  <c r="AD38" i="26"/>
  <c r="AD40" i="26" s="1"/>
  <c r="Y38" i="26"/>
  <c r="Y40" i="26" s="1"/>
  <c r="AD26" i="27"/>
  <c r="AD28" i="27" s="1"/>
  <c r="T29" i="27" s="1"/>
  <c r="Y38" i="27"/>
  <c r="Y40" i="27" s="1"/>
  <c r="AD38" i="27"/>
  <c r="AD40" i="27" s="1"/>
  <c r="E70" i="9"/>
  <c r="E72" i="9" s="1"/>
  <c r="S22" i="9"/>
  <c r="S35" i="9" s="1"/>
  <c r="U15" i="9"/>
  <c r="G67" i="9"/>
  <c r="G68" i="9"/>
  <c r="G66" i="9"/>
  <c r="G69" i="9"/>
  <c r="G62" i="9"/>
  <c r="K49" i="9"/>
  <c r="K45" i="9"/>
  <c r="S5" i="9"/>
  <c r="U4" i="9"/>
  <c r="Y9" i="9"/>
  <c r="AA8" i="9"/>
  <c r="O6" i="9"/>
  <c r="M7" i="9"/>
  <c r="M11" i="9"/>
  <c r="M37" i="9" s="1"/>
  <c r="I47" i="9"/>
  <c r="I48" i="9"/>
  <c r="I60" i="9"/>
  <c r="Y54" i="9" l="1"/>
  <c r="W53" i="9"/>
  <c r="W58" i="9"/>
  <c r="Y41" i="26"/>
  <c r="AB55" i="26" s="1"/>
  <c r="AB56" i="26" s="1"/>
  <c r="AB58" i="26" s="1"/>
  <c r="F59" i="26" s="1"/>
  <c r="Y41" i="27"/>
  <c r="AB55" i="27" s="1"/>
  <c r="AB56" i="27" s="1"/>
  <c r="AB58" i="27" s="1"/>
  <c r="AD26" i="5"/>
  <c r="AD28" i="5" s="1"/>
  <c r="T29" i="5" s="1"/>
  <c r="Q71" i="25"/>
  <c r="O75" i="25" s="1"/>
  <c r="R75" i="25" s="1"/>
  <c r="AD38" i="5"/>
  <c r="AD40" i="5" s="1"/>
  <c r="Y38" i="5"/>
  <c r="Y40" i="5" s="1"/>
  <c r="O7" i="9"/>
  <c r="O11" i="9" s="1"/>
  <c r="O37" i="9" s="1"/>
  <c r="Q6" i="9"/>
  <c r="I69" i="9"/>
  <c r="I67" i="9"/>
  <c r="I62" i="9"/>
  <c r="I68" i="9"/>
  <c r="I66" i="9"/>
  <c r="G70" i="9"/>
  <c r="G72" i="9" s="1"/>
  <c r="M45" i="9"/>
  <c r="M49" i="9"/>
  <c r="K60" i="9"/>
  <c r="K47" i="9"/>
  <c r="K48" i="9"/>
  <c r="W15" i="9"/>
  <c r="U22" i="9"/>
  <c r="U35" i="9" s="1"/>
  <c r="AA9" i="9"/>
  <c r="AC8" i="9"/>
  <c r="U5" i="9"/>
  <c r="W4" i="9"/>
  <c r="AA54" i="9" l="1"/>
  <c r="Y53" i="9"/>
  <c r="Y58" i="9"/>
  <c r="AB75" i="26"/>
  <c r="AB76" i="26" s="1"/>
  <c r="AB77" i="26" s="1"/>
  <c r="AB79" i="26" s="1"/>
  <c r="J80" i="26" s="1"/>
  <c r="AR43" i="5"/>
  <c r="AR42" i="5"/>
  <c r="Y41" i="5" s="1"/>
  <c r="AB55" i="5" s="1"/>
  <c r="AB75" i="27"/>
  <c r="AB76" i="27" s="1"/>
  <c r="AB77" i="27" s="1"/>
  <c r="AB79" i="27" s="1"/>
  <c r="J80" i="27" s="1"/>
  <c r="F59" i="27"/>
  <c r="Y4" i="9"/>
  <c r="W5" i="9"/>
  <c r="K62" i="9"/>
  <c r="K66" i="9"/>
  <c r="K69" i="9"/>
  <c r="K68" i="9"/>
  <c r="K67" i="9"/>
  <c r="O49" i="9"/>
  <c r="O45" i="9"/>
  <c r="I70" i="9"/>
  <c r="I72" i="9" s="1"/>
  <c r="AC9" i="9"/>
  <c r="AE8" i="9"/>
  <c r="M48" i="9"/>
  <c r="M47" i="9"/>
  <c r="M60" i="9"/>
  <c r="S6" i="9"/>
  <c r="Q7" i="9"/>
  <c r="Q11" i="9"/>
  <c r="Q37" i="9" s="1"/>
  <c r="Y15" i="9"/>
  <c r="W22" i="9"/>
  <c r="W35" i="9" s="1"/>
  <c r="AC54" i="9" l="1"/>
  <c r="AA53" i="9"/>
  <c r="AA58" i="9"/>
  <c r="BE15" i="28"/>
  <c r="AB56" i="5"/>
  <c r="AB58" i="5" s="1"/>
  <c r="M25" i="3"/>
  <c r="P203" i="3" s="1"/>
  <c r="Q22" i="28"/>
  <c r="V33" i="28" s="1"/>
  <c r="V35" i="28" s="1"/>
  <c r="AE9" i="9"/>
  <c r="AG8" i="9"/>
  <c r="AG9" i="9" s="1"/>
  <c r="Q45" i="9"/>
  <c r="Q49" i="9"/>
  <c r="O47" i="9"/>
  <c r="O48" i="9"/>
  <c r="O60" i="9"/>
  <c r="K70" i="9"/>
  <c r="K72" i="9" s="1"/>
  <c r="AA15" i="9"/>
  <c r="Y22" i="9"/>
  <c r="Y35" i="9" s="1"/>
  <c r="S7" i="9"/>
  <c r="S11" i="9" s="1"/>
  <c r="S37" i="9" s="1"/>
  <c r="U6" i="9"/>
  <c r="M62" i="9"/>
  <c r="M67" i="9"/>
  <c r="M66" i="9"/>
  <c r="M68" i="9"/>
  <c r="M69" i="9"/>
  <c r="AA4" i="9"/>
  <c r="Y5" i="9"/>
  <c r="AE54" i="9" l="1"/>
  <c r="AC53" i="9"/>
  <c r="AC58" i="9"/>
  <c r="AB75" i="5"/>
  <c r="AB76" i="5" s="1"/>
  <c r="F59" i="5"/>
  <c r="Q48" i="9"/>
  <c r="Q60" i="9"/>
  <c r="Q47" i="9"/>
  <c r="U7" i="9"/>
  <c r="U11" i="9" s="1"/>
  <c r="U37" i="9" s="1"/>
  <c r="W6" i="9"/>
  <c r="AC4" i="9"/>
  <c r="AA5" i="9"/>
  <c r="AA22" i="9"/>
  <c r="AA35" i="9" s="1"/>
  <c r="AC15" i="9"/>
  <c r="O68" i="9"/>
  <c r="O66" i="9"/>
  <c r="O62" i="9"/>
  <c r="O69" i="9"/>
  <c r="O67" i="9"/>
  <c r="S45" i="9"/>
  <c r="S49" i="9"/>
  <c r="M70" i="9"/>
  <c r="M72" i="9" s="1"/>
  <c r="AG54" i="9" l="1"/>
  <c r="AG53" i="9" s="1"/>
  <c r="AE53" i="9"/>
  <c r="AE58" i="9"/>
  <c r="AG58" i="9"/>
  <c r="AB77" i="5"/>
  <c r="AB79" i="5" s="1"/>
  <c r="J80" i="5" s="1"/>
  <c r="M27" i="3"/>
  <c r="O70" i="9"/>
  <c r="O72" i="9" s="1"/>
  <c r="W7" i="9"/>
  <c r="Y6" i="9"/>
  <c r="W11" i="9"/>
  <c r="W37" i="9" s="1"/>
  <c r="U45" i="9"/>
  <c r="U49" i="9"/>
  <c r="AC22" i="9"/>
  <c r="AC35" i="9" s="1"/>
  <c r="AE15" i="9"/>
  <c r="S60" i="9"/>
  <c r="S47" i="9"/>
  <c r="S48" i="9"/>
  <c r="Q69" i="9"/>
  <c r="Q66" i="9"/>
  <c r="Q62" i="9"/>
  <c r="Q67" i="9"/>
  <c r="Q68" i="9"/>
  <c r="AC5" i="9"/>
  <c r="AE4" i="9"/>
  <c r="W203" i="3" l="1"/>
  <c r="D203" i="3"/>
  <c r="AG15" i="9"/>
  <c r="AG22" i="9" s="1"/>
  <c r="AG35" i="9" s="1"/>
  <c r="AE22" i="9"/>
  <c r="AE35" i="9" s="1"/>
  <c r="AE5" i="9"/>
  <c r="AG4" i="9"/>
  <c r="U47" i="9"/>
  <c r="U48" i="9"/>
  <c r="U60" i="9"/>
  <c r="Y7" i="9"/>
  <c r="AA6" i="9"/>
  <c r="Y11" i="9"/>
  <c r="Y37" i="9" s="1"/>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<sst xmlns="http://schemas.openxmlformats.org/spreadsheetml/2006/main" count="4713" uniqueCount="2491">
  <si>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</si>
  <si>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</si>
  <si>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</si>
  <si>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</si>
  <si>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</si>
  <si>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</si>
  <si>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</si>
  <si>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</si>
  <si>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</si>
  <si>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</si>
  <si>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</si>
  <si>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</si>
  <si>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</si>
  <si>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</si>
  <si>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</si>
  <si>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</si>
  <si>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</si>
  <si>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</si>
  <si>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</si>
  <si>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</si>
  <si>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</si>
  <si>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</si>
  <si>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</si>
  <si>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</si>
  <si>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</si>
  <si>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</si>
  <si>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</si>
  <si>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</si>
  <si>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</si>
  <si>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</si>
  <si>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</si>
  <si>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</si>
  <si>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</si>
  <si>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</si>
  <si>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</si>
  <si>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</si>
  <si>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</si>
  <si>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</si>
  <si>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</si>
  <si>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</si>
  <si>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</si>
  <si>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</si>
  <si>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</si>
  <si>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</si>
  <si>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</si>
  <si>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</si>
  <si>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</si>
  <si>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</si>
  <si>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</si>
  <si>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</si>
  <si>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</si>
  <si>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</si>
  <si>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</si>
  <si>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</si>
  <si>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</si>
  <si>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</si>
  <si>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</si>
  <si>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</si>
  <si>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</si>
  <si>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</si>
  <si>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</si>
  <si>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</si>
  <si>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</si>
  <si>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</si>
  <si>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</si>
  <si>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</si>
  <si>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</si>
  <si>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</si>
  <si>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</si>
  <si>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</si>
  <si>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</si>
  <si>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</si>
  <si>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</si>
  <si>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</si>
  <si>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</si>
  <si>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</si>
  <si>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</si>
  <si>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</si>
  <si>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</si>
  <si>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</si>
  <si>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</si>
  <si>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</si>
  <si>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</si>
  <si>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</si>
  <si>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</si>
  <si>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</si>
  <si>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</si>
  <si>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</si>
  <si>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</si>
  <si>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</si>
  <si>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</si>
  <si>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</si>
  <si>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</si>
  <si>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</si>
  <si>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</si>
  <si>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</si>
  <si>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</si>
  <si>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</si>
  <si>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</si>
  <si>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</si>
  <si>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</si>
  <si>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</si>
  <si>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</si>
  <si>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</si>
  <si>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</si>
  <si>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</si>
  <si>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</si>
  <si>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</si>
  <si>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</si>
  <si>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</si>
  <si>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</si>
  <si>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</si>
  <si>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</si>
  <si>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</si>
  <si>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</si>
  <si>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</si>
  <si>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</si>
  <si>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</si>
  <si>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</si>
  <si>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</si>
  <si>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</si>
  <si>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</si>
  <si>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</si>
  <si>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</si>
  <si>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</si>
  <si>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</si>
  <si>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</si>
  <si>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</si>
  <si>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</si>
  <si>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</si>
  <si>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</si>
  <si>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</si>
  <si>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</si>
  <si>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</si>
  <si>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</si>
  <si>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</si>
  <si>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</si>
  <si>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</si>
  <si>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</si>
  <si>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</si>
  <si>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</si>
  <si>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</si>
  <si>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</si>
  <si>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</si>
  <si>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</si>
  <si>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</si>
  <si>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</si>
  <si>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</si>
  <si>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</si>
  <si>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</si>
  <si>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</si>
  <si>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</si>
  <si>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</si>
  <si>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</si>
  <si>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</si>
  <si>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</si>
  <si>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</si>
  <si>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</si>
  <si>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</si>
  <si>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</si>
  <si>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</si>
  <si>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</si>
  <si>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</si>
  <si>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</si>
  <si>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</si>
  <si>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</si>
  <si>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</si>
  <si>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</si>
  <si>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</si>
  <si>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</si>
  <si>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</si>
  <si>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</si>
  <si>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</si>
  <si>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</si>
  <si>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</si>
  <si>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</si>
  <si>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</si>
  <si>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</si>
  <si>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</si>
  <si>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</si>
  <si>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</si>
  <si>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</si>
  <si>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</si>
  <si>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</si>
  <si>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</si>
  <si>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</si>
  <si>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</si>
  <si>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</si>
  <si>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</si>
  <si>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</si>
  <si>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</si>
  <si>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</si>
  <si>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</si>
  <si>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</si>
  <si>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</si>
  <si>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</si>
  <si>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</si>
  <si>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</si>
  <si>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</si>
  <si>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</si>
  <si>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</si>
  <si>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</si>
  <si>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</si>
  <si>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</si>
  <si>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</si>
  <si>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</si>
  <si>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</si>
  <si>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</si>
  <si>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</si>
  <si>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</si>
  <si>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</si>
  <si>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</si>
  <si>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</si>
  <si>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</si>
  <si>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</si>
  <si>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</si>
  <si>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</si>
  <si>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</si>
  <si>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</si>
  <si>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</si>
  <si>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</si>
  <si>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</si>
  <si>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</si>
  <si>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</si>
  <si>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</si>
  <si>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</si>
  <si>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</si>
  <si>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</si>
  <si>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</si>
  <si>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</si>
  <si>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</si>
  <si>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</si>
  <si>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</si>
  <si>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</si>
  <si>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</si>
  <si>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</si>
  <si>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</si>
  <si>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</si>
  <si>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</si>
  <si>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</si>
  <si>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</si>
  <si>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</si>
  <si>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</si>
  <si>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</si>
  <si>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</si>
  <si>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</si>
  <si>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</si>
  <si>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</si>
  <si>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</si>
  <si>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</si>
  <si>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</si>
  <si>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</si>
  <si>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</si>
  <si>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</si>
  <si>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</si>
  <si>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</si>
  <si>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</si>
  <si>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</si>
  <si>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</si>
  <si>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</si>
  <si>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</si>
  <si>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</si>
  <si>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</si>
  <si>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</si>
  <si>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</si>
  <si>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</si>
  <si>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</si>
  <si>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</si>
  <si>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</si>
  <si>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</si>
  <si>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</si>
  <si>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</si>
  <si>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</si>
  <si>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</si>
  <si>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</si>
  <si>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</si>
  <si>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</si>
  <si>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</si>
  <si>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</si>
  <si>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</si>
  <si>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</si>
  <si>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</si>
  <si>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</si>
  <si>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</si>
  <si>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</si>
  <si>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</si>
  <si>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</si>
  <si>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</si>
  <si>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</si>
  <si>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</si>
  <si>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</si>
  <si>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</si>
  <si>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</si>
  <si>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</si>
  <si>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</si>
  <si>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</si>
  <si>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</si>
  <si>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</si>
  <si>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</si>
  <si>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</si>
  <si>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</si>
  <si>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</si>
  <si>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</si>
  <si>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</si>
  <si>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</si>
  <si>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</si>
  <si>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</si>
  <si>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</si>
  <si>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</si>
  <si>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</si>
  <si>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</si>
  <si>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</si>
  <si>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</si>
  <si>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</si>
  <si>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</si>
  <si>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</si>
  <si>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</si>
  <si>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</si>
  <si>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</si>
  <si>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</si>
  <si>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</si>
  <si>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</si>
  <si>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</si>
  <si>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</si>
  <si>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</si>
  <si>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</si>
  <si>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</si>
  <si>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</si>
  <si>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</si>
  <si>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</si>
  <si>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</si>
  <si>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</si>
  <si>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</si>
  <si>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</si>
  <si>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</si>
  <si>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</si>
  <si>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</si>
  <si>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</si>
  <si>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</si>
  <si>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</si>
  <si>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</si>
  <si>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</si>
  <si>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</si>
  <si>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</si>
  <si>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</si>
  <si>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</si>
  <si>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</si>
  <si>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</si>
  <si>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</si>
  <si>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</si>
  <si>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</si>
  <si>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</si>
  <si>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</si>
  <si>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</si>
  <si>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</si>
  <si>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</si>
  <si>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</si>
  <si>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</si>
  <si>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</si>
  <si>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</si>
  <si>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</si>
  <si>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</si>
  <si>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</si>
  <si>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</si>
  <si>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</si>
  <si>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</si>
  <si>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</si>
  <si>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</si>
  <si>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</si>
  <si>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</si>
  <si>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</si>
  <si>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</si>
  <si>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</si>
  <si>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</si>
  <si>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</si>
  <si>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</si>
  <si>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</si>
  <si>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</si>
  <si>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</si>
  <si>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</si>
  <si>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</si>
  <si>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</si>
  <si>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</si>
  <si>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</si>
  <si>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</si>
  <si>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</si>
  <si>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</si>
  <si>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</si>
  <si>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</si>
  <si>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</si>
  <si>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</si>
  <si>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</si>
  <si>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</si>
  <si>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</si>
  <si>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</si>
  <si>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</si>
  <si>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</si>
  <si>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</si>
  <si>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</si>
  <si>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</si>
  <si>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</si>
  <si>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</si>
  <si>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</si>
  <si>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</si>
  <si>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</si>
  <si>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</si>
  <si>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</si>
  <si>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</si>
  <si>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</si>
  <si>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</si>
  <si>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</si>
  <si>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</si>
  <si>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</si>
  <si>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</si>
  <si>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</si>
  <si>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</si>
  <si>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</si>
  <si>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</si>
  <si>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</si>
  <si>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</si>
  <si>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</si>
  <si>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</si>
  <si>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</si>
  <si>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</si>
  <si>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</si>
  <si>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</si>
  <si>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</si>
  <si>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</si>
  <si>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</si>
  <si>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</si>
  <si>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</si>
  <si>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</si>
  <si>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</si>
  <si>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</si>
  <si>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</si>
  <si>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</si>
  <si>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</si>
  <si>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</si>
  <si>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</si>
  <si>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</si>
  <si>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</si>
  <si>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</si>
  <si>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</si>
  <si>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</si>
  <si>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</si>
  <si>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</si>
  <si>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</si>
  <si>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</si>
  <si>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</si>
  <si>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</si>
  <si>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</si>
  <si>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</si>
  <si>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</si>
  <si>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</si>
  <si>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</si>
  <si>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</si>
  <si>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</si>
  <si>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</si>
  <si>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</si>
  <si>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</si>
  <si>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</si>
  <si>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</si>
  <si>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</si>
  <si>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</si>
  <si>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</si>
  <si>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</si>
  <si>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</si>
  <si>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</si>
  <si>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</si>
  <si>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</si>
  <si>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</si>
  <si>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</si>
  <si>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</si>
  <si>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</si>
  <si>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</si>
  <si>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</si>
  <si>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</si>
  <si>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</si>
  <si>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</si>
  <si>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</si>
  <si>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</si>
  <si>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</si>
  <si>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</si>
  <si>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</si>
  <si>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</si>
  <si>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</si>
  <si>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</si>
  <si>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</si>
  <si>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</si>
  <si>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</si>
  <si>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</si>
  <si>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</si>
  <si>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</si>
  <si>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</si>
  <si>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</si>
  <si>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</si>
  <si>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</si>
  <si>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</si>
  <si>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</si>
  <si>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</si>
  <si>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</si>
  <si>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</si>
  <si>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</si>
  <si>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</si>
  <si>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</si>
  <si>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</si>
  <si>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</si>
  <si>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</si>
  <si>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</si>
  <si>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</si>
  <si>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</si>
  <si>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</si>
  <si>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</si>
  <si>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</si>
  <si>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</si>
  <si>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</si>
  <si>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</si>
  <si>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</si>
  <si>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</si>
  <si>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</si>
  <si>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</si>
  <si>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</si>
  <si>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</si>
  <si>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</si>
  <si>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</si>
  <si>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</si>
  <si>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</si>
  <si>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</si>
  <si>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</si>
  <si>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</si>
  <si>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</si>
  <si>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</si>
  <si>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</si>
  <si>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</si>
  <si>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</si>
  <si>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</si>
  <si>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</si>
  <si>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</si>
  <si>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</si>
  <si>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</si>
  <si>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</si>
  <si>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</si>
  <si>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</si>
  <si>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</si>
  <si>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</si>
  <si>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</si>
  <si>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</si>
  <si>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</si>
  <si>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</si>
  <si>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</si>
  <si>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</si>
  <si>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</si>
  <si>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</si>
  <si>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</si>
  <si>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</si>
  <si>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</si>
  <si>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</si>
  <si>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</si>
  <si>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</si>
  <si>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</si>
  <si>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</si>
  <si>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</si>
  <si>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</si>
  <si>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</si>
  <si>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</si>
  <si>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</si>
  <si>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</si>
  <si>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</si>
  <si>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</si>
  <si>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</si>
  <si>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</si>
  <si>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</si>
  <si>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</si>
  <si>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</si>
  <si>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</si>
  <si>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</si>
  <si>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</si>
  <si>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</si>
  <si>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</si>
  <si>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</si>
  <si>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</si>
  <si>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</si>
  <si>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</si>
  <si>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</si>
  <si>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</si>
  <si>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</si>
  <si>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</si>
  <si>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</si>
  <si>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</si>
  <si>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</si>
  <si>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</si>
  <si>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</si>
  <si>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</si>
  <si>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</si>
  <si>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</si>
  <si>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</si>
  <si>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</si>
  <si>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</si>
  <si>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</si>
  <si>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</si>
  <si>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</si>
  <si>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</si>
  <si>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</si>
  <si>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</si>
  <si>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</si>
  <si>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</si>
  <si>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</si>
  <si>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</si>
  <si>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</si>
  <si>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</si>
  <si>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</si>
  <si>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</si>
  <si>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</si>
  <si>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</si>
  <si>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</si>
  <si>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</si>
  <si>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</si>
  <si>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</si>
  <si>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</si>
  <si>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</si>
  <si>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</si>
  <si>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</si>
  <si>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</si>
  <si>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</si>
  <si>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</si>
  <si>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</si>
  <si>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</si>
  <si>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</si>
  <si>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</si>
  <si>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</si>
  <si>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</si>
  <si>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</si>
  <si>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</si>
  <si>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</si>
  <si>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</si>
  <si>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</si>
  <si>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</si>
  <si>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</si>
  <si>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</si>
  <si>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</si>
  <si>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</si>
  <si>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</si>
  <si>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</si>
  <si>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</si>
  <si>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</si>
  <si>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</si>
  <si>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</si>
  <si>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</si>
  <si>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</si>
  <si>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</si>
  <si>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</si>
  <si>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</si>
  <si>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</si>
  <si>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</si>
  <si>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</si>
  <si>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</si>
  <si>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</si>
  <si>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</si>
  <si>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</si>
  <si>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</si>
  <si>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</si>
  <si>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</si>
  <si>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</si>
  <si>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</si>
  <si>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</si>
  <si>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</si>
  <si>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</si>
  <si>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</si>
  <si>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</si>
  <si>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</si>
  <si>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</si>
  <si>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</si>
  <si>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</si>
  <si>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</si>
  <si>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</si>
  <si>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</si>
  <si>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</si>
  <si>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</si>
  <si>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</si>
  <si>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</si>
  <si>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</si>
  <si>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</si>
  <si>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</si>
  <si>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</si>
  <si>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</si>
  <si>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</si>
  <si>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</si>
  <si>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</si>
  <si>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</si>
  <si>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</si>
  <si>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</si>
  <si>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</si>
  <si>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</si>
  <si>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</si>
  <si>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</si>
  <si>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</si>
  <si>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</si>
  <si>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</si>
  <si>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</si>
  <si>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</si>
  <si>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</si>
  <si>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</si>
  <si>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</si>
  <si>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</si>
  <si>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</si>
  <si>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</si>
  <si>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</si>
  <si>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</si>
  <si>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</si>
  <si>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</si>
  <si>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</si>
  <si>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</si>
  <si>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</si>
  <si>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</si>
  <si>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</si>
  <si>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</si>
  <si>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</si>
  <si>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</si>
  <si>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</si>
  <si>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</si>
  <si>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</si>
  <si>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</si>
  <si>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</si>
  <si>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</si>
  <si>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</si>
  <si>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</si>
  <si>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</si>
  <si>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</si>
  <si>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</si>
  <si>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</si>
  <si>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</si>
  <si>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</si>
  <si>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</si>
  <si>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</si>
  <si>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</si>
  <si>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</si>
  <si>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</si>
  <si>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</si>
  <si>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</si>
  <si>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</si>
  <si>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</si>
  <si>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</si>
  <si>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</si>
  <si>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</si>
  <si>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</si>
  <si>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</si>
  <si>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</si>
  <si>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</si>
  <si>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</si>
  <si>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</si>
  <si>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</si>
  <si>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</si>
  <si>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</si>
  <si>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</si>
  <si>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</si>
  <si>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</si>
  <si>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</si>
  <si>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</si>
  <si>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</si>
  <si>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</si>
  <si>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</si>
  <si>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</si>
  <si>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</si>
  <si>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</si>
  <si>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</si>
  <si>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</si>
  <si>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</si>
  <si>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</si>
  <si>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</si>
  <si>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</si>
  <si>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</si>
  <si>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</si>
  <si>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</si>
  <si>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</si>
  <si>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</si>
  <si>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</si>
  <si>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</si>
  <si>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</si>
  <si>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</si>
  <si>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</si>
  <si>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</si>
  <si>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</si>
  <si>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</si>
  <si>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</si>
  <si>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</si>
  <si>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</si>
  <si>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</si>
  <si>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</si>
  <si>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</si>
  <si>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</si>
  <si>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</si>
  <si>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</si>
  <si>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</si>
  <si>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</si>
  <si>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</si>
  <si>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</si>
  <si>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</si>
  <si>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</si>
  <si>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</si>
  <si>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</si>
  <si>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</si>
  <si>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</si>
  <si>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</si>
  <si>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</si>
  <si>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</si>
  <si>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</si>
  <si>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</si>
  <si>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</si>
  <si>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</si>
  <si>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</si>
  <si>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</si>
  <si>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</si>
  <si>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</si>
  <si>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</si>
  <si>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</si>
  <si>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</si>
  <si>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</si>
  <si>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</si>
  <si>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</si>
  <si>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</si>
  <si>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</si>
  <si>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</si>
  <si>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</si>
  <si>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</si>
  <si>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</si>
  <si>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</si>
  <si>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</si>
  <si>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</si>
  <si>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</si>
  <si>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</si>
  <si>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</si>
  <si>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</si>
  <si>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</si>
  <si>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</si>
  <si>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</si>
  <si>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</si>
  <si>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</si>
  <si>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</si>
  <si>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</si>
  <si>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</si>
  <si>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</si>
  <si>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</si>
  <si>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</si>
  <si>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</si>
  <si>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</si>
  <si>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</si>
  <si>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</si>
  <si>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</si>
  <si>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</si>
  <si>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</si>
  <si>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</si>
  <si>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</si>
  <si>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</si>
  <si>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</si>
  <si>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</si>
  <si>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</si>
  <si>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</si>
  <si>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</si>
  <si>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</si>
  <si>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</si>
  <si>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</si>
  <si>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</si>
  <si>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</si>
  <si>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</si>
  <si>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</si>
  <si>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</si>
  <si>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</si>
  <si>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</si>
  <si>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</si>
  <si>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</si>
  <si>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</si>
  <si>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</si>
  <si>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</si>
  <si>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</si>
  <si>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</si>
  <si>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</si>
  <si>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</si>
  <si>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</si>
  <si>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</si>
  <si>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</si>
  <si>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</si>
  <si>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</si>
  <si>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</si>
  <si>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</si>
  <si>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</si>
  <si>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</si>
  <si>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</si>
  <si>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</si>
  <si>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</si>
  <si>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</si>
  <si>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</si>
  <si>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</si>
  <si>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</si>
  <si>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</si>
  <si>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</si>
  <si>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</si>
  <si>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</si>
  <si>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</si>
  <si>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</si>
  <si>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</si>
  <si>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</si>
  <si>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</si>
  <si>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</si>
  <si>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</si>
  <si>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</si>
  <si>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</si>
  <si>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</si>
  <si>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</si>
  <si>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</si>
  <si>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</si>
  <si>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</si>
  <si>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</si>
  <si>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</si>
  <si>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</si>
  <si>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</si>
  <si>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</si>
  <si>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</si>
  <si>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</si>
  <si>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</si>
  <si>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</si>
  <si>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</si>
  <si>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</si>
  <si>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</si>
  <si>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</si>
  <si>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</si>
  <si>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</si>
  <si>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</si>
  <si>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</si>
  <si>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</si>
  <si>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</si>
  <si>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</si>
  <si>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</si>
  <si>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</si>
  <si>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</si>
  <si>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</si>
  <si>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</si>
  <si>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</si>
  <si>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</si>
  <si>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</si>
  <si>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</si>
  <si>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</si>
  <si>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</si>
  <si>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</si>
  <si>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</si>
  <si>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</si>
  <si>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</si>
  <si>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</si>
  <si>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</si>
  <si>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</si>
  <si>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</si>
  <si>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</si>
  <si>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</si>
  <si>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</si>
  <si>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</si>
  <si>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</si>
  <si>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</si>
  <si>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</si>
  <si>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</si>
  <si>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</si>
  <si>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</si>
  <si>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</si>
  <si>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</si>
  <si>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</si>
  <si>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</si>
  <si>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</si>
  <si>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</si>
  <si>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</si>
  <si>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</si>
  <si>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</si>
  <si>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</si>
  <si>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</si>
  <si>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</si>
  <si>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</si>
  <si>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</si>
  <si>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</si>
  <si>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</si>
  <si>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</si>
  <si>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</si>
  <si>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</si>
  <si>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</si>
  <si>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</si>
  <si>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</si>
  <si>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</si>
  <si>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</si>
  <si>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</si>
  <si>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</si>
  <si>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</si>
  <si>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</si>
  <si>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</si>
  <si>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</si>
  <si>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</si>
  <si>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</si>
  <si>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</si>
  <si>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</si>
  <si>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</si>
  <si>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</si>
  <si>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</si>
  <si>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</si>
  <si>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</si>
  <si>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</si>
  <si>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</si>
  <si>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</si>
  <si>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</si>
  <si>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</si>
  <si>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</si>
  <si>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</si>
  <si>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</si>
  <si>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</si>
  <si>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</si>
  <si>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</si>
  <si>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</si>
  <si>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</si>
  <si>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</si>
  <si>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</si>
  <si>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</si>
  <si>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</si>
  <si>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</si>
  <si>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</si>
  <si>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</si>
  <si>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</si>
  <si>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</si>
  <si>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</si>
  <si>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</si>
  <si>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</si>
  <si>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</si>
  <si>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</si>
  <si>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</si>
  <si>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</si>
  <si>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</si>
  <si>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</si>
  <si>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</si>
  <si>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</si>
  <si>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</si>
  <si>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</si>
  <si>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</si>
  <si>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</si>
  <si>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</si>
  <si>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</si>
  <si>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</si>
  <si>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</si>
  <si>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</si>
  <si>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</si>
  <si>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</si>
  <si>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</si>
  <si>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</si>
  <si>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</si>
  <si>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</si>
  <si>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</si>
  <si>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</si>
  <si>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</si>
  <si>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</si>
  <si>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</si>
  <si>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</si>
  <si>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</si>
  <si>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</si>
  <si>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</si>
  <si>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</si>
  <si>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</si>
  <si>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</si>
  <si>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</si>
  <si>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</si>
  <si>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</si>
  <si>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</si>
  <si>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</si>
  <si>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</si>
  <si>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</si>
  <si>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</si>
  <si>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</si>
  <si>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</si>
  <si>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</si>
  <si>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</si>
  <si>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</si>
  <si>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</si>
  <si>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</si>
  <si>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</si>
  <si>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</si>
  <si>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</si>
  <si>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</si>
  <si>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</si>
  <si>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</si>
  <si>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</si>
  <si>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</si>
  <si>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</si>
  <si>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</si>
  <si>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</si>
  <si>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</si>
  <si>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</si>
  <si>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</si>
  <si>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</si>
  <si>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</si>
  <si>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</si>
  <si>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</si>
  <si>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</si>
  <si>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</si>
  <si>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</si>
  <si>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</si>
  <si>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</si>
  <si>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</si>
  <si>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</si>
  <si>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</si>
  <si>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</si>
  <si>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</si>
  <si>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</si>
  <si>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</si>
  <si>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</si>
  <si>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</si>
  <si>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</si>
  <si>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</si>
  <si>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</si>
  <si>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</si>
  <si>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</si>
  <si>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</si>
  <si>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</si>
  <si>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</si>
  <si>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</si>
  <si>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</si>
  <si>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</si>
  <si>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</si>
  <si>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</si>
  <si>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</si>
  <si>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</si>
  <si>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</si>
  <si>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</si>
  <si>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</si>
  <si>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</si>
  <si>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</si>
  <si>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</si>
  <si>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</si>
  <si>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</si>
  <si>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</si>
  <si>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</si>
  <si>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</si>
  <si>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</si>
  <si>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</si>
  <si>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</si>
  <si>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</si>
  <si>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</si>
  <si>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</si>
  <si>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</si>
  <si>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</si>
  <si>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</si>
  <si>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</si>
  <si>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</si>
  <si>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</si>
  <si>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</si>
  <si>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</si>
  <si>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</si>
  <si>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</si>
  <si>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</si>
  <si>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</si>
  <si>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</si>
  <si>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</si>
  <si>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</si>
  <si>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</si>
  <si>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</si>
  <si>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</si>
  <si>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</si>
  <si>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</si>
  <si>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</si>
  <si>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</si>
  <si>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</si>
  <si>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</si>
  <si>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</si>
  <si>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</si>
  <si>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</si>
  <si>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</si>
  <si>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</si>
  <si>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</si>
  <si>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</si>
  <si>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</si>
  <si>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</si>
  <si>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</si>
  <si>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</si>
  <si>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</si>
  <si>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</si>
  <si>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</si>
  <si>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</si>
  <si>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</si>
  <si>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</si>
  <si>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</si>
  <si>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</si>
  <si>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</si>
  <si>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</si>
  <si>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</si>
  <si>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</si>
  <si>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</si>
  <si>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</si>
  <si>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</si>
  <si>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</si>
  <si>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</si>
  <si>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</si>
  <si>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</si>
  <si>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</si>
  <si>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</si>
  <si>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</si>
  <si>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</si>
  <si>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</si>
  <si>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</si>
  <si>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</si>
  <si>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</si>
  <si>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</si>
  <si>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</si>
  <si>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</si>
  <si>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</si>
  <si>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</si>
  <si>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</si>
  <si>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</si>
  <si>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</si>
  <si>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</si>
  <si>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</si>
  <si>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</si>
  <si>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</si>
  <si>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</si>
  <si>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</si>
  <si>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</si>
  <si>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</si>
  <si>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</si>
  <si>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</si>
  <si>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</si>
  <si>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</si>
  <si>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</si>
  <si>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</si>
  <si>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</si>
  <si>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</si>
  <si>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</si>
  <si>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</si>
  <si>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</si>
  <si>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</si>
  <si>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</si>
  <si>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</si>
  <si>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</si>
  <si>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</si>
  <si>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</si>
  <si>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</si>
  <si>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</si>
  <si>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</si>
  <si>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</si>
  <si>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</si>
  <si>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</si>
  <si>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</si>
  <si>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</si>
  <si>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</si>
  <si>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</si>
  <si>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</si>
  <si>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</si>
  <si>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</si>
  <si>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</si>
  <si>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</si>
  <si>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</si>
  <si>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</si>
  <si>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</si>
  <si>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</si>
  <si>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</si>
  <si>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</si>
  <si>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</si>
  <si>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</si>
  <si>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</si>
  <si>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</si>
  <si>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</si>
  <si>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</si>
  <si>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</si>
  <si>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</si>
  <si>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</si>
  <si>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</si>
  <si>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</si>
  <si>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</si>
  <si>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</si>
  <si>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</si>
  <si>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</si>
  <si>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</si>
  <si>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</si>
  <si>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</si>
  <si>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</si>
  <si>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</si>
  <si>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</si>
  <si>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</si>
  <si>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</si>
  <si>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</si>
  <si>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</si>
  <si>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</si>
  <si>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</si>
  <si>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</si>
  <si>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</si>
  <si>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</si>
  <si>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</si>
  <si>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</si>
  <si>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</si>
  <si>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</si>
  <si>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</si>
  <si>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</si>
  <si>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</si>
  <si>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</si>
  <si>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</si>
  <si>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</si>
  <si>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</si>
  <si>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</si>
  <si>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</si>
  <si>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</si>
  <si>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</si>
  <si>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</si>
  <si>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</si>
  <si>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</si>
  <si>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</si>
  <si>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</si>
  <si>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</si>
  <si>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</si>
  <si>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</si>
  <si>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</si>
  <si>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</si>
  <si>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</si>
  <si>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</si>
  <si>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</si>
  <si>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</si>
  <si>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</si>
  <si>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</si>
  <si>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</si>
  <si>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</si>
  <si>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</si>
  <si>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</si>
  <si>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</si>
  <si>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</si>
  <si>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</si>
  <si>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</si>
  <si>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</si>
  <si>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</si>
  <si>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</si>
  <si>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</si>
  <si>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</si>
  <si>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</si>
  <si>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</si>
  <si>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</si>
  <si>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</si>
  <si>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</si>
  <si>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</si>
  <si>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</si>
  <si>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</si>
  <si>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</si>
  <si>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</si>
  <si>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</si>
  <si>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</si>
  <si>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</si>
  <si>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</si>
  <si>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</si>
  <si>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</si>
  <si>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</si>
  <si>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</si>
  <si>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</si>
  <si>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</si>
  <si>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</si>
  <si>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</si>
  <si>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</si>
  <si>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</si>
  <si>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</si>
  <si>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</si>
  <si>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</si>
  <si>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</si>
  <si>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</si>
  <si>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</si>
  <si>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</si>
  <si>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</si>
  <si>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</si>
  <si>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</si>
  <si>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</si>
  <si>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</si>
  <si>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</si>
  <si>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</si>
  <si>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</si>
  <si>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</si>
  <si>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</si>
  <si>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</si>
  <si>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</si>
  <si>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</si>
  <si>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</si>
  <si>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</si>
  <si>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</si>
  <si>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</si>
  <si>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</si>
  <si>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</si>
  <si>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</si>
  <si>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</si>
  <si>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</si>
  <si>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</si>
  <si>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</si>
  <si>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</si>
  <si>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</si>
  <si>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</si>
  <si>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</si>
  <si>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</si>
  <si>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</si>
  <si>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</si>
  <si>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</si>
  <si>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</si>
  <si>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</si>
  <si>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</si>
  <si>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</si>
  <si>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</si>
  <si>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</si>
  <si>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</si>
  <si>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</si>
  <si>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</si>
  <si>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</si>
  <si>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</si>
  <si>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</si>
  <si>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</si>
  <si>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</si>
  <si>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</si>
  <si>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</si>
  <si>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</si>
  <si>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</si>
  <si>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</si>
  <si>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</si>
  <si>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</si>
  <si>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</si>
  <si>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</si>
  <si>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</si>
  <si>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</si>
  <si>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</si>
  <si>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</si>
  <si>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</si>
  <si>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</si>
  <si>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</si>
  <si>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</si>
  <si>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</si>
  <si>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</si>
  <si>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</si>
  <si>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</si>
  <si>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</si>
  <si>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</si>
  <si>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</si>
  <si>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</si>
  <si>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</si>
  <si>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</si>
  <si>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</si>
  <si>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</si>
  <si>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</si>
  <si>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</si>
  <si>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</si>
  <si>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</si>
  <si>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</si>
  <si>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</si>
  <si>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</si>
  <si>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</si>
  <si>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</si>
  <si>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</si>
  <si>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</si>
  <si>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</si>
  <si>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</si>
  <si>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</si>
  <si>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</si>
  <si>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</si>
  <si>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</si>
  <si>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</si>
  <si>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</si>
  <si>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</si>
  <si>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</si>
  <si>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</si>
  <si>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</si>
  <si>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</si>
  <si>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</si>
  <si>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</si>
  <si>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</si>
  <si>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</si>
  <si>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</si>
  <si>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</si>
  <si>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</si>
  <si>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</si>
  <si>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</si>
  <si>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</si>
  <si>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</si>
  <si>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</si>
  <si>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</si>
  <si>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</si>
  <si>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</si>
  <si>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</si>
  <si>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</si>
  <si>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</si>
  <si>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</si>
  <si>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</si>
  <si>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</si>
  <si>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</si>
  <si>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</si>
  <si>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</si>
  <si>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</si>
  <si>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</si>
  <si>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</si>
  <si>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</si>
  <si>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</si>
  <si>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</si>
  <si>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</si>
  <si>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</si>
  <si>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</si>
  <si>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</si>
  <si>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</si>
  <si>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</si>
  <si>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</si>
  <si>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</si>
  <si>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</si>
  <si>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</si>
  <si>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</si>
  <si>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</si>
  <si>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</si>
  <si>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</si>
  <si>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</si>
  <si>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</si>
  <si>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</si>
  <si>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</si>
  <si>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</si>
  <si>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</si>
  <si>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</si>
  <si>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</si>
  <si>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</si>
  <si>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</si>
  <si>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</si>
  <si>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</si>
  <si>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</si>
  <si>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</si>
  <si>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</si>
  <si>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</si>
  <si>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</si>
  <si>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</si>
  <si>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</si>
  <si>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</si>
  <si>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</si>
  <si>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</si>
  <si>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</si>
  <si>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</si>
  <si>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</si>
  <si>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</si>
  <si>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</si>
  <si>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</si>
  <si>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</si>
  <si>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</si>
  <si>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</si>
  <si>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</si>
  <si>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</si>
  <si>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</si>
  <si>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</si>
  <si>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</si>
  <si>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</si>
  <si>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</si>
  <si>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</si>
  <si>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</si>
  <si>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</si>
  <si>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</si>
  <si>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</si>
  <si>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</si>
  <si>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</si>
  <si>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</si>
  <si>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</si>
  <si>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</si>
  <si>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</si>
  <si>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</si>
  <si>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</si>
  <si>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</si>
  <si>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</si>
  <si>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</si>
  <si>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</si>
  <si>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</si>
  <si>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</si>
  <si>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</si>
  <si>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</si>
  <si>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</si>
  <si>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</si>
  <si>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</si>
  <si>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</si>
  <si>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</si>
  <si>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</si>
  <si>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</si>
  <si>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</si>
  <si>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</si>
  <si>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</si>
  <si>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</si>
  <si>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</si>
  <si>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</si>
  <si>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</si>
  <si>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</si>
  <si>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</si>
  <si>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</si>
  <si>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</si>
  <si>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</si>
  <si>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</si>
  <si>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</si>
  <si>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</si>
  <si>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</si>
  <si>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</si>
  <si>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</si>
  <si>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</si>
  <si>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</si>
  <si>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</si>
  <si>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</si>
  <si>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</si>
  <si>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</si>
  <si>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</si>
  <si>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</si>
  <si>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</si>
  <si>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</si>
  <si>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</si>
  <si>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</si>
  <si>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</si>
  <si>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</si>
  <si>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</si>
  <si>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</si>
  <si>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</si>
  <si>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</si>
  <si>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</si>
  <si>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</si>
  <si>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</si>
  <si>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</si>
  <si>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</si>
  <si>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</si>
  <si>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</si>
  <si>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</si>
  <si>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</si>
  <si>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</si>
  <si>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</si>
  <si>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</si>
  <si>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</si>
  <si>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</si>
  <si>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</si>
  <si>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</si>
  <si>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</si>
  <si>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</si>
  <si>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</si>
  <si>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</si>
  <si>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</si>
  <si>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</si>
  <si>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</si>
  <si>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</si>
  <si>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</si>
  <si>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</si>
  <si>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</si>
  <si>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</si>
  <si>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</si>
  <si>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</si>
  <si>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</si>
  <si>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</si>
  <si>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</si>
  <si>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</si>
  <si>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</si>
  <si>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</si>
  <si>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</si>
  <si>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</si>
  <si>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</si>
  <si>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</si>
  <si>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</si>
  <si>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</si>
  <si>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</si>
  <si>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</si>
  <si>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</si>
  <si>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</si>
  <si>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</si>
  <si>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</si>
  <si>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</si>
  <si>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</si>
  <si>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</si>
  <si>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</si>
  <si>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</si>
  <si>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</si>
  <si>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</si>
  <si>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</si>
  <si>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</si>
  <si>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</si>
  <si>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</si>
  <si>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</si>
  <si>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</si>
  <si>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</si>
  <si>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</si>
  <si>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</si>
  <si>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</si>
  <si>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</si>
  <si>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</si>
  <si>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</si>
  <si>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</si>
  <si>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</si>
  <si>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</si>
  <si>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</si>
  <si>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</si>
  <si>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</si>
  <si>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</si>
  <si>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</si>
  <si>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</si>
  <si>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</si>
  <si>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</si>
  <si>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</si>
  <si>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</si>
  <si>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</si>
  <si>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</si>
  <si>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</si>
  <si>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</si>
  <si>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</si>
  <si>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</si>
  <si>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</si>
  <si>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</si>
  <si>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</si>
  <si>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</si>
  <si>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</si>
  <si>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</si>
  <si>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</si>
  <si>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</si>
  <si>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</si>
  <si>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</si>
  <si>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</si>
  <si>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</si>
  <si>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</si>
  <si>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</si>
  <si>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</si>
  <si>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</si>
  <si>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</si>
  <si>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</si>
  <si>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</si>
  <si>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</si>
  <si>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</si>
  <si>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</si>
  <si>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</si>
  <si>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</si>
  <si>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</si>
  <si>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</si>
  <si>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</si>
  <si>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</si>
  <si>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</si>
  <si>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</si>
  <si>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</si>
  <si>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</si>
  <si>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</si>
  <si>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</si>
  <si>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</si>
  <si>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</si>
  <si>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</si>
  <si>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</si>
  <si>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</si>
  <si>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</si>
  <si>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</si>
  <si>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</si>
  <si>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</si>
  <si>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</si>
  <si>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</si>
  <si>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</si>
  <si>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</si>
  <si>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</si>
  <si>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</si>
  <si>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</si>
  <si>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</si>
  <si>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</si>
  <si>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</si>
  <si>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</si>
  <si>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</si>
  <si>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</si>
  <si>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</si>
  <si>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</si>
  <si>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</si>
  <si>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</si>
  <si>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</si>
  <si>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</si>
  <si>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</si>
  <si>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</si>
  <si>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</si>
  <si>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</si>
  <si>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</si>
  <si>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</si>
  <si>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</si>
  <si>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</si>
  <si>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</si>
  <si>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</si>
  <si>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</si>
  <si>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</si>
  <si>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</si>
  <si>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</si>
  <si>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</si>
  <si>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</si>
  <si>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</si>
  <si>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</si>
  <si>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</si>
  <si>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</si>
  <si>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</si>
  <si>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</si>
  <si>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</si>
  <si>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</si>
  <si>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</si>
  <si>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</si>
  <si>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</si>
  <si>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</si>
  <si>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</si>
  <si>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</si>
  <si>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</si>
  <si>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</si>
  <si>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</si>
  <si>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</si>
  <si>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</si>
  <si>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</si>
  <si>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</si>
  <si>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</si>
  <si>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</si>
  <si>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</si>
  <si>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</si>
  <si>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</si>
  <si>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</si>
  <si>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</si>
  <si>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</si>
  <si>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</si>
  <si>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</si>
  <si>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</si>
  <si>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</si>
  <si>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</si>
  <si>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</si>
  <si>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</si>
  <si>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</si>
  <si>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</si>
  <si>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</si>
  <si>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</si>
  <si>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</si>
  <si>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</si>
  <si>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</si>
  <si>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</si>
  <si>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</si>
  <si>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</si>
  <si>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</si>
  <si>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</si>
  <si>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</si>
  <si>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</si>
  <si>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</si>
  <si>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</si>
  <si>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</si>
  <si>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</si>
  <si>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</si>
  <si>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</si>
  <si>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</si>
  <si>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</si>
  <si>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</si>
  <si>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</si>
  <si>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</si>
  <si>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</si>
  <si>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</si>
  <si>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</si>
  <si>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</si>
  <si>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</si>
  <si>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</si>
  <si>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</si>
  <si>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</si>
  <si>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</si>
  <si>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</si>
  <si>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</si>
  <si>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</si>
  <si>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</si>
  <si>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</si>
  <si>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</si>
  <si>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</si>
  <si>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</si>
  <si>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</si>
  <si>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</si>
  <si>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</si>
  <si>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</si>
  <si>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</si>
  <si>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</si>
  <si>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</si>
  <si>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</si>
  <si>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</si>
  <si>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</si>
  <si>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</si>
  <si>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</si>
  <si>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</si>
  <si>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</si>
  <si>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</si>
  <si>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</si>
  <si>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</si>
  <si>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</si>
  <si>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</si>
  <si>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</si>
  <si>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</si>
  <si>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</si>
  <si>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</si>
  <si>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</si>
  <si>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</si>
  <si>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</si>
  <si>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</si>
  <si>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</si>
  <si>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</si>
  <si>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</si>
  <si>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</si>
  <si>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</si>
  <si>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</si>
  <si>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</si>
  <si>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</si>
  <si>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</si>
  <si>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</si>
  <si>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</si>
  <si>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</si>
  <si>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</si>
  <si>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</si>
  <si>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</si>
  <si>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</si>
  <si>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</si>
  <si>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</si>
  <si>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</si>
  <si>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</si>
  <si>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</si>
  <si>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</si>
  <si>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</si>
  <si>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</si>
  <si>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</si>
  <si>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</si>
  <si>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</si>
  <si>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</si>
  <si>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</si>
  <si>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</si>
  <si>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</si>
  <si>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</si>
  <si>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</si>
  <si>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</si>
  <si>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</si>
  <si>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</si>
  <si>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</si>
  <si>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</si>
  <si>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</si>
  <si>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</si>
  <si>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</si>
  <si>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</si>
  <si>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</si>
  <si>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</si>
  <si>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</si>
  <si>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</si>
  <si>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</si>
  <si>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</si>
  <si>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</si>
  <si>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</si>
  <si>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</si>
  <si>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</si>
  <si>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</si>
  <si>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</si>
  <si>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</si>
  <si>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</si>
  <si>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</si>
  <si>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</si>
  <si>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</si>
  <si>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</si>
  <si>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</si>
  <si>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</si>
  <si>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</si>
  <si>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</si>
  <si>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</si>
  <si>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</si>
  <si>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</si>
  <si>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</si>
  <si>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</si>
  <si>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</si>
  <si>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</si>
  <si>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</si>
  <si>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</si>
  <si>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</si>
  <si>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</si>
  <si>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</si>
  <si>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</si>
  <si>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</si>
  <si>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</si>
  <si>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</si>
  <si>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</si>
  <si>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</si>
  <si>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</si>
  <si>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</si>
  <si>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</si>
  <si>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</si>
  <si>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</si>
  <si>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</si>
  <si>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</si>
  <si>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</si>
  <si>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</si>
  <si>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</si>
  <si>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</si>
  <si>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</si>
  <si>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</si>
  <si>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</si>
  <si>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</si>
  <si>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</si>
  <si>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</si>
  <si>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</si>
  <si>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</si>
  <si>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</si>
  <si>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</si>
  <si>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</si>
  <si>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</si>
  <si>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</si>
  <si>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</si>
  <si>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</si>
  <si>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</si>
  <si>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</si>
  <si>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</si>
  <si>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</si>
  <si>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</si>
  <si>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</si>
  <si>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</si>
  <si>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</si>
  <si>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</si>
  <si>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</si>
  <si>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</si>
  <si>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</si>
  <si>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</si>
  <si>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</si>
  <si>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</si>
  <si>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</si>
  <si>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</si>
  <si>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</si>
  <si>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</si>
  <si>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</si>
  <si>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</si>
  <si>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</si>
  <si>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</si>
  <si>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</si>
  <si>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</si>
  <si>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</si>
  <si>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</si>
  <si>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</si>
  <si>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</si>
  <si>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</si>
  <si>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</si>
  <si>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</si>
  <si>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</si>
  <si>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</si>
  <si>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</si>
  <si>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</si>
  <si>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</si>
  <si>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</si>
  <si>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</si>
  <si>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</si>
  <si>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</si>
  <si>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</si>
  <si>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</si>
  <si>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</si>
  <si>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</si>
  <si>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</si>
  <si>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</si>
  <si>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</si>
  <si>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</si>
  <si>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</si>
  <si>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</si>
  <si>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</si>
  <si>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</si>
  <si>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</si>
  <si>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</si>
  <si>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</si>
  <si>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</si>
  <si>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</si>
  <si>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</si>
  <si>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</si>
  <si>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</si>
  <si>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</si>
  <si>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</si>
  <si>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</si>
  <si>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</si>
  <si>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</si>
  <si>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</si>
  <si>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</si>
  <si>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</si>
  <si>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</si>
  <si>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</si>
  <si>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</si>
  <si>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</si>
  <si>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</si>
  <si>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</si>
  <si>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</si>
  <si>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</si>
  <si>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</si>
  <si>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</si>
  <si>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</si>
  <si>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</si>
  <si>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</si>
  <si>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</si>
  <si>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</si>
  <si>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</si>
  <si>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</si>
  <si>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</si>
  <si>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</si>
  <si>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</si>
  <si>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</si>
  <si>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</si>
  <si>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</si>
  <si>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</si>
  <si>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</si>
  <si>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</si>
  <si>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</si>
  <si>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</si>
  <si>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</si>
  <si>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</si>
  <si>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</si>
  <si>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</si>
  <si>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</si>
  <si>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</si>
  <si>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</si>
  <si>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</si>
  <si>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</si>
  <si>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</si>
  <si>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</si>
  <si>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</si>
  <si>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</si>
  <si>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</si>
  <si>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</si>
  <si>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</si>
  <si>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</si>
  <si>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</si>
  <si>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</si>
  <si>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</si>
  <si>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</si>
  <si>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</si>
  <si>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</si>
  <si>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</si>
  <si>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</si>
  <si>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</si>
  <si>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</si>
  <si>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</si>
  <si>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</si>
  <si>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</si>
  <si>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</si>
  <si>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</si>
  <si>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</si>
  <si>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</si>
  <si>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</si>
  <si>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</si>
  <si>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</si>
  <si>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</si>
  <si>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</si>
  <si>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</si>
  <si>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</si>
  <si>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</si>
  <si>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</si>
  <si>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</si>
  <si>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</si>
  <si>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</si>
  <si>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</si>
  <si>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</si>
  <si>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</si>
  <si>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</si>
  <si>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</si>
  <si>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</si>
  <si>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</si>
  <si>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</si>
  <si>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</si>
  <si>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</si>
  <si>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</si>
  <si>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</si>
  <si>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</si>
  <si>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</si>
  <si>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</si>
  <si>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</si>
  <si>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</si>
  <si>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</si>
  <si>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</si>
  <si>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</si>
  <si>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</si>
  <si>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</si>
  <si>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</si>
  <si>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</si>
  <si>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</si>
  <si>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</si>
  <si>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</si>
  <si>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</si>
  <si>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</si>
  <si>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</si>
  <si>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</si>
  <si>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</si>
  <si>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</si>
  <si>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</si>
  <si>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</si>
  <si>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</si>
  <si>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</si>
  <si>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</si>
  <si>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</si>
  <si>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</si>
  <si>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</si>
  <si>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</si>
  <si>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</si>
  <si>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</si>
  <si>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</si>
  <si>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</si>
  <si>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</si>
  <si>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</si>
  <si>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</si>
  <si>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</si>
  <si>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</si>
  <si>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</si>
  <si>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</si>
  <si>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</si>
  <si>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</si>
  <si>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</si>
  <si>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</si>
  <si>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</si>
  <si>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</si>
  <si>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</si>
  <si>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</si>
  <si>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</si>
  <si>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</si>
  <si>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</si>
  <si>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</si>
  <si>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</si>
  <si>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</si>
  <si>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</si>
  <si>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</si>
  <si>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</si>
  <si>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</si>
  <si>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</si>
  <si>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</si>
  <si>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</si>
  <si>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</si>
  <si>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</si>
  <si>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</si>
  <si>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</si>
  <si>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</si>
  <si>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</si>
  <si>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</si>
  <si>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</si>
  <si>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</si>
  <si>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</si>
  <si>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</si>
  <si>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</si>
  <si>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</si>
  <si>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</si>
  <si>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</si>
  <si>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</si>
  <si>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</si>
  <si>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</si>
  <si>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</si>
  <si>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</si>
  <si>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</si>
  <si>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</si>
  <si>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</si>
  <si>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</si>
  <si>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</si>
  <si>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</si>
  <si>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</si>
  <si>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</si>
  <si>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</si>
  <si>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</si>
  <si>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</si>
  <si>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</si>
  <si>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</si>
  <si>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</si>
  <si>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</si>
  <si>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</si>
  <si>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</si>
  <si>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</si>
  <si>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</si>
  <si>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</si>
  <si>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</si>
  <si>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</si>
  <si>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</si>
  <si>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</si>
  <si>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</si>
  <si>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</si>
  <si>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</si>
  <si>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</si>
  <si>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</si>
  <si>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</si>
  <si>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</si>
  <si>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</si>
  <si>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</si>
  <si>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</si>
  <si>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</si>
  <si>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</si>
  <si>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</si>
  <si>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</si>
  <si>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</si>
  <si>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</si>
  <si>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</si>
  <si>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</si>
  <si>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</si>
  <si>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</si>
  <si>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</si>
  <si>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</si>
  <si>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</si>
  <si>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</si>
  <si>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</si>
  <si>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</si>
  <si>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</si>
  <si>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</si>
  <si>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</si>
  <si>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</si>
  <si>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</si>
  <si>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</si>
  <si>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</si>
  <si>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</si>
  <si>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</si>
  <si>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</si>
  <si>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</si>
  <si>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</si>
  <si>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</si>
  <si>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</si>
  <si>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</si>
  <si>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</si>
  <si>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</si>
  <si>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</si>
  <si>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</si>
  <si>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</si>
  <si>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</si>
  <si>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</si>
  <si>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</si>
  <si>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</si>
  <si>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</si>
  <si>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</si>
  <si>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</si>
  <si>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</si>
  <si>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</si>
  <si>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</si>
  <si>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</si>
  <si>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</si>
  <si>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</si>
  <si>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</si>
  <si>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</si>
  <si>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</si>
  <si>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</si>
  <si>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</si>
  <si>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</si>
  <si>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</si>
  <si>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</si>
  <si>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</si>
  <si>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</si>
  <si>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</si>
  <si>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</si>
  <si>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</si>
  <si>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</si>
  <si>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</si>
  <si>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</si>
  <si>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</si>
  <si>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</si>
  <si>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</si>
  <si>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</si>
  <si>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</si>
  <si>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</si>
  <si>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</si>
  <si>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</si>
  <si>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</si>
  <si>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</si>
  <si>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</si>
  <si>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</si>
  <si>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Linc Housing Corporation (as Sole Member and Manager of Linc I Street Apts LLC, the Managing General Partner of Linc I Street Apts, LP)</t>
  </si>
  <si>
    <t>I Street, Merced</t>
  </si>
  <si>
    <t>March</t>
  </si>
  <si>
    <t>Long Beach</t>
  </si>
  <si>
    <t>Anders Plett</t>
  </si>
  <si>
    <t>Senior Vice President of Housing Development</t>
  </si>
  <si>
    <t>City of Merced</t>
  </si>
  <si>
    <t>Scott McBride</t>
  </si>
  <si>
    <t>678 West 18th Street</t>
  </si>
  <si>
    <t>(209) 385-6834</t>
  </si>
  <si>
    <t>mcbrides@cityofmerced.org</t>
  </si>
  <si>
    <t>1823 &amp; 1815 I Street, 205 &amp; 211 W. 18th St., 202 W. 19th St.</t>
  </si>
  <si>
    <t>031-074-010, 031-074-011, 031-074-009, 031-074-008, &amp; 031-074-012</t>
  </si>
  <si>
    <t>40%/60% Average Income</t>
  </si>
  <si>
    <t>62+</t>
  </si>
  <si>
    <t>3590 Elm Avenue</t>
  </si>
  <si>
    <t>CA</t>
  </si>
  <si>
    <t>562-684-1100</t>
  </si>
  <si>
    <t>aplett@linchousing.org</t>
  </si>
  <si>
    <t>Linc Housing Corporation</t>
  </si>
  <si>
    <t xml:space="preserve">Linc I Street Apts LLC </t>
  </si>
  <si>
    <t>Managing GP</t>
  </si>
  <si>
    <t>Dani Morales</t>
  </si>
  <si>
    <t>dmorales@linchousing.org</t>
  </si>
  <si>
    <t>Project Manager</t>
  </si>
  <si>
    <t>Long Beach, CA 90807</t>
  </si>
  <si>
    <t>BSB Design, Inc</t>
  </si>
  <si>
    <t>970 W 190th Street, Suite 250</t>
  </si>
  <si>
    <t>Torrance, CA 90502</t>
  </si>
  <si>
    <t xml:space="preserve">Jim Williams </t>
  </si>
  <si>
    <t xml:space="preserve">310-217-8885 </t>
  </si>
  <si>
    <t>jwilliams@bsbdesign.com</t>
  </si>
  <si>
    <t>Gubb and Barshay, LLP</t>
  </si>
  <si>
    <t>235 Montgomery St., Suite 1110</t>
  </si>
  <si>
    <t>San Francisco, CA 94104</t>
  </si>
  <si>
    <t>Henry Loh II</t>
  </si>
  <si>
    <t>415-781-6600</t>
  </si>
  <si>
    <t>hloh@gubbandbarshay.com</t>
  </si>
  <si>
    <t>TBD</t>
  </si>
  <si>
    <t>Holthouse Carlin &amp; Van Trigt LLP</t>
  </si>
  <si>
    <t>400 W Ventura Blvd., Suite #250</t>
  </si>
  <si>
    <t>Camarillo, CA 93010</t>
  </si>
  <si>
    <t>David Bierhorst</t>
  </si>
  <si>
    <t>805-374-8555</t>
  </si>
  <si>
    <t>805-413-1749</t>
  </si>
  <si>
    <t>daveb@hcvt.com</t>
  </si>
  <si>
    <t>California Housing Partnership</t>
  </si>
  <si>
    <t>600 Wilshire Blvd., Suite 890</t>
  </si>
  <si>
    <t>Los Angeles, CA 90017</t>
  </si>
  <si>
    <t>Chad Horsford</t>
  </si>
  <si>
    <t>‪(415) 433-6804</t>
  </si>
  <si>
    <t xml:space="preserve">chorsford@chpc.net  </t>
  </si>
  <si>
    <t>Raymond James Housing Investments, Inc.</t>
  </si>
  <si>
    <t>5420 La Jolla Blvd., #B104</t>
  </si>
  <si>
    <t>La Jolla, CA 92037</t>
  </si>
  <si>
    <t>Kevin Kilbane</t>
  </si>
  <si>
    <t>216-509-1342</t>
  </si>
  <si>
    <t>kevin.kilbane@raymondjames.com</t>
  </si>
  <si>
    <t>Novogradac &amp; Company LLP</t>
  </si>
  <si>
    <t>6700 Antioch Road, Ste. 450</t>
  </si>
  <si>
    <t>Merriam, Kansas 66204</t>
  </si>
  <si>
    <t>Rachel Denton</t>
  </si>
  <si>
    <t>913-312-4612</t>
  </si>
  <si>
    <t>rachel.denton@novoco.com</t>
  </si>
  <si>
    <t>Not applicable</t>
  </si>
  <si>
    <t>Buss-Shelger Associates</t>
  </si>
  <si>
    <t>970 W. 190ths St., Suite 350</t>
  </si>
  <si>
    <t>Ronald L. Buss</t>
  </si>
  <si>
    <t>WinnResidential</t>
  </si>
  <si>
    <t>2499 W Shaw Ave, Suite #103</t>
  </si>
  <si>
    <t>Fresno, CA 93711</t>
  </si>
  <si>
    <t>Oke Johnson</t>
  </si>
  <si>
    <t>213-388-7272</t>
  </si>
  <si>
    <t>213-254-9032</t>
  </si>
  <si>
    <t>bussshelger@pacbell.net</t>
  </si>
  <si>
    <t>(571) 237-2044</t>
  </si>
  <si>
    <t>okejohnson@winnco.com</t>
  </si>
  <si>
    <t>Maria Marquez</t>
  </si>
  <si>
    <t>maria@linchousing.org</t>
  </si>
  <si>
    <t>678 West 18th Street, Merced, CA 95340</t>
  </si>
  <si>
    <t>Inner City Infill Site</t>
  </si>
  <si>
    <t>Seniors (26) &amp; Older Adults in Need of Supportive Services (27)</t>
  </si>
  <si>
    <t>We anticipate this project to be all seniors (55-62+), with 26 of those units being set aside for Older Adults in Need of Supportive Services.</t>
  </si>
  <si>
    <t>Residential</t>
  </si>
  <si>
    <t>R4 Multi-Family Residential Zone (unlimited density, AB1763)</t>
  </si>
  <si>
    <t>Density Bonus, 31 bonus units and State Density Bonus laws eliminates parking requirements since development is within one half-mile of public transit.</t>
  </si>
  <si>
    <t>40' per code, 44' with Density Bonus</t>
  </si>
  <si>
    <t>Entitlements</t>
  </si>
  <si>
    <t>Construction Loan</t>
  </si>
  <si>
    <t>Variable</t>
  </si>
  <si>
    <t>Alliance Housing Fund</t>
  </si>
  <si>
    <t>Fixed</t>
  </si>
  <si>
    <t>REAP: Regional Competitiveness Grant</t>
  </si>
  <si>
    <t>City of Merced PLHA</t>
  </si>
  <si>
    <t>City of Merced-Value of Donated Land</t>
  </si>
  <si>
    <t>Impact Fee Waiver</t>
  </si>
  <si>
    <t>Tax Credit Equity</t>
  </si>
  <si>
    <t>Cost Deferred Until Completion</t>
  </si>
  <si>
    <t>300 South Grand Avenue suite 3110</t>
  </si>
  <si>
    <t xml:space="preserve">Los Angeles </t>
  </si>
  <si>
    <t xml:space="preserve">Hao Li </t>
  </si>
  <si>
    <t>Construction</t>
  </si>
  <si>
    <t>530 West 16th Street, Suite B</t>
  </si>
  <si>
    <t>Kristynn Sullivan</t>
  </si>
  <si>
    <t>Construction/Permanent</t>
  </si>
  <si>
    <t>Scott McBridge</t>
  </si>
  <si>
    <t>333 Bush Street, Suite 2700</t>
  </si>
  <si>
    <t>Sara Perez</t>
  </si>
  <si>
    <t>(415) 616-2597</t>
  </si>
  <si>
    <t>5420 La Jolla Blvd, B 104</t>
  </si>
  <si>
    <t>La Jolla, CA 92307</t>
  </si>
  <si>
    <t>3590 Elm Ave</t>
  </si>
  <si>
    <t>Costs Deferral</t>
  </si>
  <si>
    <t>(216) 509-1342</t>
  </si>
  <si>
    <t>(562) 564-1131</t>
  </si>
  <si>
    <t>(213) 239-1914</t>
  </si>
  <si>
    <t>Permanent Loan</t>
  </si>
  <si>
    <t>(209) 381-5300</t>
  </si>
  <si>
    <t>Merced Irrigation District Electric Charge, Refrigerator</t>
  </si>
  <si>
    <t>Misc Admin/Telephone</t>
  </si>
  <si>
    <t>Payroll taxes/benefits</t>
  </si>
  <si>
    <t>Misc Expenses</t>
  </si>
  <si>
    <t>Franchise Taxes</t>
  </si>
  <si>
    <t>REAP: Regional Competitiveness Grant, Alliance Housing Fund Grant</t>
  </si>
  <si>
    <t xml:space="preserve">Housing Authority of the County of Merced </t>
  </si>
  <si>
    <t>Project-based vouchers (PBVs)</t>
  </si>
  <si>
    <t xml:space="preserve">Housing Authority of County of Merced </t>
  </si>
  <si>
    <t>Green, Prevailing Wage Monitoring</t>
  </si>
  <si>
    <t>Deputy Inspections, Utility Fees</t>
  </si>
  <si>
    <t>Security</t>
  </si>
  <si>
    <t>Project-based Section 8 from the Housing Authority of the County of Merced</t>
  </si>
  <si>
    <t>Transit Merced Route M4/M6, Stop ID: 5241</t>
  </si>
  <si>
    <t>G St. at Yosemite Ave.</t>
  </si>
  <si>
    <t>Merced, 95340</t>
  </si>
  <si>
    <t>Executive Director</t>
  </si>
  <si>
    <t>https://www.mcagov.org/242/Staff-Directory</t>
  </si>
  <si>
    <t>0.20 miles</t>
  </si>
  <si>
    <t xml:space="preserve">(209) 723-3153 </t>
  </si>
  <si>
    <t xml:space="preserve">McNamara Park </t>
  </si>
  <si>
    <t>1040 Canal St.</t>
  </si>
  <si>
    <t>Merced, 95341</t>
  </si>
  <si>
    <t>Director of Parks &amp; Community Services</t>
  </si>
  <si>
    <t>https://www.cityofmerced.org/Home/Components/FacilityDirectory/Facilit</t>
  </si>
  <si>
    <t>0.70 miles</t>
  </si>
  <si>
    <t>(209) 385-6855</t>
  </si>
  <si>
    <t xml:space="preserve">Merced County Library </t>
  </si>
  <si>
    <t>2100 O St.</t>
  </si>
  <si>
    <t xml:space="preserve">County Librarian </t>
  </si>
  <si>
    <t>https://www.countyofmerced.com/Directory.aspx?did=220</t>
  </si>
  <si>
    <t>(209) 385-7484</t>
  </si>
  <si>
    <t xml:space="preserve">Dignity Health Family Care Clinic </t>
  </si>
  <si>
    <t>315 E 13th St.</t>
  </si>
  <si>
    <t>Adminstrator</t>
  </si>
  <si>
    <t>https://locations.dignityhealth.org/family-care-clinic?utm_source=LocalSearch&amp;utm_medium=Facility&amp;utm&amp;y_source=1_</t>
  </si>
  <si>
    <t>(209) 564-4500</t>
  </si>
  <si>
    <t xml:space="preserve">Merced Drug </t>
  </si>
  <si>
    <t>35 16th St.</t>
  </si>
  <si>
    <t>0.27 miles</t>
  </si>
  <si>
    <t>(209) 388-1080</t>
  </si>
  <si>
    <t>1 bedroom</t>
  </si>
  <si>
    <t>(562) 684-1179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</si>
</sst>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3519">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43" fontId="64" fillId="0" borderId="0" applyFont="0" applyFill="0" applyBorder="0" applyAlignment="0" applyProtection="0"/>
    <xf numFmtId="44" fontId="5"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alignment vertical="top"/>
    </xf>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7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80" fillId="0" borderId="0" applyNumberFormat="0" applyFill="0" applyBorder="0" applyAlignment="0" applyProtection="0">
      <alignment vertical="top"/>
      <protection locked="0"/>
    </xf>
    <xf numFmtId="0" fontId="97" fillId="42" borderId="33" applyNumberFormat="0" applyAlignment="0" applyProtection="0"/>
    <xf numFmtId="0" fontId="7" fillId="0" borderId="0" applyNumberFormat="0" applyBorder="0"/>
    <xf numFmtId="0" fontId="8" fillId="0" borderId="0" applyBorder="0" applyAlignment="0"/>
    <xf numFmtId="0" fontId="9"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4" fillId="0" borderId="0"/>
    <xf numFmtId="0" fontId="100" fillId="0" borderId="0"/>
    <xf numFmtId="0" fontId="64" fillId="0" borderId="0"/>
    <xf numFmtId="0" fontId="64" fillId="0" borderId="0"/>
    <xf numFmtId="0" fontId="14"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4" fillId="0" borderId="0"/>
    <xf numFmtId="170" fontId="65" fillId="0" borderId="0"/>
    <xf numFmtId="0" fontId="87" fillId="0" borderId="0"/>
    <xf numFmtId="0" fontId="14" fillId="0" borderId="0"/>
    <xf numFmtId="0" fontId="14" fillId="0" borderId="0"/>
    <xf numFmtId="0" fontId="70" fillId="0" borderId="0"/>
    <xf numFmtId="0" fontId="64" fillId="0" borderId="0"/>
    <xf numFmtId="0" fontId="70" fillId="0" borderId="0"/>
    <xf numFmtId="0" fontId="14" fillId="0" borderId="0"/>
    <xf numFmtId="0" fontId="64" fillId="0" borderId="0"/>
    <xf numFmtId="0" fontId="74" fillId="0" borderId="0"/>
    <xf numFmtId="0" fontId="64"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4" fillId="0" borderId="0"/>
    <xf numFmtId="0" fontId="87" fillId="0" borderId="0"/>
    <xf numFmtId="0" fontId="87" fillId="0" borderId="0"/>
    <xf numFmtId="0" fontId="87"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4" fillId="0" borderId="0"/>
    <xf numFmtId="0" fontId="87" fillId="0" borderId="0"/>
    <xf numFmtId="0" fontId="87" fillId="0" borderId="0"/>
    <xf numFmtId="0" fontId="87" fillId="0" borderId="0"/>
    <xf numFmtId="0" fontId="87" fillId="0" borderId="0"/>
    <xf numFmtId="0" fontId="74" fillId="0" borderId="0"/>
    <xf numFmtId="0" fontId="64" fillId="0" borderId="0">
      <alignment vertical="top"/>
    </xf>
    <xf numFmtId="0" fontId="87" fillId="0" borderId="0"/>
    <xf numFmtId="0" fontId="87" fillId="0" borderId="0"/>
    <xf numFmtId="0" fontId="87" fillId="0" borderId="0"/>
    <xf numFmtId="0" fontId="87" fillId="0" borderId="0"/>
    <xf numFmtId="0" fontId="74" fillId="0" borderId="0"/>
    <xf numFmtId="0" fontId="14" fillId="0" borderId="0"/>
    <xf numFmtId="0" fontId="87" fillId="0" borderId="0"/>
    <xf numFmtId="0" fontId="14" fillId="0" borderId="0"/>
    <xf numFmtId="0" fontId="87" fillId="0" borderId="0"/>
    <xf numFmtId="0" fontId="87" fillId="0" borderId="0"/>
    <xf numFmtId="0" fontId="87" fillId="0" borderId="0"/>
    <xf numFmtId="0" fontId="87" fillId="0" borderId="0"/>
    <xf numFmtId="0" fontId="70" fillId="0" borderId="0"/>
    <xf numFmtId="0" fontId="64" fillId="0" borderId="0">
      <alignment vertical="top"/>
    </xf>
    <xf numFmtId="0" fontId="70" fillId="0" borderId="0"/>
    <xf numFmtId="0" fontId="64" fillId="0" borderId="0">
      <alignment vertical="top"/>
    </xf>
    <xf numFmtId="0" fontId="64" fillId="0" borderId="0">
      <alignment vertical="top"/>
    </xf>
    <xf numFmtId="0" fontId="70" fillId="0" borderId="0"/>
    <xf numFmtId="0" fontId="70"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64" fillId="0" borderId="0">
      <alignment vertical="top"/>
    </xf>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4" fillId="0" borderId="0"/>
    <xf numFmtId="0" fontId="64" fillId="0" borderId="0">
      <alignment vertical="top"/>
    </xf>
    <xf numFmtId="0" fontId="64" fillId="0" borderId="0">
      <alignment vertical="top"/>
    </xf>
    <xf numFmtId="0" fontId="64" fillId="0" borderId="0"/>
    <xf numFmtId="0" fontId="64" fillId="0" borderId="0">
      <alignment vertical="top"/>
    </xf>
    <xf numFmtId="0" fontId="64" fillId="0" borderId="0"/>
    <xf numFmtId="0" fontId="6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5" fillId="0" borderId="0" applyProtection="0">
      <protection locked="0"/>
    </xf>
    <xf numFmtId="0" fontId="14" fillId="0" borderId="0" applyProtection="0">
      <protection locked="0"/>
    </xf>
    <xf numFmtId="0" fontId="14" fillId="0" borderId="0" applyProtection="0">
      <protection locked="0"/>
    </xf>
    <xf numFmtId="0" fontId="65" fillId="0" borderId="0"/>
    <xf numFmtId="0" fontId="5" fillId="0" borderId="0"/>
    <xf numFmtId="0" fontId="14" fillId="0" borderId="0"/>
    <xf numFmtId="0" fontId="7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10"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9" fontId="5" fillId="0" borderId="0" applyFont="0" applyFill="0" applyBorder="0" applyAlignment="0" applyProtection="0"/>
    <xf numFmtId="170" fontId="141" fillId="0" borderId="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2" fillId="0" borderId="0" xfId="0" applyFont="1"/>
    <xf numFmtId="0" fontId="13" fillId="0" borderId="0" xfId="0" applyFont="1"/>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4" fillId="0" borderId="0" xfId="0" applyFont="1" applyAlignment="1">
      <alignment horizontal="center"/>
    </xf>
    <xf numFmtId="0" fontId="5"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2" fillId="0" borderId="0" xfId="0" applyFont="1" applyAlignment="1">
      <alignment vertical="top" wrapText="1"/>
    </xf>
    <xf numFmtId="0" fontId="33" fillId="0" borderId="0" xfId="0" applyFont="1"/>
    <xf numFmtId="0" fontId="13" fillId="0" borderId="6" xfId="0" applyFont="1" applyBorder="1" applyAlignment="1">
      <alignment horizontal="center"/>
    </xf>
    <xf numFmtId="0" fontId="12" fillId="0" borderId="0" xfId="0" applyFont="1" applyAlignment="1">
      <alignment horizontal="center"/>
    </xf>
    <xf numFmtId="0" fontId="13" fillId="0" borderId="0" xfId="0" applyFont="1" applyAlignment="1">
      <alignment horizontal="left" vertical="top"/>
    </xf>
    <xf numFmtId="0" fontId="22" fillId="0" borderId="0" xfId="0" applyFont="1"/>
    <xf numFmtId="0" fontId="5" fillId="0" borderId="0" xfId="546"/>
    <xf numFmtId="0" fontId="32" fillId="0" borderId="0" xfId="0" applyFont="1"/>
    <xf numFmtId="0" fontId="11" fillId="0" borderId="0" xfId="0" applyFont="1" applyAlignment="1">
      <alignment horizontal="center" vertical="center"/>
    </xf>
    <xf numFmtId="0" fontId="14" fillId="0" borderId="0" xfId="0" applyFont="1" applyAlignment="1">
      <alignment horizontal="left" vertical="top" wrapText="1"/>
    </xf>
    <xf numFmtId="0" fontId="21" fillId="0" borderId="0" xfId="0" applyFont="1"/>
    <xf numFmtId="0" fontId="13"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indent="4"/>
    </xf>
    <xf numFmtId="0" fontId="13" fillId="0" borderId="0" xfId="0" applyFont="1" applyAlignment="1">
      <alignment horizontal="left"/>
    </xf>
    <xf numFmtId="0" fontId="26" fillId="0" borderId="0" xfId="546" applyFont="1"/>
    <xf numFmtId="1" fontId="13" fillId="0" borderId="0" xfId="0" applyNumberFormat="1" applyFont="1" applyAlignment="1">
      <alignment horizontal="left"/>
    </xf>
    <xf numFmtId="0" fontId="15" fillId="0" borderId="0" xfId="0" applyFont="1"/>
    <xf numFmtId="1" fontId="13" fillId="0" borderId="0" xfId="0" applyNumberFormat="1" applyFont="1" applyAlignment="1">
      <alignment horizontal="right"/>
    </xf>
    <xf numFmtId="0" fontId="0" fillId="0" borderId="0" xfId="0" applyAlignment="1">
      <alignment horizontal="right"/>
    </xf>
    <xf numFmtId="0" fontId="13" fillId="0" borderId="0" xfId="0" applyFont="1" applyAlignment="1">
      <alignment horizontal="right"/>
    </xf>
    <xf numFmtId="0" fontId="25" fillId="0" borderId="0" xfId="0" applyFont="1"/>
    <xf numFmtId="0" fontId="17" fillId="0" borderId="0" xfId="0" applyFont="1"/>
    <xf numFmtId="173" fontId="5" fillId="0" borderId="0" xfId="546" applyNumberFormat="1"/>
    <xf numFmtId="9" fontId="5" fillId="0" borderId="0" xfId="546" applyNumberFormat="1" applyAlignment="1">
      <alignment horizontal="left"/>
    </xf>
    <xf numFmtId="169" fontId="5" fillId="0" borderId="0" xfId="546" applyNumberFormat="1"/>
    <xf numFmtId="0" fontId="5" fillId="0" borderId="0" xfId="0" applyFont="1"/>
    <xf numFmtId="0" fontId="14" fillId="0" borderId="0" xfId="0" applyFont="1" applyAlignment="1">
      <alignment horizontal="right"/>
    </xf>
    <xf numFmtId="0" fontId="34" fillId="0" borderId="0" xfId="0" applyFont="1"/>
    <xf numFmtId="0" fontId="14" fillId="0" borderId="0" xfId="0" applyFont="1" applyAlignment="1">
      <alignment horizontal="left"/>
    </xf>
    <xf numFmtId="0" fontId="16" fillId="0" borderId="0" xfId="0" applyFont="1"/>
    <xf numFmtId="0" fontId="18" fillId="0" borderId="0" xfId="0" applyFont="1"/>
    <xf numFmtId="0" fontId="12"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2" fillId="0" borderId="1" xfId="0" applyFont="1" applyBorder="1" applyAlignment="1">
      <alignment horizontal="center" wrapText="1"/>
    </xf>
    <xf numFmtId="0" fontId="12"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2" fillId="0" borderId="4" xfId="0" applyFont="1" applyBorder="1" applyAlignment="1">
      <alignment horizontal="center"/>
    </xf>
    <xf numFmtId="0" fontId="22" fillId="0" borderId="3" xfId="0" applyFont="1" applyBorder="1" applyAlignment="1">
      <alignment horizontal="left"/>
    </xf>
    <xf numFmtId="0" fontId="22" fillId="0" borderId="9" xfId="0" applyFont="1" applyBorder="1" applyAlignment="1">
      <alignment horizontal="left"/>
    </xf>
    <xf numFmtId="0" fontId="12" fillId="0" borderId="4" xfId="0" applyFont="1" applyBorder="1" applyAlignment="1">
      <alignment horizontal="right"/>
    </xf>
    <xf numFmtId="0" fontId="12" fillId="0" borderId="8" xfId="0" applyFont="1" applyBorder="1" applyAlignment="1">
      <alignment horizontal="right"/>
    </xf>
    <xf numFmtId="0" fontId="22" fillId="0" borderId="0" xfId="0" applyFont="1" applyAlignment="1">
      <alignment horizontal="left"/>
    </xf>
    <xf numFmtId="0" fontId="12" fillId="0" borderId="0" xfId="0" applyFont="1" applyAlignment="1">
      <alignment horizontal="right"/>
    </xf>
    <xf numFmtId="0" fontId="12"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0" borderId="12" xfId="0" applyFont="1" applyBorder="1" applyAlignment="1">
      <alignment horizontal="left"/>
    </xf>
    <xf numFmtId="0" fontId="12" fillId="0" borderId="9" xfId="0" applyFont="1" applyBorder="1"/>
    <xf numFmtId="164" fontId="0" fillId="0" borderId="0" xfId="0" applyNumberFormat="1" applyAlignment="1">
      <alignment horizontal="center"/>
    </xf>
    <xf numFmtId="0" fontId="0" fillId="0" borderId="13" xfId="0" applyBorder="1"/>
    <xf numFmtId="0" fontId="14" fillId="0" borderId="3" xfId="0" applyFont="1" applyBorder="1"/>
    <xf numFmtId="0" fontId="14" fillId="0" borderId="0" xfId="546" applyFont="1"/>
    <xf numFmtId="0" fontId="36" fillId="0" borderId="0" xfId="546" applyFont="1"/>
    <xf numFmtId="49" fontId="5" fillId="0" borderId="0" xfId="546" applyNumberFormat="1"/>
    <xf numFmtId="0" fontId="34" fillId="0" borderId="0" xfId="546" applyFont="1"/>
    <xf numFmtId="169" fontId="26" fillId="0" borderId="5" xfId="546" applyNumberFormat="1" applyFont="1" applyBorder="1" applyAlignment="1">
      <alignment horizontal="left"/>
    </xf>
    <xf numFmtId="169" fontId="26" fillId="0" borderId="5" xfId="546" applyNumberFormat="1" applyFont="1" applyBorder="1" applyAlignment="1">
      <alignment horizontal="center"/>
    </xf>
    <xf numFmtId="0" fontId="5" fillId="0" borderId="7" xfId="546" applyBorder="1"/>
    <xf numFmtId="0" fontId="5" fillId="0" borderId="9" xfId="546" applyBorder="1"/>
    <xf numFmtId="0" fontId="5" fillId="0" borderId="10" xfId="546" applyBorder="1"/>
    <xf numFmtId="0" fontId="5" fillId="0" borderId="1" xfId="546" applyBorder="1"/>
    <xf numFmtId="0" fontId="5" fillId="0" borderId="13" xfId="546" applyBorder="1"/>
    <xf numFmtId="0" fontId="5" fillId="0" borderId="2" xfId="546" applyBorder="1"/>
    <xf numFmtId="0" fontId="5" fillId="0" borderId="11" xfId="546" applyBorder="1"/>
    <xf numFmtId="0" fontId="25" fillId="0" borderId="0" xfId="546" applyFont="1"/>
    <xf numFmtId="0" fontId="5" fillId="0" borderId="0" xfId="546" applyAlignment="1">
      <alignment horizontal="center"/>
    </xf>
    <xf numFmtId="0" fontId="13" fillId="0" borderId="5" xfId="546" applyFont="1" applyBorder="1" applyAlignment="1">
      <alignment vertical="top" wrapText="1"/>
    </xf>
    <xf numFmtId="0" fontId="14" fillId="0" borderId="4" xfId="0" applyFont="1" applyBorder="1"/>
    <xf numFmtId="0" fontId="28" fillId="0" borderId="0" xfId="0" applyFont="1"/>
    <xf numFmtId="0" fontId="29" fillId="0" borderId="0" xfId="0" applyFont="1"/>
    <xf numFmtId="0" fontId="13" fillId="0" borderId="3" xfId="0" applyFont="1" applyBorder="1"/>
    <xf numFmtId="0" fontId="13" fillId="0" borderId="4" xfId="0" applyFont="1" applyBorder="1"/>
    <xf numFmtId="164" fontId="0" fillId="0" borderId="4" xfId="0" applyNumberFormat="1" applyBorder="1" applyAlignment="1">
      <alignment horizontal="right"/>
    </xf>
    <xf numFmtId="0" fontId="14" fillId="0" borderId="4" xfId="0" applyFont="1" applyBorder="1" applyAlignment="1">
      <alignment horizontal="right"/>
    </xf>
    <xf numFmtId="0" fontId="13" fillId="0" borderId="4" xfId="0" applyFont="1" applyBorder="1" applyAlignment="1">
      <alignment vertical="top" wrapText="1"/>
    </xf>
    <xf numFmtId="0" fontId="14" fillId="0" borderId="6" xfId="0" applyFont="1" applyBorder="1"/>
    <xf numFmtId="0" fontId="14" fillId="0" borderId="6" xfId="0" applyFont="1" applyBorder="1" applyAlignment="1">
      <alignment horizontal="left" vertical="top"/>
    </xf>
    <xf numFmtId="0" fontId="13" fillId="0" borderId="6" xfId="0" applyFont="1" applyBorder="1"/>
    <xf numFmtId="0" fontId="14"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vertical="top"/>
    </xf>
    <xf numFmtId="0" fontId="24" fillId="0" borderId="0" xfId="0" applyFont="1" applyAlignment="1">
      <alignment vertical="top" wrapText="1"/>
    </xf>
    <xf numFmtId="0" fontId="12" fillId="0" borderId="0" xfId="0" applyFont="1" applyAlignment="1">
      <alignment horizontal="left" vertical="top" wrapText="1"/>
    </xf>
    <xf numFmtId="0" fontId="24" fillId="0" borderId="0" xfId="0" applyFont="1" applyAlignment="1">
      <alignment vertical="top"/>
    </xf>
    <xf numFmtId="0" fontId="12" fillId="0" borderId="0" xfId="0" applyFont="1" applyAlignment="1">
      <alignment horizontal="center" vertical="top"/>
    </xf>
    <xf numFmtId="0" fontId="14" fillId="0" borderId="6" xfId="0" applyFont="1" applyBorder="1" applyAlignment="1">
      <alignment horizontal="center"/>
    </xf>
    <xf numFmtId="0" fontId="22" fillId="0" borderId="6" xfId="0" applyFont="1" applyBorder="1"/>
    <xf numFmtId="0" fontId="22" fillId="0" borderId="0" xfId="0" applyFont="1" applyAlignment="1">
      <alignment horizontal="right"/>
    </xf>
    <xf numFmtId="0" fontId="29" fillId="0" borderId="0" xfId="0" applyFont="1" applyAlignment="1">
      <alignment horizontal="left" vertical="top" wrapText="1"/>
    </xf>
    <xf numFmtId="0" fontId="22" fillId="0" borderId="0" xfId="0" applyFont="1" applyAlignment="1">
      <alignment horizontal="left" vertical="top"/>
    </xf>
    <xf numFmtId="0" fontId="13" fillId="0" borderId="0" xfId="0" applyFont="1" applyAlignment="1">
      <alignment vertical="top" wrapText="1" shrinkToFit="1"/>
    </xf>
    <xf numFmtId="0" fontId="30" fillId="0" borderId="0" xfId="0" applyFont="1"/>
    <xf numFmtId="0" fontId="13" fillId="0" borderId="0" xfId="0" applyFont="1" applyAlignment="1">
      <alignment horizontal="left" vertical="top" wrapText="1" shrinkToFit="1"/>
    </xf>
    <xf numFmtId="0" fontId="30" fillId="0" borderId="4" xfId="0" applyFont="1" applyBorder="1"/>
    <xf numFmtId="0" fontId="13" fillId="0" borderId="4" xfId="0" applyFont="1" applyBorder="1" applyAlignment="1">
      <alignment horizontal="left" vertical="top" wrapText="1" shrinkToFit="1"/>
    </xf>
    <xf numFmtId="0" fontId="13" fillId="0" borderId="3" xfId="0" applyFont="1" applyBorder="1" applyAlignment="1">
      <alignment horizontal="center"/>
    </xf>
    <xf numFmtId="0" fontId="13" fillId="0" borderId="0" xfId="0" applyFont="1" applyAlignment="1">
      <alignment horizontal="center"/>
    </xf>
    <xf numFmtId="0" fontId="16" fillId="0" borderId="0" xfId="0" applyFont="1" applyAlignment="1">
      <alignment horizontal="left" vertical="top"/>
    </xf>
    <xf numFmtId="0" fontId="13" fillId="0" borderId="0" xfId="0" applyFont="1" applyAlignment="1">
      <alignment horizontal="left" vertical="top" shrinkToFit="1"/>
    </xf>
    <xf numFmtId="0" fontId="16" fillId="0" borderId="4" xfId="0" applyFont="1" applyBorder="1"/>
    <xf numFmtId="0" fontId="13" fillId="0" borderId="4" xfId="0" applyFont="1" applyBorder="1" applyAlignment="1">
      <alignment horizontal="left" vertical="top" shrinkToFit="1"/>
    </xf>
    <xf numFmtId="0" fontId="13" fillId="0" borderId="4" xfId="0" applyFont="1" applyBorder="1" applyAlignment="1">
      <alignment horizontal="left" vertical="top"/>
    </xf>
    <xf numFmtId="0" fontId="31" fillId="0" borderId="0" xfId="0" applyFont="1"/>
    <xf numFmtId="0" fontId="13" fillId="0" borderId="0" xfId="0" quotePrefix="1" applyFont="1"/>
    <xf numFmtId="0" fontId="12" fillId="0" borderId="0" xfId="0" applyFont="1" applyAlignment="1">
      <alignment horizontal="left" vertical="top"/>
    </xf>
    <xf numFmtId="0" fontId="35" fillId="0" borderId="0" xfId="0" applyFont="1"/>
    <xf numFmtId="0" fontId="16" fillId="0" borderId="0" xfId="0" applyFont="1" applyAlignment="1">
      <alignment horizontal="center"/>
    </xf>
    <xf numFmtId="0" fontId="13" fillId="0" borderId="4" xfId="0" applyFont="1" applyBorder="1" applyAlignment="1">
      <alignment horizontal="left" vertical="top" wrapText="1"/>
    </xf>
    <xf numFmtId="44" fontId="13" fillId="0" borderId="0" xfId="164" applyFont="1" applyFill="1" applyBorder="1" applyAlignment="1" applyProtection="1">
      <alignment horizontal="left" vertical="top" wrapText="1"/>
    </xf>
    <xf numFmtId="44" fontId="13" fillId="0" borderId="4" xfId="164" applyFont="1" applyFill="1" applyBorder="1" applyAlignment="1" applyProtection="1">
      <alignment horizontal="left" vertical="top" wrapText="1"/>
    </xf>
    <xf numFmtId="164" fontId="35" fillId="0" borderId="0" xfId="0" applyNumberFormat="1" applyFont="1" applyAlignment="1">
      <alignment horizontal="left"/>
    </xf>
    <xf numFmtId="0" fontId="16" fillId="0" borderId="0" xfId="0" applyFont="1" applyAlignment="1">
      <alignment horizontal="left"/>
    </xf>
    <xf numFmtId="0" fontId="12" fillId="0" borderId="4" xfId="0" applyFont="1" applyBorder="1" applyAlignment="1">
      <alignment horizontal="center" vertical="top"/>
    </xf>
    <xf numFmtId="0" fontId="29" fillId="0" borderId="0" xfId="0" applyFont="1" applyAlignment="1">
      <alignment horizontal="left" vertical="top"/>
    </xf>
    <xf numFmtId="0" fontId="14" fillId="0" borderId="4" xfId="0" applyFont="1" applyBorder="1" applyAlignment="1">
      <alignment horizontal="left" vertical="top"/>
    </xf>
    <xf numFmtId="0" fontId="29" fillId="0" borderId="4" xfId="0" applyFont="1" applyBorder="1" applyAlignment="1">
      <alignment horizontal="left" vertical="top"/>
    </xf>
    <xf numFmtId="0" fontId="13" fillId="0" borderId="6" xfId="0" applyFont="1" applyBorder="1" applyAlignment="1">
      <alignment horizontal="left" vertical="top"/>
    </xf>
    <xf numFmtId="0" fontId="5" fillId="0" borderId="14" xfId="546" applyBorder="1"/>
    <xf numFmtId="0" fontId="5" fillId="0" borderId="6" xfId="546" applyBorder="1"/>
    <xf numFmtId="0" fontId="13"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8" fillId="0" borderId="0" xfId="0" applyFont="1"/>
    <xf numFmtId="0" fontId="22" fillId="0" borderId="12" xfId="0" applyFont="1" applyBorder="1" applyAlignment="1">
      <alignment horizontal="center"/>
    </xf>
    <xf numFmtId="166" fontId="13" fillId="2" borderId="12" xfId="0" applyNumberFormat="1" applyFont="1" applyFill="1" applyBorder="1" applyAlignment="1">
      <alignment horizontal="center"/>
    </xf>
    <xf numFmtId="1" fontId="13" fillId="2" borderId="12" xfId="0" applyNumberFormat="1" applyFont="1" applyFill="1" applyBorder="1" applyAlignment="1">
      <alignment horizontal="center"/>
    </xf>
    <xf numFmtId="164" fontId="13" fillId="0" borderId="0" xfId="0" applyNumberFormat="1" applyFont="1" applyAlignment="1">
      <alignment horizontal="left" vertical="top"/>
    </xf>
    <xf numFmtId="164" fontId="13" fillId="0" borderId="0" xfId="0" applyNumberFormat="1" applyFont="1" applyAlignment="1">
      <alignment vertical="top" wrapText="1"/>
    </xf>
    <xf numFmtId="164" fontId="13" fillId="0" borderId="0" xfId="0" applyNumberFormat="1" applyFont="1" applyAlignment="1">
      <alignment horizontal="right"/>
    </xf>
    <xf numFmtId="164" fontId="13" fillId="0" borderId="0" xfId="0" applyNumberFormat="1" applyFont="1" applyAlignment="1">
      <alignment vertical="top"/>
    </xf>
    <xf numFmtId="2" fontId="13" fillId="0" borderId="0" xfId="0" applyNumberFormat="1" applyFont="1" applyAlignment="1">
      <alignment horizontal="right"/>
    </xf>
    <xf numFmtId="0" fontId="22" fillId="0" borderId="0" xfId="0" applyFont="1" applyAlignment="1">
      <alignment horizontal="center"/>
    </xf>
    <xf numFmtId="0" fontId="12" fillId="0" borderId="4" xfId="0" applyFont="1" applyBorder="1"/>
    <xf numFmtId="0" fontId="13" fillId="0" borderId="8" xfId="0" applyFont="1" applyBorder="1"/>
    <xf numFmtId="0" fontId="13" fillId="0" borderId="5" xfId="0" applyFont="1" applyBorder="1"/>
    <xf numFmtId="0" fontId="12" fillId="0" borderId="5" xfId="0" applyFont="1" applyBorder="1" applyAlignment="1">
      <alignment horizontal="right"/>
    </xf>
    <xf numFmtId="0" fontId="13" fillId="0" borderId="10" xfId="0" applyFont="1" applyBorder="1"/>
    <xf numFmtId="0" fontId="13" fillId="4" borderId="0" xfId="0" applyFont="1" applyFill="1" applyAlignment="1">
      <alignment horizontal="center"/>
    </xf>
    <xf numFmtId="164" fontId="12" fillId="0" borderId="0" xfId="0" applyNumberFormat="1" applyFont="1" applyAlignment="1">
      <alignment horizontal="left"/>
    </xf>
    <xf numFmtId="164" fontId="13" fillId="0" borderId="0" xfId="0" applyNumberFormat="1" applyFont="1" applyAlignment="1">
      <alignment horizontal="left" vertical="top" wrapText="1"/>
    </xf>
    <xf numFmtId="0" fontId="13" fillId="0" borderId="0" xfId="0" applyFont="1" applyAlignment="1">
      <alignment wrapText="1"/>
    </xf>
    <xf numFmtId="0" fontId="5" fillId="0" borderId="3" xfId="546" applyBorder="1"/>
    <xf numFmtId="0" fontId="5"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4" fillId="0" borderId="0" xfId="0" applyFont="1"/>
    <xf numFmtId="0" fontId="6" fillId="0" borderId="0" xfId="245" applyBorder="1" applyProtection="1"/>
    <xf numFmtId="0" fontId="6" fillId="0" borderId="0" xfId="245" applyFill="1" applyBorder="1" applyAlignment="1">
      <alignment horizontal="center" vertical="center"/>
    </xf>
    <xf numFmtId="49" fontId="13" fillId="0" borderId="0" xfId="0" applyNumberFormat="1" applyFont="1" applyAlignment="1">
      <alignment horizontal="left" vertical="top"/>
    </xf>
    <xf numFmtId="0" fontId="6" fillId="0" borderId="0" xfId="245" applyFill="1" applyBorder="1" applyAlignment="1" applyProtection="1">
      <alignment horizontal="left" vertical="top"/>
    </xf>
    <xf numFmtId="0" fontId="6" fillId="0" borderId="0" xfId="245" applyFill="1" applyBorder="1" applyAlignment="1" applyProtection="1">
      <alignment horizontal="left" vertical="top" wrapText="1"/>
    </xf>
    <xf numFmtId="49" fontId="14" fillId="0" borderId="0" xfId="0" applyNumberFormat="1" applyFont="1"/>
    <xf numFmtId="0" fontId="13" fillId="0" borderId="0" xfId="0" quotePrefix="1" applyFont="1" applyAlignment="1">
      <alignment horizontal="center" vertical="top"/>
    </xf>
    <xf numFmtId="0" fontId="24" fillId="0" borderId="0" xfId="0" applyFont="1" applyAlignment="1">
      <alignment horizontal="center"/>
    </xf>
    <xf numFmtId="49" fontId="12" fillId="0" borderId="0" xfId="0" applyNumberFormat="1" applyFont="1" applyAlignment="1">
      <alignment horizontal="center"/>
    </xf>
    <xf numFmtId="0" fontId="24" fillId="0" borderId="0" xfId="0" applyFont="1" applyAlignment="1">
      <alignment horizontal="left"/>
    </xf>
    <xf numFmtId="0" fontId="14" fillId="0" borderId="5" xfId="0" applyFont="1" applyBorder="1"/>
    <xf numFmtId="1" fontId="13" fillId="0" borderId="0" xfId="0" applyNumberFormat="1" applyFont="1" applyAlignment="1">
      <alignment horizontal="center" vertical="top"/>
    </xf>
    <xf numFmtId="0" fontId="14" fillId="0" borderId="2" xfId="0" applyFont="1" applyBorder="1"/>
    <xf numFmtId="0" fontId="14" fillId="0" borderId="11" xfId="0" applyFont="1" applyBorder="1"/>
    <xf numFmtId="0" fontId="14" fillId="0" borderId="13" xfId="0" applyFont="1" applyBorder="1"/>
    <xf numFmtId="0" fontId="14" fillId="0" borderId="9" xfId="0" applyFont="1" applyBorder="1"/>
    <xf numFmtId="0" fontId="14" fillId="0" borderId="10" xfId="0" applyFont="1" applyBorder="1"/>
    <xf numFmtId="0" fontId="19" fillId="0" borderId="5" xfId="0" applyFont="1" applyBorder="1" applyAlignment="1">
      <alignment vertical="top" wrapText="1"/>
    </xf>
    <xf numFmtId="0" fontId="19" fillId="0" borderId="8" xfId="0" applyFont="1" applyBorder="1" applyAlignment="1">
      <alignment vertical="top" wrapText="1"/>
    </xf>
    <xf numFmtId="0" fontId="19" fillId="0" borderId="4" xfId="0" applyFont="1" applyBorder="1" applyAlignment="1">
      <alignment vertical="top" wrapText="1"/>
    </xf>
    <xf numFmtId="0" fontId="19" fillId="2" borderId="5" xfId="0" applyFont="1" applyFill="1" applyBorder="1" applyAlignment="1">
      <alignment vertical="top" wrapText="1"/>
    </xf>
    <xf numFmtId="0" fontId="0" fillId="0" borderId="7" xfId="0" applyBorder="1"/>
    <xf numFmtId="0" fontId="12" fillId="0" borderId="2" xfId="0" applyFont="1" applyBorder="1"/>
    <xf numFmtId="1" fontId="5" fillId="0" borderId="0" xfId="546" applyNumberFormat="1"/>
    <xf numFmtId="49" fontId="14" fillId="0" borderId="0" xfId="0" applyNumberFormat="1" applyFont="1" applyAlignment="1">
      <alignment horizontal="center"/>
    </xf>
    <xf numFmtId="0" fontId="14" fillId="0" borderId="0" xfId="0" applyFont="1" applyAlignment="1">
      <alignment vertical="top"/>
    </xf>
    <xf numFmtId="0" fontId="14" fillId="0" borderId="0" xfId="0" applyFont="1" applyAlignment="1">
      <alignment vertical="top" wrapText="1"/>
    </xf>
    <xf numFmtId="0" fontId="5" fillId="0" borderId="0" xfId="0" applyFont="1" applyAlignment="1">
      <alignment horizontal="left" vertical="top" wrapText="1"/>
    </xf>
    <xf numFmtId="49" fontId="13" fillId="0" borderId="0" xfId="0" applyNumberFormat="1" applyFont="1" applyAlignment="1">
      <alignment vertical="top"/>
    </xf>
    <xf numFmtId="0" fontId="14" fillId="0" borderId="0" xfId="0" quotePrefix="1" applyFont="1" applyAlignment="1">
      <alignment horizontal="left"/>
    </xf>
    <xf numFmtId="0" fontId="14" fillId="0" borderId="0" xfId="0" quotePrefix="1" applyFont="1"/>
    <xf numFmtId="0" fontId="5" fillId="0" borderId="3" xfId="0" applyFont="1" applyBorder="1"/>
    <xf numFmtId="0" fontId="5" fillId="0" borderId="8" xfId="0" applyFont="1" applyBorder="1"/>
    <xf numFmtId="164" fontId="13" fillId="0" borderId="1" xfId="0" applyNumberFormat="1" applyFont="1" applyBorder="1" applyAlignment="1">
      <alignment vertical="top"/>
    </xf>
    <xf numFmtId="164" fontId="13" fillId="0" borderId="2" xfId="0" applyNumberFormat="1" applyFont="1" applyBorder="1" applyAlignment="1">
      <alignment vertical="top"/>
    </xf>
    <xf numFmtId="0" fontId="13" fillId="0" borderId="2" xfId="0" applyFont="1" applyBorder="1"/>
    <xf numFmtId="0" fontId="13" fillId="0" borderId="11" xfId="0" applyFont="1" applyBorder="1"/>
    <xf numFmtId="164" fontId="13" fillId="0" borderId="7" xfId="0" applyNumberFormat="1" applyFont="1" applyBorder="1" applyAlignment="1">
      <alignment horizontal="left" vertical="top"/>
    </xf>
    <xf numFmtId="0" fontId="12" fillId="0" borderId="13" xfId="0" applyFont="1" applyBorder="1" applyAlignment="1">
      <alignment horizontal="center"/>
    </xf>
    <xf numFmtId="164" fontId="13" fillId="0" borderId="9" xfId="0" applyNumberFormat="1" applyFont="1" applyBorder="1" applyAlignment="1">
      <alignment horizontal="left" vertical="top"/>
    </xf>
    <xf numFmtId="164" fontId="13" fillId="0" borderId="5" xfId="0" applyNumberFormat="1" applyFont="1" applyBorder="1" applyAlignment="1">
      <alignment horizontal="left" vertical="top"/>
    </xf>
    <xf numFmtId="164" fontId="22" fillId="0" borderId="0" xfId="0" applyNumberFormat="1" applyFont="1" applyAlignment="1">
      <alignment horizontal="left" vertical="top"/>
    </xf>
    <xf numFmtId="1" fontId="13" fillId="0" borderId="0" xfId="0" quotePrefix="1" applyNumberFormat="1" applyFont="1" applyAlignment="1">
      <alignment horizontal="center" vertical="top"/>
    </xf>
    <xf numFmtId="0" fontId="0" fillId="0" borderId="5" xfId="0" applyBorder="1" applyAlignment="1">
      <alignment horizontal="right"/>
    </xf>
    <xf numFmtId="0" fontId="19" fillId="5" borderId="4" xfId="0" applyFont="1" applyFill="1" applyBorder="1" applyAlignment="1">
      <alignment vertical="top" wrapText="1"/>
    </xf>
    <xf numFmtId="0" fontId="19" fillId="5" borderId="8" xfId="0" applyFont="1" applyFill="1" applyBorder="1" applyAlignment="1">
      <alignment vertical="top" wrapText="1"/>
    </xf>
    <xf numFmtId="0" fontId="12" fillId="0" borderId="9" xfId="0" applyFont="1" applyBorder="1" applyAlignment="1">
      <alignment horizontal="left"/>
    </xf>
    <xf numFmtId="0" fontId="12" fillId="0" borderId="2" xfId="0" applyFont="1" applyBorder="1" applyAlignment="1">
      <alignment horizontal="center"/>
    </xf>
    <xf numFmtId="0" fontId="49" fillId="0" borderId="3" xfId="0" applyFont="1" applyBorder="1" applyAlignment="1">
      <alignment horizontal="left" vertical="top"/>
    </xf>
    <xf numFmtId="0" fontId="49" fillId="0" borderId="15" xfId="0" applyFont="1" applyBorder="1" applyAlignment="1">
      <alignment horizontal="center" wrapText="1"/>
    </xf>
    <xf numFmtId="0" fontId="49" fillId="0" borderId="15" xfId="0" applyFont="1" applyBorder="1" applyAlignment="1">
      <alignment horizontal="center" vertical="top" wrapText="1"/>
    </xf>
    <xf numFmtId="0" fontId="49" fillId="2" borderId="15" xfId="0" applyFont="1" applyFill="1" applyBorder="1" applyAlignment="1">
      <alignment horizontal="center" wrapText="1"/>
    </xf>
    <xf numFmtId="0" fontId="50" fillId="2" borderId="12" xfId="0" applyFont="1" applyFill="1" applyBorder="1" applyAlignment="1">
      <alignment horizontal="left" vertical="top" wrapText="1"/>
    </xf>
    <xf numFmtId="0" fontId="28" fillId="6" borderId="12" xfId="0" applyFont="1" applyFill="1" applyBorder="1" applyAlignment="1">
      <alignment vertical="top" wrapText="1"/>
    </xf>
    <xf numFmtId="0" fontId="28" fillId="2" borderId="12" xfId="0" applyFont="1" applyFill="1" applyBorder="1" applyAlignment="1">
      <alignment vertical="top" wrapText="1"/>
    </xf>
    <xf numFmtId="0" fontId="28" fillId="0" borderId="12" xfId="0" applyFont="1" applyBorder="1" applyAlignment="1">
      <alignment vertical="top" wrapText="1"/>
    </xf>
    <xf numFmtId="0" fontId="28" fillId="0" borderId="12" xfId="0" applyFont="1" applyBorder="1" applyAlignment="1">
      <alignment horizontal="right" vertical="top" wrapText="1"/>
    </xf>
    <xf numFmtId="169" fontId="28" fillId="0" borderId="12" xfId="0" applyNumberFormat="1" applyFont="1" applyBorder="1" applyAlignment="1">
      <alignment vertical="top" wrapText="1"/>
    </xf>
    <xf numFmtId="169" fontId="28" fillId="7" borderId="12" xfId="0" applyNumberFormat="1" applyFont="1" applyFill="1" applyBorder="1" applyAlignment="1" applyProtection="1">
      <alignment vertical="top" wrapText="1"/>
      <protection locked="0"/>
    </xf>
    <xf numFmtId="169" fontId="28" fillId="8" borderId="12" xfId="0" applyNumberFormat="1" applyFont="1" applyFill="1" applyBorder="1" applyAlignment="1">
      <alignment horizontal="center" vertical="top" wrapText="1"/>
    </xf>
    <xf numFmtId="0" fontId="49" fillId="0" borderId="12" xfId="0" applyFont="1" applyBorder="1" applyAlignment="1">
      <alignment horizontal="right" vertical="top" wrapText="1"/>
    </xf>
    <xf numFmtId="169" fontId="49" fillId="0" borderId="12" xfId="0" applyNumberFormat="1" applyFont="1" applyBorder="1" applyAlignment="1">
      <alignment vertical="top" wrapText="1"/>
    </xf>
    <xf numFmtId="169" fontId="28" fillId="6" borderId="12" xfId="0" applyNumberFormat="1" applyFont="1" applyFill="1" applyBorder="1" applyAlignment="1">
      <alignment vertical="top" wrapText="1"/>
    </xf>
    <xf numFmtId="0" fontId="28" fillId="7" borderId="12" xfId="0" applyFont="1" applyFill="1" applyBorder="1" applyAlignment="1" applyProtection="1">
      <alignment horizontal="right" vertical="top" wrapText="1"/>
      <protection locked="0"/>
    </xf>
    <xf numFmtId="0" fontId="49" fillId="2" borderId="12" xfId="0" applyFont="1" applyFill="1" applyBorder="1" applyAlignment="1">
      <alignment vertical="top" wrapText="1"/>
    </xf>
    <xf numFmtId="0" fontId="49" fillId="0" borderId="12" xfId="0" applyFont="1" applyBorder="1" applyAlignment="1">
      <alignment vertical="top" wrapText="1"/>
    </xf>
    <xf numFmtId="0" fontId="8" fillId="0" borderId="12" xfId="0" applyFont="1" applyBorder="1" applyAlignment="1">
      <alignment horizontal="right" vertical="top" wrapText="1"/>
    </xf>
    <xf numFmtId="0" fontId="28" fillId="0" borderId="12" xfId="0" applyFont="1" applyBorder="1" applyAlignment="1" applyProtection="1">
      <alignment horizontal="right" vertical="top" wrapText="1"/>
      <protection locked="0"/>
    </xf>
    <xf numFmtId="0" fontId="49"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vertical="top" wrapText="1"/>
    </xf>
    <xf numFmtId="0" fontId="28" fillId="0" borderId="0" xfId="0" applyFont="1" applyAlignment="1">
      <alignment vertical="top"/>
    </xf>
    <xf numFmtId="0" fontId="49" fillId="0" borderId="0" xfId="0" applyFont="1" applyAlignment="1">
      <alignment horizontal="right" vertical="top"/>
    </xf>
    <xf numFmtId="0" fontId="28" fillId="2" borderId="0" xfId="0" applyFont="1" applyFill="1" applyAlignment="1">
      <alignment vertical="top" wrapText="1"/>
    </xf>
    <xf numFmtId="0" fontId="49" fillId="0" borderId="0" xfId="0" applyFont="1" applyAlignment="1">
      <alignment vertical="top"/>
    </xf>
    <xf numFmtId="0" fontId="28" fillId="0" borderId="15" xfId="0" applyFont="1" applyBorder="1" applyAlignment="1">
      <alignment vertical="top" wrapText="1"/>
    </xf>
    <xf numFmtId="167" fontId="14" fillId="0" borderId="0" xfId="0" applyNumberFormat="1" applyFont="1" applyAlignment="1">
      <alignment horizontal="left"/>
    </xf>
    <xf numFmtId="0" fontId="51" fillId="0" borderId="0" xfId="0" applyFont="1"/>
    <xf numFmtId="0" fontId="5" fillId="0" borderId="0" xfId="245" applyFont="1" applyFill="1" applyBorder="1" applyAlignment="1" applyProtection="1">
      <alignment horizontal="left"/>
    </xf>
    <xf numFmtId="0" fontId="41" fillId="0" borderId="0" xfId="0" applyFont="1"/>
    <xf numFmtId="0" fontId="41" fillId="0" borderId="0" xfId="245" applyFont="1" applyFill="1" applyBorder="1" applyAlignment="1" applyProtection="1">
      <alignment horizontal="left"/>
    </xf>
    <xf numFmtId="0" fontId="11" fillId="5" borderId="12" xfId="0" applyFont="1" applyFill="1" applyBorder="1" applyAlignment="1">
      <alignment vertical="top"/>
    </xf>
    <xf numFmtId="173" fontId="12" fillId="0" borderId="0" xfId="546" applyNumberFormat="1" applyFont="1"/>
    <xf numFmtId="0" fontId="12" fillId="0" borderId="0" xfId="546" applyFont="1"/>
    <xf numFmtId="49" fontId="0" fillId="0" borderId="0" xfId="0" applyNumberFormat="1"/>
    <xf numFmtId="49" fontId="40" fillId="0" borderId="0" xfId="0" applyNumberFormat="1" applyFont="1" applyAlignment="1">
      <alignment horizontal="center"/>
    </xf>
    <xf numFmtId="0" fontId="40" fillId="0" borderId="0" xfId="0" applyFont="1"/>
    <xf numFmtId="0" fontId="5" fillId="0" borderId="0" xfId="0" applyFont="1" applyAlignment="1">
      <alignment horizontal="left"/>
    </xf>
    <xf numFmtId="0" fontId="46" fillId="0" borderId="0" xfId="0" applyFont="1" applyAlignment="1">
      <alignment horizontal="center"/>
    </xf>
    <xf numFmtId="0" fontId="12" fillId="0" borderId="4" xfId="0" applyFont="1" applyBorder="1" applyAlignment="1">
      <alignment horizontal="left"/>
    </xf>
    <xf numFmtId="2" fontId="5" fillId="0" borderId="2" xfId="0" applyNumberFormat="1" applyFont="1" applyBorder="1" applyAlignment="1">
      <alignment horizontal="left"/>
    </xf>
    <xf numFmtId="0" fontId="0" fillId="0" borderId="2" xfId="0" applyBorder="1" applyAlignment="1">
      <alignment horizontal="left"/>
    </xf>
    <xf numFmtId="2" fontId="5" fillId="0" borderId="0" xfId="0" applyNumberFormat="1" applyFont="1" applyAlignment="1">
      <alignment horizontal="left"/>
    </xf>
    <xf numFmtId="169" fontId="0" fillId="0" borderId="0" xfId="0" applyNumberFormat="1" applyAlignment="1">
      <alignment horizontal="right"/>
    </xf>
    <xf numFmtId="0" fontId="55" fillId="0" borderId="0" xfId="0" applyFont="1" applyAlignment="1">
      <alignment wrapText="1"/>
    </xf>
    <xf numFmtId="0" fontId="55" fillId="0" borderId="0" xfId="0" applyFont="1" applyAlignment="1">
      <alignment horizontal="left" wrapText="1"/>
    </xf>
    <xf numFmtId="0" fontId="13" fillId="0" borderId="5" xfId="0" applyFont="1" applyBorder="1" applyAlignment="1">
      <alignment horizontal="right"/>
    </xf>
    <xf numFmtId="0" fontId="13" fillId="0" borderId="1" xfId="0" applyFont="1" applyBorder="1"/>
    <xf numFmtId="0" fontId="13" fillId="0" borderId="7" xfId="0" applyFont="1" applyBorder="1"/>
    <xf numFmtId="0" fontId="13" fillId="0" borderId="16" xfId="0" applyFont="1" applyBorder="1"/>
    <xf numFmtId="0" fontId="12" fillId="0" borderId="16" xfId="0" applyFont="1" applyBorder="1"/>
    <xf numFmtId="0" fontId="13" fillId="0" borderId="16" xfId="0" applyFont="1" applyBorder="1" applyAlignment="1">
      <alignment horizontal="left" vertical="top"/>
    </xf>
    <xf numFmtId="0" fontId="14" fillId="0" borderId="16" xfId="0" applyFont="1" applyBorder="1" applyAlignment="1">
      <alignment horizontal="left" vertical="top"/>
    </xf>
    <xf numFmtId="0" fontId="12" fillId="0" borderId="16" xfId="0" applyFont="1" applyBorder="1" applyAlignment="1">
      <alignment horizontal="right"/>
    </xf>
    <xf numFmtId="0" fontId="14" fillId="0" borderId="16" xfId="0" applyFont="1" applyBorder="1" applyAlignment="1">
      <alignment horizontal="center"/>
    </xf>
    <xf numFmtId="0" fontId="10" fillId="0" borderId="0" xfId="0" applyFont="1" applyProtection="1">
      <protection locked="0"/>
    </xf>
    <xf numFmtId="4" fontId="46" fillId="0" borderId="0" xfId="0" applyNumberFormat="1" applyFont="1" applyAlignment="1">
      <alignment horizontal="center"/>
    </xf>
    <xf numFmtId="4" fontId="14" fillId="0" borderId="0" xfId="0" applyNumberFormat="1" applyFont="1" applyAlignment="1">
      <alignment horizontal="center"/>
    </xf>
    <xf numFmtId="4" fontId="14" fillId="0" borderId="0" xfId="0" applyNumberFormat="1" applyFont="1" applyAlignment="1">
      <alignment horizontal="left"/>
    </xf>
    <xf numFmtId="4" fontId="14" fillId="0" borderId="0" xfId="0" applyNumberFormat="1" applyFont="1"/>
    <xf numFmtId="169" fontId="14" fillId="0" borderId="0" xfId="0" applyNumberFormat="1" applyFont="1" applyAlignment="1">
      <alignment horizontal="center"/>
    </xf>
    <xf numFmtId="0" fontId="28" fillId="2" borderId="10" xfId="0" applyFont="1" applyFill="1" applyBorder="1" applyAlignment="1">
      <alignment vertical="top" wrapText="1"/>
    </xf>
    <xf numFmtId="0" fontId="28" fillId="2" borderId="8" xfId="0" applyFont="1" applyFill="1" applyBorder="1" applyAlignment="1">
      <alignment vertical="top" wrapText="1"/>
    </xf>
    <xf numFmtId="0" fontId="52" fillId="0" borderId="15" xfId="0" applyFont="1" applyBorder="1" applyAlignment="1">
      <alignment vertical="top" wrapText="1"/>
    </xf>
    <xf numFmtId="0" fontId="62" fillId="0" borderId="0" xfId="0" applyFont="1" applyAlignment="1">
      <alignment horizontal="left" vertical="top"/>
    </xf>
    <xf numFmtId="0" fontId="22" fillId="0" borderId="7" xfId="0" applyFont="1" applyBorder="1"/>
    <xf numFmtId="0" fontId="0" fillId="0" borderId="5" xfId="0" applyBorder="1" applyAlignment="1">
      <alignment vertical="top" wrapText="1"/>
    </xf>
    <xf numFmtId="0" fontId="61" fillId="0" borderId="12" xfId="0" applyFont="1" applyBorder="1" applyAlignment="1">
      <alignment horizontal="right" vertical="top" wrapText="1"/>
    </xf>
    <xf numFmtId="0" fontId="63" fillId="0" borderId="12" xfId="0" applyFont="1" applyBorder="1" applyAlignment="1">
      <alignment horizontal="right" vertical="top" wrapText="1"/>
    </xf>
    <xf numFmtId="0" fontId="0" fillId="0" borderId="0" xfId="0" applyAlignment="1">
      <alignment wrapText="1"/>
    </xf>
    <xf numFmtId="0" fontId="46" fillId="0" borderId="0" xfId="0" applyFont="1" applyAlignment="1">
      <alignment horizontal="center" vertical="top"/>
    </xf>
    <xf numFmtId="0" fontId="26" fillId="0" borderId="0" xfId="0" applyFont="1" applyAlignment="1">
      <alignment vertical="top" wrapText="1"/>
    </xf>
    <xf numFmtId="0" fontId="11" fillId="0" borderId="0" xfId="0" applyFont="1" applyAlignment="1">
      <alignment horizontal="center" vertical="center" wrapText="1"/>
    </xf>
    <xf numFmtId="0" fontId="49" fillId="0" borderId="4" xfId="0" applyFont="1" applyBorder="1" applyAlignment="1">
      <alignment horizontal="right"/>
    </xf>
    <xf numFmtId="169" fontId="25" fillId="0" borderId="0" xfId="0" applyNumberFormat="1" applyFont="1" applyAlignment="1">
      <alignment horizontal="left" vertical="top" wrapText="1"/>
    </xf>
    <xf numFmtId="0" fontId="64" fillId="0" borderId="0" xfId="0" applyFont="1"/>
    <xf numFmtId="0" fontId="5" fillId="0" borderId="0" xfId="0" applyFont="1" applyProtection="1">
      <protection locked="0"/>
    </xf>
    <xf numFmtId="169" fontId="5" fillId="0" borderId="0" xfId="0" applyNumberFormat="1" applyFont="1" applyAlignment="1">
      <alignment horizontal="left" vertical="top"/>
    </xf>
    <xf numFmtId="169" fontId="12" fillId="0" borderId="0" xfId="0" applyNumberFormat="1" applyFont="1" applyAlignment="1">
      <alignment horizontal="left" vertical="top"/>
    </xf>
    <xf numFmtId="0" fontId="5" fillId="0" borderId="0" xfId="0" applyFont="1" applyAlignment="1">
      <alignment horizontal="left" vertical="top"/>
    </xf>
    <xf numFmtId="169" fontId="14" fillId="0" borderId="0" xfId="0" applyNumberFormat="1" applyFont="1" applyAlignment="1">
      <alignment horizontal="left" vertical="top"/>
    </xf>
    <xf numFmtId="0" fontId="26" fillId="9" borderId="0" xfId="542" applyFont="1" applyFill="1" applyAlignment="1" applyProtection="1">
      <alignment horizontal="centerContinuous"/>
    </xf>
    <xf numFmtId="0" fontId="5" fillId="0" borderId="0" xfId="542" applyProtection="1"/>
    <xf numFmtId="0" fontId="14" fillId="0" borderId="0" xfId="0" applyFont="1" applyAlignment="1">
      <alignment horizontal="center" vertical="center"/>
    </xf>
    <xf numFmtId="169" fontId="26" fillId="0" borderId="0" xfId="546" applyNumberFormat="1" applyFont="1" applyAlignment="1">
      <alignment horizontal="left"/>
    </xf>
    <xf numFmtId="169" fontId="26" fillId="0" borderId="0" xfId="546" applyNumberFormat="1" applyFont="1" applyAlignment="1">
      <alignment horizontal="center"/>
    </xf>
    <xf numFmtId="1" fontId="14" fillId="0" borderId="0" xfId="0" applyNumberFormat="1" applyFont="1" applyAlignment="1">
      <alignment horizontal="center"/>
    </xf>
    <xf numFmtId="0" fontId="12" fillId="4" borderId="0" xfId="0" applyFont="1" applyFill="1" applyAlignment="1">
      <alignment horizontal="center" wrapText="1"/>
    </xf>
    <xf numFmtId="1" fontId="12" fillId="0" borderId="0" xfId="0" applyNumberFormat="1" applyFont="1" applyAlignment="1">
      <alignment horizontal="left"/>
    </xf>
    <xf numFmtId="0" fontId="12" fillId="0" borderId="9" xfId="0" applyFont="1" applyBorder="1" applyAlignment="1">
      <alignment horizontal="center" wrapText="1"/>
    </xf>
    <xf numFmtId="0" fontId="0" fillId="0" borderId="0" xfId="0" applyAlignment="1">
      <alignment vertical="center"/>
    </xf>
    <xf numFmtId="0" fontId="19" fillId="5" borderId="4" xfId="0" applyFont="1" applyFill="1" applyBorder="1" applyAlignment="1" applyProtection="1">
      <alignment vertical="top" wrapText="1"/>
      <protection locked="0"/>
    </xf>
    <xf numFmtId="0" fontId="19" fillId="5" borderId="8" xfId="0" applyFont="1" applyFill="1" applyBorder="1" applyAlignment="1" applyProtection="1">
      <alignment vertical="top" wrapText="1"/>
      <protection locked="0"/>
    </xf>
    <xf numFmtId="0" fontId="12" fillId="0" borderId="15" xfId="0" applyFont="1" applyBorder="1" applyAlignment="1">
      <alignment horizontal="center" wrapText="1"/>
    </xf>
    <xf numFmtId="0" fontId="42" fillId="2" borderId="12" xfId="0" applyFont="1" applyFill="1" applyBorder="1" applyAlignment="1">
      <alignment horizontal="left" vertical="top" wrapText="1"/>
    </xf>
    <xf numFmtId="0" fontId="14" fillId="0" borderId="12" xfId="0" applyFont="1" applyBorder="1" applyAlignment="1" applyProtection="1">
      <alignment vertical="top" wrapText="1"/>
      <protection locked="0"/>
    </xf>
    <xf numFmtId="169" fontId="14" fillId="7" borderId="12" xfId="0" applyNumberFormat="1" applyFont="1" applyFill="1" applyBorder="1" applyAlignment="1" applyProtection="1">
      <alignment vertical="top" wrapText="1"/>
      <protection locked="0"/>
    </xf>
    <xf numFmtId="0" fontId="14" fillId="7" borderId="12" xfId="0" applyFont="1" applyFill="1" applyBorder="1" applyAlignment="1" applyProtection="1">
      <alignment vertical="top" wrapText="1"/>
      <protection locked="0"/>
    </xf>
    <xf numFmtId="169" fontId="14" fillId="0" borderId="12" xfId="0" applyNumberFormat="1" applyFont="1" applyBorder="1" applyAlignment="1">
      <alignment vertical="top" wrapText="1"/>
    </xf>
    <xf numFmtId="0" fontId="12" fillId="0" borderId="12" xfId="0" applyFont="1" applyBorder="1" applyAlignment="1">
      <alignment horizontal="right" vertical="top" wrapText="1"/>
    </xf>
    <xf numFmtId="0" fontId="19" fillId="0" borderId="0" xfId="0" applyFont="1" applyAlignment="1" applyProtection="1">
      <alignment horizontal="right" vertical="top" wrapText="1"/>
      <protection locked="0"/>
    </xf>
    <xf numFmtId="0" fontId="19" fillId="0" borderId="0" xfId="0" applyFont="1" applyAlignment="1" applyProtection="1">
      <alignment vertical="top" wrapText="1"/>
      <protection locked="0"/>
    </xf>
    <xf numFmtId="0" fontId="14" fillId="0" borderId="8" xfId="0" applyFont="1" applyBorder="1" applyAlignment="1" applyProtection="1">
      <alignment vertical="top" wrapText="1"/>
      <protection locked="0"/>
    </xf>
    <xf numFmtId="0" fontId="12" fillId="0" borderId="3" xfId="0" applyFont="1" applyBorder="1" applyAlignment="1">
      <alignment horizontal="left" vertical="top"/>
    </xf>
    <xf numFmtId="0" fontId="14" fillId="0" borderId="4" xfId="0" applyFont="1" applyBorder="1" applyAlignment="1" applyProtection="1">
      <alignment horizontal="left" vertical="top"/>
      <protection locked="0"/>
    </xf>
    <xf numFmtId="0" fontId="14" fillId="0" borderId="4" xfId="0" applyFont="1" applyBorder="1" applyAlignment="1" applyProtection="1">
      <alignment vertical="top" wrapText="1"/>
      <protection locked="0"/>
    </xf>
    <xf numFmtId="0" fontId="0" fillId="0" borderId="0" xfId="0" applyProtection="1">
      <protection locked="0"/>
    </xf>
    <xf numFmtId="1" fontId="14" fillId="0" borderId="0" xfId="0" applyNumberFormat="1" applyFont="1"/>
    <xf numFmtId="0" fontId="13" fillId="0" borderId="0" xfId="0" applyFont="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54" fillId="0" borderId="0" xfId="0" applyFont="1"/>
    <xf numFmtId="0" fontId="22" fillId="0" borderId="0" xfId="0" applyFont="1" applyAlignment="1">
      <alignment vertical="top"/>
    </xf>
    <xf numFmtId="0" fontId="22" fillId="0" borderId="0" xfId="0" applyFont="1" applyAlignment="1">
      <alignment vertical="center"/>
    </xf>
    <xf numFmtId="9" fontId="13" fillId="0" borderId="0" xfId="0" applyNumberFormat="1" applyFont="1" applyAlignment="1">
      <alignment horizontal="left"/>
    </xf>
    <xf numFmtId="9" fontId="5" fillId="0" borderId="0" xfId="546" applyNumberFormat="1" applyAlignment="1">
      <alignment vertical="center"/>
    </xf>
    <xf numFmtId="0" fontId="14" fillId="0" borderId="0" xfId="546" applyFont="1" applyAlignment="1">
      <alignment horizontal="left"/>
    </xf>
    <xf numFmtId="0" fontId="19" fillId="0" borderId="0" xfId="0" applyFont="1" applyAlignment="1">
      <alignment vertical="top" wrapText="1"/>
    </xf>
    <xf numFmtId="0" fontId="14" fillId="0" borderId="4" xfId="0" applyFont="1" applyBorder="1" applyAlignment="1">
      <alignment vertical="top" wrapText="1"/>
    </xf>
    <xf numFmtId="0" fontId="14" fillId="0" borderId="0" xfId="0" applyFont="1" applyAlignment="1">
      <alignment wrapText="1"/>
    </xf>
    <xf numFmtId="0" fontId="46" fillId="0" borderId="0" xfId="0" applyFont="1" applyAlignment="1">
      <alignment horizontal="center" vertical="center"/>
    </xf>
    <xf numFmtId="49" fontId="12" fillId="0" borderId="0" xfId="0" applyNumberFormat="1" applyFont="1" applyAlignment="1">
      <alignment horizontal="center" vertical="center"/>
    </xf>
    <xf numFmtId="0" fontId="14" fillId="0" borderId="0" xfId="0" applyFont="1" applyAlignment="1">
      <alignment vertical="center"/>
    </xf>
    <xf numFmtId="49" fontId="14" fillId="0" borderId="0" xfId="0" applyNumberFormat="1" applyFont="1" applyAlignment="1">
      <alignment vertical="center"/>
    </xf>
    <xf numFmtId="49" fontId="0" fillId="0" borderId="0" xfId="0" applyNumberFormat="1" applyAlignment="1">
      <alignment vertical="center"/>
    </xf>
    <xf numFmtId="0" fontId="6" fillId="0" borderId="0" xfId="245" applyFill="1" applyBorder="1" applyProtection="1">
      <protection locked="0"/>
    </xf>
    <xf numFmtId="0" fontId="14" fillId="0" borderId="0" xfId="273"/>
    <xf numFmtId="3" fontId="14" fillId="0" borderId="0" xfId="0" applyNumberFormat="1" applyFont="1" applyAlignment="1">
      <alignment horizontal="center"/>
    </xf>
    <xf numFmtId="0" fontId="27" fillId="0" borderId="0" xfId="546" applyFont="1" applyAlignment="1">
      <alignment horizontal="right" vertical="top" wrapText="1"/>
    </xf>
    <xf numFmtId="0" fontId="26" fillId="0" borderId="0" xfId="546" applyFont="1" applyAlignment="1">
      <alignment horizontal="right" vertical="top" wrapText="1"/>
    </xf>
    <xf numFmtId="169" fontId="12" fillId="0" borderId="0" xfId="546" applyNumberFormat="1" applyFont="1" applyAlignment="1">
      <alignment horizontal="center" vertical="center"/>
    </xf>
    <xf numFmtId="0" fontId="24" fillId="0" borderId="0" xfId="546" applyFont="1" applyAlignment="1">
      <alignment horizontal="left" vertical="center"/>
    </xf>
    <xf numFmtId="0" fontId="12" fillId="0" borderId="0" xfId="546" applyFont="1" applyAlignment="1">
      <alignment horizontal="right" vertical="top" wrapText="1"/>
    </xf>
    <xf numFmtId="0" fontId="14" fillId="0" borderId="0" xfId="546" applyFont="1" applyAlignment="1">
      <alignment horizontal="left" vertical="center"/>
    </xf>
    <xf numFmtId="0" fontId="14" fillId="0" borderId="0" xfId="546" applyFont="1" applyAlignment="1">
      <alignment horizontal="right" vertical="top" wrapText="1"/>
    </xf>
    <xf numFmtId="0" fontId="14" fillId="0" borderId="0" xfId="273" applyAlignment="1">
      <alignment horizontal="center"/>
    </xf>
    <xf numFmtId="4" fontId="14" fillId="0" borderId="0" xfId="273" applyNumberFormat="1" applyAlignment="1">
      <alignment horizontal="left"/>
    </xf>
    <xf numFmtId="4" fontId="14" fillId="0" borderId="0" xfId="273" applyNumberFormat="1"/>
    <xf numFmtId="0" fontId="12" fillId="0" borderId="0" xfId="273" applyFont="1"/>
    <xf numFmtId="169" fontId="14" fillId="0" borderId="0" xfId="273" applyNumberFormat="1"/>
    <xf numFmtId="0" fontId="20" fillId="0" borderId="0" xfId="273" applyFont="1" applyAlignment="1">
      <alignment horizontal="center"/>
    </xf>
    <xf numFmtId="0" fontId="10" fillId="0" borderId="0" xfId="273" applyFont="1"/>
    <xf numFmtId="0" fontId="68" fillId="0" borderId="0" xfId="273" applyFont="1"/>
    <xf numFmtId="0" fontId="20" fillId="0" borderId="0" xfId="273" applyFont="1"/>
    <xf numFmtId="0" fontId="12" fillId="0" borderId="0" xfId="273" applyFont="1" applyAlignment="1">
      <alignment horizontal="center"/>
    </xf>
    <xf numFmtId="3" fontId="14" fillId="0" borderId="0" xfId="273" applyNumberFormat="1"/>
    <xf numFmtId="169" fontId="12" fillId="0" borderId="0" xfId="273" applyNumberFormat="1" applyFont="1" applyAlignment="1">
      <alignment horizontal="center"/>
    </xf>
    <xf numFmtId="3" fontId="14" fillId="0" borderId="0" xfId="273" applyNumberFormat="1" applyAlignment="1">
      <alignment horizontal="center"/>
    </xf>
    <xf numFmtId="0" fontId="58" fillId="0" borderId="0" xfId="273" applyFont="1"/>
    <xf numFmtId="169" fontId="10" fillId="0" borderId="0" xfId="273" applyNumberFormat="1" applyFont="1"/>
    <xf numFmtId="10" fontId="10" fillId="0" borderId="0" xfId="273" applyNumberFormat="1" applyFont="1" applyAlignment="1">
      <alignment horizontal="center"/>
    </xf>
    <xf numFmtId="3" fontId="71" fillId="0" borderId="0" xfId="273" applyNumberFormat="1" applyFont="1"/>
    <xf numFmtId="3" fontId="10" fillId="0" borderId="0" xfId="273" applyNumberFormat="1" applyFont="1"/>
    <xf numFmtId="169" fontId="58" fillId="0" borderId="0" xfId="273" applyNumberFormat="1" applyFont="1"/>
    <xf numFmtId="169" fontId="58" fillId="0" borderId="0" xfId="273" applyNumberFormat="1" applyFont="1" applyAlignment="1">
      <alignment horizontal="center"/>
    </xf>
    <xf numFmtId="0" fontId="10" fillId="7" borderId="0" xfId="273" applyFont="1" applyFill="1" applyAlignment="1">
      <alignment horizontal="left"/>
    </xf>
    <xf numFmtId="0" fontId="10" fillId="7" borderId="0" xfId="273" applyFont="1" applyFill="1"/>
    <xf numFmtId="10" fontId="10" fillId="0" borderId="0" xfId="273" applyNumberFormat="1" applyFont="1"/>
    <xf numFmtId="173" fontId="10" fillId="0" borderId="0" xfId="273" applyNumberFormat="1" applyFont="1"/>
    <xf numFmtId="173" fontId="10" fillId="0" borderId="0" xfId="273" applyNumberFormat="1" applyFont="1" applyAlignment="1">
      <alignment horizontal="center"/>
    </xf>
    <xf numFmtId="0" fontId="10" fillId="0" borderId="5" xfId="273" applyFont="1" applyBorder="1"/>
    <xf numFmtId="10" fontId="10" fillId="0" borderId="5" xfId="273" applyNumberFormat="1" applyFont="1" applyBorder="1" applyAlignment="1">
      <alignment horizontal="center"/>
    </xf>
    <xf numFmtId="3" fontId="10" fillId="0" borderId="5" xfId="273" applyNumberFormat="1" applyFont="1" applyBorder="1"/>
    <xf numFmtId="10" fontId="14" fillId="0" borderId="0" xfId="273" applyNumberFormat="1" applyAlignment="1">
      <alignment horizontal="center"/>
    </xf>
    <xf numFmtId="169" fontId="14" fillId="0" borderId="0" xfId="273" applyNumberFormat="1" applyAlignment="1">
      <alignment horizontal="center"/>
    </xf>
    <xf numFmtId="0" fontId="14" fillId="7" borderId="0" xfId="273" applyFill="1"/>
    <xf numFmtId="169" fontId="14" fillId="7" borderId="0" xfId="273" applyNumberFormat="1" applyFill="1"/>
    <xf numFmtId="3" fontId="14" fillId="7" borderId="0" xfId="273" applyNumberFormat="1" applyFill="1"/>
    <xf numFmtId="3" fontId="14" fillId="0" borderId="0" xfId="273" applyNumberFormat="1" applyAlignment="1">
      <alignment vertical="top"/>
    </xf>
    <xf numFmtId="10" fontId="12" fillId="0" borderId="0" xfId="273" applyNumberFormat="1" applyFont="1" applyAlignment="1">
      <alignment horizontal="center"/>
    </xf>
    <xf numFmtId="0" fontId="20" fillId="0" borderId="5" xfId="273" applyFont="1" applyBorder="1" applyAlignment="1">
      <alignment horizontal="center"/>
    </xf>
    <xf numFmtId="3" fontId="14" fillId="7" borderId="5" xfId="273" applyNumberFormat="1" applyFill="1" applyBorder="1"/>
    <xf numFmtId="173" fontId="14" fillId="0" borderId="0" xfId="273" applyNumberFormat="1" applyAlignment="1">
      <alignment horizontal="center"/>
    </xf>
    <xf numFmtId="10" fontId="72" fillId="0" borderId="0" xfId="273" applyNumberFormat="1" applyFont="1" applyAlignment="1">
      <alignment horizontal="center"/>
    </xf>
    <xf numFmtId="2" fontId="14" fillId="0" borderId="0" xfId="273" applyNumberFormat="1" applyAlignment="1">
      <alignment horizontal="center"/>
    </xf>
    <xf numFmtId="0" fontId="5" fillId="0" borderId="5" xfId="0" applyFont="1" applyBorder="1"/>
    <xf numFmtId="0" fontId="5" fillId="0" borderId="4" xfId="0" applyFont="1" applyBorder="1"/>
    <xf numFmtId="0" fontId="14" fillId="10" borderId="5" xfId="0" applyFont="1" applyFill="1" applyBorder="1"/>
    <xf numFmtId="169" fontId="28" fillId="0" borderId="0" xfId="0" applyNumberFormat="1" applyFont="1" applyAlignment="1">
      <alignment vertical="top" wrapText="1"/>
    </xf>
    <xf numFmtId="0" fontId="14" fillId="0" borderId="1" xfId="0" applyFont="1" applyBorder="1"/>
    <xf numFmtId="169" fontId="14" fillId="0" borderId="3" xfId="0" applyNumberFormat="1" applyFont="1" applyBorder="1" applyAlignment="1">
      <alignment vertical="top"/>
    </xf>
    <xf numFmtId="169" fontId="5" fillId="0" borderId="4" xfId="0" applyNumberFormat="1" applyFont="1" applyBorder="1" applyAlignment="1">
      <alignment vertical="top"/>
    </xf>
    <xf numFmtId="169" fontId="5" fillId="0" borderId="8" xfId="0" applyNumberFormat="1" applyFont="1" applyBorder="1" applyAlignment="1">
      <alignment vertical="top"/>
    </xf>
    <xf numFmtId="0" fontId="14" fillId="0" borderId="0" xfId="0" applyFont="1" applyAlignment="1">
      <alignment horizontal="left" wrapText="1"/>
    </xf>
    <xf numFmtId="0" fontId="40" fillId="0" borderId="0" xfId="0" applyFont="1" applyAlignment="1">
      <alignment horizontal="left"/>
    </xf>
    <xf numFmtId="0" fontId="14"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3" fillId="0" borderId="0" xfId="273" applyFont="1" applyAlignment="1">
      <alignment vertical="top"/>
    </xf>
    <xf numFmtId="164" fontId="14" fillId="0" borderId="0" xfId="273" applyNumberFormat="1" applyAlignment="1">
      <alignment horizontal="right"/>
    </xf>
    <xf numFmtId="0" fontId="14" fillId="0" borderId="0" xfId="547"/>
    <xf numFmtId="49" fontId="14" fillId="0" borderId="0" xfId="273" applyNumberFormat="1" applyAlignment="1">
      <alignment horizontal="center"/>
    </xf>
    <xf numFmtId="0" fontId="12" fillId="0" borderId="3" xfId="0" applyFont="1" applyBorder="1"/>
    <xf numFmtId="0" fontId="13" fillId="0" borderId="4" xfId="0" applyFont="1" applyBorder="1" applyAlignment="1">
      <alignment horizontal="right"/>
    </xf>
    <xf numFmtId="0" fontId="12" fillId="0" borderId="5" xfId="0" applyFont="1" applyBorder="1"/>
    <xf numFmtId="4" fontId="14"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4" fillId="0" borderId="18" xfId="0" applyNumberFormat="1" applyFont="1" applyBorder="1"/>
    <xf numFmtId="1" fontId="34" fillId="0" borderId="17" xfId="0" applyNumberFormat="1" applyFont="1" applyBorder="1"/>
    <xf numFmtId="1" fontId="34" fillId="0" borderId="15" xfId="0" applyNumberFormat="1" applyFont="1" applyBorder="1"/>
    <xf numFmtId="4" fontId="0" fillId="0" borderId="0" xfId="0" applyNumberFormat="1"/>
    <xf numFmtId="49" fontId="14" fillId="0" borderId="0" xfId="273" applyNumberFormat="1"/>
    <xf numFmtId="0" fontId="13" fillId="0" borderId="5" xfId="273" applyFont="1" applyBorder="1" applyAlignment="1">
      <alignment horizontal="center"/>
    </xf>
    <xf numFmtId="0" fontId="13" fillId="0" borderId="0" xfId="273" applyFont="1"/>
    <xf numFmtId="165" fontId="34" fillId="0" borderId="0" xfId="0" applyNumberFormat="1" applyFont="1"/>
    <xf numFmtId="171" fontId="34" fillId="0" borderId="17" xfId="0" applyNumberFormat="1" applyFont="1" applyBorder="1"/>
    <xf numFmtId="1" fontId="12" fillId="0" borderId="12" xfId="0" applyNumberFormat="1" applyFont="1" applyBorder="1"/>
    <xf numFmtId="165" fontId="12" fillId="0" borderId="12" xfId="0" applyNumberFormat="1" applyFont="1" applyBorder="1"/>
    <xf numFmtId="0" fontId="28" fillId="0" borderId="12" xfId="0" applyFont="1" applyBorder="1" applyAlignment="1">
      <alignment horizontal="right" vertical="top"/>
    </xf>
    <xf numFmtId="0" fontId="12" fillId="0" borderId="0" xfId="545" applyFont="1"/>
    <xf numFmtId="0" fontId="23" fillId="9" borderId="0" xfId="545" applyFont="1" applyFill="1"/>
    <xf numFmtId="0" fontId="14" fillId="9" borderId="0" xfId="545" quotePrefix="1" applyFont="1" applyFill="1" applyAlignment="1">
      <alignment horizontal="left"/>
    </xf>
    <xf numFmtId="0" fontId="14" fillId="9" borderId="0" xfId="545" applyFont="1" applyFill="1"/>
    <xf numFmtId="0" fontId="65" fillId="0" borderId="0" xfId="545"/>
    <xf numFmtId="5" fontId="14" fillId="0" borderId="0" xfId="545" applyNumberFormat="1" applyFont="1"/>
    <xf numFmtId="0" fontId="13" fillId="0" borderId="5" xfId="273" applyFont="1" applyBorder="1" applyAlignment="1">
      <alignment horizontal="left"/>
    </xf>
    <xf numFmtId="0" fontId="13" fillId="0" borderId="5" xfId="273" applyFont="1" applyBorder="1" applyAlignment="1">
      <alignment horizontal="right"/>
    </xf>
    <xf numFmtId="0" fontId="17" fillId="0" borderId="0" xfId="0" applyFont="1" applyAlignment="1">
      <alignment vertical="center"/>
    </xf>
    <xf numFmtId="0" fontId="5" fillId="0" borderId="18" xfId="0" applyFont="1" applyBorder="1"/>
    <xf numFmtId="0" fontId="5" fillId="0" borderId="12" xfId="0" applyFont="1" applyBorder="1"/>
    <xf numFmtId="0" fontId="12" fillId="0" borderId="19" xfId="0" applyFont="1" applyBorder="1"/>
    <xf numFmtId="0" fontId="10" fillId="0" borderId="12" xfId="254" applyFont="1" applyBorder="1" applyAlignment="1" applyProtection="1">
      <alignment horizontal="center" wrapText="1"/>
      <protection locked="0"/>
    </xf>
    <xf numFmtId="0" fontId="14" fillId="0" borderId="0" xfId="273" quotePrefix="1" applyAlignment="1">
      <alignment horizontal="center"/>
    </xf>
    <xf numFmtId="1" fontId="14" fillId="0" borderId="0" xfId="273" applyNumberFormat="1"/>
    <xf numFmtId="0" fontId="13" fillId="0" borderId="0" xfId="0" quotePrefix="1" applyFont="1" applyAlignment="1">
      <alignment horizontal="right"/>
    </xf>
    <xf numFmtId="1" fontId="5" fillId="0" borderId="12" xfId="546" applyNumberFormat="1" applyBorder="1"/>
    <xf numFmtId="0" fontId="18" fillId="0" borderId="1" xfId="0" applyFont="1" applyBorder="1"/>
    <xf numFmtId="0" fontId="18" fillId="0" borderId="7" xfId="0" applyFont="1" applyBorder="1"/>
    <xf numFmtId="0" fontId="18" fillId="0" borderId="9" xfId="0" applyFont="1" applyBorder="1"/>
    <xf numFmtId="0" fontId="5" fillId="0" borderId="10" xfId="0" applyFont="1" applyBorder="1"/>
    <xf numFmtId="0" fontId="28" fillId="2" borderId="11" xfId="0" applyFont="1" applyFill="1" applyBorder="1" applyAlignment="1">
      <alignment vertical="top" wrapText="1"/>
    </xf>
    <xf numFmtId="0" fontId="28" fillId="0" borderId="18" xfId="0" applyFont="1" applyBorder="1" applyAlignment="1">
      <alignment vertical="top" wrapText="1"/>
    </xf>
    <xf numFmtId="0" fontId="52" fillId="2" borderId="15" xfId="0" applyFont="1" applyFill="1" applyBorder="1" applyAlignment="1">
      <alignment vertical="top" wrapText="1"/>
    </xf>
    <xf numFmtId="0" fontId="52" fillId="0" borderId="0" xfId="0" applyFont="1" applyAlignment="1">
      <alignment vertical="top" wrapText="1"/>
    </xf>
    <xf numFmtId="0" fontId="52" fillId="2" borderId="0" xfId="0" applyFont="1" applyFill="1" applyAlignment="1">
      <alignment vertical="top" wrapText="1"/>
    </xf>
    <xf numFmtId="0" fontId="52" fillId="0" borderId="0" xfId="0" applyFont="1" applyAlignment="1">
      <alignment horizontal="right" vertical="top" wrapText="1"/>
    </xf>
    <xf numFmtId="0" fontId="0" fillId="7" borderId="3" xfId="0" applyFill="1" applyBorder="1"/>
    <xf numFmtId="0" fontId="75" fillId="0" borderId="0" xfId="0" applyFont="1" applyAlignment="1">
      <alignment vertical="center"/>
    </xf>
    <xf numFmtId="0" fontId="75" fillId="0" borderId="0" xfId="0" applyFont="1" applyAlignment="1">
      <alignment horizontal="left" vertical="center" indent="1"/>
    </xf>
    <xf numFmtId="0" fontId="75" fillId="0" borderId="0" xfId="0" applyFont="1" applyAlignment="1">
      <alignment vertical="center" wrapText="1"/>
    </xf>
    <xf numFmtId="173" fontId="14" fillId="7" borderId="0" xfId="273" applyNumberFormat="1" applyFill="1" applyAlignment="1">
      <alignment horizontal="center"/>
    </xf>
    <xf numFmtId="0" fontId="5" fillId="0" borderId="0" xfId="0" applyFont="1" applyAlignment="1">
      <alignment horizontal="center"/>
    </xf>
    <xf numFmtId="0" fontId="35" fillId="0" borderId="0" xfId="0" applyFont="1" applyAlignment="1">
      <alignment vertical="center" wrapText="1"/>
    </xf>
    <xf numFmtId="0" fontId="13" fillId="0" borderId="0" xfId="0" applyFont="1" applyProtection="1">
      <protection locked="0"/>
    </xf>
    <xf numFmtId="0" fontId="12" fillId="0" borderId="0" xfId="273" applyFont="1" applyAlignment="1">
      <alignment horizontal="left"/>
    </xf>
    <xf numFmtId="0" fontId="12" fillId="0" borderId="0" xfId="273" applyFont="1" applyAlignment="1">
      <alignment horizontal="right"/>
    </xf>
    <xf numFmtId="1" fontId="14" fillId="0" borderId="0" xfId="273" applyNumberFormat="1" applyAlignment="1">
      <alignment horizontal="center"/>
    </xf>
    <xf numFmtId="0" fontId="14" fillId="0" borderId="0" xfId="0" quotePrefix="1" applyFont="1" applyAlignment="1">
      <alignment horizontal="center" vertical="top"/>
    </xf>
    <xf numFmtId="49" fontId="13" fillId="0" borderId="0" xfId="0" applyNumberFormat="1" applyFont="1" applyAlignment="1">
      <alignment horizontal="left" vertical="center" wrapText="1"/>
    </xf>
    <xf numFmtId="9" fontId="10" fillId="7" borderId="0" xfId="273" applyNumberFormat="1" applyFont="1" applyFill="1" applyAlignment="1" applyProtection="1">
      <alignment horizontal="right"/>
      <protection locked="0"/>
    </xf>
    <xf numFmtId="1" fontId="10" fillId="7" borderId="0" xfId="273" applyNumberFormat="1" applyFont="1" applyFill="1" applyAlignment="1" applyProtection="1">
      <alignment horizontal="center"/>
      <protection locked="0"/>
    </xf>
    <xf numFmtId="169" fontId="10" fillId="7" borderId="0" xfId="273" applyNumberFormat="1" applyFont="1" applyFill="1" applyAlignment="1" applyProtection="1">
      <alignment horizontal="center"/>
      <protection locked="0"/>
    </xf>
    <xf numFmtId="0" fontId="46" fillId="0" borderId="0" xfId="273" applyFont="1" applyAlignment="1">
      <alignment horizontal="center"/>
    </xf>
    <xf numFmtId="0" fontId="6" fillId="0" borderId="0" xfId="245"/>
    <xf numFmtId="0" fontId="55" fillId="0" borderId="0" xfId="0" applyFont="1"/>
    <xf numFmtId="0" fontId="55" fillId="0" borderId="0" xfId="0" applyFont="1" applyAlignment="1">
      <alignment vertical="top"/>
    </xf>
    <xf numFmtId="0" fontId="10" fillId="7" borderId="0" xfId="273" applyFont="1" applyFill="1" applyAlignment="1" applyProtection="1">
      <alignment horizontal="left"/>
      <protection locked="0"/>
    </xf>
    <xf numFmtId="0" fontId="28" fillId="0" borderId="0" xfId="273" applyFont="1"/>
    <xf numFmtId="0" fontId="13" fillId="0" borderId="0" xfId="0" applyFont="1" applyAlignment="1">
      <alignment horizontal="left" vertical="center" shrinkToFit="1"/>
    </xf>
    <xf numFmtId="49" fontId="57" fillId="0" borderId="0" xfId="273" applyNumberFormat="1" applyFont="1" applyAlignment="1">
      <alignment horizontal="center" vertical="center"/>
    </xf>
    <xf numFmtId="0" fontId="58" fillId="0" borderId="0" xfId="273" applyFont="1" applyAlignment="1">
      <alignment vertical="center"/>
    </xf>
    <xf numFmtId="0" fontId="10" fillId="0" borderId="5" xfId="273" applyFont="1" applyBorder="1" applyAlignment="1">
      <alignment vertical="center"/>
    </xf>
    <xf numFmtId="0" fontId="10" fillId="0" borderId="0" xfId="273" applyFont="1" applyAlignment="1">
      <alignment vertical="center"/>
    </xf>
    <xf numFmtId="0" fontId="10" fillId="0" borderId="5" xfId="273" applyFont="1" applyBorder="1" applyAlignment="1">
      <alignment horizontal="center"/>
    </xf>
    <xf numFmtId="0" fontId="10" fillId="0" borderId="5" xfId="273" applyFont="1" applyBorder="1" applyAlignment="1">
      <alignment horizontal="center" vertical="center"/>
    </xf>
    <xf numFmtId="0" fontId="67" fillId="0" borderId="5" xfId="273" applyFont="1" applyBorder="1" applyAlignment="1">
      <alignment horizontal="right" vertical="center"/>
    </xf>
    <xf numFmtId="0" fontId="10" fillId="0" borderId="5" xfId="273" applyFont="1" applyBorder="1" applyAlignment="1">
      <alignment horizontal="right" vertical="center"/>
    </xf>
    <xf numFmtId="0" fontId="68" fillId="0" borderId="0" xfId="273" applyFont="1" applyAlignment="1">
      <alignment horizontal="right" vertical="center"/>
    </xf>
    <xf numFmtId="0" fontId="60" fillId="0" borderId="0" xfId="273" applyFont="1"/>
    <xf numFmtId="0" fontId="68" fillId="0" borderId="0" xfId="273" applyFont="1" applyAlignment="1">
      <alignment horizontal="left" vertical="center"/>
    </xf>
    <xf numFmtId="169" fontId="10" fillId="0" borderId="5" xfId="273" applyNumberFormat="1" applyFont="1" applyBorder="1"/>
    <xf numFmtId="169" fontId="10" fillId="0" borderId="13" xfId="273" applyNumberFormat="1" applyFont="1" applyBorder="1"/>
    <xf numFmtId="169" fontId="10" fillId="0" borderId="0" xfId="273" applyNumberFormat="1" applyFont="1" applyAlignment="1">
      <alignment horizontal="right"/>
    </xf>
    <xf numFmtId="0" fontId="44" fillId="0" borderId="0" xfId="273" applyFont="1" applyAlignment="1">
      <alignment horizontal="right" vertical="center"/>
    </xf>
    <xf numFmtId="169" fontId="10" fillId="0" borderId="5" xfId="273" applyNumberFormat="1" applyFont="1" applyBorder="1" applyAlignment="1">
      <alignment horizontal="right"/>
    </xf>
    <xf numFmtId="0" fontId="58" fillId="0" borderId="0" xfId="273" applyFont="1" applyAlignment="1">
      <alignment horizontal="right"/>
    </xf>
    <xf numFmtId="169" fontId="10" fillId="0" borderId="2" xfId="273" applyNumberFormat="1" applyFont="1" applyBorder="1"/>
    <xf numFmtId="0" fontId="58" fillId="0" borderId="5" xfId="273" applyFont="1" applyBorder="1" applyAlignment="1">
      <alignment horizontal="right"/>
    </xf>
    <xf numFmtId="0" fontId="59" fillId="0" borderId="0" xfId="273" applyFont="1"/>
    <xf numFmtId="0" fontId="10" fillId="0" borderId="0" xfId="273" applyFont="1" applyAlignment="1">
      <alignment horizontal="right" vertical="center"/>
    </xf>
    <xf numFmtId="0" fontId="10" fillId="0" borderId="0" xfId="273" applyFont="1" applyAlignment="1">
      <alignment horizontal="right"/>
    </xf>
    <xf numFmtId="0" fontId="58" fillId="0" borderId="0" xfId="273" applyFont="1" applyAlignment="1">
      <alignment vertical="center" wrapText="1"/>
    </xf>
    <xf numFmtId="0" fontId="10" fillId="0" borderId="7" xfId="273" applyFont="1" applyBorder="1"/>
    <xf numFmtId="0" fontId="44" fillId="0" borderId="0" xfId="273" applyFont="1" applyAlignment="1">
      <alignment horizontal="left"/>
    </xf>
    <xf numFmtId="9" fontId="10" fillId="0" borderId="5" xfId="273" applyNumberFormat="1" applyFont="1" applyBorder="1" applyAlignment="1">
      <alignment horizontal="center"/>
    </xf>
    <xf numFmtId="9" fontId="10" fillId="0" borderId="5" xfId="273" quotePrefix="1" applyNumberFormat="1" applyFont="1" applyBorder="1" applyAlignment="1">
      <alignment horizontal="center"/>
    </xf>
    <xf numFmtId="6" fontId="10" fillId="0" borderId="0" xfId="273" applyNumberFormat="1" applyFont="1"/>
    <xf numFmtId="9" fontId="10" fillId="0" borderId="0" xfId="273" applyNumberFormat="1" applyFont="1"/>
    <xf numFmtId="165" fontId="10" fillId="0" borderId="5" xfId="273" applyNumberFormat="1" applyFont="1" applyBorder="1" applyAlignment="1">
      <alignment horizontal="right"/>
    </xf>
    <xf numFmtId="165" fontId="10" fillId="0" borderId="0" xfId="273" applyNumberFormat="1" applyFont="1" applyAlignment="1">
      <alignment horizontal="right"/>
    </xf>
    <xf numFmtId="2" fontId="10" fillId="0" borderId="0" xfId="273" applyNumberFormat="1" applyFont="1"/>
    <xf numFmtId="0" fontId="10" fillId="0" borderId="0" xfId="273" applyFont="1" applyAlignment="1">
      <alignment horizontal="center"/>
    </xf>
    <xf numFmtId="169" fontId="10" fillId="0" borderId="0" xfId="273" applyNumberFormat="1" applyFont="1" applyAlignment="1">
      <alignment horizontal="center"/>
    </xf>
    <xf numFmtId="5" fontId="79" fillId="45" borderId="12" xfId="544" applyNumberFormat="1" applyFont="1" applyFill="1" applyBorder="1" applyAlignment="1" applyProtection="1">
      <alignment horizontal="center"/>
    </xf>
    <xf numFmtId="5" fontId="79" fillId="0" borderId="12" xfId="544" applyNumberFormat="1" applyFont="1" applyBorder="1" applyAlignment="1" applyProtection="1">
      <alignment horizontal="center"/>
    </xf>
    <xf numFmtId="5" fontId="79" fillId="2" borderId="12" xfId="544" applyNumberFormat="1" applyFont="1" applyFill="1" applyBorder="1" applyAlignment="1" applyProtection="1">
      <alignment horizontal="center"/>
    </xf>
    <xf numFmtId="0" fontId="28" fillId="0" borderId="0" xfId="0" applyFont="1" applyAlignment="1">
      <alignment horizontal="right" vertical="top" wrapText="1"/>
    </xf>
    <xf numFmtId="0" fontId="19" fillId="0" borderId="0" xfId="0" applyFont="1" applyAlignment="1">
      <alignment horizontal="right" vertical="top" wrapText="1"/>
    </xf>
    <xf numFmtId="169" fontId="28" fillId="7" borderId="5" xfId="0" applyNumberFormat="1" applyFont="1" applyFill="1" applyBorder="1" applyAlignment="1" applyProtection="1">
      <alignment horizontal="right" vertical="top" wrapText="1"/>
      <protection locked="0"/>
    </xf>
    <xf numFmtId="169" fontId="28" fillId="0" borderId="5" xfId="0" applyNumberFormat="1" applyFont="1" applyBorder="1" applyAlignment="1">
      <alignment horizontal="right" vertical="top" wrapText="1"/>
    </xf>
    <xf numFmtId="0" fontId="14" fillId="0" borderId="0" xfId="0" applyFont="1" applyAlignment="1">
      <alignment horizontal="right" vertical="top" wrapText="1"/>
    </xf>
    <xf numFmtId="0" fontId="52" fillId="0" borderId="18" xfId="0" applyFont="1" applyBorder="1" applyAlignment="1">
      <alignment vertical="top" wrapText="1"/>
    </xf>
    <xf numFmtId="0" fontId="52" fillId="2" borderId="18" xfId="0" applyFont="1" applyFill="1" applyBorder="1" applyAlignment="1">
      <alignment vertical="top" wrapText="1"/>
    </xf>
    <xf numFmtId="0" fontId="20" fillId="0" borderId="0" xfId="0" applyFont="1" applyAlignment="1">
      <alignment horizontal="left" vertical="center"/>
    </xf>
    <xf numFmtId="0" fontId="21" fillId="0" borderId="0" xfId="0" applyFont="1" applyAlignment="1">
      <alignment vertical="top" wrapText="1"/>
    </xf>
    <xf numFmtId="0" fontId="21" fillId="2" borderId="0" xfId="0" applyFont="1" applyFill="1" applyAlignment="1">
      <alignment vertical="top" wrapText="1"/>
    </xf>
    <xf numFmtId="0" fontId="81" fillId="0" borderId="0" xfId="546" applyFont="1"/>
    <xf numFmtId="0" fontId="12" fillId="0" borderId="2" xfId="546" applyFont="1" applyBorder="1" applyAlignment="1">
      <alignment horizontal="center"/>
    </xf>
    <xf numFmtId="0" fontId="12" fillId="0" borderId="0" xfId="546" applyFont="1" applyAlignment="1">
      <alignment horizontal="center"/>
    </xf>
    <xf numFmtId="0" fontId="81" fillId="0" borderId="0" xfId="0" applyFont="1"/>
    <xf numFmtId="169" fontId="81" fillId="0" borderId="0" xfId="0" applyNumberFormat="1" applyFont="1" applyAlignment="1">
      <alignment horizontal="left" vertical="top"/>
    </xf>
    <xf numFmtId="169" fontId="13" fillId="0" borderId="0" xfId="0" applyNumberFormat="1" applyFont="1" applyAlignment="1">
      <alignment horizontal="left" vertical="top" wrapText="1"/>
    </xf>
    <xf numFmtId="0" fontId="6" fillId="0" borderId="0" xfId="245" quotePrefix="1" applyAlignment="1" applyProtection="1">
      <alignment horizontal="left"/>
    </xf>
    <xf numFmtId="0" fontId="106" fillId="0" borderId="0" xfId="0" applyFont="1" applyAlignment="1">
      <alignment horizontal="left" vertical="top"/>
    </xf>
    <xf numFmtId="0" fontId="49" fillId="0" borderId="0" xfId="0" applyFont="1" applyAlignment="1">
      <alignment horizontal="center"/>
    </xf>
    <xf numFmtId="0" fontId="76" fillId="0" borderId="0" xfId="0" applyFont="1" applyAlignment="1">
      <alignment horizontal="left" vertical="top"/>
    </xf>
    <xf numFmtId="0" fontId="75" fillId="0" borderId="0" xfId="0" applyFont="1"/>
    <xf numFmtId="0" fontId="40" fillId="0" borderId="0" xfId="273" applyFont="1" applyAlignment="1">
      <alignment horizontal="left"/>
    </xf>
    <xf numFmtId="0" fontId="19" fillId="0" borderId="13" xfId="0" applyFont="1" applyBorder="1" applyAlignment="1" applyProtection="1">
      <alignment vertical="top" wrapText="1"/>
      <protection locked="0"/>
    </xf>
    <xf numFmtId="0" fontId="12" fillId="0" borderId="0" xfId="0" applyFont="1" applyAlignment="1" applyProtection="1">
      <alignment horizontal="center" wrapText="1"/>
      <protection locked="0"/>
    </xf>
    <xf numFmtId="0" fontId="14"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2" fillId="9" borderId="12" xfId="545" applyFont="1" applyFill="1" applyBorder="1" applyAlignment="1">
      <alignment horizontal="left"/>
    </xf>
    <xf numFmtId="0" fontId="12" fillId="9" borderId="12" xfId="545" applyFont="1" applyFill="1" applyBorder="1" applyAlignment="1">
      <alignment horizontal="center"/>
    </xf>
    <xf numFmtId="0" fontId="66" fillId="9" borderId="12" xfId="545" applyFont="1" applyFill="1" applyBorder="1" applyAlignment="1">
      <alignment horizontal="left"/>
    </xf>
    <xf numFmtId="169" fontId="14" fillId="0" borderId="12" xfId="543" applyNumberFormat="1" applyBorder="1" applyAlignment="1" applyProtection="1">
      <alignment horizontal="center"/>
    </xf>
    <xf numFmtId="0" fontId="66" fillId="0" borderId="12" xfId="545" applyFont="1" applyBorder="1" applyAlignment="1">
      <alignment horizontal="left"/>
    </xf>
    <xf numFmtId="0" fontId="52" fillId="0" borderId="13" xfId="0" applyFont="1" applyBorder="1" applyAlignment="1">
      <alignment vertical="top" wrapText="1"/>
    </xf>
    <xf numFmtId="0" fontId="85" fillId="0" borderId="0" xfId="0" applyFont="1" applyAlignment="1">
      <alignment horizontal="left"/>
    </xf>
    <xf numFmtId="0" fontId="49" fillId="0" borderId="0" xfId="0" applyFont="1" applyAlignment="1">
      <alignment vertical="top" wrapText="1"/>
    </xf>
    <xf numFmtId="0" fontId="19" fillId="0" borderId="7" xfId="0" applyFont="1" applyBorder="1" applyAlignment="1">
      <alignment vertical="top" wrapText="1"/>
    </xf>
    <xf numFmtId="0" fontId="28" fillId="0" borderId="7" xfId="0" applyFont="1" applyBorder="1" applyAlignment="1">
      <alignment vertical="top" wrapText="1"/>
    </xf>
    <xf numFmtId="0" fontId="49" fillId="0" borderId="7" xfId="0" applyFont="1" applyBorder="1" applyAlignment="1">
      <alignment vertical="top" wrapText="1"/>
    </xf>
    <xf numFmtId="0" fontId="52" fillId="0" borderId="7" xfId="0" applyFont="1" applyBorder="1" applyAlignment="1">
      <alignment vertical="top" wrapText="1"/>
    </xf>
    <xf numFmtId="0" fontId="28" fillId="0" borderId="13" xfId="0" applyFont="1" applyBorder="1" applyAlignment="1">
      <alignment vertical="top" wrapText="1"/>
    </xf>
    <xf numFmtId="6" fontId="28" fillId="6" borderId="12" xfId="0" applyNumberFormat="1" applyFont="1" applyFill="1" applyBorder="1" applyAlignment="1">
      <alignment vertical="top" wrapText="1"/>
    </xf>
    <xf numFmtId="6" fontId="28" fillId="0" borderId="12" xfId="0" applyNumberFormat="1" applyFont="1" applyBorder="1" applyAlignment="1">
      <alignment vertical="top" wrapText="1"/>
    </xf>
    <xf numFmtId="6" fontId="28" fillId="7" borderId="12" xfId="0" applyNumberFormat="1" applyFont="1" applyFill="1" applyBorder="1" applyAlignment="1" applyProtection="1">
      <alignment vertical="top" wrapText="1"/>
      <protection locked="0"/>
    </xf>
    <xf numFmtId="6" fontId="28" fillId="8" borderId="12" xfId="0" applyNumberFormat="1" applyFont="1" applyFill="1" applyBorder="1" applyAlignment="1">
      <alignment horizontal="center" vertical="top" wrapText="1"/>
    </xf>
    <xf numFmtId="6" fontId="49" fillId="0" borderId="12" xfId="0" applyNumberFormat="1" applyFont="1" applyBorder="1" applyAlignment="1">
      <alignment vertical="top" wrapText="1"/>
    </xf>
    <xf numFmtId="6" fontId="28" fillId="0" borderId="0" xfId="0" applyNumberFormat="1" applyFont="1" applyAlignment="1">
      <alignment horizontal="left" vertical="top"/>
    </xf>
    <xf numFmtId="6" fontId="28" fillId="0" borderId="0" xfId="0" applyNumberFormat="1" applyFont="1" applyAlignment="1">
      <alignment vertical="top" wrapText="1"/>
    </xf>
    <xf numFmtId="0" fontId="6" fillId="0" borderId="0" xfId="245" applyAlignment="1">
      <alignment horizontal="center"/>
    </xf>
    <xf numFmtId="0" fontId="6" fillId="0" borderId="0" xfId="245" applyBorder="1" applyAlignment="1">
      <alignment horizontal="center"/>
    </xf>
    <xf numFmtId="0" fontId="6" fillId="0" borderId="0" xfId="245" applyBorder="1" applyAlignment="1" applyProtection="1">
      <alignment horizontal="left"/>
    </xf>
    <xf numFmtId="0" fontId="14" fillId="0" borderId="3" xfId="259" applyBorder="1"/>
    <xf numFmtId="0" fontId="49" fillId="0" borderId="3" xfId="0" applyFont="1" applyBorder="1" applyAlignment="1">
      <alignment horizontal="left"/>
    </xf>
    <xf numFmtId="0" fontId="49" fillId="0" borderId="7" xfId="0" applyFont="1" applyBorder="1" applyAlignment="1">
      <alignment horizontal="center" wrapText="1"/>
    </xf>
    <xf numFmtId="0" fontId="49" fillId="0" borderId="0" xfId="0" applyFont="1" applyAlignment="1">
      <alignment horizontal="center" wrapText="1"/>
    </xf>
    <xf numFmtId="0" fontId="25" fillId="0" borderId="0" xfId="0" applyFont="1" applyAlignment="1">
      <alignment vertical="top" wrapText="1"/>
    </xf>
    <xf numFmtId="169" fontId="0" fillId="0" borderId="0" xfId="0" applyNumberFormat="1" applyAlignment="1">
      <alignment wrapText="1"/>
    </xf>
    <xf numFmtId="0" fontId="10" fillId="0" borderId="0" xfId="0" applyFont="1"/>
    <xf numFmtId="0" fontId="10" fillId="0" borderId="12" xfId="254" applyFont="1" applyBorder="1" applyAlignment="1">
      <alignment horizontal="center" wrapText="1"/>
    </xf>
    <xf numFmtId="0" fontId="10" fillId="0" borderId="0" xfId="254" applyFont="1" applyAlignment="1">
      <alignment horizontal="center" wrapText="1"/>
    </xf>
    <xf numFmtId="3" fontId="10" fillId="0" borderId="12" xfId="0" applyNumberFormat="1" applyFont="1" applyBorder="1"/>
    <xf numFmtId="3" fontId="10" fillId="0" borderId="0" xfId="0" applyNumberFormat="1" applyFont="1"/>
    <xf numFmtId="0" fontId="58" fillId="0" borderId="0" xfId="0" applyFont="1" applyAlignment="1">
      <alignment horizontal="left"/>
    </xf>
    <xf numFmtId="0" fontId="58" fillId="0" borderId="0" xfId="0" applyFont="1" applyAlignment="1">
      <alignment horizontal="right"/>
    </xf>
    <xf numFmtId="169" fontId="10" fillId="0" borderId="12" xfId="0" applyNumberFormat="1" applyFont="1" applyBorder="1"/>
    <xf numFmtId="169" fontId="10" fillId="0" borderId="0" xfId="0" applyNumberFormat="1" applyFont="1"/>
    <xf numFmtId="0" fontId="14" fillId="0" borderId="0" xfId="273" applyAlignment="1">
      <alignment horizontal="left" wrapText="1"/>
    </xf>
    <xf numFmtId="0" fontId="0" fillId="7" borderId="5" xfId="0" applyFill="1" applyBorder="1" applyProtection="1">
      <protection locked="0"/>
    </xf>
    <xf numFmtId="0" fontId="24" fillId="0" borderId="0" xfId="0" applyFont="1" applyAlignment="1">
      <alignment wrapText="1"/>
    </xf>
    <xf numFmtId="0" fontId="14" fillId="0" borderId="4" xfId="0" applyFont="1" applyBorder="1" applyAlignment="1">
      <alignment horizontal="left"/>
    </xf>
    <xf numFmtId="0" fontId="69" fillId="0" borderId="0" xfId="0" applyFont="1"/>
    <xf numFmtId="4" fontId="14" fillId="0" borderId="0" xfId="273" applyNumberFormat="1" applyAlignment="1">
      <alignment horizontal="left" vertical="top" wrapText="1"/>
    </xf>
    <xf numFmtId="0" fontId="28" fillId="0" borderId="7" xfId="0" applyFont="1" applyBorder="1"/>
    <xf numFmtId="0" fontId="28" fillId="0" borderId="4" xfId="0" applyFont="1" applyBorder="1"/>
    <xf numFmtId="0" fontId="28" fillId="0" borderId="3" xfId="0" applyFont="1" applyBorder="1"/>
    <xf numFmtId="0" fontId="28" fillId="0" borderId="1" xfId="0" applyFont="1" applyBorder="1"/>
    <xf numFmtId="0" fontId="49" fillId="0" borderId="0" xfId="0" applyFont="1" applyAlignment="1">
      <alignment horizontal="right"/>
    </xf>
    <xf numFmtId="0" fontId="49" fillId="0" borderId="9" xfId="0" applyFont="1" applyBorder="1" applyAlignment="1">
      <alignment horizontal="left"/>
    </xf>
    <xf numFmtId="0" fontId="49" fillId="0" borderId="4" xfId="0" applyFont="1" applyBorder="1"/>
    <xf numFmtId="0" fontId="28" fillId="0" borderId="5" xfId="0" applyFont="1" applyBorder="1"/>
    <xf numFmtId="0" fontId="49" fillId="0" borderId="5" xfId="0" applyFont="1" applyBorder="1" applyAlignment="1">
      <alignment horizontal="right"/>
    </xf>
    <xf numFmtId="0" fontId="28" fillId="0" borderId="9" xfId="0" applyFont="1" applyBorder="1"/>
    <xf numFmtId="0" fontId="13" fillId="0" borderId="12" xfId="0" applyFont="1" applyBorder="1" applyAlignment="1">
      <alignment horizontal="center"/>
    </xf>
    <xf numFmtId="0" fontId="6" fillId="0" borderId="0" xfId="245" applyNumberFormat="1" applyFill="1" applyAlignment="1" applyProtection="1">
      <alignment horizontal="left"/>
      <protection locked="0"/>
    </xf>
    <xf numFmtId="0" fontId="14" fillId="0" borderId="0" xfId="259" applyAlignment="1">
      <alignment horizontal="left" vertical="top" wrapText="1"/>
    </xf>
    <xf numFmtId="0" fontId="14" fillId="0" borderId="0" xfId="273" applyAlignment="1">
      <alignment horizontal="left" vertical="top" wrapText="1"/>
    </xf>
    <xf numFmtId="0" fontId="10"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10" fillId="7" borderId="4" xfId="273" applyNumberFormat="1" applyFont="1" applyFill="1" applyBorder="1" applyAlignment="1" applyProtection="1">
      <alignment horizontal="right"/>
      <protection locked="0"/>
    </xf>
    <xf numFmtId="0" fontId="107" fillId="0" borderId="0" xfId="273" applyFont="1"/>
    <xf numFmtId="0" fontId="10" fillId="7" borderId="5" xfId="273" applyFont="1" applyFill="1" applyBorder="1" applyProtection="1">
      <protection locked="0"/>
    </xf>
    <xf numFmtId="0" fontId="10" fillId="0" borderId="2" xfId="273" applyFont="1" applyBorder="1"/>
    <xf numFmtId="0" fontId="58" fillId="0" borderId="2" xfId="273" applyFont="1" applyBorder="1" applyAlignment="1">
      <alignment vertical="center"/>
    </xf>
    <xf numFmtId="6" fontId="10" fillId="0" borderId="12" xfId="273" applyNumberFormat="1" applyFont="1" applyBorder="1" applyAlignment="1">
      <alignment horizontal="right"/>
    </xf>
    <xf numFmtId="1" fontId="10" fillId="0" borderId="4" xfId="273" applyNumberFormat="1" applyFont="1" applyBorder="1" applyAlignment="1">
      <alignment horizontal="center" vertical="center"/>
    </xf>
    <xf numFmtId="2" fontId="10" fillId="0" borderId="5" xfId="273" applyNumberFormat="1" applyFont="1" applyBorder="1" applyAlignment="1">
      <alignment horizontal="center" vertical="center"/>
    </xf>
    <xf numFmtId="0" fontId="14" fillId="0" borderId="0" xfId="0" quotePrefix="1" applyFont="1" applyAlignment="1">
      <alignment horizontal="left" vertical="top"/>
    </xf>
    <xf numFmtId="169" fontId="14" fillId="0" borderId="0" xfId="547" applyNumberFormat="1"/>
    <xf numFmtId="1" fontId="0" fillId="0" borderId="0" xfId="0" applyNumberFormat="1"/>
    <xf numFmtId="165" fontId="10" fillId="0" borderId="0" xfId="273" applyNumberFormat="1" applyFont="1"/>
    <xf numFmtId="0" fontId="5" fillId="0" borderId="0" xfId="546" applyAlignment="1">
      <alignment vertical="top"/>
    </xf>
    <xf numFmtId="0" fontId="13" fillId="0" borderId="0" xfId="0" applyFont="1" applyAlignment="1">
      <alignment horizontal="right" vertical="top"/>
    </xf>
    <xf numFmtId="169" fontId="5" fillId="0" borderId="0" xfId="546" applyNumberFormat="1" applyAlignment="1">
      <alignment vertical="top"/>
    </xf>
    <xf numFmtId="0" fontId="67" fillId="0" borderId="0" xfId="273" applyFont="1" applyAlignment="1">
      <alignment horizontal="right" vertical="center"/>
    </xf>
    <xf numFmtId="0" fontId="10" fillId="0" borderId="0" xfId="273" applyFont="1" applyAlignment="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10"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49" fontId="14" fillId="0" borderId="0" xfId="0" applyNumberFormat="1" applyFont="1" applyAlignment="1">
      <alignment horizontal="left" vertical="top" wrapText="1"/>
    </xf>
    <xf numFmtId="4" fontId="14" fillId="0" borderId="0" xfId="0" applyNumberFormat="1" applyFont="1" applyAlignment="1">
      <alignment horizontal="left" vertical="top" wrapText="1"/>
    </xf>
    <xf numFmtId="1" fontId="10" fillId="7" borderId="5" xfId="273" applyNumberFormat="1" applyFont="1" applyFill="1" applyBorder="1" applyAlignment="1" applyProtection="1">
      <alignment vertical="center"/>
      <protection locked="0"/>
    </xf>
    <xf numFmtId="3" fontId="10" fillId="0" borderId="0" xfId="273" applyNumberFormat="1" applyFont="1" applyAlignment="1">
      <alignment horizontal="center"/>
    </xf>
    <xf numFmtId="3" fontId="10" fillId="0" borderId="5" xfId="273" applyNumberFormat="1" applyFont="1" applyBorder="1" applyAlignment="1">
      <alignment horizontal="center"/>
    </xf>
    <xf numFmtId="0" fontId="43" fillId="0" borderId="0" xfId="0" applyFont="1"/>
    <xf numFmtId="0" fontId="23" fillId="0" borderId="0" xfId="0" applyFont="1"/>
    <xf numFmtId="0" fontId="42" fillId="0" borderId="0" xfId="0" applyFont="1"/>
    <xf numFmtId="0" fontId="38" fillId="0" borderId="0" xfId="273" applyFont="1"/>
    <xf numFmtId="0" fontId="26" fillId="0" borderId="0" xfId="0" applyFont="1"/>
    <xf numFmtId="0" fontId="47" fillId="0" borderId="0" xfId="0" applyFont="1"/>
    <xf numFmtId="0" fontId="49" fillId="0" borderId="12" xfId="0" applyFont="1" applyBorder="1" applyAlignment="1">
      <alignment horizontal="center" wrapText="1"/>
    </xf>
    <xf numFmtId="0" fontId="111" fillId="0" borderId="0" xfId="0" applyFont="1" applyAlignment="1">
      <alignment horizontal="left" vertical="top"/>
    </xf>
    <xf numFmtId="169" fontId="28" fillId="47" borderId="12" xfId="0" applyNumberFormat="1" applyFont="1" applyFill="1" applyBorder="1" applyAlignment="1">
      <alignment vertical="top" wrapText="1"/>
    </xf>
    <xf numFmtId="6" fontId="28" fillId="47" borderId="12" xfId="0" applyNumberFormat="1" applyFont="1" applyFill="1" applyBorder="1" applyAlignment="1">
      <alignment vertical="top" wrapText="1"/>
    </xf>
    <xf numFmtId="0" fontId="6" fillId="0" borderId="0" xfId="245" applyAlignment="1" applyProtection="1"/>
    <xf numFmtId="173" fontId="5" fillId="0" borderId="7" xfId="546" applyNumberFormat="1" applyBorder="1"/>
    <xf numFmtId="0" fontId="14" fillId="0" borderId="7" xfId="0" applyFont="1" applyBorder="1"/>
    <xf numFmtId="0" fontId="12" fillId="0" borderId="7" xfId="0" applyFont="1" applyBorder="1"/>
    <xf numFmtId="0" fontId="15" fillId="0" borderId="7" xfId="0" applyFont="1" applyBorder="1" applyAlignment="1">
      <alignment horizontal="center"/>
    </xf>
    <xf numFmtId="0" fontId="12" fillId="0" borderId="7" xfId="0" applyFont="1" applyBorder="1" applyAlignment="1">
      <alignment vertical="top"/>
    </xf>
    <xf numFmtId="2" fontId="13" fillId="0" borderId="7" xfId="0" applyNumberFormat="1" applyFont="1" applyBorder="1" applyAlignment="1">
      <alignment horizontal="left"/>
    </xf>
    <xf numFmtId="0" fontId="13" fillId="0" borderId="7" xfId="0" applyFont="1" applyBorder="1" applyAlignment="1">
      <alignment horizontal="right"/>
    </xf>
    <xf numFmtId="2" fontId="13" fillId="0" borderId="7" xfId="0" applyNumberFormat="1" applyFont="1" applyBorder="1" applyAlignment="1">
      <alignment horizontal="right"/>
    </xf>
    <xf numFmtId="173" fontId="12" fillId="0" borderId="7" xfId="546" applyNumberFormat="1" applyFont="1" applyBorder="1"/>
    <xf numFmtId="0" fontId="5" fillId="0" borderId="7" xfId="546" applyBorder="1" applyAlignment="1">
      <alignment vertical="top"/>
    </xf>
    <xf numFmtId="1" fontId="13" fillId="0" borderId="7" xfId="0" applyNumberFormat="1" applyFont="1" applyBorder="1"/>
    <xf numFmtId="164" fontId="22" fillId="0" borderId="0" xfId="0" applyNumberFormat="1" applyFont="1" applyAlignment="1">
      <alignment vertical="top" wrapText="1"/>
    </xf>
    <xf numFmtId="0" fontId="22" fillId="46" borderId="7" xfId="0" applyFont="1" applyFill="1" applyBorder="1"/>
    <xf numFmtId="0" fontId="22" fillId="46" borderId="0" xfId="0" applyFont="1" applyFill="1"/>
    <xf numFmtId="0" fontId="13" fillId="0" borderId="0" xfId="0" applyFont="1" applyAlignment="1">
      <alignment vertical="center" wrapText="1" shrinkToFit="1"/>
    </xf>
    <xf numFmtId="0" fontId="10" fillId="0" borderId="0" xfId="273" applyFont="1" applyAlignment="1">
      <alignment horizontal="right" vertical="top" wrapText="1"/>
    </xf>
    <xf numFmtId="0" fontId="60" fillId="0" borderId="0" xfId="273" applyFont="1" applyAlignment="1">
      <alignment horizontal="left" vertical="top" wrapText="1"/>
    </xf>
    <xf numFmtId="0" fontId="58" fillId="0" borderId="0" xfId="273" applyFont="1" applyAlignment="1">
      <alignment horizontal="left"/>
    </xf>
    <xf numFmtId="0" fontId="10" fillId="0" borderId="5" xfId="273" applyFont="1" applyBorder="1" applyAlignment="1">
      <alignment horizontal="left"/>
    </xf>
    <xf numFmtId="1" fontId="13" fillId="0" borderId="7" xfId="0" applyNumberFormat="1" applyFont="1" applyBorder="1" applyAlignment="1">
      <alignment horizontal="center" vertical="top"/>
    </xf>
    <xf numFmtId="0" fontId="13" fillId="0" borderId="9" xfId="0" applyFont="1" applyBorder="1"/>
    <xf numFmtId="0" fontId="22" fillId="0" borderId="4" xfId="0" applyFont="1" applyBorder="1"/>
    <xf numFmtId="0" fontId="22" fillId="0" borderId="1" xfId="0" applyFont="1" applyBorder="1"/>
    <xf numFmtId="0" fontId="55" fillId="0" borderId="2" xfId="0" applyFont="1" applyBorder="1" applyAlignment="1">
      <alignment horizontal="left" wrapText="1"/>
    </xf>
    <xf numFmtId="0" fontId="55" fillId="0" borderId="2" xfId="0" applyFont="1" applyBorder="1" applyAlignment="1">
      <alignment horizontal="left"/>
    </xf>
    <xf numFmtId="0" fontId="55" fillId="0" borderId="11" xfId="0" applyFont="1" applyBorder="1" applyAlignment="1">
      <alignment horizontal="left" wrapText="1"/>
    </xf>
    <xf numFmtId="0" fontId="22" fillId="0" borderId="9" xfId="0" applyFont="1" applyBorder="1"/>
    <xf numFmtId="0" fontId="13" fillId="0" borderId="46" xfId="0" applyFont="1" applyBorder="1"/>
    <xf numFmtId="0" fontId="13" fillId="0" borderId="47" xfId="0" applyFont="1" applyBorder="1"/>
    <xf numFmtId="1" fontId="13" fillId="0" borderId="47" xfId="0" quotePrefix="1" applyNumberFormat="1" applyFont="1" applyBorder="1" applyAlignment="1">
      <alignment horizontal="center" vertical="top"/>
    </xf>
    <xf numFmtId="0" fontId="14"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3" fillId="0" borderId="53" xfId="0" quotePrefix="1" applyNumberFormat="1" applyFont="1" applyBorder="1" applyAlignment="1">
      <alignment horizontal="center" vertical="top"/>
    </xf>
    <xf numFmtId="0" fontId="13" fillId="0" borderId="53" xfId="0" applyFont="1" applyBorder="1" applyAlignment="1">
      <alignment vertical="top" wrapText="1"/>
    </xf>
    <xf numFmtId="0" fontId="5" fillId="0" borderId="49" xfId="546" applyBorder="1"/>
    <xf numFmtId="0" fontId="13" fillId="0" borderId="50" xfId="0" applyFont="1" applyBorder="1"/>
    <xf numFmtId="0" fontId="22" fillId="0" borderId="53" xfId="0" applyFont="1" applyBorder="1" applyAlignment="1">
      <alignment vertical="center"/>
    </xf>
    <xf numFmtId="0" fontId="13" fillId="0" borderId="49" xfId="0" applyFont="1" applyBorder="1"/>
    <xf numFmtId="0" fontId="5" fillId="0" borderId="52" xfId="546" applyBorder="1"/>
    <xf numFmtId="0" fontId="5" fillId="0" borderId="53" xfId="546" applyBorder="1"/>
    <xf numFmtId="1" fontId="13" fillId="0" borderId="53" xfId="0" applyNumberFormat="1" applyFont="1" applyBorder="1" applyAlignment="1">
      <alignment horizontal="center" vertical="top"/>
    </xf>
    <xf numFmtId="0" fontId="13" fillId="0" borderId="53" xfId="0" applyFont="1" applyBorder="1" applyAlignment="1">
      <alignment vertical="top"/>
    </xf>
    <xf numFmtId="0" fontId="14" fillId="0" borderId="53" xfId="0" applyFont="1" applyBorder="1"/>
    <xf numFmtId="0" fontId="12" fillId="0" borderId="53" xfId="0" applyFont="1" applyBorder="1"/>
    <xf numFmtId="0" fontId="13" fillId="0" borderId="53" xfId="0" applyFont="1" applyBorder="1"/>
    <xf numFmtId="0" fontId="13" fillId="0" borderId="54" xfId="0" applyFont="1" applyBorder="1"/>
    <xf numFmtId="0" fontId="13" fillId="0" borderId="52" xfId="0" applyFont="1" applyBorder="1"/>
    <xf numFmtId="0" fontId="5" fillId="0" borderId="46" xfId="546" applyBorder="1"/>
    <xf numFmtId="0" fontId="5" fillId="0" borderId="47" xfId="546" applyBorder="1"/>
    <xf numFmtId="0" fontId="5" fillId="0" borderId="48" xfId="546" applyBorder="1"/>
    <xf numFmtId="0" fontId="22" fillId="0" borderId="53" xfId="0" applyFont="1" applyBorder="1" applyAlignment="1">
      <alignment vertical="top"/>
    </xf>
    <xf numFmtId="0" fontId="13" fillId="0" borderId="48" xfId="0" applyFont="1" applyBorder="1"/>
    <xf numFmtId="0" fontId="14" fillId="0" borderId="49" xfId="546" applyFont="1" applyBorder="1"/>
    <xf numFmtId="0" fontId="0" fillId="0" borderId="49" xfId="0" applyBorder="1" applyAlignment="1">
      <alignment horizontal="center"/>
    </xf>
    <xf numFmtId="0" fontId="14" fillId="0" borderId="52" xfId="546" applyFont="1" applyBorder="1"/>
    <xf numFmtId="0" fontId="14" fillId="0" borderId="53" xfId="546" applyFont="1" applyBorder="1"/>
    <xf numFmtId="0" fontId="13" fillId="0" borderId="49" xfId="0" applyFont="1" applyBorder="1" applyAlignment="1">
      <alignment horizontal="left" vertical="top"/>
    </xf>
    <xf numFmtId="0" fontId="13" fillId="0" borderId="52" xfId="0" applyFont="1" applyBorder="1" applyAlignment="1">
      <alignment horizontal="left" vertical="top"/>
    </xf>
    <xf numFmtId="0" fontId="13" fillId="0" borderId="53" xfId="0" applyFont="1" applyBorder="1" applyAlignment="1">
      <alignment horizontal="center" vertical="top"/>
    </xf>
    <xf numFmtId="0" fontId="0" fillId="0" borderId="53" xfId="0" applyBorder="1"/>
    <xf numFmtId="0" fontId="13" fillId="0" borderId="53" xfId="0" applyFont="1" applyBorder="1" applyAlignment="1">
      <alignment horizontal="left" vertical="top"/>
    </xf>
    <xf numFmtId="0" fontId="12" fillId="0" borderId="53" xfId="0" applyFont="1" applyBorder="1" applyAlignment="1">
      <alignment vertical="top"/>
    </xf>
    <xf numFmtId="0" fontId="12" fillId="0" borderId="53" xfId="0" applyFont="1" applyBorder="1" applyAlignment="1">
      <alignment horizontal="left" vertical="top"/>
    </xf>
    <xf numFmtId="0" fontId="12" fillId="0" borderId="47" xfId="0" applyFont="1" applyBorder="1" applyAlignment="1">
      <alignment horizontal="left" vertical="top"/>
    </xf>
    <xf numFmtId="0" fontId="13" fillId="0" borderId="47" xfId="0" applyFont="1" applyBorder="1" applyAlignment="1">
      <alignment horizontal="left" vertical="top"/>
    </xf>
    <xf numFmtId="0" fontId="12" fillId="0" borderId="49" xfId="0" applyFont="1" applyBorder="1" applyAlignment="1">
      <alignment horizontal="left" vertical="top"/>
    </xf>
    <xf numFmtId="0" fontId="76" fillId="0" borderId="0" xfId="0" applyFont="1"/>
    <xf numFmtId="0" fontId="22" fillId="0" borderId="49" xfId="0" applyFont="1" applyBorder="1"/>
    <xf numFmtId="0" fontId="0" fillId="0" borderId="49" xfId="0" applyBorder="1"/>
    <xf numFmtId="1" fontId="12" fillId="0" borderId="53" xfId="0" applyNumberFormat="1" applyFont="1" applyBorder="1" applyAlignment="1">
      <alignment vertical="top"/>
    </xf>
    <xf numFmtId="0" fontId="12" fillId="0" borderId="46" xfId="0" applyFont="1" applyBorder="1" applyAlignment="1">
      <alignment horizontal="left" vertical="top"/>
    </xf>
    <xf numFmtId="0" fontId="28" fillId="0" borderId="47" xfId="0" applyFont="1" applyBorder="1" applyAlignment="1">
      <alignment horizontal="left" vertical="top"/>
    </xf>
    <xf numFmtId="0" fontId="14" fillId="0" borderId="47" xfId="0" quotePrefix="1" applyFont="1" applyBorder="1" applyAlignment="1">
      <alignment horizontal="center" vertical="top"/>
    </xf>
    <xf numFmtId="0" fontId="12" fillId="0" borderId="47" xfId="0" applyFont="1" applyBorder="1"/>
    <xf numFmtId="0" fontId="12" fillId="0" borderId="47" xfId="0" applyFont="1" applyBorder="1" applyAlignment="1">
      <alignment horizontal="center"/>
    </xf>
    <xf numFmtId="0" fontId="12" fillId="0" borderId="47" xfId="0" applyFont="1" applyBorder="1" applyAlignment="1">
      <alignment vertical="top"/>
    </xf>
    <xf numFmtId="0" fontId="12" fillId="0" borderId="49" xfId="0" applyFont="1" applyBorder="1"/>
    <xf numFmtId="0" fontId="14" fillId="0" borderId="52" xfId="0" applyFont="1" applyBorder="1"/>
    <xf numFmtId="0" fontId="5" fillId="0" borderId="50" xfId="546" applyBorder="1"/>
    <xf numFmtId="0" fontId="5" fillId="0" borderId="47" xfId="0" quotePrefix="1" applyFont="1" applyBorder="1" applyAlignment="1">
      <alignment horizontal="center" vertical="top"/>
    </xf>
    <xf numFmtId="0" fontId="24" fillId="0" borderId="46" xfId="0" applyFont="1" applyBorder="1"/>
    <xf numFmtId="0" fontId="13" fillId="0" borderId="47" xfId="0" applyFont="1" applyBorder="1" applyAlignment="1">
      <alignment horizontal="center" vertical="top"/>
    </xf>
    <xf numFmtId="0" fontId="13" fillId="0" borderId="47" xfId="0" applyFont="1" applyBorder="1" applyAlignment="1">
      <alignment vertical="top" wrapText="1"/>
    </xf>
    <xf numFmtId="0" fontId="13" fillId="0" borderId="47" xfId="0" applyFont="1" applyBorder="1" applyAlignment="1">
      <alignment horizontal="left" vertical="top" wrapText="1"/>
    </xf>
    <xf numFmtId="0" fontId="5" fillId="0" borderId="0" xfId="273" applyFont="1"/>
    <xf numFmtId="0" fontId="10" fillId="0" borderId="0" xfId="273" applyFont="1" applyAlignment="1">
      <alignment horizontal="left" vertical="top"/>
    </xf>
    <xf numFmtId="0" fontId="10" fillId="0" borderId="0" xfId="273" applyFont="1" applyAlignment="1">
      <alignment vertical="top"/>
    </xf>
    <xf numFmtId="0" fontId="10" fillId="0" borderId="57" xfId="273" applyFont="1" applyBorder="1"/>
    <xf numFmtId="0" fontId="10" fillId="0" borderId="50" xfId="273" applyFont="1" applyBorder="1"/>
    <xf numFmtId="0" fontId="58" fillId="0" borderId="50" xfId="273" applyFont="1" applyBorder="1" applyAlignment="1">
      <alignment vertical="center" wrapText="1"/>
    </xf>
    <xf numFmtId="0" fontId="10" fillId="0" borderId="58" xfId="273" applyFont="1" applyBorder="1"/>
    <xf numFmtId="0" fontId="28" fillId="0" borderId="47" xfId="273" applyFont="1" applyBorder="1" applyAlignment="1">
      <alignment horizontal="center"/>
    </xf>
    <xf numFmtId="0" fontId="10" fillId="0" borderId="53" xfId="273" applyFont="1" applyBorder="1" applyAlignment="1">
      <alignment horizontal="center"/>
    </xf>
    <xf numFmtId="0" fontId="10" fillId="0" borderId="54" xfId="273" applyFont="1" applyBorder="1" applyAlignment="1">
      <alignment horizontal="center"/>
    </xf>
    <xf numFmtId="0" fontId="10" fillId="0" borderId="47" xfId="273" applyFont="1" applyBorder="1" applyAlignment="1">
      <alignment horizontal="center"/>
    </xf>
    <xf numFmtId="0" fontId="10" fillId="0" borderId="59" xfId="273" applyFont="1" applyBorder="1" applyAlignment="1">
      <alignment horizontal="center"/>
    </xf>
    <xf numFmtId="0" fontId="5" fillId="0" borderId="47" xfId="273" applyFont="1" applyBorder="1"/>
    <xf numFmtId="0" fontId="5" fillId="0" borderId="48" xfId="273" applyFont="1" applyBorder="1"/>
    <xf numFmtId="0" fontId="5" fillId="0" borderId="53" xfId="273" applyFont="1" applyBorder="1"/>
    <xf numFmtId="0" fontId="5" fillId="0" borderId="54" xfId="273" applyFont="1" applyBorder="1"/>
    <xf numFmtId="0" fontId="5" fillId="0" borderId="59" xfId="273" applyFont="1" applyBorder="1"/>
    <xf numFmtId="0" fontId="5"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5" fillId="0" borderId="0" xfId="0" applyFont="1" applyAlignment="1">
      <alignment vertical="top" wrapText="1"/>
    </xf>
    <xf numFmtId="0" fontId="0" fillId="0" borderId="6" xfId="0" applyBorder="1"/>
    <xf numFmtId="0" fontId="12" fillId="0" borderId="0" xfId="0" applyFont="1" applyAlignment="1">
      <alignment horizontal="center" wrapText="1"/>
    </xf>
    <xf numFmtId="166" fontId="20" fillId="0" borderId="0" xfId="0" applyNumberFormat="1" applyFont="1" applyAlignment="1">
      <alignment horizontal="center" vertical="center"/>
    </xf>
    <xf numFmtId="0" fontId="119" fillId="0" borderId="0" xfId="0" applyFont="1" applyAlignment="1">
      <alignment horizontal="left" vertical="top"/>
    </xf>
    <xf numFmtId="0" fontId="12" fillId="0" borderId="50" xfId="0" applyFont="1" applyBorder="1" applyAlignment="1">
      <alignment horizontal="center"/>
    </xf>
    <xf numFmtId="0" fontId="12" fillId="0" borderId="53" xfId="0" applyFont="1" applyBorder="1" applyAlignment="1">
      <alignment horizontal="center"/>
    </xf>
    <xf numFmtId="0" fontId="12" fillId="0" borderId="54" xfId="0" applyFont="1" applyBorder="1" applyAlignment="1">
      <alignment horizontal="center"/>
    </xf>
    <xf numFmtId="0" fontId="12" fillId="0" borderId="50" xfId="0" applyFont="1" applyBorder="1" applyAlignment="1">
      <alignment horizontal="center" vertical="top"/>
    </xf>
    <xf numFmtId="0" fontId="12" fillId="0" borderId="48" xfId="0" applyFont="1" applyBorder="1" applyAlignment="1">
      <alignment horizontal="center"/>
    </xf>
    <xf numFmtId="0" fontId="55" fillId="0" borderId="0" xfId="0" applyFont="1" applyAlignment="1">
      <alignment vertical="top" wrapText="1"/>
    </xf>
    <xf numFmtId="0" fontId="14" fillId="0" borderId="47" xfId="0" applyFont="1" applyBorder="1"/>
    <xf numFmtId="0" fontId="10" fillId="0" borderId="0" xfId="273" applyFont="1" applyAlignment="1">
      <alignment wrapText="1"/>
    </xf>
    <xf numFmtId="0" fontId="59"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5" fillId="0" borderId="61" xfId="273" applyFont="1" applyBorder="1"/>
    <xf numFmtId="4" fontId="14" fillId="0" borderId="0" xfId="0" applyNumberFormat="1" applyFont="1" applyAlignment="1">
      <alignment vertical="top" wrapText="1"/>
    </xf>
    <xf numFmtId="0" fontId="12" fillId="0" borderId="10" xfId="0" applyFont="1" applyBorder="1" applyAlignment="1">
      <alignment horizontal="right"/>
    </xf>
    <xf numFmtId="0" fontId="28"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xf>
    <xf numFmtId="4" fontId="5" fillId="0" borderId="0" xfId="0" applyNumberFormat="1" applyFont="1" applyAlignment="1">
      <alignment horizontal="center"/>
    </xf>
    <xf numFmtId="4" fontId="5"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3" fillId="0" borderId="53" xfId="0" applyFont="1" applyBorder="1" applyAlignment="1">
      <alignment horizontal="left" vertical="top" wrapText="1"/>
    </xf>
    <xf numFmtId="0" fontId="5" fillId="0" borderId="0" xfId="0" applyFont="1" applyAlignment="1">
      <alignment wrapText="1"/>
    </xf>
    <xf numFmtId="0" fontId="0" fillId="0" borderId="5" xfId="0" applyBorder="1" applyAlignment="1">
      <alignment horizontal="left" wrapText="1"/>
    </xf>
    <xf numFmtId="10" fontId="5" fillId="0" borderId="0" xfId="0" applyNumberFormat="1" applyFont="1" applyAlignment="1">
      <alignment horizontal="center"/>
    </xf>
    <xf numFmtId="169" fontId="10" fillId="51" borderId="0" xfId="0" applyNumberFormat="1" applyFont="1" applyFill="1"/>
    <xf numFmtId="3" fontId="5" fillId="0" borderId="0" xfId="273" applyNumberFormat="1" applyFont="1"/>
    <xf numFmtId="169" fontId="5" fillId="0" borderId="0" xfId="273" applyNumberFormat="1" applyFont="1"/>
    <xf numFmtId="3" fontId="5" fillId="0" borderId="5" xfId="273" applyNumberFormat="1" applyFont="1" applyBorder="1"/>
    <xf numFmtId="169" fontId="5" fillId="0" borderId="0" xfId="0" applyNumberFormat="1" applyFont="1"/>
    <xf numFmtId="169" fontId="14" fillId="0" borderId="12" xfId="273" applyNumberFormat="1" applyBorder="1" applyAlignment="1">
      <alignment horizontal="center"/>
    </xf>
    <xf numFmtId="10" fontId="14" fillId="0" borderId="12" xfId="273" applyNumberFormat="1" applyBorder="1" applyAlignment="1">
      <alignment horizontal="center"/>
    </xf>
    <xf numFmtId="3" fontId="5" fillId="0" borderId="0" xfId="0" applyNumberFormat="1" applyFont="1"/>
    <xf numFmtId="3" fontId="5" fillId="0" borderId="5" xfId="0" applyNumberFormat="1" applyFont="1" applyBorder="1"/>
    <xf numFmtId="164" fontId="5" fillId="0" borderId="0" xfId="574" applyNumberFormat="1" applyAlignment="1">
      <alignment vertical="top" wrapText="1"/>
    </xf>
    <xf numFmtId="0" fontId="12" fillId="0" borderId="13" xfId="0" applyFont="1" applyBorder="1"/>
    <xf numFmtId="0" fontId="13" fillId="0" borderId="13" xfId="0" applyFont="1" applyBorder="1"/>
    <xf numFmtId="0" fontId="13" fillId="0" borderId="74" xfId="0" applyFont="1" applyBorder="1"/>
    <xf numFmtId="0" fontId="12" fillId="0" borderId="54" xfId="0" applyFont="1" applyBorder="1" applyAlignment="1">
      <alignment vertical="top"/>
    </xf>
    <xf numFmtId="0" fontId="0" fillId="0" borderId="52" xfId="0" applyBorder="1"/>
    <xf numFmtId="169" fontId="5" fillId="0" borderId="0" xfId="0" applyNumberFormat="1" applyFont="1" applyAlignment="1">
      <alignment horizontal="right"/>
    </xf>
    <xf numFmtId="0" fontId="5" fillId="0" borderId="9"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0" fillId="0" borderId="13" xfId="0" applyBorder="1" applyAlignment="1">
      <alignment horizontal="center"/>
    </xf>
    <xf numFmtId="0" fontId="5" fillId="0" borderId="9" xfId="0" applyFont="1" applyBorder="1"/>
    <xf numFmtId="0" fontId="109" fillId="0" borderId="0" xfId="0" applyFont="1"/>
    <xf numFmtId="0" fontId="5" fillId="0" borderId="12" xfId="546" applyBorder="1"/>
    <xf numFmtId="0" fontId="5" fillId="0" borderId="8" xfId="546" applyBorder="1"/>
    <xf numFmtId="0" fontId="12" fillId="0" borderId="8" xfId="0" applyFont="1" applyBorder="1"/>
    <xf numFmtId="0" fontId="12" fillId="0" borderId="3" xfId="574" applyFont="1" applyBorder="1"/>
    <xf numFmtId="0" fontId="12" fillId="0" borderId="4" xfId="574" applyFont="1" applyBorder="1"/>
    <xf numFmtId="0" fontId="12" fillId="0" borderId="8" xfId="574" applyFont="1" applyBorder="1"/>
    <xf numFmtId="0" fontId="12" fillId="0" borderId="0" xfId="574" applyFont="1"/>
    <xf numFmtId="0" fontId="5" fillId="0" borderId="0" xfId="574"/>
    <xf numFmtId="0" fontId="13" fillId="0" borderId="0" xfId="574" applyFont="1" applyAlignment="1">
      <alignment horizontal="center"/>
    </xf>
    <xf numFmtId="0" fontId="13" fillId="0" borderId="5" xfId="574" applyFont="1" applyBorder="1" applyAlignment="1">
      <alignment horizontal="right"/>
    </xf>
    <xf numFmtId="0" fontId="13" fillId="0" borderId="5" xfId="574" applyFont="1" applyBorder="1" applyAlignment="1">
      <alignment horizontal="left"/>
    </xf>
    <xf numFmtId="1" fontId="5" fillId="0" borderId="18" xfId="574" applyNumberFormat="1" applyBorder="1"/>
    <xf numFmtId="1" fontId="12" fillId="0" borderId="15" xfId="574" applyNumberFormat="1" applyFont="1" applyBorder="1"/>
    <xf numFmtId="165" fontId="12" fillId="0" borderId="12" xfId="574" applyNumberFormat="1" applyFont="1" applyBorder="1"/>
    <xf numFmtId="1" fontId="5" fillId="0" borderId="12" xfId="574" applyNumberFormat="1" applyBorder="1"/>
    <xf numFmtId="165" fontId="5" fillId="0" borderId="12" xfId="574" applyNumberFormat="1" applyBorder="1"/>
    <xf numFmtId="171" fontId="5" fillId="0" borderId="12" xfId="574" applyNumberFormat="1" applyBorder="1"/>
    <xf numFmtId="0" fontId="24" fillId="0" borderId="11" xfId="546" applyFont="1" applyBorder="1"/>
    <xf numFmtId="0" fontId="5" fillId="0" borderId="13" xfId="546" quotePrefix="1" applyBorder="1"/>
    <xf numFmtId="0" fontId="12" fillId="0" borderId="13" xfId="546" applyFont="1" applyBorder="1" applyAlignment="1">
      <alignment horizontal="center" vertical="top"/>
    </xf>
    <xf numFmtId="0" fontId="13" fillId="0" borderId="7" xfId="546" applyFont="1" applyBorder="1" applyAlignment="1">
      <alignment horizontal="left" vertical="top" wrapText="1"/>
    </xf>
    <xf numFmtId="0" fontId="13" fillId="0" borderId="13" xfId="546" applyFont="1" applyBorder="1" applyAlignment="1">
      <alignment horizontal="center" vertical="top" wrapText="1"/>
    </xf>
    <xf numFmtId="0" fontId="13" fillId="0" borderId="1" xfId="546" applyFont="1" applyBorder="1" applyAlignment="1">
      <alignment horizontal="left" vertical="top" wrapText="1"/>
    </xf>
    <xf numFmtId="0" fontId="13" fillId="0" borderId="2" xfId="546" applyFont="1" applyBorder="1" applyAlignment="1">
      <alignment horizontal="center" vertical="top" wrapText="1"/>
    </xf>
    <xf numFmtId="0" fontId="13" fillId="0" borderId="0" xfId="546" applyFont="1" applyAlignment="1">
      <alignment horizontal="center" vertical="top" wrapText="1"/>
    </xf>
    <xf numFmtId="0" fontId="13" fillId="0" borderId="9" xfId="546" applyFont="1" applyBorder="1" applyAlignment="1">
      <alignment horizontal="left" vertical="top" wrapText="1"/>
    </xf>
    <xf numFmtId="0" fontId="13" fillId="0" borderId="5" xfId="546" applyFont="1" applyBorder="1" applyAlignment="1">
      <alignment horizontal="center" vertical="top" wrapText="1"/>
    </xf>
    <xf numFmtId="0" fontId="22" fillId="0" borderId="9" xfId="546" applyFont="1" applyBorder="1" applyAlignment="1">
      <alignment horizontal="left" vertical="top" wrapText="1"/>
    </xf>
    <xf numFmtId="0" fontId="22" fillId="0" borderId="7" xfId="546" applyFont="1" applyBorder="1" applyAlignment="1">
      <alignment horizontal="left" vertical="top" wrapText="1"/>
    </xf>
    <xf numFmtId="0" fontId="22" fillId="0" borderId="0" xfId="546" applyFont="1" applyAlignment="1">
      <alignment horizontal="center" vertical="top" wrapText="1"/>
    </xf>
    <xf numFmtId="0" fontId="50" fillId="0" borderId="9" xfId="546" applyFont="1" applyBorder="1" applyAlignment="1">
      <alignment vertical="top"/>
    </xf>
    <xf numFmtId="0" fontId="32" fillId="0" borderId="7" xfId="546" applyFont="1" applyBorder="1" applyAlignment="1">
      <alignment vertical="center" wrapText="1"/>
    </xf>
    <xf numFmtId="0" fontId="32" fillId="0" borderId="0" xfId="546" applyFont="1" applyAlignment="1">
      <alignment vertical="center" wrapText="1"/>
    </xf>
    <xf numFmtId="0" fontId="32" fillId="0" borderId="13" xfId="546" applyFont="1" applyBorder="1" applyAlignment="1">
      <alignment vertical="center" wrapText="1"/>
    </xf>
    <xf numFmtId="0" fontId="32" fillId="0" borderId="9" xfId="546" applyFont="1" applyBorder="1" applyAlignment="1">
      <alignment vertical="center" wrapText="1"/>
    </xf>
    <xf numFmtId="0" fontId="32" fillId="0" borderId="5" xfId="546" applyFont="1" applyBorder="1" applyAlignment="1">
      <alignment vertical="center" wrapText="1"/>
    </xf>
    <xf numFmtId="0" fontId="32" fillId="0" borderId="10" xfId="546" applyFont="1" applyBorder="1" applyAlignment="1">
      <alignment vertical="center" wrapText="1"/>
    </xf>
    <xf numFmtId="0" fontId="12" fillId="0" borderId="11" xfId="546" applyFont="1" applyBorder="1" applyAlignment="1">
      <alignment horizontal="right"/>
    </xf>
    <xf numFmtId="0" fontId="22" fillId="0" borderId="4" xfId="546" applyFont="1" applyBorder="1" applyAlignment="1">
      <alignment horizontal="right" vertical="top" wrapText="1"/>
    </xf>
    <xf numFmtId="0" fontId="25" fillId="0" borderId="0" xfId="0" applyFont="1" applyAlignment="1">
      <alignment horizontal="left"/>
    </xf>
    <xf numFmtId="0" fontId="5" fillId="0" borderId="0" xfId="259" applyFont="1" applyAlignment="1">
      <alignment horizontal="center"/>
    </xf>
    <xf numFmtId="0" fontId="46" fillId="0" borderId="0" xfId="259" applyFont="1" applyAlignment="1">
      <alignment horizontal="center"/>
    </xf>
    <xf numFmtId="0" fontId="5" fillId="0" borderId="0" xfId="259" applyFont="1" applyAlignment="1">
      <alignment horizontal="left" vertical="top" wrapText="1"/>
    </xf>
    <xf numFmtId="0" fontId="42" fillId="2" borderId="12" xfId="574" applyFont="1" applyFill="1" applyBorder="1" applyAlignment="1">
      <alignment horizontal="left" vertical="top" wrapText="1"/>
    </xf>
    <xf numFmtId="0" fontId="28" fillId="0" borderId="12" xfId="259" applyFont="1" applyBorder="1" applyAlignment="1">
      <alignment horizontal="right" vertical="top" wrapText="1"/>
    </xf>
    <xf numFmtId="0" fontId="49" fillId="0" borderId="12" xfId="259" applyFont="1" applyBorder="1" applyAlignment="1">
      <alignment horizontal="right" vertical="top" wrapText="1"/>
    </xf>
    <xf numFmtId="0" fontId="28" fillId="0" borderId="12" xfId="259" applyFont="1" applyBorder="1" applyAlignment="1">
      <alignment horizontal="right" vertical="top"/>
    </xf>
    <xf numFmtId="0" fontId="12" fillId="0" borderId="12" xfId="574" applyFont="1" applyBorder="1" applyAlignment="1">
      <alignment horizontal="right" vertical="top" wrapText="1"/>
    </xf>
    <xf numFmtId="0" fontId="5" fillId="0" borderId="12" xfId="574" applyBorder="1" applyAlignment="1">
      <alignment horizontal="right" vertical="top" wrapText="1"/>
    </xf>
    <xf numFmtId="0" fontId="5" fillId="0" borderId="12" xfId="574" applyBorder="1" applyAlignment="1" applyProtection="1">
      <alignment horizontal="right" vertical="top" wrapText="1"/>
      <protection locked="0"/>
    </xf>
    <xf numFmtId="0" fontId="23" fillId="0" borderId="12" xfId="574" applyFont="1" applyBorder="1" applyAlignment="1">
      <alignment horizontal="right" vertical="top" wrapText="1"/>
    </xf>
    <xf numFmtId="0" fontId="28" fillId="0" borderId="12" xfId="574" applyFont="1" applyBorder="1" applyAlignment="1">
      <alignment horizontal="right" vertical="top"/>
    </xf>
    <xf numFmtId="0" fontId="5" fillId="7" borderId="12" xfId="574" applyFill="1" applyBorder="1" applyAlignment="1" applyProtection="1">
      <alignment horizontal="right" vertical="top" wrapText="1"/>
      <protection locked="0"/>
    </xf>
    <xf numFmtId="0" fontId="14" fillId="7" borderId="8" xfId="0" applyFont="1" applyFill="1" applyBorder="1" applyAlignment="1" applyProtection="1">
      <alignment vertical="top" wrapText="1"/>
      <protection locked="0"/>
    </xf>
    <xf numFmtId="169" fontId="14" fillId="0" borderId="12" xfId="0" applyNumberFormat="1" applyFont="1" applyBorder="1" applyAlignment="1" applyProtection="1">
      <alignment vertical="top" wrapText="1"/>
      <protection locked="0"/>
    </xf>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5" fillId="50" borderId="0" xfId="574" applyFill="1"/>
    <xf numFmtId="0" fontId="5"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5" fillId="0" borderId="0" xfId="273" applyFont="1" applyAlignment="1">
      <alignment vertical="top" wrapText="1"/>
    </xf>
    <xf numFmtId="0" fontId="12" fillId="0" borderId="0" xfId="0" applyFont="1" applyAlignment="1">
      <alignment vertical="center"/>
    </xf>
    <xf numFmtId="0" fontId="5" fillId="0" borderId="0" xfId="0" applyFont="1" applyAlignment="1">
      <alignment horizontal="right"/>
    </xf>
    <xf numFmtId="1" fontId="5" fillId="0" borderId="0" xfId="0" applyNumberFormat="1" applyFont="1" applyAlignment="1">
      <alignment horizontal="center"/>
    </xf>
    <xf numFmtId="169" fontId="5" fillId="0" borderId="0" xfId="0" applyNumberFormat="1" applyFont="1" applyAlignment="1">
      <alignment horizontal="center"/>
    </xf>
    <xf numFmtId="0" fontId="5" fillId="0" borderId="0" xfId="273" applyFont="1" applyAlignment="1">
      <alignment horizontal="left"/>
    </xf>
    <xf numFmtId="0" fontId="5" fillId="0" borderId="0" xfId="0" applyFont="1" applyAlignment="1">
      <alignment vertical="top"/>
    </xf>
    <xf numFmtId="0" fontId="12" fillId="0" borderId="0" xfId="766" applyFont="1" applyAlignment="1">
      <alignment vertical="top"/>
    </xf>
    <xf numFmtId="0" fontId="12" fillId="0" borderId="0" xfId="245" applyFont="1" applyAlignment="1"/>
    <xf numFmtId="0" fontId="5" fillId="0" borderId="0" xfId="766" applyAlignment="1">
      <alignment vertical="top"/>
    </xf>
    <xf numFmtId="0" fontId="5" fillId="0" borderId="0" xfId="766" applyAlignment="1">
      <alignment vertical="top" wrapText="1"/>
    </xf>
    <xf numFmtId="0" fontId="5" fillId="0" borderId="0" xfId="766"/>
    <xf numFmtId="0" fontId="12" fillId="0" borderId="0" xfId="766" applyFont="1"/>
    <xf numFmtId="0" fontId="14" fillId="0" borderId="0" xfId="259" applyAlignment="1">
      <alignment vertical="top" wrapText="1"/>
    </xf>
    <xf numFmtId="0" fontId="115" fillId="0" borderId="0" xfId="0" applyFont="1"/>
    <xf numFmtId="0" fontId="10" fillId="51" borderId="0" xfId="273" applyFont="1" applyFill="1"/>
    <xf numFmtId="3" fontId="71"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4" fillId="0" borderId="0" xfId="273" applyAlignment="1">
      <alignment horizontal="right"/>
    </xf>
    <xf numFmtId="0" fontId="14" fillId="51" borderId="3" xfId="259" applyFill="1" applyBorder="1"/>
    <xf numFmtId="3" fontId="10" fillId="51" borderId="12" xfId="0" applyNumberFormat="1" applyFont="1" applyFill="1" applyBorder="1" applyProtection="1">
      <protection locked="0"/>
    </xf>
    <xf numFmtId="3" fontId="10" fillId="0" borderId="12" xfId="0" applyNumberFormat="1" applyFont="1" applyBorder="1" applyAlignment="1" applyProtection="1">
      <alignment horizontal="center"/>
      <protection locked="0"/>
    </xf>
    <xf numFmtId="3" fontId="10" fillId="0" borderId="12" xfId="0" applyNumberFormat="1" applyFont="1" applyBorder="1" applyAlignment="1">
      <alignment horizontal="center"/>
    </xf>
    <xf numFmtId="0" fontId="58" fillId="0" borderId="0" xfId="0" applyFont="1" applyAlignment="1">
      <alignment horizontal="center" vertical="center"/>
    </xf>
    <xf numFmtId="0" fontId="140" fillId="0" borderId="0" xfId="0" applyFont="1" applyAlignment="1">
      <alignment horizontal="center" vertical="center"/>
    </xf>
    <xf numFmtId="0" fontId="14" fillId="51" borderId="5" xfId="0" applyFont="1" applyFill="1" applyBorder="1" applyAlignment="1" applyProtection="1">
      <alignment vertical="top" wrapText="1"/>
      <protection locked="0"/>
    </xf>
    <xf numFmtId="3" fontId="37" fillId="4" borderId="0" xfId="546" applyNumberFormat="1" applyFont="1" applyFill="1" applyAlignment="1">
      <alignment vertical="center" wrapText="1"/>
    </xf>
    <xf numFmtId="169" fontId="14" fillId="0" borderId="3" xfId="273" applyNumberFormat="1" applyBorder="1" applyAlignment="1">
      <alignment vertical="top"/>
    </xf>
    <xf numFmtId="169" fontId="14" fillId="0" borderId="4" xfId="273" applyNumberFormat="1" applyBorder="1" applyAlignment="1">
      <alignment vertical="top"/>
    </xf>
    <xf numFmtId="2" fontId="10" fillId="0" borderId="31" xfId="273" applyNumberFormat="1" applyFont="1" applyBorder="1" applyAlignment="1">
      <alignment vertical="center"/>
    </xf>
    <xf numFmtId="0" fontId="10" fillId="0" borderId="0" xfId="0" applyFont="1" applyAlignment="1">
      <alignment vertical="center"/>
    </xf>
    <xf numFmtId="2" fontId="5" fillId="0" borderId="0" xfId="573" applyNumberFormat="1" applyFont="1" applyFill="1"/>
    <xf numFmtId="9" fontId="5" fillId="0" borderId="0" xfId="273" applyNumberFormat="1" applyFont="1"/>
    <xf numFmtId="1" fontId="5" fillId="0" borderId="0" xfId="546" applyNumberFormat="1" applyAlignment="1">
      <alignment horizontal="center"/>
    </xf>
    <xf numFmtId="0" fontId="5" fillId="0" borderId="0" xfId="546" quotePrefix="1"/>
    <xf numFmtId="169" fontId="142" fillId="0" borderId="0" xfId="0" applyNumberFormat="1" applyFont="1" applyAlignment="1">
      <alignment vertical="center"/>
    </xf>
    <xf numFmtId="169" fontId="5" fillId="0" borderId="0" xfId="0" applyNumberFormat="1" applyFont="1" applyAlignment="1">
      <alignment vertical="center"/>
    </xf>
    <xf numFmtId="1" fontId="13" fillId="0" borderId="0" xfId="0" applyNumberFormat="1" applyFont="1"/>
    <xf numFmtId="0" fontId="11" fillId="0" borderId="0" xfId="0" applyFont="1" applyAlignment="1">
      <alignment vertical="center"/>
    </xf>
    <xf numFmtId="2" fontId="34"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5"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2" fillId="0" borderId="0" xfId="0" applyFont="1" applyAlignment="1">
      <alignment horizontal="center" vertical="center"/>
    </xf>
    <xf numFmtId="0" fontId="14" fillId="0" borderId="0" xfId="546" applyFont="1" applyAlignment="1">
      <alignment horizontal="center"/>
    </xf>
    <xf numFmtId="0" fontId="5" fillId="0" borderId="0" xfId="546" applyAlignment="1">
      <alignment wrapText="1"/>
    </xf>
    <xf numFmtId="0" fontId="5" fillId="0" borderId="0" xfId="0" applyFont="1" applyAlignment="1">
      <alignment vertical="center" wrapText="1"/>
    </xf>
    <xf numFmtId="0" fontId="12" fillId="0" borderId="64" xfId="0" applyFont="1" applyBorder="1" applyAlignment="1">
      <alignment horizontal="right"/>
    </xf>
    <xf numFmtId="0" fontId="14" fillId="0" borderId="13" xfId="0" applyFont="1" applyBorder="1" applyAlignment="1">
      <alignment vertical="top" wrapText="1"/>
    </xf>
    <xf numFmtId="0" fontId="13" fillId="0" borderId="63" xfId="0" applyFont="1" applyBorder="1" applyAlignment="1">
      <alignment vertical="top" wrapText="1"/>
    </xf>
    <xf numFmtId="0" fontId="13" fillId="0" borderId="14" xfId="0" applyFont="1" applyBorder="1" applyAlignment="1">
      <alignment vertical="top" wrapText="1"/>
    </xf>
    <xf numFmtId="164" fontId="0" fillId="0" borderId="14" xfId="0" applyNumberFormat="1" applyBorder="1" applyAlignment="1">
      <alignment horizontal="right"/>
    </xf>
    <xf numFmtId="0" fontId="13" fillId="0" borderId="14" xfId="0" applyFont="1" applyBorder="1"/>
    <xf numFmtId="0" fontId="13" fillId="0" borderId="75" xfId="0" applyFont="1" applyBorder="1" applyAlignment="1">
      <alignment horizontal="left" vertical="top" wrapText="1"/>
    </xf>
    <xf numFmtId="0" fontId="6" fillId="0" borderId="0" xfId="245" applyAlignment="1" applyProtection="1">
      <alignment horizontal="left" indent="1"/>
    </xf>
    <xf numFmtId="9" fontId="34" fillId="0" borderId="0" xfId="0" applyNumberFormat="1" applyFont="1"/>
    <xf numFmtId="169" fontId="5" fillId="0" borderId="0" xfId="778" applyNumberFormat="1"/>
    <xf numFmtId="3" fontId="5" fillId="0" borderId="0" xfId="778" applyNumberFormat="1"/>
    <xf numFmtId="169" fontId="5" fillId="7" borderId="0" xfId="778" applyNumberFormat="1" applyFill="1"/>
    <xf numFmtId="3" fontId="5" fillId="7" borderId="0" xfId="778" applyNumberFormat="1" applyFill="1"/>
    <xf numFmtId="0" fontId="11" fillId="5" borderId="0" xfId="0" applyFont="1" applyFill="1" applyAlignment="1">
      <alignment horizontal="center" vertical="center" wrapText="1"/>
    </xf>
    <xf numFmtId="0" fontId="11" fillId="5" borderId="13"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5" fillId="0" borderId="0" xfId="0" applyFont="1" applyAlignment="1">
      <alignment horizontal="left" vertical="top" wrapText="1"/>
    </xf>
    <xf numFmtId="0" fontId="5" fillId="0" borderId="0" xfId="273" applyFont="1" applyAlignment="1">
      <alignment horizontal="left" vertical="top" wrapText="1"/>
    </xf>
    <xf numFmtId="0" fontId="38" fillId="0" borderId="0" xfId="0" applyFont="1" applyAlignment="1">
      <alignment horizontal="left" vertical="top" wrapText="1"/>
    </xf>
    <xf numFmtId="0" fontId="5" fillId="0" borderId="0" xfId="0" applyFont="1" applyAlignment="1">
      <alignment vertical="top" wrapText="1"/>
    </xf>
    <xf numFmtId="0" fontId="6" fillId="0" borderId="0" xfId="245" applyFill="1" applyBorder="1" applyAlignment="1" applyProtection="1">
      <alignment horizontal="left"/>
    </xf>
    <xf numFmtId="0" fontId="6" fillId="0" borderId="0" xfId="245" applyAlignment="1">
      <alignment horizontal="left" vertical="top"/>
    </xf>
    <xf numFmtId="0" fontId="5" fillId="0" borderId="0" xfId="0" applyFont="1" applyAlignment="1">
      <alignment horizontal="left" wrapText="1"/>
    </xf>
    <xf numFmtId="0" fontId="14" fillId="0" borderId="0" xfId="0" applyFont="1" applyAlignment="1">
      <alignment horizontal="left" wrapText="1"/>
    </xf>
    <xf numFmtId="0" fontId="112" fillId="0" borderId="0" xfId="0" applyFont="1" applyAlignment="1">
      <alignment horizontal="left" wrapText="1"/>
    </xf>
    <xf numFmtId="0" fontId="14" fillId="0" borderId="0" xfId="0" applyFont="1" applyAlignment="1">
      <alignment horizontal="left" vertical="top" wrapText="1"/>
    </xf>
    <xf numFmtId="0" fontId="12" fillId="0" borderId="0" xfId="0" applyFont="1" applyAlignment="1">
      <alignment horizontal="left" vertical="top" wrapText="1"/>
    </xf>
    <xf numFmtId="0" fontId="109" fillId="0" borderId="0" xfId="0" applyFont="1" applyAlignment="1">
      <alignment horizontal="left" vertical="top" wrapText="1"/>
    </xf>
    <xf numFmtId="0" fontId="6" fillId="0" borderId="0" xfId="245" applyBorder="1" applyAlignment="1" applyProtection="1">
      <alignment horizontal="left"/>
    </xf>
    <xf numFmtId="0" fontId="6" fillId="0" borderId="0" xfId="245" applyAlignment="1" applyProtection="1">
      <alignment horizontal="left"/>
    </xf>
    <xf numFmtId="0" fontId="12" fillId="0" borderId="0" xfId="0" applyFont="1" applyAlignment="1">
      <alignment wrapText="1"/>
    </xf>
    <xf numFmtId="0" fontId="20" fillId="0" borderId="0" xfId="0" applyFont="1" applyAlignment="1">
      <alignment horizontal="center"/>
    </xf>
    <xf numFmtId="0" fontId="0" fillId="0" borderId="0" xfId="0"/>
    <xf numFmtId="0" fontId="21" fillId="0" borderId="0" xfId="0" applyFont="1" applyAlignment="1">
      <alignment horizontal="center"/>
    </xf>
    <xf numFmtId="0" fontId="5" fillId="0" borderId="0" xfId="0" applyFont="1" applyAlignment="1">
      <alignment wrapText="1"/>
    </xf>
    <xf numFmtId="0" fontId="14" fillId="0" borderId="0" xfId="0" applyFont="1" applyAlignment="1">
      <alignment wrapText="1"/>
    </xf>
    <xf numFmtId="0" fontId="0" fillId="0" borderId="0" xfId="0" applyAlignment="1">
      <alignment wrapText="1"/>
    </xf>
    <xf numFmtId="0" fontId="14" fillId="0" borderId="0" xfId="0" applyFont="1"/>
    <xf numFmtId="0" fontId="5" fillId="0" borderId="0" xfId="259" applyFont="1" applyAlignment="1">
      <alignment vertical="top" wrapText="1"/>
    </xf>
    <xf numFmtId="0" fontId="14" fillId="0" borderId="0" xfId="259" applyAlignment="1">
      <alignment vertical="top" wrapText="1"/>
    </xf>
    <xf numFmtId="0" fontId="12" fillId="0" borderId="0" xfId="0" applyFont="1" applyAlignment="1">
      <alignment vertical="top" wrapText="1"/>
    </xf>
    <xf numFmtId="0" fontId="14" fillId="0" borderId="0" xfId="273" applyAlignment="1">
      <alignment horizontal="left" vertical="top" wrapText="1"/>
    </xf>
    <xf numFmtId="0" fontId="5" fillId="0" borderId="0" xfId="0" applyFont="1" applyAlignment="1">
      <alignment horizontal="left"/>
    </xf>
    <xf numFmtId="0" fontId="14" fillId="0" borderId="0" xfId="0" applyFont="1" applyAlignment="1">
      <alignment horizontal="left"/>
    </xf>
    <xf numFmtId="0" fontId="5" fillId="0" borderId="0" xfId="278" applyFont="1" applyAlignment="1">
      <alignment horizontal="left" vertical="top" wrapText="1"/>
    </xf>
    <xf numFmtId="0" fontId="6" fillId="0" borderId="0" xfId="245" applyAlignment="1" applyProtection="1">
      <alignment horizontal="left" vertical="top" wrapText="1"/>
    </xf>
    <xf numFmtId="0" fontId="5" fillId="0" borderId="0" xfId="0" applyFont="1" applyAlignment="1">
      <alignment horizontal="left" vertical="top"/>
    </xf>
    <xf numFmtId="0" fontId="14" fillId="0" borderId="0" xfId="0" applyFont="1" applyAlignment="1">
      <alignment horizontal="left" vertical="top"/>
    </xf>
    <xf numFmtId="0" fontId="12" fillId="0" borderId="4" xfId="0" applyFont="1" applyBorder="1" applyAlignment="1">
      <alignment horizontal="left"/>
    </xf>
    <xf numFmtId="0" fontId="24" fillId="0" borderId="0" xfId="0" applyFont="1" applyAlignment="1">
      <alignment horizontal="left"/>
    </xf>
    <xf numFmtId="0" fontId="24" fillId="0" borderId="0" xfId="0" applyFont="1" applyAlignment="1">
      <alignment horizontal="left" vertical="top" wrapText="1"/>
    </xf>
    <xf numFmtId="4" fontId="14" fillId="0" borderId="0" xfId="273" applyNumberFormat="1" applyAlignment="1">
      <alignment horizontal="left" vertical="top" wrapText="1"/>
    </xf>
    <xf numFmtId="0" fontId="24" fillId="0" borderId="0" xfId="273" applyFont="1" applyAlignment="1">
      <alignment horizontal="left"/>
    </xf>
    <xf numFmtId="0" fontId="14" fillId="0" borderId="0" xfId="273" applyAlignment="1">
      <alignment horizontal="left"/>
    </xf>
    <xf numFmtId="4" fontId="5" fillId="0" borderId="0" xfId="273" applyNumberFormat="1" applyFont="1" applyAlignment="1">
      <alignment horizontal="left" vertical="top" wrapText="1"/>
    </xf>
    <xf numFmtId="0" fontId="12" fillId="0" borderId="0" xfId="0" applyFont="1" applyAlignment="1">
      <alignment horizontal="left" vertical="top"/>
    </xf>
    <xf numFmtId="4" fontId="5" fillId="0" borderId="0" xfId="0" applyNumberFormat="1" applyFont="1" applyAlignment="1">
      <alignment horizontal="left" vertical="top" wrapText="1"/>
    </xf>
    <xf numFmtId="0" fontId="24" fillId="0" borderId="0" xfId="0" applyFont="1" applyAlignment="1">
      <alignment horizontal="left" vertical="top"/>
    </xf>
    <xf numFmtId="0" fontId="5" fillId="0" borderId="0" xfId="259" applyFont="1" applyAlignment="1">
      <alignment horizontal="left" vertical="top" wrapText="1"/>
    </xf>
    <xf numFmtId="0" fontId="12" fillId="0" borderId="6" xfId="0" applyFont="1" applyBorder="1" applyAlignment="1">
      <alignment horizontal="left"/>
    </xf>
    <xf numFmtId="0" fontId="12" fillId="0" borderId="0" xfId="0" applyFont="1" applyAlignment="1">
      <alignment horizontal="left"/>
    </xf>
    <xf numFmtId="0" fontId="14" fillId="0" borderId="42" xfId="0" applyFont="1" applyBorder="1" applyAlignment="1">
      <alignment horizontal="left"/>
    </xf>
    <xf numFmtId="0" fontId="24" fillId="0" borderId="0" xfId="0" applyFont="1" applyAlignment="1">
      <alignment horizontal="center"/>
    </xf>
    <xf numFmtId="0" fontId="12" fillId="0" borderId="0" xfId="273" applyFont="1" applyAlignment="1">
      <alignment horizontal="center"/>
    </xf>
    <xf numFmtId="0" fontId="14" fillId="0" borderId="0" xfId="273"/>
    <xf numFmtId="0" fontId="24" fillId="0" borderId="0" xfId="0" applyFont="1" applyAlignment="1">
      <alignment horizontal="left" wrapText="1"/>
    </xf>
    <xf numFmtId="0" fontId="24" fillId="0" borderId="0" xfId="0" applyFont="1" applyAlignment="1">
      <alignment horizontal="center" wrapText="1"/>
    </xf>
    <xf numFmtId="0" fontId="14" fillId="0" borderId="0" xfId="273" applyAlignment="1">
      <alignment horizontal="left" wrapText="1"/>
    </xf>
    <xf numFmtId="0" fontId="12" fillId="0" borderId="4" xfId="0" applyFont="1" applyBorder="1" applyAlignment="1">
      <alignment horizontal="left" vertical="top"/>
    </xf>
    <xf numFmtId="4" fontId="14" fillId="0" borderId="0" xfId="0" applyNumberFormat="1" applyFont="1" applyAlignment="1">
      <alignment horizontal="left" vertical="top" wrapText="1"/>
    </xf>
    <xf numFmtId="0" fontId="0" fillId="0" borderId="0" xfId="0" applyAlignment="1">
      <alignment horizontal="left" vertical="top" wrapText="1"/>
    </xf>
    <xf numFmtId="0" fontId="5" fillId="0" borderId="0" xfId="766" applyAlignment="1">
      <alignment horizontal="left"/>
    </xf>
    <xf numFmtId="0" fontId="12" fillId="0" borderId="0" xfId="273" applyFont="1" applyAlignment="1">
      <alignment horizontal="left" vertical="top" wrapText="1"/>
    </xf>
    <xf numFmtId="0" fontId="40" fillId="0" borderId="0" xfId="0" applyFont="1" applyAlignment="1">
      <alignment horizontal="left"/>
    </xf>
    <xf numFmtId="4" fontId="24" fillId="0" borderId="0" xfId="0" applyNumberFormat="1" applyFont="1" applyAlignment="1">
      <alignment horizontal="left"/>
    </xf>
    <xf numFmtId="4" fontId="5" fillId="0" borderId="0" xfId="0" applyNumberFormat="1" applyFont="1" applyAlignment="1">
      <alignment horizontal="left"/>
    </xf>
    <xf numFmtId="4" fontId="14" fillId="0" borderId="0" xfId="0" applyNumberFormat="1" applyFont="1" applyAlignment="1">
      <alignment horizontal="left"/>
    </xf>
    <xf numFmtId="49" fontId="14" fillId="0" borderId="0" xfId="0" applyNumberFormat="1" applyFont="1" applyAlignment="1">
      <alignment horizontal="left" vertical="top" wrapText="1"/>
    </xf>
    <xf numFmtId="49" fontId="14" fillId="0" borderId="0" xfId="273" applyNumberFormat="1" applyAlignment="1">
      <alignment horizontal="left" vertical="top" wrapText="1"/>
    </xf>
    <xf numFmtId="49" fontId="5" fillId="0" borderId="0" xfId="0" applyNumberFormat="1" applyFont="1" applyAlignment="1">
      <alignment horizontal="left" vertical="top" wrapText="1"/>
    </xf>
    <xf numFmtId="4" fontId="14" fillId="0" borderId="0" xfId="278" applyNumberFormat="1" applyAlignment="1">
      <alignment horizontal="left" vertical="top" wrapText="1"/>
    </xf>
    <xf numFmtId="0" fontId="14" fillId="0" borderId="0" xfId="0" applyFont="1" applyAlignment="1">
      <alignment vertical="top"/>
    </xf>
    <xf numFmtId="0" fontId="6" fillId="0" borderId="0" xfId="245" applyNumberFormat="1" applyFill="1" applyAlignment="1" applyProtection="1">
      <alignment horizontal="left"/>
      <protection locked="0"/>
    </xf>
    <xf numFmtId="0" fontId="40" fillId="0" borderId="0" xfId="0" applyFont="1" applyAlignment="1">
      <alignment horizontal="left" vertical="top"/>
    </xf>
    <xf numFmtId="0" fontId="14" fillId="0" borderId="0" xfId="278" applyAlignment="1">
      <alignment horizontal="left" vertical="top" wrapText="1"/>
    </xf>
    <xf numFmtId="0" fontId="6" fillId="0" borderId="0" xfId="245" quotePrefix="1" applyAlignment="1" applyProtection="1">
      <alignment horizontal="left"/>
    </xf>
    <xf numFmtId="0" fontId="14" fillId="0" borderId="0" xfId="0" quotePrefix="1" applyFont="1" applyAlignment="1">
      <alignment horizontal="left" vertical="top" wrapText="1"/>
    </xf>
    <xf numFmtId="0" fontId="24" fillId="0" borderId="0" xfId="259" applyFont="1" applyAlignment="1">
      <alignment horizontal="left"/>
    </xf>
    <xf numFmtId="0" fontId="14" fillId="0" borderId="0" xfId="259" applyAlignment="1">
      <alignment horizontal="left" vertical="top" wrapText="1"/>
    </xf>
    <xf numFmtId="0" fontId="14" fillId="0" borderId="0" xfId="259" applyAlignment="1">
      <alignment horizontal="left"/>
    </xf>
    <xf numFmtId="4" fontId="6" fillId="0" borderId="0" xfId="245" applyNumberFormat="1" applyFill="1" applyAlignment="1" applyProtection="1">
      <alignment horizontal="left"/>
    </xf>
    <xf numFmtId="0" fontId="24" fillId="0" borderId="0" xfId="273" applyFont="1" applyAlignment="1">
      <alignment horizontal="left" vertical="top" wrapText="1"/>
    </xf>
    <xf numFmtId="49" fontId="12" fillId="0" borderId="0" xfId="0" applyNumberFormat="1" applyFont="1" applyAlignment="1">
      <alignment horizontal="left" vertical="top"/>
    </xf>
    <xf numFmtId="49" fontId="12" fillId="0" borderId="0" xfId="0" applyNumberFormat="1" applyFont="1" applyAlignment="1">
      <alignment horizontal="left"/>
    </xf>
    <xf numFmtId="0" fontId="5" fillId="0" borderId="0" xfId="0" quotePrefix="1" applyFont="1" applyAlignment="1">
      <alignment horizontal="left" vertical="top"/>
    </xf>
    <xf numFmtId="0" fontId="14" fillId="0" borderId="0" xfId="0" quotePrefix="1" applyFont="1" applyAlignment="1">
      <alignment horizontal="left" vertical="top"/>
    </xf>
    <xf numFmtId="4" fontId="24" fillId="0" borderId="0" xfId="0" applyNumberFormat="1" applyFont="1" applyAlignment="1">
      <alignment horizontal="left" vertical="top" wrapText="1"/>
    </xf>
    <xf numFmtId="167" fontId="5"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167" fontId="5" fillId="7" borderId="5" xfId="0" applyNumberFormat="1" applyFont="1" applyFill="1" applyBorder="1" applyAlignment="1" applyProtection="1">
      <alignment horizontal="left"/>
      <protection locked="0"/>
    </xf>
    <xf numFmtId="0" fontId="5" fillId="0" borderId="0" xfId="546" applyAlignment="1">
      <alignment wrapText="1"/>
    </xf>
    <xf numFmtId="0" fontId="14" fillId="0" borderId="0" xfId="0" applyFont="1" applyAlignment="1">
      <alignment vertical="top" wrapText="1"/>
    </xf>
    <xf numFmtId="0" fontId="0" fillId="7" borderId="5" xfId="0" applyFill="1" applyBorder="1" applyAlignment="1" applyProtection="1">
      <alignment horizontal="center" vertical="center"/>
      <protection locked="0"/>
    </xf>
    <xf numFmtId="0" fontId="5" fillId="7" borderId="3" xfId="0" applyFont="1" applyFill="1" applyBorder="1" applyAlignment="1" applyProtection="1">
      <alignment horizontal="center"/>
      <protection locked="0"/>
    </xf>
    <xf numFmtId="0" fontId="5" fillId="7" borderId="4" xfId="0" applyFont="1" applyFill="1" applyBorder="1" applyAlignment="1" applyProtection="1">
      <alignment horizontal="center"/>
      <protection locked="0"/>
    </xf>
    <xf numFmtId="0" fontId="5" fillId="7" borderId="8" xfId="0" applyFont="1" applyFill="1" applyBorder="1" applyAlignment="1" applyProtection="1">
      <alignment horizontal="center"/>
      <protection locked="0"/>
    </xf>
    <xf numFmtId="1" fontId="5" fillId="7" borderId="3" xfId="0" applyNumberFormat="1" applyFont="1" applyFill="1" applyBorder="1" applyAlignment="1" applyProtection="1">
      <alignment horizontal="center"/>
      <protection locked="0"/>
    </xf>
    <xf numFmtId="1" fontId="5" fillId="7" borderId="4" xfId="0" applyNumberFormat="1" applyFont="1" applyFill="1" applyBorder="1" applyAlignment="1" applyProtection="1">
      <alignment horizontal="center"/>
      <protection locked="0"/>
    </xf>
    <xf numFmtId="1" fontId="5"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5" fillId="7" borderId="3" xfId="0" applyNumberFormat="1" applyFont="1" applyFill="1" applyBorder="1" applyAlignment="1" applyProtection="1">
      <alignment horizontal="center"/>
      <protection locked="0"/>
    </xf>
    <xf numFmtId="169" fontId="5" fillId="7" borderId="4" xfId="0" applyNumberFormat="1" applyFont="1" applyFill="1" applyBorder="1" applyAlignment="1" applyProtection="1">
      <alignment horizontal="center"/>
      <protection locked="0"/>
    </xf>
    <xf numFmtId="169" fontId="5" fillId="7" borderId="8" xfId="0" applyNumberFormat="1" applyFont="1" applyFill="1" applyBorder="1" applyAlignment="1" applyProtection="1">
      <alignment horizontal="center"/>
      <protection locked="0"/>
    </xf>
    <xf numFmtId="169" fontId="5" fillId="0" borderId="3" xfId="0" applyNumberFormat="1" applyFont="1" applyBorder="1" applyAlignment="1">
      <alignment horizontal="center"/>
    </xf>
    <xf numFmtId="169" fontId="5" fillId="0" borderId="4" xfId="0" applyNumberFormat="1" applyFont="1" applyBorder="1" applyAlignment="1">
      <alignment horizontal="center"/>
    </xf>
    <xf numFmtId="169" fontId="5" fillId="0" borderId="8" xfId="0" applyNumberFormat="1" applyFont="1" applyBorder="1" applyAlignment="1">
      <alignment horizontal="center"/>
    </xf>
    <xf numFmtId="9" fontId="5" fillId="7" borderId="3" xfId="0" applyNumberFormat="1" applyFont="1" applyFill="1" applyBorder="1" applyAlignment="1" applyProtection="1">
      <alignment horizontal="center"/>
      <protection locked="0"/>
    </xf>
    <xf numFmtId="9" fontId="5" fillId="7" borderId="4" xfId="0" applyNumberFormat="1" applyFont="1" applyFill="1" applyBorder="1" applyAlignment="1" applyProtection="1">
      <alignment horizontal="center"/>
      <protection locked="0"/>
    </xf>
    <xf numFmtId="9" fontId="5" fillId="7" borderId="8" xfId="0" applyNumberFormat="1" applyFont="1" applyFill="1" applyBorder="1" applyAlignment="1" applyProtection="1">
      <alignment horizontal="center"/>
      <protection locked="0"/>
    </xf>
    <xf numFmtId="165" fontId="5" fillId="0" borderId="1" xfId="0" applyNumberFormat="1" applyFont="1" applyBorder="1" applyAlignment="1">
      <alignment horizontal="right"/>
    </xf>
    <xf numFmtId="165" fontId="5" fillId="0" borderId="2" xfId="0" applyNumberFormat="1" applyFont="1" applyBorder="1" applyAlignment="1">
      <alignment horizontal="right"/>
    </xf>
    <xf numFmtId="165" fontId="5" fillId="0" borderId="11" xfId="0" applyNumberFormat="1" applyFont="1" applyBorder="1" applyAlignment="1">
      <alignment horizontal="right"/>
    </xf>
    <xf numFmtId="0" fontId="0" fillId="0" borderId="0" xfId="0" applyAlignment="1">
      <alignment vertical="top" wrapText="1"/>
    </xf>
    <xf numFmtId="0" fontId="14" fillId="7" borderId="5" xfId="0" applyFont="1" applyFill="1" applyBorder="1" applyAlignment="1" applyProtection="1">
      <alignment horizontal="left"/>
      <protection locked="0"/>
    </xf>
    <xf numFmtId="0" fontId="11" fillId="5" borderId="0" xfId="0" applyFont="1" applyFill="1" applyAlignment="1">
      <alignment horizontal="center" vertical="center"/>
    </xf>
    <xf numFmtId="167" fontId="14" fillId="7" borderId="5" xfId="0" applyNumberFormat="1" applyFont="1" applyFill="1" applyBorder="1" applyAlignment="1" applyProtection="1">
      <alignment horizontal="left"/>
      <protection locked="0"/>
    </xf>
    <xf numFmtId="167" fontId="14" fillId="7" borderId="4" xfId="0" applyNumberFormat="1" applyFont="1" applyFill="1" applyBorder="1" applyAlignment="1" applyProtection="1">
      <alignment horizontal="left"/>
      <protection locked="0"/>
    </xf>
    <xf numFmtId="0" fontId="14" fillId="0" borderId="5" xfId="0" applyFont="1" applyBorder="1" applyAlignment="1">
      <alignment horizontal="left"/>
    </xf>
    <xf numFmtId="0" fontId="5" fillId="7" borderId="5" xfId="245" applyFont="1" applyFill="1" applyBorder="1" applyAlignment="1" applyProtection="1">
      <alignment horizontal="left"/>
      <protection locked="0"/>
    </xf>
    <xf numFmtId="0" fontId="45" fillId="0" borderId="0" xfId="0" applyFont="1" applyAlignment="1">
      <alignment horizontal="center" vertical="center"/>
    </xf>
    <xf numFmtId="0" fontId="23"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top"/>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8" xfId="0" applyFont="1" applyFill="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10"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5" fillId="0" borderId="3" xfId="0" applyFont="1" applyBorder="1" applyAlignment="1">
      <alignment horizontal="center"/>
    </xf>
    <xf numFmtId="0" fontId="5" fillId="0" borderId="8" xfId="0" applyFont="1" applyBorder="1" applyAlignment="1">
      <alignment horizontal="center"/>
    </xf>
    <xf numFmtId="0" fontId="5" fillId="7" borderId="12" xfId="0" applyFont="1" applyFill="1" applyBorder="1" applyAlignment="1" applyProtection="1">
      <alignment horizontal="left" vertical="center"/>
      <protection locked="0"/>
    </xf>
    <xf numFmtId="0" fontId="5"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5" xfId="0" applyFont="1" applyBorder="1" applyAlignment="1">
      <alignment horizontal="right"/>
    </xf>
    <xf numFmtId="0" fontId="12" fillId="0" borderId="8" xfId="0" applyFont="1" applyBorder="1" applyAlignment="1">
      <alignment horizontal="right"/>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3" fillId="7" borderId="3" xfId="0" applyFont="1" applyFill="1" applyBorder="1" applyProtection="1">
      <protection locked="0"/>
    </xf>
    <xf numFmtId="0" fontId="13" fillId="7" borderId="4" xfId="0" applyFont="1" applyFill="1" applyBorder="1" applyProtection="1">
      <protection locked="0"/>
    </xf>
    <xf numFmtId="0" fontId="13" fillId="7" borderId="8" xfId="0" applyFont="1" applyFill="1" applyBorder="1" applyProtection="1">
      <protection locked="0"/>
    </xf>
    <xf numFmtId="0" fontId="5" fillId="7" borderId="12" xfId="0" applyFont="1" applyFill="1" applyBorder="1" applyProtection="1">
      <protection locked="0"/>
    </xf>
    <xf numFmtId="1" fontId="5" fillId="7" borderId="3" xfId="0" applyNumberFormat="1" applyFont="1" applyFill="1" applyBorder="1" applyProtection="1">
      <protection locked="0"/>
    </xf>
    <xf numFmtId="1" fontId="5" fillId="7" borderId="4" xfId="0" applyNumberFormat="1" applyFont="1" applyFill="1" applyBorder="1" applyProtection="1">
      <protection locked="0"/>
    </xf>
    <xf numFmtId="1" fontId="5" fillId="7" borderId="8" xfId="0" applyNumberFormat="1" applyFont="1" applyFill="1" applyBorder="1" applyProtection="1">
      <protection locked="0"/>
    </xf>
    <xf numFmtId="0" fontId="12" fillId="0" borderId="9" xfId="0" applyFont="1" applyBorder="1" applyAlignment="1">
      <alignment horizontal="right"/>
    </xf>
    <xf numFmtId="0" fontId="12" fillId="0" borderId="10" xfId="0" applyFont="1" applyBorder="1" applyAlignment="1">
      <alignment horizontal="right"/>
    </xf>
    <xf numFmtId="49" fontId="14" fillId="7" borderId="5" xfId="273" applyNumberFormat="1" applyFill="1" applyBorder="1" applyAlignment="1" applyProtection="1">
      <alignment horizontal="center"/>
      <protection locked="0"/>
    </xf>
    <xf numFmtId="0" fontId="14" fillId="7" borderId="5" xfId="0" applyFont="1" applyFill="1" applyBorder="1" applyAlignment="1" applyProtection="1">
      <alignment horizontal="center"/>
      <protection locked="0"/>
    </xf>
    <xf numFmtId="169" fontId="5"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4" fillId="7" borderId="9" xfId="0" applyFont="1" applyFill="1" applyBorder="1" applyAlignment="1" applyProtection="1">
      <alignment horizontal="center"/>
      <protection locked="0"/>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5" fillId="7" borderId="3" xfId="0" applyNumberFormat="1" applyFont="1" applyFill="1" applyBorder="1" applyAlignment="1" applyProtection="1">
      <alignment horizontal="right" vertical="top"/>
      <protection locked="0"/>
    </xf>
    <xf numFmtId="1" fontId="5" fillId="7" borderId="4" xfId="0" applyNumberFormat="1" applyFont="1" applyFill="1" applyBorder="1" applyAlignment="1" applyProtection="1">
      <alignment horizontal="right" vertical="top"/>
      <protection locked="0"/>
    </xf>
    <xf numFmtId="1" fontId="5" fillId="7" borderId="8" xfId="0" applyNumberFormat="1" applyFont="1" applyFill="1" applyBorder="1" applyAlignment="1" applyProtection="1">
      <alignment horizontal="right" vertical="top"/>
      <protection locked="0"/>
    </xf>
    <xf numFmtId="169" fontId="5" fillId="7" borderId="5"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4" fillId="0" borderId="3" xfId="0" applyFont="1" applyBorder="1" applyAlignment="1">
      <alignment horizontal="left"/>
    </xf>
    <xf numFmtId="0" fontId="14" fillId="0" borderId="4" xfId="0" applyFont="1" applyBorder="1" applyAlignment="1">
      <alignment horizontal="left"/>
    </xf>
    <xf numFmtId="0" fontId="14" fillId="0" borderId="8" xfId="0" applyFont="1" applyBorder="1" applyAlignment="1">
      <alignment horizontal="left"/>
    </xf>
    <xf numFmtId="169" fontId="12" fillId="0" borderId="3" xfId="546" applyNumberFormat="1" applyFont="1" applyBorder="1" applyAlignment="1">
      <alignment horizontal="center" vertical="center"/>
    </xf>
    <xf numFmtId="169" fontId="12" fillId="0" borderId="4" xfId="546" applyNumberFormat="1" applyFont="1" applyBorder="1" applyAlignment="1">
      <alignment horizontal="center" vertical="center"/>
    </xf>
    <xf numFmtId="169" fontId="12" fillId="0" borderId="8" xfId="546" applyNumberFormat="1" applyFont="1" applyBorder="1" applyAlignment="1">
      <alignment horizontal="center" vertical="center"/>
    </xf>
    <xf numFmtId="0" fontId="12" fillId="0" borderId="1" xfId="546" applyFont="1" applyBorder="1" applyAlignment="1">
      <alignment horizontal="left" vertical="center" wrapText="1"/>
    </xf>
    <xf numFmtId="0" fontId="12" fillId="0" borderId="2" xfId="546" applyFont="1" applyBorder="1" applyAlignment="1">
      <alignment horizontal="left" vertical="center" wrapText="1"/>
    </xf>
    <xf numFmtId="0" fontId="12" fillId="0" borderId="11" xfId="546" applyFont="1" applyBorder="1" applyAlignment="1">
      <alignment horizontal="left" vertical="center" wrapText="1"/>
    </xf>
    <xf numFmtId="0" fontId="12" fillId="0" borderId="12" xfId="0" applyFont="1" applyBorder="1" applyAlignment="1">
      <alignment horizontal="center" vertical="center" wrapText="1"/>
    </xf>
    <xf numFmtId="0" fontId="5" fillId="7" borderId="4" xfId="0" applyFont="1" applyFill="1" applyBorder="1" applyAlignment="1" applyProtection="1">
      <alignment horizontal="right"/>
      <protection locked="0"/>
    </xf>
    <xf numFmtId="9" fontId="14" fillId="0" borderId="12" xfId="0" applyNumberFormat="1" applyFont="1" applyBorder="1" applyAlignment="1">
      <alignment horizontal="center"/>
    </xf>
    <xf numFmtId="0" fontId="5"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5" fillId="7" borderId="3" xfId="0" applyNumberFormat="1" applyFont="1" applyFill="1" applyBorder="1" applyAlignment="1" applyProtection="1">
      <alignment horizontal="left" vertical="top"/>
      <protection locked="0"/>
    </xf>
    <xf numFmtId="169" fontId="14" fillId="7" borderId="4" xfId="0" applyNumberFormat="1" applyFont="1" applyFill="1" applyBorder="1" applyAlignment="1" applyProtection="1">
      <alignment horizontal="left" vertical="top"/>
      <protection locked="0"/>
    </xf>
    <xf numFmtId="169" fontId="14" fillId="7" borderId="8" xfId="0" applyNumberFormat="1" applyFont="1" applyFill="1" applyBorder="1" applyAlignment="1" applyProtection="1">
      <alignment horizontal="left" vertical="top"/>
      <protection locked="0"/>
    </xf>
    <xf numFmtId="169" fontId="5" fillId="4" borderId="3" xfId="546" applyNumberFormat="1" applyFill="1" applyBorder="1" applyAlignment="1">
      <alignment horizontal="center"/>
    </xf>
    <xf numFmtId="169" fontId="5" fillId="4" borderId="4" xfId="546" applyNumberFormat="1" applyFill="1" applyBorder="1" applyAlignment="1">
      <alignment horizontal="center"/>
    </xf>
    <xf numFmtId="169" fontId="5" fillId="4" borderId="8" xfId="546" applyNumberFormat="1" applyFill="1" applyBorder="1" applyAlignment="1">
      <alignment horizontal="center"/>
    </xf>
    <xf numFmtId="0" fontId="5" fillId="2" borderId="3" xfId="546" applyFill="1" applyBorder="1" applyAlignment="1">
      <alignment horizontal="center"/>
    </xf>
    <xf numFmtId="0" fontId="5" fillId="2" borderId="4" xfId="546" applyFill="1" applyBorder="1" applyAlignment="1">
      <alignment horizontal="center"/>
    </xf>
    <xf numFmtId="0" fontId="5"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25" fillId="7" borderId="3" xfId="0" applyNumberFormat="1" applyFont="1" applyFill="1" applyBorder="1" applyAlignment="1" applyProtection="1">
      <alignment horizontal="left"/>
      <protection locked="0"/>
    </xf>
    <xf numFmtId="164" fontId="25" fillId="7" borderId="4" xfId="0" applyNumberFormat="1" applyFont="1" applyFill="1" applyBorder="1" applyAlignment="1" applyProtection="1">
      <alignment horizontal="left"/>
      <protection locked="0"/>
    </xf>
    <xf numFmtId="164" fontId="25" fillId="7" borderId="8" xfId="0" applyNumberFormat="1" applyFont="1" applyFill="1" applyBorder="1" applyAlignment="1" applyProtection="1">
      <alignment horizontal="left"/>
      <protection locked="0"/>
    </xf>
    <xf numFmtId="0" fontId="28" fillId="7" borderId="3" xfId="0" applyFont="1" applyFill="1" applyBorder="1" applyAlignment="1" applyProtection="1">
      <alignment horizontal="left"/>
      <protection locked="0"/>
    </xf>
    <xf numFmtId="0" fontId="28" fillId="7" borderId="4" xfId="0" applyFont="1" applyFill="1" applyBorder="1" applyAlignment="1" applyProtection="1">
      <alignment horizontal="left"/>
      <protection locked="0"/>
    </xf>
    <xf numFmtId="0" fontId="28"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0" borderId="1" xfId="0" applyFont="1" applyBorder="1" applyAlignment="1">
      <alignment horizontal="center" wrapText="1"/>
    </xf>
    <xf numFmtId="0" fontId="12" fillId="0" borderId="2" xfId="0" applyFont="1" applyBorder="1" applyAlignment="1">
      <alignment horizontal="center" wrapText="1"/>
    </xf>
    <xf numFmtId="0" fontId="12" fillId="0" borderId="7" xfId="0" applyFont="1" applyBorder="1" applyAlignment="1">
      <alignment horizontal="center" wrapText="1"/>
    </xf>
    <xf numFmtId="0" fontId="12" fillId="0" borderId="0" xfId="0" applyFont="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5" fillId="7" borderId="3" xfId="0" applyNumberFormat="1" applyFont="1" applyFill="1" applyBorder="1" applyAlignment="1" applyProtection="1">
      <alignment horizontal="right"/>
      <protection locked="0"/>
    </xf>
    <xf numFmtId="169" fontId="5"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2" fillId="0" borderId="4" xfId="546" applyFont="1" applyBorder="1" applyAlignment="1">
      <alignment horizontal="right" vertical="top" wrapText="1"/>
    </xf>
    <xf numFmtId="0" fontId="12" fillId="0" borderId="8" xfId="546" applyFont="1" applyBorder="1" applyAlignment="1">
      <alignment horizontal="right" vertical="top"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 fillId="0" borderId="12" xfId="0" applyFont="1" applyBorder="1" applyAlignment="1">
      <alignment horizontal="center"/>
    </xf>
    <xf numFmtId="0" fontId="5" fillId="0" borderId="4" xfId="0" applyFont="1" applyBorder="1" applyAlignment="1">
      <alignment horizontal="center"/>
    </xf>
    <xf numFmtId="1" fontId="5" fillId="7" borderId="12" xfId="0" applyNumberFormat="1" applyFont="1" applyFill="1" applyBorder="1" applyAlignment="1" applyProtection="1">
      <alignment horizontal="center"/>
      <protection locked="0"/>
    </xf>
    <xf numFmtId="0" fontId="12" fillId="0" borderId="0" xfId="546" applyFont="1" applyAlignment="1">
      <alignment horizontal="left" vertical="center" wrapText="1"/>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5" fillId="0" borderId="12" xfId="0" applyFont="1" applyBorder="1" applyAlignment="1">
      <alignment horizontal="center"/>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3" fillId="51" borderId="12" xfId="164" applyNumberFormat="1" applyFont="1" applyFill="1" applyBorder="1" applyAlignment="1" applyProtection="1">
      <alignment horizontal="center" vertical="center" wrapText="1"/>
      <protection locked="0"/>
    </xf>
    <xf numFmtId="0" fontId="32" fillId="0" borderId="9" xfId="546" applyFont="1" applyBorder="1" applyAlignment="1">
      <alignment horizontal="center" vertical="center"/>
    </xf>
    <xf numFmtId="0" fontId="32" fillId="0" borderId="5" xfId="546" applyFont="1" applyBorder="1" applyAlignment="1">
      <alignment horizontal="center" vertical="center"/>
    </xf>
    <xf numFmtId="0" fontId="32"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2" fillId="0" borderId="13" xfId="0" applyFont="1" applyBorder="1" applyAlignment="1">
      <alignment horizontal="center" wrapText="1"/>
    </xf>
    <xf numFmtId="0" fontId="12" fillId="0" borderId="10" xfId="0" applyFont="1" applyBorder="1" applyAlignment="1">
      <alignment horizontal="center" wrapText="1"/>
    </xf>
    <xf numFmtId="0" fontId="25" fillId="7" borderId="3" xfId="546" applyFont="1" applyFill="1" applyBorder="1" applyAlignment="1">
      <alignment horizontal="center"/>
    </xf>
    <xf numFmtId="0" fontId="25" fillId="7" borderId="4" xfId="546" applyFont="1" applyFill="1" applyBorder="1" applyAlignment="1">
      <alignment horizontal="center"/>
    </xf>
    <xf numFmtId="0" fontId="25" fillId="7" borderId="8" xfId="546" applyFont="1" applyFill="1" applyBorder="1" applyAlignment="1">
      <alignment horizontal="center"/>
    </xf>
    <xf numFmtId="49" fontId="5" fillId="7" borderId="3" xfId="546" applyNumberFormat="1" applyFill="1" applyBorder="1" applyAlignment="1">
      <alignment horizontal="center"/>
    </xf>
    <xf numFmtId="49" fontId="5" fillId="7" borderId="8" xfId="546" applyNumberFormat="1" applyFill="1" applyBorder="1" applyAlignment="1">
      <alignment horizontal="center"/>
    </xf>
    <xf numFmtId="0" fontId="5" fillId="0" borderId="7" xfId="546" applyBorder="1" applyAlignment="1">
      <alignment horizontal="left" vertical="center" wrapText="1"/>
    </xf>
    <xf numFmtId="0" fontId="5" fillId="0" borderId="0" xfId="546" applyAlignment="1">
      <alignment horizontal="left" vertical="center" wrapText="1"/>
    </xf>
    <xf numFmtId="0" fontId="5" fillId="0" borderId="13" xfId="546" applyBorder="1" applyAlignment="1">
      <alignment horizontal="left" vertical="center" wrapText="1"/>
    </xf>
    <xf numFmtId="0" fontId="5" fillId="0" borderId="9" xfId="546" applyBorder="1" applyAlignment="1">
      <alignment horizontal="left" vertical="center" wrapText="1"/>
    </xf>
    <xf numFmtId="0" fontId="5" fillId="0" borderId="5" xfId="546" applyBorder="1" applyAlignment="1">
      <alignment horizontal="left" vertical="center" wrapText="1"/>
    </xf>
    <xf numFmtId="0" fontId="5" fillId="0" borderId="10" xfId="546" applyBorder="1" applyAlignment="1">
      <alignment horizontal="left" vertical="center" wrapText="1"/>
    </xf>
    <xf numFmtId="0" fontId="5" fillId="0" borderId="3" xfId="546" applyBorder="1" applyAlignment="1">
      <alignment horizontal="center"/>
    </xf>
    <xf numFmtId="0" fontId="5" fillId="0" borderId="4" xfId="546" applyBorder="1" applyAlignment="1">
      <alignment horizontal="center"/>
    </xf>
    <xf numFmtId="0" fontId="5" fillId="0" borderId="8" xfId="546" applyBorder="1" applyAlignment="1">
      <alignment horizontal="center"/>
    </xf>
    <xf numFmtId="169" fontId="5" fillId="0" borderId="12" xfId="546" applyNumberFormat="1" applyBorder="1" applyAlignment="1">
      <alignment horizontal="center"/>
    </xf>
    <xf numFmtId="164" fontId="13" fillId="7" borderId="3" xfId="0" applyNumberFormat="1" applyFont="1" applyFill="1" applyBorder="1" applyAlignment="1" applyProtection="1">
      <alignment horizontal="left"/>
      <protection locked="0"/>
    </xf>
    <xf numFmtId="164" fontId="13" fillId="7" borderId="4" xfId="0" applyNumberFormat="1" applyFont="1" applyFill="1" applyBorder="1" applyAlignment="1" applyProtection="1">
      <alignment horizontal="left"/>
      <protection locked="0"/>
    </xf>
    <xf numFmtId="164" fontId="13"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5" fillId="7" borderId="3" xfId="0" applyFont="1" applyFill="1" applyBorder="1" applyAlignment="1" applyProtection="1">
      <alignment horizontal="right"/>
      <protection locked="0"/>
    </xf>
    <xf numFmtId="0" fontId="5" fillId="7" borderId="8" xfId="0" applyFont="1" applyFill="1" applyBorder="1" applyAlignment="1" applyProtection="1">
      <alignment horizontal="right"/>
      <protection locked="0"/>
    </xf>
    <xf numFmtId="169" fontId="14" fillId="7" borderId="9" xfId="0" applyNumberFormat="1" applyFont="1" applyFill="1" applyBorder="1" applyAlignment="1" applyProtection="1">
      <alignment horizontal="right"/>
      <protection locked="0"/>
    </xf>
    <xf numFmtId="169" fontId="14" fillId="7" borderId="5" xfId="0" applyNumberFormat="1" applyFont="1" applyFill="1" applyBorder="1" applyAlignment="1" applyProtection="1">
      <alignment horizontal="right"/>
      <protection locked="0"/>
    </xf>
    <xf numFmtId="169" fontId="14" fillId="7" borderId="10" xfId="0" applyNumberFormat="1" applyFont="1" applyFill="1" applyBorder="1" applyAlignment="1" applyProtection="1">
      <alignment horizontal="right"/>
      <protection locked="0"/>
    </xf>
    <xf numFmtId="172" fontId="5"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9" fontId="5" fillId="7" borderId="4" xfId="0" applyNumberFormat="1" applyFont="1" applyFill="1" applyBorder="1" applyAlignment="1" applyProtection="1">
      <alignment horizontal="right"/>
      <protection locked="0"/>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1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1"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center" vertical="top" wrapText="1"/>
    </xf>
    <xf numFmtId="0" fontId="5" fillId="0" borderId="13"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5" fillId="0" borderId="10" xfId="0" applyFont="1" applyBorder="1" applyAlignment="1">
      <alignment horizontal="center" vertical="top" wrapText="1"/>
    </xf>
    <xf numFmtId="1" fontId="5" fillId="0" borderId="3" xfId="0" applyNumberFormat="1" applyFont="1" applyBorder="1" applyAlignment="1">
      <alignment horizontal="center"/>
    </xf>
    <xf numFmtId="1" fontId="5" fillId="0" borderId="4" xfId="0" applyNumberFormat="1" applyFont="1" applyBorder="1" applyAlignment="1">
      <alignment horizontal="center"/>
    </xf>
    <xf numFmtId="1" fontId="5" fillId="0" borderId="8" xfId="0" applyNumberFormat="1" applyFont="1" applyBorder="1" applyAlignment="1">
      <alignment horizontal="center"/>
    </xf>
    <xf numFmtId="0" fontId="12" fillId="7" borderId="12" xfId="0" applyFont="1" applyFill="1" applyBorder="1" applyAlignment="1" applyProtection="1">
      <alignment horizontal="center"/>
      <protection locked="0"/>
    </xf>
    <xf numFmtId="0" fontId="5" fillId="0" borderId="12" xfId="0" applyFont="1" applyBorder="1" applyAlignment="1">
      <alignment horizontal="center" vertical="top" wrapText="1"/>
    </xf>
    <xf numFmtId="0" fontId="12" fillId="0" borderId="11" xfId="0" applyFont="1" applyBorder="1" applyAlignment="1">
      <alignment horizontal="center" wrapText="1"/>
    </xf>
    <xf numFmtId="0" fontId="12" fillId="0" borderId="63" xfId="0" applyFont="1" applyBorder="1" applyAlignment="1">
      <alignment horizontal="right"/>
    </xf>
    <xf numFmtId="0" fontId="12" fillId="0" borderId="14" xfId="0" applyFont="1" applyBorder="1" applyAlignment="1">
      <alignment horizontal="right"/>
    </xf>
    <xf numFmtId="0" fontId="12" fillId="0" borderId="64" xfId="0" applyFont="1" applyBorder="1" applyAlignment="1">
      <alignment horizontal="right"/>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 fontId="5" fillId="0" borderId="0" xfId="546" applyNumberFormat="1" applyAlignment="1">
      <alignment horizontal="center"/>
    </xf>
    <xf numFmtId="0" fontId="12" fillId="0" borderId="1" xfId="0" applyFont="1" applyBorder="1" applyAlignment="1">
      <alignment horizontal="center"/>
    </xf>
    <xf numFmtId="0" fontId="12" fillId="0" borderId="2" xfId="0" applyFont="1" applyBorder="1" applyAlignment="1">
      <alignment horizontal="center"/>
    </xf>
    <xf numFmtId="0" fontId="12"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0" fillId="0" borderId="5" xfId="0" applyBorder="1" applyAlignment="1">
      <alignment horizontal="center"/>
    </xf>
    <xf numFmtId="0" fontId="0" fillId="0" borderId="10" xfId="0" applyBorder="1" applyAlignment="1">
      <alignment horizontal="center"/>
    </xf>
    <xf numFmtId="0" fontId="14" fillId="7" borderId="4" xfId="0" applyFont="1" applyFill="1" applyBorder="1" applyAlignment="1" applyProtection="1">
      <alignment horizontal="left"/>
      <protection locked="0"/>
    </xf>
    <xf numFmtId="0" fontId="5"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5" fillId="7" borderId="5" xfId="0" applyFont="1" applyFill="1" applyBorder="1" applyAlignment="1" applyProtection="1">
      <alignment horizontal="center"/>
      <protection locked="0"/>
    </xf>
    <xf numFmtId="0" fontId="13" fillId="51" borderId="5" xfId="0" applyFont="1" applyFill="1" applyBorder="1" applyAlignment="1" applyProtection="1">
      <alignment horizontal="left"/>
      <protection locked="0"/>
    </xf>
    <xf numFmtId="0" fontId="5" fillId="7" borderId="5" xfId="0" applyFont="1" applyFill="1" applyBorder="1" applyAlignment="1" applyProtection="1">
      <alignment horizontal="left" wrapText="1"/>
      <protection locked="0"/>
    </xf>
    <xf numFmtId="0" fontId="5"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4" fillId="7" borderId="5" xfId="0" applyFont="1" applyFill="1" applyBorder="1" applyAlignment="1" applyProtection="1">
      <alignment horizontal="left" wrapText="1"/>
      <protection locked="0"/>
    </xf>
    <xf numFmtId="1" fontId="13" fillId="7" borderId="5" xfId="0" applyNumberFormat="1" applyFont="1" applyFill="1" applyBorder="1" applyAlignment="1" applyProtection="1">
      <alignment horizontal="center"/>
      <protection locked="0"/>
    </xf>
    <xf numFmtId="0" fontId="6"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4" fillId="7" borderId="5" xfId="273" applyFill="1" applyBorder="1" applyAlignment="1" applyProtection="1">
      <alignment horizontal="center"/>
      <protection locked="0"/>
    </xf>
    <xf numFmtId="169" fontId="14"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3" fillId="0" borderId="12" xfId="0" applyNumberFormat="1" applyFont="1" applyBorder="1" applyAlignment="1">
      <alignment horizontal="center"/>
    </xf>
    <xf numFmtId="0" fontId="25" fillId="0" borderId="2" xfId="0" applyFont="1" applyBorder="1" applyAlignment="1">
      <alignment horizontal="center"/>
    </xf>
    <xf numFmtId="0" fontId="14" fillId="0" borderId="4" xfId="0" applyFont="1" applyBorder="1" applyAlignment="1" applyProtection="1">
      <alignment horizontal="left"/>
      <protection locked="0"/>
    </xf>
    <xf numFmtId="0" fontId="0" fillId="7" borderId="5" xfId="0" applyFill="1" applyBorder="1" applyProtection="1">
      <protection locked="0"/>
    </xf>
    <xf numFmtId="0" fontId="1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4" fillId="7" borderId="5" xfId="0" applyFont="1" applyFill="1" applyBorder="1" applyProtection="1">
      <protection locked="0"/>
    </xf>
    <xf numFmtId="14" fontId="0" fillId="7" borderId="5"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5" fillId="7" borderId="3" xfId="0" applyNumberFormat="1" applyFont="1" applyFill="1" applyBorder="1" applyProtection="1">
      <protection locked="0"/>
    </xf>
    <xf numFmtId="176" fontId="5" fillId="7" borderId="4" xfId="0" applyNumberFormat="1" applyFont="1" applyFill="1" applyBorder="1" applyProtection="1">
      <protection locked="0"/>
    </xf>
    <xf numFmtId="176" fontId="5" fillId="7" borderId="8" xfId="0" applyNumberFormat="1" applyFont="1" applyFill="1" applyBorder="1" applyProtection="1">
      <protection locked="0"/>
    </xf>
    <xf numFmtId="1" fontId="14" fillId="7" borderId="5" xfId="273" applyNumberFormat="1" applyFill="1" applyBorder="1" applyAlignment="1" applyProtection="1">
      <alignment horizontal="center"/>
      <protection locked="0"/>
    </xf>
    <xf numFmtId="0" fontId="5" fillId="51" borderId="12" xfId="0" applyFont="1" applyFill="1" applyBorder="1" applyAlignment="1" applyProtection="1">
      <alignment horizontal="center"/>
      <protection locked="0"/>
    </xf>
    <xf numFmtId="0" fontId="5" fillId="0" borderId="9" xfId="546" applyBorder="1" applyAlignment="1">
      <alignment horizontal="left" vertical="top" wrapText="1"/>
    </xf>
    <xf numFmtId="0" fontId="5" fillId="0" borderId="5" xfId="546" applyBorder="1" applyAlignment="1">
      <alignment horizontal="left" vertical="top" wrapText="1"/>
    </xf>
    <xf numFmtId="0" fontId="5" fillId="0" borderId="10" xfId="546" applyBorder="1" applyAlignment="1">
      <alignment horizontal="left" vertical="top" wrapText="1"/>
    </xf>
    <xf numFmtId="1" fontId="5" fillId="0" borderId="3" xfId="546" applyNumberFormat="1" applyBorder="1" applyAlignment="1">
      <alignment horizontal="center"/>
    </xf>
    <xf numFmtId="1" fontId="5" fillId="0" borderId="4" xfId="546" applyNumberFormat="1" applyBorder="1" applyAlignment="1">
      <alignment horizontal="center"/>
    </xf>
    <xf numFmtId="1" fontId="5" fillId="0" borderId="8" xfId="546" applyNumberFormat="1" applyBorder="1" applyAlignment="1">
      <alignment horizontal="center"/>
    </xf>
    <xf numFmtId="0" fontId="12" fillId="0" borderId="1" xfId="546" applyFont="1" applyBorder="1" applyAlignment="1">
      <alignment horizontal="right"/>
    </xf>
    <xf numFmtId="0" fontId="12" fillId="0" borderId="2" xfId="546" applyFont="1" applyBorder="1" applyAlignment="1">
      <alignment horizontal="right"/>
    </xf>
    <xf numFmtId="0" fontId="12" fillId="0" borderId="11" xfId="546" applyFont="1" applyBorder="1" applyAlignment="1">
      <alignment horizontal="right"/>
    </xf>
    <xf numFmtId="0" fontId="12" fillId="0" borderId="7" xfId="546" applyFont="1" applyBorder="1" applyAlignment="1">
      <alignment horizontal="left" vertical="center" wrapText="1"/>
    </xf>
    <xf numFmtId="0" fontId="12" fillId="0" borderId="13" xfId="546" applyFont="1" applyBorder="1" applyAlignment="1">
      <alignment horizontal="left" vertical="center" wrapText="1"/>
    </xf>
    <xf numFmtId="0" fontId="13" fillId="7" borderId="3" xfId="546" applyFont="1" applyFill="1" applyBorder="1" applyAlignment="1" applyProtection="1">
      <alignment horizontal="center"/>
      <protection locked="0"/>
    </xf>
    <xf numFmtId="0" fontId="13" fillId="7" borderId="8" xfId="546" applyFont="1" applyFill="1" applyBorder="1" applyAlignment="1" applyProtection="1">
      <alignment horizontal="center"/>
      <protection locked="0"/>
    </xf>
    <xf numFmtId="169" fontId="5" fillId="0" borderId="1" xfId="546" applyNumberFormat="1" applyBorder="1" applyAlignment="1">
      <alignment horizontal="center" vertical="center"/>
    </xf>
    <xf numFmtId="169" fontId="5" fillId="0" borderId="2" xfId="546" applyNumberFormat="1" applyBorder="1" applyAlignment="1">
      <alignment horizontal="center" vertical="center"/>
    </xf>
    <xf numFmtId="169" fontId="5" fillId="0" borderId="11" xfId="546" applyNumberFormat="1" applyBorder="1" applyAlignment="1">
      <alignment horizontal="center" vertical="center"/>
    </xf>
    <xf numFmtId="169" fontId="5" fillId="0" borderId="9" xfId="546" applyNumberFormat="1" applyBorder="1" applyAlignment="1">
      <alignment horizontal="center" vertical="center"/>
    </xf>
    <xf numFmtId="169" fontId="5" fillId="0" borderId="5" xfId="546" applyNumberFormat="1" applyBorder="1" applyAlignment="1">
      <alignment horizontal="center" vertical="center"/>
    </xf>
    <xf numFmtId="169" fontId="5" fillId="0" borderId="10" xfId="546" applyNumberFormat="1" applyBorder="1" applyAlignment="1">
      <alignment horizontal="center" vertical="center"/>
    </xf>
    <xf numFmtId="169" fontId="5" fillId="0" borderId="7" xfId="546" applyNumberFormat="1" applyBorder="1" applyAlignment="1">
      <alignment horizontal="center" vertical="center"/>
    </xf>
    <xf numFmtId="169" fontId="5" fillId="0" borderId="0" xfId="546" applyNumberFormat="1" applyAlignment="1">
      <alignment horizontal="center" vertical="center"/>
    </xf>
    <xf numFmtId="169" fontId="5" fillId="0" borderId="13" xfId="546" applyNumberFormat="1" applyBorder="1" applyAlignment="1">
      <alignment horizontal="center" vertical="center"/>
    </xf>
    <xf numFmtId="0" fontId="5" fillId="7" borderId="3" xfId="546" applyFill="1" applyBorder="1" applyAlignment="1" applyProtection="1">
      <alignment horizontal="left" vertical="top" wrapText="1"/>
      <protection locked="0"/>
    </xf>
    <xf numFmtId="0" fontId="5" fillId="7" borderId="4" xfId="546" applyFill="1" applyBorder="1" applyAlignment="1" applyProtection="1">
      <alignment horizontal="left" vertical="top" wrapText="1"/>
      <protection locked="0"/>
    </xf>
    <xf numFmtId="0" fontId="5" fillId="7" borderId="8" xfId="546" applyFill="1" applyBorder="1" applyAlignment="1" applyProtection="1">
      <alignment horizontal="left" vertical="top" wrapText="1"/>
      <protection locked="0"/>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169" fontId="5" fillId="7" borderId="9" xfId="0" applyNumberFormat="1" applyFont="1" applyFill="1" applyBorder="1" applyAlignment="1" applyProtection="1">
      <alignment horizontal="right"/>
      <protection locked="0"/>
    </xf>
    <xf numFmtId="0" fontId="0" fillId="0" borderId="10" xfId="0" applyBorder="1" applyProtection="1">
      <protection locked="0"/>
    </xf>
    <xf numFmtId="1" fontId="5" fillId="51" borderId="3" xfId="0" applyNumberFormat="1" applyFont="1" applyFill="1" applyBorder="1" applyAlignment="1" applyProtection="1">
      <alignment horizontal="center"/>
      <protection locked="0"/>
    </xf>
    <xf numFmtId="1" fontId="5" fillId="51" borderId="4" xfId="0" applyNumberFormat="1" applyFont="1" applyFill="1" applyBorder="1" applyAlignment="1" applyProtection="1">
      <alignment horizontal="center"/>
      <protection locked="0"/>
    </xf>
    <xf numFmtId="1" fontId="5" fillId="51" borderId="8" xfId="0" applyNumberFormat="1" applyFont="1" applyFill="1" applyBorder="1" applyAlignment="1" applyProtection="1">
      <alignment horizontal="center"/>
      <protection locked="0"/>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9" fillId="0" borderId="13"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10" xfId="0" applyFont="1" applyBorder="1" applyAlignment="1">
      <alignment horizontal="center" vertical="center" wrapText="1"/>
    </xf>
    <xf numFmtId="173" fontId="12" fillId="0" borderId="2" xfId="0" applyNumberFormat="1" applyFont="1" applyBorder="1" applyAlignment="1">
      <alignment horizontal="center" vertical="center" wrapText="1"/>
    </xf>
    <xf numFmtId="173" fontId="12" fillId="0" borderId="11" xfId="0" applyNumberFormat="1" applyFont="1" applyBorder="1" applyAlignment="1">
      <alignment horizontal="center" vertical="center" wrapText="1"/>
    </xf>
    <xf numFmtId="173" fontId="12" fillId="0" borderId="0" xfId="0" applyNumberFormat="1" applyFont="1" applyAlignment="1">
      <alignment horizontal="center" vertical="center" wrapText="1"/>
    </xf>
    <xf numFmtId="173" fontId="12" fillId="0" borderId="13" xfId="0" applyNumberFormat="1" applyFont="1" applyBorder="1" applyAlignment="1">
      <alignment horizontal="center" vertical="center" wrapText="1"/>
    </xf>
    <xf numFmtId="173" fontId="12" fillId="0" borderId="5" xfId="0" applyNumberFormat="1" applyFont="1" applyBorder="1" applyAlignment="1">
      <alignment horizontal="center" vertical="center" wrapText="1"/>
    </xf>
    <xf numFmtId="173" fontId="12" fillId="0" borderId="10" xfId="0" applyNumberFormat="1" applyFont="1" applyBorder="1" applyAlignment="1">
      <alignment horizontal="center" vertical="center" wrapText="1"/>
    </xf>
    <xf numFmtId="176" fontId="5" fillId="51" borderId="3" xfId="0" applyNumberFormat="1" applyFont="1" applyFill="1" applyBorder="1" applyAlignment="1" applyProtection="1">
      <alignment horizontal="center"/>
      <protection locked="0"/>
    </xf>
    <xf numFmtId="176" fontId="5" fillId="51" borderId="4" xfId="0" applyNumberFormat="1" applyFont="1" applyFill="1" applyBorder="1" applyAlignment="1" applyProtection="1">
      <alignment horizontal="center"/>
      <protection locked="0"/>
    </xf>
    <xf numFmtId="176" fontId="5"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5" fillId="51" borderId="3" xfId="0" applyNumberFormat="1" applyFont="1" applyFill="1" applyBorder="1" applyAlignment="1" applyProtection="1">
      <alignment horizontal="center"/>
      <protection locked="0"/>
    </xf>
    <xf numFmtId="169" fontId="5" fillId="51" borderId="4" xfId="0" applyNumberFormat="1" applyFont="1" applyFill="1" applyBorder="1" applyAlignment="1" applyProtection="1">
      <alignment horizontal="center"/>
      <protection locked="0"/>
    </xf>
    <xf numFmtId="169" fontId="5" fillId="51" borderId="8" xfId="0" applyNumberFormat="1" applyFont="1" applyFill="1" applyBorder="1" applyAlignment="1" applyProtection="1">
      <alignment horizontal="center"/>
      <protection locked="0"/>
    </xf>
    <xf numFmtId="0" fontId="13" fillId="0" borderId="0" xfId="0" applyFont="1" applyAlignment="1">
      <alignment horizontal="center"/>
    </xf>
    <xf numFmtId="0" fontId="138" fillId="0" borderId="0" xfId="0" applyFont="1" applyAlignment="1" applyProtection="1">
      <alignment horizontal="left" vertical="top" wrapText="1"/>
      <protection locked="0"/>
    </xf>
    <xf numFmtId="169" fontId="14" fillId="0" borderId="5" xfId="0" applyNumberFormat="1" applyFont="1" applyBorder="1" applyAlignment="1">
      <alignment horizontal="center"/>
    </xf>
    <xf numFmtId="0" fontId="5" fillId="7" borderId="12" xfId="0" applyFont="1" applyFill="1" applyBorder="1" applyAlignment="1" applyProtection="1">
      <alignment horizontal="center"/>
      <protection locked="0"/>
    </xf>
    <xf numFmtId="1" fontId="5" fillId="7" borderId="5" xfId="0" applyNumberFormat="1" applyFont="1" applyFill="1" applyBorder="1" applyAlignment="1" applyProtection="1">
      <alignment horizontal="right"/>
      <protection locked="0"/>
    </xf>
    <xf numFmtId="14" fontId="5" fillId="7" borderId="4" xfId="0" applyNumberFormat="1" applyFont="1" applyFill="1" applyBorder="1" applyAlignment="1" applyProtection="1">
      <alignment horizontal="right"/>
      <protection locked="0"/>
    </xf>
    <xf numFmtId="0" fontId="5" fillId="51" borderId="4" xfId="0" applyFont="1" applyFill="1" applyBorder="1" applyAlignment="1" applyProtection="1">
      <alignment horizontal="left" wrapText="1"/>
      <protection locked="0"/>
    </xf>
    <xf numFmtId="3" fontId="14" fillId="0" borderId="0" xfId="0" applyNumberFormat="1" applyFont="1" applyAlignment="1">
      <alignment horizontal="center"/>
    </xf>
    <xf numFmtId="3" fontId="14"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8" fillId="0" borderId="2" xfId="0" applyNumberFormat="1" applyFont="1" applyBorder="1" applyAlignment="1">
      <alignment horizontal="left" vertical="top" wrapText="1"/>
    </xf>
    <xf numFmtId="169" fontId="28" fillId="0" borderId="0" xfId="0" applyNumberFormat="1" applyFont="1" applyAlignment="1">
      <alignment horizontal="left" vertical="top" wrapText="1"/>
    </xf>
    <xf numFmtId="0" fontId="0" fillId="0" borderId="8" xfId="0" applyBorder="1" applyAlignment="1">
      <alignment horizontal="left"/>
    </xf>
    <xf numFmtId="0" fontId="25" fillId="7" borderId="5" xfId="0" applyFont="1" applyFill="1" applyBorder="1" applyAlignment="1" applyProtection="1">
      <alignment horizontal="left"/>
      <protection locked="0"/>
    </xf>
    <xf numFmtId="169" fontId="5" fillId="0" borderId="3" xfId="0" applyNumberFormat="1" applyFont="1" applyBorder="1" applyAlignment="1">
      <alignment horizontal="left" vertical="top"/>
    </xf>
    <xf numFmtId="169" fontId="5" fillId="0" borderId="4" xfId="0" applyNumberFormat="1" applyFont="1" applyBorder="1" applyAlignment="1">
      <alignment horizontal="left" vertical="top"/>
    </xf>
    <xf numFmtId="169" fontId="5" fillId="0" borderId="8" xfId="0" applyNumberFormat="1" applyFont="1" applyBorder="1" applyAlignment="1">
      <alignment horizontal="left" vertical="top"/>
    </xf>
    <xf numFmtId="169" fontId="14" fillId="0" borderId="12" xfId="0" applyNumberFormat="1" applyFont="1" applyBorder="1" applyAlignment="1">
      <alignment horizontal="center"/>
    </xf>
    <xf numFmtId="2" fontId="0" fillId="0" borderId="5" xfId="0" applyNumberFormat="1" applyBorder="1" applyAlignment="1">
      <alignment horizontal="center"/>
    </xf>
    <xf numFmtId="10" fontId="5"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14" fillId="0" borderId="5" xfId="0" applyFont="1" applyBorder="1" applyAlignment="1">
      <alignment horizontal="left" wrapText="1"/>
    </xf>
    <xf numFmtId="0" fontId="5" fillId="7" borderId="9" xfId="0" applyFont="1" applyFill="1" applyBorder="1" applyAlignment="1" applyProtection="1">
      <alignment horizontal="center"/>
      <protection locked="0"/>
    </xf>
    <xf numFmtId="0" fontId="12" fillId="7" borderId="3" xfId="0" applyFont="1" applyFill="1" applyBorder="1" applyAlignment="1" applyProtection="1">
      <alignment horizontal="right"/>
      <protection locked="0"/>
    </xf>
    <xf numFmtId="0" fontId="12" fillId="7" borderId="4" xfId="0" applyFont="1" applyFill="1" applyBorder="1" applyAlignment="1" applyProtection="1">
      <alignment horizontal="right"/>
      <protection locked="0"/>
    </xf>
    <xf numFmtId="0" fontId="12"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4" fillId="0" borderId="3" xfId="546" applyNumberFormat="1" applyFont="1" applyBorder="1" applyAlignment="1">
      <alignment horizontal="center" vertical="center" wrapText="1"/>
    </xf>
    <xf numFmtId="176" fontId="14" fillId="0" borderId="4" xfId="546" applyNumberFormat="1" applyFont="1" applyBorder="1" applyAlignment="1">
      <alignment horizontal="center" vertical="center" wrapText="1"/>
    </xf>
    <xf numFmtId="176" fontId="14" fillId="0" borderId="8" xfId="546" applyNumberFormat="1" applyFont="1" applyBorder="1" applyAlignment="1">
      <alignment horizontal="center" vertical="center" wrapText="1"/>
    </xf>
    <xf numFmtId="3" fontId="37" fillId="4" borderId="0" xfId="546" applyNumberFormat="1" applyFont="1" applyFill="1" applyAlignment="1">
      <alignment horizontal="left" vertical="center" wrapText="1"/>
    </xf>
    <xf numFmtId="169" fontId="14"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5" fillId="7" borderId="3" xfId="1030" applyFont="1" applyFill="1" applyBorder="1" applyAlignment="1" applyProtection="1">
      <alignment horizontal="center"/>
      <protection locked="0"/>
    </xf>
    <xf numFmtId="9" fontId="5" fillId="7" borderId="4" xfId="1030" applyFont="1" applyFill="1" applyBorder="1" applyAlignment="1" applyProtection="1">
      <alignment horizontal="center"/>
      <protection locked="0"/>
    </xf>
    <xf numFmtId="9" fontId="5" fillId="7" borderId="8" xfId="1030" applyFont="1" applyFill="1" applyBorder="1" applyAlignment="1" applyProtection="1">
      <alignment horizontal="center"/>
      <protection locked="0"/>
    </xf>
    <xf numFmtId="0" fontId="5"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5" fillId="7" borderId="3" xfId="0" applyNumberFormat="1" applyFont="1" applyFill="1" applyBorder="1" applyAlignment="1" applyProtection="1">
      <alignment horizontal="center"/>
      <protection locked="0"/>
    </xf>
    <xf numFmtId="165" fontId="5" fillId="7" borderId="4" xfId="0" applyNumberFormat="1" applyFont="1" applyFill="1" applyBorder="1" applyAlignment="1" applyProtection="1">
      <alignment horizontal="center"/>
      <protection locked="0"/>
    </xf>
    <xf numFmtId="165" fontId="5" fillId="7" borderId="8" xfId="0" applyNumberFormat="1" applyFont="1" applyFill="1" applyBorder="1" applyAlignment="1" applyProtection="1">
      <alignment horizontal="center"/>
      <protection locked="0"/>
    </xf>
    <xf numFmtId="3" fontId="14" fillId="7" borderId="12" xfId="0" applyNumberFormat="1" applyFont="1" applyFill="1" applyBorder="1" applyAlignment="1" applyProtection="1">
      <alignment horizontal="center"/>
      <protection locked="0"/>
    </xf>
    <xf numFmtId="169" fontId="14" fillId="0" borderId="3" xfId="0" applyNumberFormat="1" applyFont="1" applyBorder="1" applyAlignment="1">
      <alignment horizontal="left" vertical="top"/>
    </xf>
    <xf numFmtId="169" fontId="14" fillId="0" borderId="4" xfId="0" applyNumberFormat="1" applyFont="1" applyBorder="1" applyAlignment="1">
      <alignment horizontal="left" vertical="top"/>
    </xf>
    <xf numFmtId="169" fontId="14" fillId="0" borderId="8" xfId="0" applyNumberFormat="1" applyFont="1" applyBorder="1" applyAlignment="1">
      <alignment horizontal="left" vertical="top"/>
    </xf>
    <xf numFmtId="169" fontId="13" fillId="0" borderId="0" xfId="0" applyNumberFormat="1" applyFont="1" applyAlignment="1">
      <alignment horizontal="left" vertical="top" wrapText="1"/>
    </xf>
    <xf numFmtId="1" fontId="14" fillId="7" borderId="3" xfId="0" applyNumberFormat="1" applyFont="1" applyFill="1" applyBorder="1" applyAlignment="1" applyProtection="1">
      <alignment horizontal="right" vertical="top"/>
      <protection locked="0"/>
    </xf>
    <xf numFmtId="1" fontId="14" fillId="7" borderId="4" xfId="0" applyNumberFormat="1" applyFont="1" applyFill="1" applyBorder="1" applyAlignment="1" applyProtection="1">
      <alignment horizontal="right" vertical="top"/>
      <protection locked="0"/>
    </xf>
    <xf numFmtId="1" fontId="14" fillId="7" borderId="8" xfId="0" applyNumberFormat="1" applyFont="1" applyFill="1" applyBorder="1" applyAlignment="1" applyProtection="1">
      <alignment horizontal="right" vertical="top"/>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5" fillId="0" borderId="3" xfId="0" applyFont="1" applyBorder="1" applyAlignment="1">
      <alignment horizontal="left"/>
    </xf>
    <xf numFmtId="1" fontId="0" fillId="7" borderId="5" xfId="0" applyNumberFormat="1" applyFill="1" applyBorder="1" applyAlignment="1" applyProtection="1">
      <alignment horizontal="center"/>
      <protection locked="0"/>
    </xf>
    <xf numFmtId="0" fontId="14"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4" fillId="7" borderId="12" xfId="0" quotePrefix="1" applyNumberFormat="1" applyFont="1" applyFill="1" applyBorder="1" applyAlignment="1" applyProtection="1">
      <alignment horizontal="center"/>
      <protection locked="0"/>
    </xf>
    <xf numFmtId="1" fontId="14" fillId="7" borderId="12"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6" fontId="0" fillId="0" borderId="5" xfId="0" applyNumberFormat="1" applyBorder="1" applyAlignment="1">
      <alignment horizontal="center"/>
    </xf>
    <xf numFmtId="169" fontId="0" fillId="51" borderId="5" xfId="0" applyNumberFormat="1" applyFill="1" applyBorder="1" applyAlignment="1" applyProtection="1">
      <alignment horizontal="right"/>
      <protection locked="0"/>
    </xf>
    <xf numFmtId="0" fontId="34" fillId="0" borderId="3" xfId="0" applyFont="1" applyBorder="1" applyAlignment="1">
      <alignment horizontal="center"/>
    </xf>
    <xf numFmtId="0" fontId="34" fillId="0" borderId="4" xfId="0" applyFont="1" applyBorder="1" applyAlignment="1">
      <alignment horizontal="center"/>
    </xf>
    <xf numFmtId="0" fontId="34" fillId="0" borderId="8" xfId="0" applyFont="1" applyBorder="1" applyAlignment="1">
      <alignment horizontal="center"/>
    </xf>
    <xf numFmtId="165" fontId="12" fillId="0" borderId="3" xfId="574" applyNumberFormat="1" applyFont="1" applyBorder="1" applyAlignment="1">
      <alignment horizontal="center"/>
    </xf>
    <xf numFmtId="165" fontId="12" fillId="0" borderId="4" xfId="574" applyNumberFormat="1" applyFont="1" applyBorder="1" applyAlignment="1">
      <alignment horizontal="center"/>
    </xf>
    <xf numFmtId="165" fontId="12"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4"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5" fillId="0" borderId="7" xfId="546" applyBorder="1" applyAlignment="1">
      <alignment horizontal="left" vertical="top" wrapText="1"/>
    </xf>
    <xf numFmtId="0" fontId="5" fillId="0" borderId="0" xfId="546" applyAlignment="1">
      <alignment horizontal="left" vertical="top" wrapText="1"/>
    </xf>
    <xf numFmtId="0" fontId="5" fillId="0" borderId="13" xfId="546" applyBorder="1" applyAlignment="1">
      <alignment horizontal="left" vertical="top" wrapText="1"/>
    </xf>
    <xf numFmtId="0" fontId="14" fillId="7" borderId="3" xfId="0" applyFont="1" applyFill="1" applyBorder="1" applyProtection="1">
      <protection locked="0"/>
    </xf>
    <xf numFmtId="0" fontId="14" fillId="0" borderId="4" xfId="0" applyFont="1" applyBorder="1" applyProtection="1">
      <protection locked="0"/>
    </xf>
    <xf numFmtId="0" fontId="14"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2" fillId="4" borderId="3" xfId="546" applyFont="1" applyFill="1" applyBorder="1" applyAlignment="1">
      <alignment horizontal="center"/>
    </xf>
    <xf numFmtId="0" fontId="12" fillId="4" borderId="4" xfId="546" applyFont="1" applyFill="1" applyBorder="1" applyAlignment="1">
      <alignment horizontal="center"/>
    </xf>
    <xf numFmtId="0" fontId="12"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5" fillId="0" borderId="7" xfId="0" applyFont="1" applyBorder="1" applyAlignment="1">
      <alignment horizontal="left" wrapText="1"/>
    </xf>
    <xf numFmtId="0" fontId="5" fillId="0" borderId="13" xfId="0" applyFont="1" applyBorder="1" applyAlignment="1">
      <alignment horizontal="left" wrapText="1"/>
    </xf>
    <xf numFmtId="0" fontId="5" fillId="0" borderId="9" xfId="0" applyFont="1" applyBorder="1" applyAlignment="1">
      <alignment horizontal="left" wrapText="1"/>
    </xf>
    <xf numFmtId="0" fontId="5" fillId="0" borderId="5" xfId="0" applyFont="1" applyBorder="1" applyAlignment="1">
      <alignment horizontal="left" wrapText="1"/>
    </xf>
    <xf numFmtId="0" fontId="5"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2" fillId="0" borderId="5" xfId="0" applyFont="1" applyBorder="1" applyAlignment="1">
      <alignment horizontal="center"/>
    </xf>
    <xf numFmtId="0" fontId="14" fillId="0" borderId="3" xfId="0" applyFont="1" applyBorder="1"/>
    <xf numFmtId="0" fontId="14" fillId="0" borderId="4" xfId="0" applyFont="1" applyBorder="1"/>
    <xf numFmtId="0" fontId="14"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9" xfId="546" applyFont="1" applyFill="1" applyBorder="1" applyAlignment="1" applyProtection="1">
      <alignment horizontal="center"/>
      <protection locked="0"/>
    </xf>
    <xf numFmtId="0" fontId="13" fillId="7" borderId="10" xfId="546" applyFont="1" applyFill="1" applyBorder="1" applyAlignment="1" applyProtection="1">
      <alignment horizontal="center"/>
      <protection locked="0"/>
    </xf>
    <xf numFmtId="0" fontId="12" fillId="0" borderId="0" xfId="0" applyFont="1" applyAlignment="1">
      <alignment horizontal="center"/>
    </xf>
    <xf numFmtId="0" fontId="12" fillId="0" borderId="1" xfId="546" applyFont="1" applyBorder="1" applyAlignment="1">
      <alignment horizontal="left" vertical="top" wrapText="1"/>
    </xf>
    <xf numFmtId="0" fontId="12" fillId="0" borderId="2" xfId="546" applyFont="1" applyBorder="1" applyAlignment="1">
      <alignment horizontal="left" vertical="top" wrapText="1"/>
    </xf>
    <xf numFmtId="0" fontId="12" fillId="0" borderId="11" xfId="546" applyFont="1" applyBorder="1" applyAlignment="1">
      <alignment horizontal="left" vertical="top" wrapText="1"/>
    </xf>
    <xf numFmtId="0" fontId="12" fillId="0" borderId="7" xfId="546" applyFont="1" applyBorder="1" applyAlignment="1">
      <alignment horizontal="left" vertical="top" wrapText="1"/>
    </xf>
    <xf numFmtId="0" fontId="12" fillId="0" borderId="0" xfId="546" applyFont="1" applyAlignment="1">
      <alignment horizontal="left" vertical="top" wrapText="1"/>
    </xf>
    <xf numFmtId="0" fontId="12" fillId="0" borderId="13" xfId="546" applyFont="1" applyBorder="1" applyAlignment="1">
      <alignment horizontal="left" vertical="top" wrapText="1"/>
    </xf>
    <xf numFmtId="0" fontId="13" fillId="7" borderId="3" xfId="546" applyFont="1" applyFill="1" applyBorder="1" applyAlignment="1" applyProtection="1">
      <alignment horizontal="left" vertical="top" wrapText="1"/>
      <protection locked="0"/>
    </xf>
    <xf numFmtId="0" fontId="13" fillId="7" borderId="4" xfId="546" applyFont="1" applyFill="1" applyBorder="1" applyAlignment="1" applyProtection="1">
      <alignment horizontal="left" vertical="top" wrapText="1"/>
      <protection locked="0"/>
    </xf>
    <xf numFmtId="0" fontId="13" fillId="7" borderId="8" xfId="546" applyFont="1" applyFill="1" applyBorder="1" applyAlignment="1" applyProtection="1">
      <alignment horizontal="left" vertical="top" wrapText="1"/>
      <protection locked="0"/>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13" fillId="7" borderId="3" xfId="546" applyFont="1" applyFill="1" applyBorder="1" applyAlignment="1" applyProtection="1">
      <alignment horizontal="center" vertical="top"/>
      <protection locked="0"/>
    </xf>
    <xf numFmtId="0" fontId="13" fillId="7" borderId="8" xfId="546" applyFont="1" applyFill="1" applyBorder="1" applyAlignment="1" applyProtection="1">
      <alignment horizontal="center" vertical="top"/>
      <protection locked="0"/>
    </xf>
    <xf numFmtId="0" fontId="12" fillId="0" borderId="3" xfId="546" applyFont="1" applyBorder="1" applyAlignment="1">
      <alignment horizontal="right"/>
    </xf>
    <xf numFmtId="0" fontId="12" fillId="0" borderId="4" xfId="546" applyFont="1" applyBorder="1" applyAlignment="1">
      <alignment horizontal="right"/>
    </xf>
    <xf numFmtId="0" fontId="12" fillId="0" borderId="8" xfId="546" applyFont="1" applyBorder="1" applyAlignment="1">
      <alignment horizontal="right"/>
    </xf>
    <xf numFmtId="0" fontId="5" fillId="0" borderId="3" xfId="0" applyFont="1" applyBorder="1"/>
    <xf numFmtId="0" fontId="5" fillId="0" borderId="4" xfId="0" applyFont="1" applyBorder="1"/>
    <xf numFmtId="0" fontId="5" fillId="0" borderId="8" xfId="0" applyFont="1" applyBorder="1"/>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9" fontId="142" fillId="0" borderId="0" xfId="0" applyNumberFormat="1" applyFont="1" applyAlignment="1">
      <alignment horizontal="center" vertical="center" wrapText="1"/>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0" fontId="48" fillId="0" borderId="3" xfId="0" applyFont="1" applyBorder="1"/>
    <xf numFmtId="0" fontId="48" fillId="0" borderId="4" xfId="0" applyFont="1" applyBorder="1"/>
    <xf numFmtId="0" fontId="48" fillId="0" borderId="8" xfId="0" applyFont="1" applyBorder="1"/>
    <xf numFmtId="0" fontId="53" fillId="2" borderId="3" xfId="0" applyFont="1" applyFill="1" applyBorder="1" applyAlignment="1">
      <alignment horizontal="center" vertical="top"/>
    </xf>
    <xf numFmtId="0" fontId="53" fillId="2" borderId="4" xfId="0" applyFont="1" applyFill="1" applyBorder="1" applyAlignment="1">
      <alignment horizontal="center" vertical="top"/>
    </xf>
    <xf numFmtId="0" fontId="53" fillId="2" borderId="8" xfId="0" applyFont="1" applyFill="1" applyBorder="1" applyAlignment="1">
      <alignment horizontal="center" vertical="top"/>
    </xf>
    <xf numFmtId="0" fontId="14" fillId="0" borderId="5" xfId="0" applyFont="1" applyBorder="1" applyAlignment="1">
      <alignment vertical="top" wrapText="1"/>
    </xf>
    <xf numFmtId="178" fontId="14" fillId="7" borderId="5" xfId="0" applyNumberFormat="1" applyFont="1" applyFill="1" applyBorder="1" applyAlignment="1" applyProtection="1">
      <alignment horizontal="left" vertical="top" wrapText="1"/>
      <protection locked="0"/>
    </xf>
    <xf numFmtId="0" fontId="14" fillId="0" borderId="2" xfId="0" applyFont="1" applyBorder="1" applyAlignment="1">
      <alignment vertical="top" wrapText="1"/>
    </xf>
    <xf numFmtId="0" fontId="28" fillId="0" borderId="0" xfId="0" applyFont="1" applyAlignment="1">
      <alignment vertical="top" wrapText="1"/>
    </xf>
    <xf numFmtId="0" fontId="14" fillId="0" borderId="2" xfId="0" applyFont="1" applyBorder="1" applyAlignment="1">
      <alignment horizontal="left" vertical="top" wrapText="1"/>
    </xf>
    <xf numFmtId="0" fontId="49" fillId="0" borderId="0" xfId="0" applyFont="1" applyAlignment="1">
      <alignment vertical="top" wrapText="1"/>
    </xf>
    <xf numFmtId="0" fontId="14" fillId="0" borderId="5" xfId="0" applyFont="1" applyBorder="1" applyAlignment="1">
      <alignment horizontal="right" vertical="top" wrapText="1"/>
    </xf>
    <xf numFmtId="0" fontId="13" fillId="0" borderId="0" xfId="0" applyFont="1" applyAlignment="1">
      <alignment horizontal="left"/>
    </xf>
    <xf numFmtId="0" fontId="12" fillId="0" borderId="6" xfId="0" applyFont="1" applyBorder="1" applyAlignment="1">
      <alignment horizontal="center" wrapText="1"/>
    </xf>
    <xf numFmtId="0" fontId="28"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2"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6" fillId="0" borderId="0" xfId="0" applyFont="1" applyAlignment="1">
      <alignment horizontal="left" vertical="top" wrapText="1"/>
    </xf>
    <xf numFmtId="0" fontId="28" fillId="0" borderId="2" xfId="0" applyFont="1" applyBorder="1" applyAlignment="1">
      <alignment horizontal="left" vertical="top"/>
    </xf>
    <xf numFmtId="169" fontId="5" fillId="0" borderId="12" xfId="0" applyNumberFormat="1" applyFont="1" applyBorder="1" applyAlignment="1">
      <alignment horizontal="center"/>
    </xf>
    <xf numFmtId="0" fontId="76" fillId="0" borderId="0" xfId="0" applyFont="1" applyAlignment="1">
      <alignment horizontal="left" wrapText="1"/>
    </xf>
    <xf numFmtId="0" fontId="13" fillId="0" borderId="2" xfId="0" applyFont="1" applyBorder="1" applyAlignment="1">
      <alignment horizontal="left"/>
    </xf>
    <xf numFmtId="0" fontId="11" fillId="5" borderId="2"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5"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3" fillId="7" borderId="4" xfId="0" applyFont="1" applyFill="1" applyBorder="1" applyAlignment="1" applyProtection="1">
      <alignment horizontal="left"/>
      <protection locked="0"/>
    </xf>
    <xf numFmtId="0" fontId="13" fillId="7" borderId="8" xfId="0" applyFont="1" applyFill="1" applyBorder="1" applyAlignment="1" applyProtection="1">
      <alignment horizontal="left"/>
      <protection locked="0"/>
    </xf>
    <xf numFmtId="0" fontId="12" fillId="0" borderId="3" xfId="0" applyFont="1" applyBorder="1" applyAlignment="1">
      <alignment horizontal="left"/>
    </xf>
    <xf numFmtId="0" fontId="12" fillId="0" borderId="8" xfId="0" applyFont="1" applyBorder="1" applyAlignment="1">
      <alignment horizontal="left"/>
    </xf>
    <xf numFmtId="0" fontId="13" fillId="0" borderId="4" xfId="0" applyFont="1" applyBorder="1" applyAlignment="1">
      <alignment horizontal="left"/>
    </xf>
    <xf numFmtId="0" fontId="25" fillId="0" borderId="4" xfId="0" applyFont="1" applyBorder="1" applyAlignment="1">
      <alignment horizontal="left"/>
    </xf>
    <xf numFmtId="0" fontId="25" fillId="0" borderId="8" xfId="0" applyFont="1" applyBorder="1" applyAlignment="1">
      <alignment horizontal="left"/>
    </xf>
    <xf numFmtId="0" fontId="13"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0" fontId="25" fillId="0" borderId="3" xfId="0" applyFont="1" applyBorder="1" applyAlignment="1">
      <alignment horizontal="right"/>
    </xf>
    <xf numFmtId="0" fontId="25" fillId="0" borderId="4" xfId="0" applyFont="1" applyBorder="1" applyAlignment="1">
      <alignment horizontal="right"/>
    </xf>
    <xf numFmtId="0" fontId="25" fillId="0" borderId="8" xfId="0" applyFont="1" applyBorder="1" applyAlignment="1">
      <alignment horizontal="right"/>
    </xf>
    <xf numFmtId="0" fontId="11" fillId="5" borderId="3" xfId="0" applyFont="1" applyFill="1" applyBorder="1" applyAlignment="1">
      <alignment horizontal="left" vertical="top"/>
    </xf>
    <xf numFmtId="0" fontId="11" fillId="5" borderId="4" xfId="0" applyFont="1" applyFill="1" applyBorder="1" applyAlignment="1">
      <alignment horizontal="left" vertical="top"/>
    </xf>
    <xf numFmtId="0" fontId="11" fillId="5" borderId="8" xfId="0" applyFont="1" applyFill="1" applyBorder="1" applyAlignment="1">
      <alignment horizontal="left" vertical="top"/>
    </xf>
    <xf numFmtId="166" fontId="13" fillId="0" borderId="12" xfId="0" applyNumberFormat="1" applyFont="1" applyBorder="1" applyAlignment="1">
      <alignment horizontal="center"/>
    </xf>
    <xf numFmtId="166" fontId="13" fillId="46" borderId="12" xfId="0" applyNumberFormat="1" applyFont="1" applyFill="1" applyBorder="1" applyAlignment="1">
      <alignment horizontal="center"/>
    </xf>
    <xf numFmtId="2" fontId="13" fillId="0" borderId="3" xfId="0" applyNumberFormat="1" applyFont="1" applyBorder="1" applyAlignment="1">
      <alignment horizontal="center"/>
    </xf>
    <xf numFmtId="2" fontId="13" fillId="0" borderId="4" xfId="0" applyNumberFormat="1" applyFont="1" applyBorder="1" applyAlignment="1">
      <alignment horizontal="center"/>
    </xf>
    <xf numFmtId="2" fontId="13" fillId="0" borderId="8" xfId="0" applyNumberFormat="1" applyFont="1" applyBorder="1" applyAlignment="1">
      <alignment horizontal="center"/>
    </xf>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0" fontId="13" fillId="0" borderId="8" xfId="0" quotePrefix="1" applyFont="1" applyBorder="1" applyAlignment="1">
      <alignment horizontal="center" wrapText="1"/>
    </xf>
    <xf numFmtId="9" fontId="22" fillId="0" borderId="12" xfId="0" applyNumberFormat="1" applyFont="1" applyBorder="1" applyAlignment="1">
      <alignment horizontal="center"/>
    </xf>
    <xf numFmtId="0" fontId="22" fillId="0" borderId="3" xfId="0" applyFont="1" applyBorder="1" applyAlignment="1">
      <alignment horizontal="center"/>
    </xf>
    <xf numFmtId="1" fontId="13" fillId="0" borderId="20" xfId="0" applyNumberFormat="1" applyFont="1" applyBorder="1" applyAlignment="1">
      <alignment horizontal="center"/>
    </xf>
    <xf numFmtId="1" fontId="13" fillId="0" borderId="12" xfId="0" applyNumberFormat="1" applyFont="1" applyBorder="1" applyAlignment="1">
      <alignment horizontal="center"/>
    </xf>
    <xf numFmtId="166" fontId="13" fillId="0" borderId="15" xfId="0" applyNumberFormat="1" applyFont="1" applyBorder="1" applyAlignment="1">
      <alignment horizontal="center"/>
    </xf>
    <xf numFmtId="0" fontId="14" fillId="0" borderId="13" xfId="0" applyFont="1" applyBorder="1" applyAlignment="1">
      <alignment horizontal="left" vertical="top" wrapText="1"/>
    </xf>
    <xf numFmtId="0" fontId="13" fillId="0" borderId="0" xfId="0" applyFont="1" applyAlignment="1">
      <alignment horizontal="left" vertical="top" wrapText="1"/>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3" fillId="0" borderId="46" xfId="0" applyNumberFormat="1" applyFont="1" applyBorder="1" applyAlignment="1">
      <alignment horizontal="center" vertical="center" wrapText="1"/>
    </xf>
    <xf numFmtId="164" fontId="13" fillId="0" borderId="47" xfId="0" applyNumberFormat="1" applyFont="1" applyBorder="1" applyAlignment="1">
      <alignment horizontal="center" vertical="center" wrapText="1"/>
    </xf>
    <xf numFmtId="164" fontId="13" fillId="0" borderId="48" xfId="0" applyNumberFormat="1"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0" xfId="0" applyNumberFormat="1" applyFont="1" applyAlignment="1">
      <alignment horizontal="center" vertical="center" wrapText="1"/>
    </xf>
    <xf numFmtId="164" fontId="13" fillId="0" borderId="50" xfId="0" applyNumberFormat="1" applyFont="1" applyBorder="1" applyAlignment="1">
      <alignment horizontal="center" vertical="center" wrapText="1"/>
    </xf>
    <xf numFmtId="164" fontId="13" fillId="0" borderId="52" xfId="0" applyNumberFormat="1" applyFont="1" applyBorder="1" applyAlignment="1">
      <alignment horizontal="center" vertical="center" wrapText="1"/>
    </xf>
    <xf numFmtId="164" fontId="13" fillId="0" borderId="53" xfId="0" applyNumberFormat="1" applyFont="1" applyBorder="1" applyAlignment="1">
      <alignment horizontal="center" vertical="center" wrapText="1"/>
    </xf>
    <xf numFmtId="164" fontId="13" fillId="0" borderId="54" xfId="0" applyNumberFormat="1" applyFont="1" applyBorder="1" applyAlignment="1">
      <alignment horizontal="center" vertic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1" fontId="13" fillId="0" borderId="22" xfId="0" applyNumberFormat="1" applyFont="1" applyBorder="1" applyAlignment="1">
      <alignment horizontal="center"/>
    </xf>
    <xf numFmtId="1" fontId="13" fillId="0" borderId="15" xfId="0" applyNumberFormat="1" applyFont="1" applyBorder="1" applyAlignment="1">
      <alignment horizontal="center"/>
    </xf>
    <xf numFmtId="0" fontId="49" fillId="0" borderId="3"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50" fillId="0" borderId="4" xfId="0" applyFont="1" applyBorder="1" applyAlignment="1">
      <alignment horizontal="left"/>
    </xf>
    <xf numFmtId="0" fontId="50" fillId="0" borderId="8" xfId="0" applyFont="1" applyBorder="1" applyAlignment="1">
      <alignment horizontal="left"/>
    </xf>
    <xf numFmtId="166" fontId="13" fillId="0" borderId="8" xfId="0" applyNumberFormat="1" applyFont="1" applyBorder="1" applyAlignment="1">
      <alignment horizontal="center"/>
    </xf>
    <xf numFmtId="166" fontId="13" fillId="0" borderId="24" xfId="0" applyNumberFormat="1" applyFont="1" applyBorder="1" applyAlignment="1">
      <alignment horizontal="center"/>
    </xf>
    <xf numFmtId="0" fontId="12" fillId="0" borderId="0" xfId="0" applyFont="1" applyAlignment="1">
      <alignment horizontal="center" vertical="top"/>
    </xf>
    <xf numFmtId="0" fontId="12" fillId="0" borderId="50" xfId="0" applyFont="1" applyBorder="1" applyAlignment="1">
      <alignment horizontal="center" vertical="top"/>
    </xf>
    <xf numFmtId="0" fontId="13" fillId="7" borderId="5" xfId="0" applyFont="1" applyFill="1" applyBorder="1" applyAlignment="1" applyProtection="1">
      <alignment horizontal="left"/>
      <protection locked="0"/>
    </xf>
    <xf numFmtId="0" fontId="13" fillId="0" borderId="47" xfId="0" applyFont="1" applyBorder="1" applyAlignment="1">
      <alignment horizontal="left" vertical="top" wrapText="1"/>
    </xf>
    <xf numFmtId="0" fontId="12" fillId="0" borderId="50" xfId="0" applyFont="1" applyBorder="1" applyAlignment="1">
      <alignment horizontal="center"/>
    </xf>
    <xf numFmtId="0" fontId="55" fillId="0" borderId="0" xfId="0" applyFont="1" applyAlignment="1">
      <alignment horizontal="left" vertical="top" wrapText="1"/>
    </xf>
    <xf numFmtId="0" fontId="13" fillId="0" borderId="0" xfId="574" applyFont="1" applyAlignment="1">
      <alignment horizontal="left" vertical="top" wrapText="1"/>
    </xf>
    <xf numFmtId="0" fontId="22" fillId="0" borderId="0" xfId="0" applyFont="1" applyAlignment="1">
      <alignment horizontal="left" vertical="top" wrapText="1"/>
    </xf>
    <xf numFmtId="0" fontId="13" fillId="7" borderId="5" xfId="0" applyFont="1" applyFill="1" applyBorder="1" applyAlignment="1" applyProtection="1">
      <alignment horizontal="center" vertical="center" wrapText="1" shrinkToFit="1"/>
      <protection locked="0"/>
    </xf>
    <xf numFmtId="0" fontId="13" fillId="0" borderId="0" xfId="0" applyFont="1" applyAlignment="1">
      <alignment horizontal="left" vertical="top" wrapText="1" shrinkToFit="1"/>
    </xf>
    <xf numFmtId="0" fontId="13" fillId="0" borderId="0" xfId="0" applyFont="1" applyAlignment="1">
      <alignment vertical="center" wrapText="1"/>
    </xf>
    <xf numFmtId="0" fontId="0" fillId="7" borderId="4" xfId="0" applyFill="1" applyBorder="1" applyAlignment="1" applyProtection="1">
      <alignment horizontal="left" wrapText="1"/>
      <protection locked="0"/>
    </xf>
    <xf numFmtId="44" fontId="13" fillId="0" borderId="0" xfId="164" applyFont="1" applyFill="1" applyBorder="1" applyAlignment="1" applyProtection="1">
      <alignment horizontal="left" vertical="top" wrapText="1"/>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8" xfId="0" applyNumberFormat="1" applyFont="1" applyBorder="1" applyAlignment="1">
      <alignment horizontal="center"/>
    </xf>
    <xf numFmtId="166" fontId="12" fillId="0" borderId="8" xfId="0" applyNumberFormat="1" applyFont="1" applyBorder="1" applyAlignment="1">
      <alignment horizontal="center"/>
    </xf>
    <xf numFmtId="166" fontId="12" fillId="0" borderId="12" xfId="0" applyNumberFormat="1" applyFont="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0" fontId="13" fillId="0" borderId="3" xfId="573" applyNumberFormat="1" applyFont="1" applyFill="1" applyBorder="1" applyAlignment="1" applyProtection="1">
      <alignment horizontal="center"/>
    </xf>
    <xf numFmtId="10" fontId="13" fillId="0" borderId="4" xfId="573" applyNumberFormat="1" applyFont="1" applyFill="1" applyBorder="1" applyAlignment="1" applyProtection="1">
      <alignment horizontal="center"/>
    </xf>
    <xf numFmtId="10" fontId="13" fillId="0" borderId="8" xfId="573" applyNumberFormat="1" applyFont="1" applyFill="1" applyBorder="1" applyAlignment="1" applyProtection="1">
      <alignment horizontal="center"/>
    </xf>
    <xf numFmtId="1" fontId="14" fillId="0" borderId="12" xfId="0" applyNumberFormat="1" applyFont="1" applyBorder="1" applyAlignment="1">
      <alignment horizontal="center"/>
    </xf>
    <xf numFmtId="1" fontId="12" fillId="0" borderId="12" xfId="0" applyNumberFormat="1" applyFont="1" applyBorder="1" applyAlignment="1">
      <alignment horizontal="center"/>
    </xf>
    <xf numFmtId="164" fontId="20" fillId="0" borderId="1" xfId="0" applyNumberFormat="1" applyFont="1" applyBorder="1" applyAlignment="1">
      <alignment horizontal="right" vertical="center"/>
    </xf>
    <xf numFmtId="164" fontId="20" fillId="0" borderId="2" xfId="0" applyNumberFormat="1" applyFont="1" applyBorder="1" applyAlignment="1">
      <alignment horizontal="right" vertical="center"/>
    </xf>
    <xf numFmtId="164" fontId="20" fillId="0" borderId="11" xfId="0" applyNumberFormat="1" applyFont="1" applyBorder="1" applyAlignment="1">
      <alignment horizontal="right" vertical="center"/>
    </xf>
    <xf numFmtId="164" fontId="20" fillId="0" borderId="9" xfId="0" applyNumberFormat="1" applyFont="1" applyBorder="1" applyAlignment="1">
      <alignment horizontal="right" vertical="center"/>
    </xf>
    <xf numFmtId="164" fontId="20" fillId="0" borderId="5" xfId="0" applyNumberFormat="1" applyFont="1" applyBorder="1" applyAlignment="1">
      <alignment horizontal="right" vertical="center"/>
    </xf>
    <xf numFmtId="164" fontId="20" fillId="0" borderId="10" xfId="0" applyNumberFormat="1" applyFont="1" applyBorder="1" applyAlignment="1">
      <alignment horizontal="right" vertical="center"/>
    </xf>
    <xf numFmtId="0" fontId="13" fillId="46" borderId="3" xfId="0" applyFont="1" applyFill="1" applyBorder="1" applyAlignment="1">
      <alignment horizontal="right"/>
    </xf>
    <xf numFmtId="0" fontId="13" fillId="46" borderId="4" xfId="0" applyFont="1" applyFill="1" applyBorder="1" applyAlignment="1">
      <alignment horizontal="right"/>
    </xf>
    <xf numFmtId="49" fontId="13" fillId="46" borderId="4" xfId="0" applyNumberFormat="1" applyFont="1" applyFill="1" applyBorder="1" applyAlignment="1">
      <alignment horizontal="left"/>
    </xf>
    <xf numFmtId="49" fontId="13" fillId="46" borderId="8" xfId="0" applyNumberFormat="1" applyFont="1" applyFill="1" applyBorder="1" applyAlignment="1">
      <alignment horizontal="left"/>
    </xf>
    <xf numFmtId="0" fontId="13" fillId="46" borderId="3" xfId="0" applyFont="1" applyFill="1" applyBorder="1" applyAlignment="1" applyProtection="1">
      <alignment horizontal="center"/>
      <protection locked="0"/>
    </xf>
    <xf numFmtId="0" fontId="13" fillId="46" borderId="4" xfId="0" applyFont="1" applyFill="1" applyBorder="1" applyAlignment="1" applyProtection="1">
      <alignment horizontal="center"/>
      <protection locked="0"/>
    </xf>
    <xf numFmtId="0" fontId="13" fillId="46" borderId="8" xfId="0" applyFont="1" applyFill="1" applyBorder="1" applyAlignment="1" applyProtection="1">
      <alignment horizontal="center"/>
      <protection locked="0"/>
    </xf>
    <xf numFmtId="166" fontId="14" fillId="0" borderId="9" xfId="0" applyNumberFormat="1" applyFont="1" applyBorder="1" applyAlignment="1">
      <alignment horizontal="center"/>
    </xf>
    <xf numFmtId="166" fontId="14" fillId="0" borderId="5" xfId="0" applyNumberFormat="1" applyFont="1" applyBorder="1" applyAlignment="1">
      <alignment horizontal="center"/>
    </xf>
    <xf numFmtId="166" fontId="14" fillId="0" borderId="10" xfId="0" applyNumberFormat="1" applyFont="1" applyBorder="1" applyAlignment="1">
      <alignment horizontal="center"/>
    </xf>
    <xf numFmtId="0" fontId="14" fillId="0" borderId="12" xfId="0"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0" borderId="25" xfId="0" applyNumberFormat="1" applyFont="1" applyBorder="1" applyAlignment="1">
      <alignment horizontal="center"/>
    </xf>
    <xf numFmtId="166" fontId="13" fillId="0" borderId="25" xfId="0" applyNumberFormat="1" applyFont="1" applyBorder="1" applyAlignment="1">
      <alignment horizontal="center"/>
    </xf>
    <xf numFmtId="173" fontId="5" fillId="0" borderId="3" xfId="546" applyNumberFormat="1" applyBorder="1" applyAlignment="1">
      <alignment horizontal="center"/>
    </xf>
    <xf numFmtId="173" fontId="5" fillId="0" borderId="4" xfId="546" applyNumberFormat="1" applyBorder="1" applyAlignment="1">
      <alignment horizontal="center"/>
    </xf>
    <xf numFmtId="173" fontId="5" fillId="0" borderId="8" xfId="546" applyNumberForma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2" fillId="0" borderId="0" xfId="0" applyNumberFormat="1" applyFont="1" applyAlignment="1">
      <alignment horizontal="left" vertical="top" wrapText="1"/>
    </xf>
    <xf numFmtId="1" fontId="13"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7" fillId="2" borderId="3" xfId="0" applyFont="1" applyFill="1" applyBorder="1" applyAlignment="1">
      <alignment horizontal="center"/>
    </xf>
    <xf numFmtId="0" fontId="37" fillId="2" borderId="8" xfId="0" applyFont="1" applyFill="1" applyBorder="1" applyAlignment="1">
      <alignment horizontal="center"/>
    </xf>
    <xf numFmtId="0" fontId="37" fillId="0" borderId="3" xfId="0" applyFont="1" applyBorder="1" applyAlignment="1">
      <alignment horizontal="center"/>
    </xf>
    <xf numFmtId="0" fontId="37" fillId="0" borderId="8" xfId="0" applyFont="1" applyBorder="1" applyAlignment="1">
      <alignment horizont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9" fontId="22" fillId="0" borderId="17" xfId="0" applyNumberFormat="1" applyFont="1" applyBorder="1" applyAlignment="1">
      <alignment horizontal="center"/>
    </xf>
    <xf numFmtId="0" fontId="22" fillId="0" borderId="17" xfId="0" applyFont="1" applyBorder="1" applyAlignment="1">
      <alignment horizontal="center"/>
    </xf>
    <xf numFmtId="1" fontId="13" fillId="0" borderId="44" xfId="0" applyNumberFormat="1" applyFont="1" applyBorder="1" applyAlignment="1">
      <alignment horizontal="center"/>
    </xf>
    <xf numFmtId="1" fontId="13" fillId="0" borderId="26" xfId="0" applyNumberFormat="1" applyFont="1" applyBorder="1" applyAlignment="1">
      <alignment horizontal="center"/>
    </xf>
    <xf numFmtId="9" fontId="22" fillId="0" borderId="3" xfId="0" applyNumberFormat="1" applyFont="1" applyBorder="1" applyAlignment="1">
      <alignment horizontal="center"/>
    </xf>
    <xf numFmtId="9" fontId="22"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3" fillId="0" borderId="8" xfId="0" applyNumberFormat="1" applyFont="1" applyBorder="1" applyAlignment="1">
      <alignment horizontal="center"/>
    </xf>
    <xf numFmtId="1" fontId="13" fillId="0" borderId="24" xfId="0" applyNumberFormat="1" applyFont="1" applyBorder="1" applyAlignment="1">
      <alignment horizontal="center"/>
    </xf>
    <xf numFmtId="1" fontId="13" fillId="0" borderId="10" xfId="0" applyNumberFormat="1" applyFont="1" applyBorder="1" applyAlignment="1">
      <alignment horizontal="center"/>
    </xf>
    <xf numFmtId="1" fontId="13" fillId="0" borderId="27" xfId="0" applyNumberFormat="1" applyFont="1" applyBorder="1" applyAlignment="1">
      <alignment horizontal="center"/>
    </xf>
    <xf numFmtId="0" fontId="0" fillId="0" borderId="1" xfId="0" applyBorder="1" applyAlignment="1">
      <alignment horizontal="center" wrapText="1"/>
    </xf>
    <xf numFmtId="172" fontId="5" fillId="0" borderId="3" xfId="546" applyNumberFormat="1" applyBorder="1" applyAlignment="1">
      <alignment horizontal="center"/>
    </xf>
    <xf numFmtId="172" fontId="5" fillId="0" borderId="4" xfId="546" applyNumberFormat="1" applyBorder="1" applyAlignment="1">
      <alignment horizontal="center"/>
    </xf>
    <xf numFmtId="172" fontId="5" fillId="0" borderId="8" xfId="546" applyNumberFormat="1" applyBorder="1" applyAlignment="1">
      <alignment horizontal="center"/>
    </xf>
    <xf numFmtId="0" fontId="22" fillId="4" borderId="3" xfId="0" applyFont="1" applyFill="1" applyBorder="1" applyAlignment="1">
      <alignment horizontal="right"/>
    </xf>
    <xf numFmtId="0" fontId="22" fillId="4" borderId="4" xfId="0" applyFont="1" applyFill="1" applyBorder="1" applyAlignment="1">
      <alignment horizontal="right"/>
    </xf>
    <xf numFmtId="0" fontId="22" fillId="4" borderId="8" xfId="0" applyFont="1" applyFill="1" applyBorder="1" applyAlignment="1">
      <alignment horizontal="right"/>
    </xf>
    <xf numFmtId="0" fontId="13" fillId="0" borderId="5" xfId="0" applyFont="1" applyBorder="1" applyAlignment="1">
      <alignment horizontal="left"/>
    </xf>
    <xf numFmtId="0" fontId="13" fillId="47" borderId="5" xfId="0" applyFont="1" applyFill="1" applyBorder="1" applyAlignment="1">
      <alignment horizontal="left"/>
    </xf>
    <xf numFmtId="0" fontId="13" fillId="0" borderId="5" xfId="0" applyFont="1" applyBorder="1" applyAlignment="1">
      <alignment horizontal="left" vertical="top" wrapText="1"/>
    </xf>
    <xf numFmtId="1" fontId="14" fillId="0" borderId="63" xfId="0" applyNumberFormat="1" applyFont="1" applyBorder="1" applyAlignment="1">
      <alignment horizontal="center"/>
    </xf>
    <xf numFmtId="1" fontId="14" fillId="0" borderId="14" xfId="0" applyNumberFormat="1" applyFont="1" applyBorder="1" applyAlignment="1">
      <alignment horizontal="center"/>
    </xf>
    <xf numFmtId="1" fontId="14" fillId="0" borderId="64" xfId="0" applyNumberFormat="1" applyFont="1" applyBorder="1" applyAlignment="1">
      <alignment horizontal="center"/>
    </xf>
    <xf numFmtId="0" fontId="12" fillId="0" borderId="0" xfId="0" applyFont="1" applyAlignment="1">
      <alignment horizontal="right"/>
    </xf>
    <xf numFmtId="0" fontId="13"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169" fontId="142" fillId="0" borderId="13" xfId="0" applyNumberFormat="1" applyFont="1" applyBorder="1" applyAlignment="1">
      <alignment horizontal="center" vertical="center" wrapText="1"/>
    </xf>
    <xf numFmtId="0" fontId="25" fillId="7" borderId="5" xfId="0" applyFont="1" applyFill="1" applyBorder="1" applyAlignment="1" applyProtection="1">
      <alignment horizontal="center"/>
      <protection locked="0"/>
    </xf>
    <xf numFmtId="0" fontId="13" fillId="0" borderId="0" xfId="0" applyFont="1" applyAlignment="1">
      <alignment horizontal="left" vertical="center" wrapText="1" shrinkToFit="1"/>
    </xf>
    <xf numFmtId="0" fontId="13" fillId="7" borderId="5" xfId="0" applyFont="1" applyFill="1" applyBorder="1" applyAlignment="1" applyProtection="1">
      <alignment horizontal="center"/>
      <protection locked="0"/>
    </xf>
    <xf numFmtId="0" fontId="13" fillId="0" borderId="0" xfId="0" applyFont="1" applyAlignment="1">
      <alignment horizontal="left" wrapText="1"/>
    </xf>
    <xf numFmtId="1" fontId="14" fillId="12" borderId="9" xfId="0" applyNumberFormat="1" applyFont="1" applyFill="1" applyBorder="1" applyAlignment="1">
      <alignment horizontal="center"/>
    </xf>
    <xf numFmtId="1" fontId="14" fillId="12" borderId="5" xfId="0" applyNumberFormat="1" applyFont="1" applyFill="1" applyBorder="1" applyAlignment="1">
      <alignment horizontal="center"/>
    </xf>
    <xf numFmtId="1" fontId="14" fillId="12" borderId="10" xfId="0" applyNumberFormat="1" applyFont="1" applyFill="1" applyBorder="1" applyAlignment="1">
      <alignment horizontal="center"/>
    </xf>
    <xf numFmtId="49" fontId="11" fillId="5" borderId="2" xfId="0" applyNumberFormat="1" applyFont="1" applyFill="1" applyBorder="1" applyAlignment="1">
      <alignment horizontal="center" vertical="center"/>
    </xf>
    <xf numFmtId="49" fontId="11" fillId="5" borderId="0" xfId="0" applyNumberFormat="1" applyFont="1" applyFill="1" applyAlignment="1">
      <alignment horizontal="center" vertical="center"/>
    </xf>
    <xf numFmtId="1" fontId="14" fillId="12" borderId="12" xfId="0" applyNumberFormat="1" applyFont="1" applyFill="1" applyBorder="1" applyAlignment="1">
      <alignment horizontal="center"/>
    </xf>
    <xf numFmtId="10" fontId="22" fillId="0" borderId="3" xfId="573" applyNumberFormat="1" applyFont="1" applyFill="1" applyBorder="1" applyAlignment="1" applyProtection="1">
      <alignment horizontal="center"/>
    </xf>
    <xf numFmtId="10" fontId="22" fillId="0" borderId="4" xfId="573" applyNumberFormat="1" applyFont="1" applyFill="1" applyBorder="1" applyAlignment="1" applyProtection="1">
      <alignment horizontal="center"/>
    </xf>
    <xf numFmtId="10" fontId="22" fillId="0" borderId="8" xfId="573" applyNumberFormat="1" applyFont="1" applyFill="1" applyBorder="1" applyAlignment="1" applyProtection="1">
      <alignment horizontal="center"/>
    </xf>
    <xf numFmtId="0" fontId="12" fillId="0" borderId="12" xfId="0" applyFont="1" applyBorder="1" applyAlignment="1">
      <alignment horizontal="right"/>
    </xf>
    <xf numFmtId="166" fontId="20" fillId="0" borderId="1" xfId="0" applyNumberFormat="1" applyFont="1" applyBorder="1" applyAlignment="1">
      <alignment horizontal="center" vertical="center"/>
    </xf>
    <xf numFmtId="166" fontId="20" fillId="0" borderId="2" xfId="0" applyNumberFormat="1" applyFont="1" applyBorder="1" applyAlignment="1">
      <alignment horizontal="center" vertical="center"/>
    </xf>
    <xf numFmtId="166" fontId="20" fillId="0" borderId="11" xfId="0" applyNumberFormat="1" applyFont="1" applyBorder="1" applyAlignment="1">
      <alignment horizontal="center" vertical="center"/>
    </xf>
    <xf numFmtId="166" fontId="20" fillId="0" borderId="9" xfId="0" applyNumberFormat="1" applyFont="1" applyBorder="1" applyAlignment="1">
      <alignment horizontal="center" vertical="center"/>
    </xf>
    <xf numFmtId="166" fontId="20" fillId="0" borderId="5" xfId="0" applyNumberFormat="1" applyFont="1" applyBorder="1" applyAlignment="1">
      <alignment horizontal="center" vertical="center"/>
    </xf>
    <xf numFmtId="166" fontId="20" fillId="0" borderId="10" xfId="0" applyNumberFormat="1" applyFont="1" applyBorder="1" applyAlignment="1">
      <alignment horizontal="center" vertical="center"/>
    </xf>
    <xf numFmtId="0" fontId="14" fillId="0" borderId="3" xfId="0" applyFont="1" applyBorder="1" applyAlignment="1">
      <alignment horizontal="center" wrapText="1"/>
    </xf>
    <xf numFmtId="0" fontId="14" fillId="0" borderId="8" xfId="0" applyFont="1" applyBorder="1" applyAlignment="1">
      <alignment horizontal="center" wrapText="1"/>
    </xf>
    <xf numFmtId="0" fontId="12" fillId="0" borderId="4" xfId="0" applyFont="1" applyBorder="1"/>
    <xf numFmtId="0" fontId="12" fillId="0" borderId="8" xfId="0" applyFont="1" applyBorder="1"/>
    <xf numFmtId="1" fontId="14" fillId="12" borderId="3" xfId="0" applyNumberFormat="1" applyFont="1" applyFill="1" applyBorder="1" applyAlignment="1">
      <alignment horizontal="center"/>
    </xf>
    <xf numFmtId="1" fontId="14" fillId="12" borderId="4" xfId="0" applyNumberFormat="1" applyFont="1" applyFill="1" applyBorder="1" applyAlignment="1">
      <alignment horizontal="center"/>
    </xf>
    <xf numFmtId="1" fontId="14" fillId="12" borderId="8" xfId="0" applyNumberFormat="1" applyFont="1" applyFill="1" applyBorder="1" applyAlignment="1">
      <alignment horizontal="center"/>
    </xf>
    <xf numFmtId="0" fontId="13" fillId="11" borderId="3" xfId="0" applyFont="1" applyFill="1" applyBorder="1" applyAlignment="1">
      <alignment horizontal="center"/>
    </xf>
    <xf numFmtId="0" fontId="13" fillId="11" borderId="4" xfId="0" applyFont="1" applyFill="1" applyBorder="1" applyAlignment="1">
      <alignment horizontal="center"/>
    </xf>
    <xf numFmtId="0" fontId="13" fillId="11" borderId="8" xfId="0" applyFont="1" applyFill="1" applyBorder="1" applyAlignment="1">
      <alignment horizontal="center"/>
    </xf>
    <xf numFmtId="166" fontId="13" fillId="0" borderId="45" xfId="0" applyNumberFormat="1" applyFont="1" applyBorder="1" applyAlignment="1">
      <alignment horizontal="center"/>
    </xf>
    <xf numFmtId="166" fontId="13" fillId="0" borderId="28" xfId="0" applyNumberFormat="1" applyFont="1" applyBorder="1" applyAlignment="1">
      <alignment horizontal="center"/>
    </xf>
    <xf numFmtId="164" fontId="13" fillId="0" borderId="0" xfId="0" applyNumberFormat="1" applyFont="1" applyAlignment="1">
      <alignment horizontal="left" vertical="top" wrapText="1"/>
    </xf>
    <xf numFmtId="1" fontId="13" fillId="0" borderId="23" xfId="0" applyNumberFormat="1" applyFont="1" applyBorder="1" applyAlignment="1">
      <alignment horizontal="center"/>
    </xf>
    <xf numFmtId="1" fontId="13" fillId="0" borderId="21" xfId="0" applyNumberFormat="1" applyFont="1" applyBorder="1" applyAlignment="1">
      <alignment horizontal="center"/>
    </xf>
    <xf numFmtId="2" fontId="13" fillId="46" borderId="12" xfId="0" applyNumberFormat="1" applyFont="1" applyFill="1" applyBorder="1" applyAlignment="1">
      <alignment horizontal="center"/>
    </xf>
    <xf numFmtId="166" fontId="13" fillId="0" borderId="21" xfId="0" applyNumberFormat="1" applyFont="1" applyBorder="1" applyAlignment="1">
      <alignment horizontal="center"/>
    </xf>
    <xf numFmtId="0" fontId="22" fillId="0" borderId="1" xfId="0" applyFont="1" applyBorder="1" applyAlignment="1">
      <alignment horizontal="center" wrapText="1"/>
    </xf>
    <xf numFmtId="0" fontId="22" fillId="0" borderId="2" xfId="0" applyFont="1" applyBorder="1" applyAlignment="1">
      <alignment horizontal="center" wrapText="1"/>
    </xf>
    <xf numFmtId="0" fontId="22" fillId="0" borderId="11" xfId="0" applyFont="1" applyBorder="1" applyAlignment="1">
      <alignment horizontal="center" wrapText="1"/>
    </xf>
    <xf numFmtId="0" fontId="22" fillId="0" borderId="7" xfId="0" applyFont="1" applyBorder="1" applyAlignment="1">
      <alignment horizontal="center" wrapText="1"/>
    </xf>
    <xf numFmtId="0" fontId="22" fillId="0" borderId="0" xfId="0" applyFont="1" applyAlignment="1">
      <alignment horizontal="center" wrapText="1"/>
    </xf>
    <xf numFmtId="0" fontId="22" fillId="0" borderId="13" xfId="0" applyFont="1" applyBorder="1" applyAlignment="1">
      <alignment horizontal="center" wrapText="1"/>
    </xf>
    <xf numFmtId="0" fontId="12" fillId="4" borderId="3" xfId="0" applyFont="1" applyFill="1" applyBorder="1" applyAlignment="1">
      <alignment horizontal="center" wrapText="1"/>
    </xf>
    <xf numFmtId="0" fontId="12" fillId="4" borderId="4" xfId="0" applyFont="1" applyFill="1" applyBorder="1" applyAlignment="1">
      <alignment horizontal="center" wrapText="1"/>
    </xf>
    <xf numFmtId="0" fontId="12" fillId="4" borderId="8" xfId="0" applyFont="1" applyFill="1" applyBorder="1" applyAlignment="1">
      <alignment horizontal="center" wrapText="1"/>
    </xf>
    <xf numFmtId="0" fontId="12" fillId="0" borderId="1" xfId="0" applyFont="1" applyBorder="1" applyAlignment="1">
      <alignment horizontal="right" vertical="center" wrapText="1"/>
    </xf>
    <xf numFmtId="0" fontId="12" fillId="0" borderId="2"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9" xfId="0" applyFont="1" applyBorder="1" applyAlignment="1">
      <alignment horizontal="right" vertical="center" wrapText="1"/>
    </xf>
    <xf numFmtId="0" fontId="12" fillId="0" borderId="5" xfId="0" applyFont="1" applyBorder="1" applyAlignment="1">
      <alignment horizontal="right" vertical="center" wrapText="1"/>
    </xf>
    <xf numFmtId="0" fontId="12" fillId="0" borderId="10" xfId="0" applyFont="1" applyBorder="1" applyAlignment="1">
      <alignment horizontal="right" vertical="center" wrapText="1"/>
    </xf>
    <xf numFmtId="0" fontId="12" fillId="0" borderId="9" xfId="0" applyFont="1" applyBorder="1" applyAlignment="1">
      <alignment horizontal="center"/>
    </xf>
    <xf numFmtId="0" fontId="12" fillId="0" borderId="10" xfId="0" applyFont="1" applyBorder="1" applyAlignment="1">
      <alignment horizontal="center"/>
    </xf>
    <xf numFmtId="0" fontId="0" fillId="7" borderId="51" xfId="0" applyFill="1" applyBorder="1" applyAlignment="1" applyProtection="1">
      <alignment horizontal="center"/>
      <protection locked="0"/>
    </xf>
    <xf numFmtId="0" fontId="13" fillId="0" borderId="53" xfId="0" applyFont="1" applyBorder="1" applyAlignment="1">
      <alignment horizontal="left" vertical="top"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5" fillId="48" borderId="12" xfId="0" applyFont="1" applyFill="1" applyBorder="1" applyAlignment="1">
      <alignment horizontal="center"/>
    </xf>
    <xf numFmtId="0" fontId="13" fillId="0" borderId="47" xfId="574" applyFont="1" applyBorder="1" applyAlignment="1">
      <alignment horizontal="left" vertical="top" wrapText="1"/>
    </xf>
    <xf numFmtId="0" fontId="12" fillId="11" borderId="4" xfId="0" applyFont="1" applyFill="1" applyBorder="1" applyAlignment="1">
      <alignment horizontal="center"/>
    </xf>
    <xf numFmtId="1" fontId="14" fillId="11" borderId="3" xfId="0" applyNumberFormat="1" applyFont="1" applyFill="1" applyBorder="1" applyAlignment="1">
      <alignment horizontal="center" vertical="center"/>
    </xf>
    <xf numFmtId="1" fontId="14" fillId="11" borderId="8" xfId="0" applyNumberFormat="1" applyFont="1" applyFill="1" applyBorder="1" applyAlignment="1">
      <alignment horizontal="center" vertical="center"/>
    </xf>
    <xf numFmtId="0" fontId="28" fillId="0" borderId="47" xfId="0" applyFont="1" applyBorder="1" applyAlignment="1">
      <alignment horizontal="left" wrapText="1"/>
    </xf>
    <xf numFmtId="0" fontId="28" fillId="0" borderId="0" xfId="0" applyFont="1" applyAlignment="1">
      <alignment horizontal="left" wrapText="1"/>
    </xf>
    <xf numFmtId="9" fontId="13"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2" fillId="10" borderId="7" xfId="0" applyFont="1" applyFill="1" applyBorder="1" applyAlignment="1">
      <alignment horizontal="center" wrapText="1"/>
    </xf>
    <xf numFmtId="0" fontId="22" fillId="10" borderId="0" xfId="0" applyFont="1" applyFill="1" applyAlignment="1">
      <alignment horizontal="center" wrapText="1"/>
    </xf>
    <xf numFmtId="0" fontId="13" fillId="7" borderId="53" xfId="0" applyFont="1" applyFill="1" applyBorder="1" applyAlignment="1" applyProtection="1">
      <alignment horizontal="left"/>
      <protection locked="0"/>
    </xf>
    <xf numFmtId="9" fontId="13" fillId="7" borderId="53" xfId="0" applyNumberFormat="1" applyFont="1" applyFill="1" applyBorder="1" applyAlignment="1" applyProtection="1">
      <alignment horizontal="left"/>
      <protection locked="0"/>
    </xf>
    <xf numFmtId="0" fontId="22" fillId="48" borderId="2" xfId="0" applyFont="1" applyFill="1" applyBorder="1" applyAlignment="1">
      <alignment horizontal="center"/>
    </xf>
    <xf numFmtId="0" fontId="22" fillId="48" borderId="5" xfId="0" applyFont="1" applyFill="1" applyBorder="1" applyAlignment="1">
      <alignment horizontal="center"/>
    </xf>
    <xf numFmtId="0" fontId="28" fillId="0" borderId="47" xfId="0" applyFont="1" applyBorder="1" applyAlignment="1">
      <alignment horizontal="left" vertical="top" wrapText="1"/>
    </xf>
    <xf numFmtId="0" fontId="28" fillId="0" borderId="0" xfId="0" applyFont="1" applyAlignment="1">
      <alignment horizontal="left" vertical="top" wrapText="1"/>
    </xf>
    <xf numFmtId="1" fontId="39" fillId="0" borderId="3" xfId="0" quotePrefix="1" applyNumberFormat="1" applyFont="1" applyBorder="1" applyAlignment="1">
      <alignment horizontal="center" wrapText="1"/>
    </xf>
    <xf numFmtId="1" fontId="39" fillId="0" borderId="4" xfId="0" quotePrefix="1" applyNumberFormat="1" applyFont="1" applyBorder="1" applyAlignment="1">
      <alignment horizontal="center" wrapText="1"/>
    </xf>
    <xf numFmtId="1" fontId="39" fillId="0" borderId="8" xfId="0" quotePrefix="1" applyNumberFormat="1" applyFont="1" applyBorder="1" applyAlignment="1">
      <alignment horizontal="center" wrapText="1"/>
    </xf>
    <xf numFmtId="0" fontId="13"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2" fillId="0" borderId="47" xfId="0" applyFont="1" applyBorder="1" applyAlignment="1">
      <alignment horizontal="center" vertical="top"/>
    </xf>
    <xf numFmtId="0" fontId="12" fillId="0" borderId="48" xfId="0" applyFont="1" applyBorder="1" applyAlignment="1">
      <alignment horizontal="center" vertical="top"/>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3" fillId="7" borderId="53" xfId="0" applyFont="1" applyFill="1" applyBorder="1" applyAlignment="1" applyProtection="1">
      <alignment horizontal="left" vertical="top" wrapText="1"/>
      <protection locked="0"/>
    </xf>
    <xf numFmtId="1" fontId="13" fillId="46" borderId="15" xfId="0" applyNumberFormat="1" applyFont="1" applyFill="1" applyBorder="1" applyAlignment="1">
      <alignment horizontal="center"/>
    </xf>
    <xf numFmtId="0" fontId="22" fillId="46" borderId="17" xfId="0" applyFont="1" applyFill="1" applyBorder="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0" xfId="0" applyFont="1" applyAlignment="1">
      <alignment horizontal="center" vertical="center" wrapText="1"/>
    </xf>
    <xf numFmtId="0" fontId="35" fillId="0" borderId="13" xfId="0" applyFont="1" applyBorder="1" applyAlignment="1">
      <alignment horizontal="center" vertical="center" wrapText="1"/>
    </xf>
    <xf numFmtId="1" fontId="13" fillId="0" borderId="30" xfId="0" applyNumberFormat="1" applyFont="1" applyBorder="1" applyAlignment="1">
      <alignment horizontal="center"/>
    </xf>
    <xf numFmtId="0" fontId="22" fillId="0" borderId="12" xfId="0" applyFont="1" applyBorder="1" applyAlignment="1">
      <alignment horizontal="center" vertical="center" wrapText="1"/>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1"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10" fillId="7" borderId="5" xfId="273" applyNumberFormat="1" applyFont="1" applyFill="1" applyBorder="1" applyAlignment="1" applyProtection="1">
      <alignment horizontal="right"/>
      <protection locked="0"/>
    </xf>
    <xf numFmtId="169" fontId="10" fillId="0" borderId="4" xfId="273" applyNumberFormat="1" applyFont="1" applyBorder="1" applyAlignment="1">
      <alignment horizontal="right"/>
    </xf>
    <xf numFmtId="169" fontId="10" fillId="0" borderId="5" xfId="273" applyNumberFormat="1" applyFont="1" applyBorder="1" applyAlignment="1">
      <alignment horizontal="right"/>
    </xf>
    <xf numFmtId="1" fontId="10" fillId="7" borderId="4" xfId="273" applyNumberFormat="1" applyFont="1" applyFill="1" applyBorder="1" applyAlignment="1" applyProtection="1">
      <alignment horizontal="right"/>
      <protection locked="0"/>
    </xf>
    <xf numFmtId="0" fontId="10" fillId="0" borderId="4" xfId="273" applyFont="1" applyBorder="1" applyAlignment="1">
      <alignment horizontal="left"/>
    </xf>
    <xf numFmtId="169" fontId="10" fillId="0" borderId="0" xfId="273" applyNumberFormat="1" applyFont="1" applyAlignment="1">
      <alignment horizontal="right"/>
    </xf>
    <xf numFmtId="3" fontId="10" fillId="0" borderId="5" xfId="273" applyNumberFormat="1" applyFont="1" applyBorder="1" applyAlignment="1">
      <alignment horizontal="center"/>
    </xf>
    <xf numFmtId="3" fontId="5" fillId="0" borderId="5" xfId="273" applyNumberFormat="1" applyFont="1" applyBorder="1"/>
    <xf numFmtId="0" fontId="10" fillId="0" borderId="0" xfId="273" applyFont="1" applyAlignment="1">
      <alignment horizontal="center" vertical="center"/>
    </xf>
    <xf numFmtId="0" fontId="67" fillId="0" borderId="0" xfId="273" applyFont="1" applyAlignment="1">
      <alignment horizontal="right" vertical="center"/>
    </xf>
    <xf numFmtId="0" fontId="56" fillId="0" borderId="0" xfId="273" applyFont="1" applyAlignment="1">
      <alignment horizontal="center" vertical="center"/>
    </xf>
    <xf numFmtId="3" fontId="10" fillId="0" borderId="2" xfId="273" applyNumberFormat="1" applyFont="1" applyBorder="1" applyAlignment="1">
      <alignment horizontal="center"/>
    </xf>
    <xf numFmtId="3" fontId="5" fillId="0" borderId="0" xfId="273" applyNumberFormat="1" applyFont="1"/>
    <xf numFmtId="176" fontId="58" fillId="0" borderId="31" xfId="573" applyNumberFormat="1" applyFont="1" applyBorder="1" applyAlignment="1" applyProtection="1">
      <alignment horizontal="center" vertical="center"/>
    </xf>
    <xf numFmtId="176" fontId="58" fillId="0" borderId="32" xfId="573" applyNumberFormat="1" applyFont="1" applyBorder="1" applyAlignment="1" applyProtection="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58" fillId="0" borderId="0" xfId="273" applyFont="1" applyAlignment="1">
      <alignment horizontal="left" vertical="center"/>
    </xf>
    <xf numFmtId="0" fontId="10" fillId="0" borderId="5" xfId="273" applyFont="1" applyBorder="1" applyAlignment="1">
      <alignment horizontal="left"/>
    </xf>
    <xf numFmtId="1" fontId="10" fillId="7" borderId="51" xfId="273" applyNumberFormat="1" applyFont="1" applyFill="1" applyBorder="1" applyAlignment="1" applyProtection="1">
      <alignment horizontal="left" vertical="center"/>
      <protection locked="0"/>
    </xf>
    <xf numFmtId="1" fontId="10" fillId="7" borderId="5" xfId="273" applyNumberFormat="1" applyFont="1" applyFill="1" applyBorder="1" applyAlignment="1" applyProtection="1">
      <alignment horizontal="left" vertical="center"/>
      <protection locked="0"/>
    </xf>
    <xf numFmtId="0" fontId="58" fillId="0" borderId="73" xfId="273" applyFont="1" applyBorder="1" applyAlignment="1">
      <alignment horizontal="left" vertical="center" wrapText="1"/>
    </xf>
    <xf numFmtId="0" fontId="58" fillId="0" borderId="2" xfId="273" applyFont="1" applyBorder="1" applyAlignment="1">
      <alignment horizontal="left" vertical="center" wrapText="1"/>
    </xf>
    <xf numFmtId="0" fontId="58" fillId="0" borderId="49" xfId="273" applyFont="1" applyBorder="1" applyAlignment="1">
      <alignment horizontal="left" vertical="center" wrapText="1"/>
    </xf>
    <xf numFmtId="0" fontId="58" fillId="0" borderId="0" xfId="273" applyFont="1" applyAlignment="1">
      <alignment horizontal="left" vertical="center" wrapText="1"/>
    </xf>
    <xf numFmtId="169" fontId="10" fillId="0" borderId="0" xfId="273" applyNumberFormat="1" applyFont="1" applyAlignment="1">
      <alignment horizontal="left"/>
    </xf>
    <xf numFmtId="0" fontId="10" fillId="7" borderId="4" xfId="273" applyFont="1" applyFill="1" applyBorder="1" applyAlignment="1" applyProtection="1">
      <alignment horizontal="left"/>
      <protection locked="0"/>
    </xf>
    <xf numFmtId="0" fontId="58" fillId="0" borderId="0" xfId="273" applyFont="1" applyAlignment="1">
      <alignment vertical="center" wrapText="1"/>
    </xf>
    <xf numFmtId="2" fontId="58" fillId="49" borderId="31" xfId="273" applyNumberFormat="1" applyFont="1" applyFill="1" applyBorder="1" applyAlignment="1">
      <alignment horizontal="center" vertical="center"/>
    </xf>
    <xf numFmtId="2" fontId="58" fillId="49" borderId="32" xfId="273" applyNumberFormat="1" applyFont="1" applyFill="1" applyBorder="1" applyAlignment="1">
      <alignment horizontal="center" vertical="center"/>
    </xf>
    <xf numFmtId="49" fontId="57" fillId="5" borderId="0" xfId="273" applyNumberFormat="1" applyFont="1" applyFill="1" applyAlignment="1">
      <alignment horizontal="center" vertical="center"/>
    </xf>
    <xf numFmtId="0" fontId="58" fillId="0" borderId="0" xfId="273" applyFont="1" applyAlignment="1">
      <alignment horizontal="left"/>
    </xf>
    <xf numFmtId="0" fontId="59" fillId="0" borderId="0" xfId="273" applyFont="1" applyAlignment="1">
      <alignment horizontal="left"/>
    </xf>
    <xf numFmtId="0" fontId="10" fillId="0" borderId="3" xfId="273" applyFont="1" applyBorder="1" applyAlignment="1">
      <alignment horizontal="center"/>
    </xf>
    <xf numFmtId="165" fontId="10" fillId="0" borderId="4" xfId="273" applyNumberFormat="1" applyFont="1" applyBorder="1" applyAlignment="1">
      <alignment horizontal="center"/>
    </xf>
    <xf numFmtId="165" fontId="10" fillId="0" borderId="8" xfId="273" applyNumberFormat="1" applyFont="1" applyBorder="1" applyAlignment="1">
      <alignment horizontal="center"/>
    </xf>
    <xf numFmtId="0" fontId="60" fillId="0" borderId="2" xfId="273" applyFont="1" applyBorder="1" applyAlignment="1">
      <alignment horizontal="left"/>
    </xf>
    <xf numFmtId="169" fontId="58" fillId="0" borderId="5" xfId="273" applyNumberFormat="1" applyFont="1" applyBorder="1" applyAlignment="1">
      <alignment horizontal="right"/>
    </xf>
    <xf numFmtId="169" fontId="10" fillId="7" borderId="4" xfId="273" applyNumberFormat="1" applyFont="1" applyFill="1" applyBorder="1" applyAlignment="1" applyProtection="1">
      <alignment horizontal="right"/>
      <protection locked="0"/>
    </xf>
    <xf numFmtId="0" fontId="10" fillId="0" borderId="0" xfId="273" applyFont="1" applyAlignment="1">
      <alignment horizontal="center" wrapText="1"/>
    </xf>
    <xf numFmtId="0" fontId="10" fillId="0" borderId="5" xfId="273" applyFont="1" applyBorder="1" applyAlignment="1">
      <alignment horizontal="center" wrapText="1"/>
    </xf>
    <xf numFmtId="0" fontId="10" fillId="0" borderId="0" xfId="0" applyFont="1" applyAlignment="1" applyProtection="1">
      <alignment horizontal="center" wrapText="1"/>
      <protection locked="0"/>
    </xf>
    <xf numFmtId="0" fontId="10" fillId="0" borderId="5" xfId="0" applyFont="1" applyBorder="1" applyAlignment="1" applyProtection="1">
      <alignment horizontal="center" wrapText="1"/>
      <protection locked="0"/>
    </xf>
    <xf numFmtId="0" fontId="10" fillId="0" borderId="0" xfId="273" applyFont="1" applyAlignment="1">
      <alignment horizontal="right" vertical="center"/>
    </xf>
    <xf numFmtId="0" fontId="10" fillId="0" borderId="2" xfId="273" applyFont="1" applyBorder="1" applyAlignment="1">
      <alignment horizontal="center" vertical="center"/>
    </xf>
    <xf numFmtId="3" fontId="14" fillId="0" borderId="0" xfId="273" applyNumberFormat="1" applyAlignment="1">
      <alignment horizontal="left" vertical="top" wrapText="1"/>
    </xf>
    <xf numFmtId="0" fontId="10" fillId="0" borderId="5" xfId="0" applyFont="1" applyBorder="1" applyAlignment="1">
      <alignment horizontal="center"/>
    </xf>
    <xf numFmtId="0" fontId="28"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173" fontId="14" fillId="0" borderId="12" xfId="273" applyNumberFormat="1" applyBorder="1" applyAlignment="1">
      <alignment horizontal="center"/>
    </xf>
  </cellXfs>
  <cellStyles count="351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542113FE-026A-47C3-8211-545F286CC48E}"/>
    <cellStyle name="20% - Accent1 2 2 2 2 2 2" xfId="3109" xr:uid="{5633F031-D631-4FE3-9F0B-91967D29A1C7}"/>
    <cellStyle name="20% - Accent1 2 2 2 2 3" xfId="2280" xr:uid="{6FA36A46-71CB-4303-81AE-F756B8348EB1}"/>
    <cellStyle name="20% - Accent1 2 2 2 3" xfId="1035" xr:uid="{ACBADD8D-F33A-4289-B6EF-AB979C231D5F}"/>
    <cellStyle name="20% - Accent1 2 2 2 3 2" xfId="2693" xr:uid="{8041A14A-F238-43D4-83C1-EE3DA3BDCAD9}"/>
    <cellStyle name="20% - Accent1 2 2 2 4" xfId="1864" xr:uid="{2FAFBB5D-29AF-4C86-A9BC-653F257E8A05}"/>
    <cellStyle name="20% - Accent1 2 2 3" xfId="580" xr:uid="{00000000-0005-0000-0000-000005000000}"/>
    <cellStyle name="20% - Accent1 2 2 3 2" xfId="1450" xr:uid="{FD0BC831-30EA-450F-9F8A-37AD70E62D0A}"/>
    <cellStyle name="20% - Accent1 2 2 3 2 2" xfId="3108" xr:uid="{33E87013-4586-4F86-8E80-A9A3304D90A7}"/>
    <cellStyle name="20% - Accent1 2 2 3 3" xfId="2279" xr:uid="{0826DA9A-C38B-4EF6-AD5C-50AC69C7D6D8}"/>
    <cellStyle name="20% - Accent1 2 2 4" xfId="1034" xr:uid="{DE6A4325-A111-45E8-9130-14036AEB2D82}"/>
    <cellStyle name="20% - Accent1 2 2 4 2" xfId="2692" xr:uid="{3A210147-2CA6-48FF-85F1-6CB339A16584}"/>
    <cellStyle name="20% - Accent1 2 2 5" xfId="1863" xr:uid="{DB9E7621-0F64-46AD-9E83-A605D079174A}"/>
    <cellStyle name="20% - Accent1 2 3" xfId="5" xr:uid="{00000000-0005-0000-0000-000006000000}"/>
    <cellStyle name="20% - Accent1 2 3 2" xfId="582" xr:uid="{00000000-0005-0000-0000-000007000000}"/>
    <cellStyle name="20% - Accent1 2 3 2 2" xfId="1452" xr:uid="{CEECF330-80D9-4083-AAEE-5878CE0EA1BE}"/>
    <cellStyle name="20% - Accent1 2 3 2 2 2" xfId="3110" xr:uid="{645E0B48-9CF9-48A0-8080-0CAAE038CE5B}"/>
    <cellStyle name="20% - Accent1 2 3 2 3" xfId="2281" xr:uid="{0A7932BD-64BE-4167-A5ED-DF67EA003BDA}"/>
    <cellStyle name="20% - Accent1 2 3 3" xfId="1036" xr:uid="{F8B95558-DE8C-4C00-BDB0-5374144803C6}"/>
    <cellStyle name="20% - Accent1 2 3 3 2" xfId="2694" xr:uid="{F19395B2-2628-4ECA-8AA4-3A8EC6FF55DC}"/>
    <cellStyle name="20% - Accent1 2 3 4" xfId="1865" xr:uid="{06854320-3324-41C0-9972-660DF03199ED}"/>
    <cellStyle name="20% - Accent1 2 4" xfId="579" xr:uid="{00000000-0005-0000-0000-000008000000}"/>
    <cellStyle name="20% - Accent1 2 4 2" xfId="1449" xr:uid="{18D6E132-C294-4510-979E-F7C6B5B322AE}"/>
    <cellStyle name="20% - Accent1 2 4 2 2" xfId="3107" xr:uid="{1B324554-5B25-48BC-BC76-D04BC0D1C4DA}"/>
    <cellStyle name="20% - Accent1 2 4 3" xfId="2278" xr:uid="{E9A30202-7E94-40CA-ACD1-076ADC691211}"/>
    <cellStyle name="20% - Accent1 2 5" xfId="1033" xr:uid="{B1EADB3C-2596-40B5-ABD1-AC2E9237D3A0}"/>
    <cellStyle name="20% - Accent1 2 5 2" xfId="2691" xr:uid="{F7A7C2BB-8345-42B3-9668-F4BDDCAB859B}"/>
    <cellStyle name="20% - Accent1 2 6" xfId="1862" xr:uid="{6206EC6C-5934-4085-BF88-B9434461D0A0}"/>
    <cellStyle name="20% - Accent1 3" xfId="6" xr:uid="{00000000-0005-0000-0000-000009000000}"/>
    <cellStyle name="20% - Accent1 3 2" xfId="7" xr:uid="{00000000-0005-0000-0000-00000A000000}"/>
    <cellStyle name="20% - Accent1 3 2 2" xfId="584" xr:uid="{00000000-0005-0000-0000-00000B000000}"/>
    <cellStyle name="20% - Accent1 3 2 2 2" xfId="1454" xr:uid="{B6B661B3-BD70-4109-8A58-B7CC0110228C}"/>
    <cellStyle name="20% - Accent1 3 2 2 2 2" xfId="3112" xr:uid="{01A4A8AA-A394-463C-B3E4-49B9588B7DCD}"/>
    <cellStyle name="20% - Accent1 3 2 2 3" xfId="2283" xr:uid="{5D864163-85E5-4387-BF80-4A5958ABBDCC}"/>
    <cellStyle name="20% - Accent1 3 2 3" xfId="1038" xr:uid="{DC93A795-C065-4A3A-905E-8DF0ED4B0AFE}"/>
    <cellStyle name="20% - Accent1 3 2 3 2" xfId="2696" xr:uid="{7EB81D82-57E2-4CC4-9B9A-6DF4C726FD30}"/>
    <cellStyle name="20% - Accent1 3 2 4" xfId="1867" xr:uid="{6D66C1A6-61CF-435C-B826-BC85EF7CF4EC}"/>
    <cellStyle name="20% - Accent1 3 3" xfId="583" xr:uid="{00000000-0005-0000-0000-00000C000000}"/>
    <cellStyle name="20% - Accent1 3 3 2" xfId="1453" xr:uid="{D7B0D0E3-ED1A-4706-902E-01617F06F233}"/>
    <cellStyle name="20% - Accent1 3 3 2 2" xfId="3111" xr:uid="{ED419FAC-E6AE-4792-B7ED-A9FED366E275}"/>
    <cellStyle name="20% - Accent1 3 3 3" xfId="2282" xr:uid="{D712A34D-92D4-4DB8-9F25-FC649B26F0A8}"/>
    <cellStyle name="20% - Accent1 3 4" xfId="1037" xr:uid="{2A9F57E9-CF3D-4F70-9F00-A3F52E942803}"/>
    <cellStyle name="20% - Accent1 3 4 2" xfId="2695" xr:uid="{B5C27D5E-AE3B-427E-9F2A-FCEC847EEA7A}"/>
    <cellStyle name="20% - Accent1 3 5" xfId="1866" xr:uid="{954A4E2D-99AE-4A13-973D-1DF09FCA09FC}"/>
    <cellStyle name="20% - Accent1 4" xfId="8" xr:uid="{00000000-0005-0000-0000-00000D000000}"/>
    <cellStyle name="20% - Accent1 4 2" xfId="585" xr:uid="{00000000-0005-0000-0000-00000E000000}"/>
    <cellStyle name="20% - Accent1 4 2 2" xfId="1455" xr:uid="{34D51F52-6952-4FEB-8017-6FCC14C1E60A}"/>
    <cellStyle name="20% - Accent1 4 2 2 2" xfId="3113" xr:uid="{BD90E0E6-0B03-4502-8335-D455DCDEDC27}"/>
    <cellStyle name="20% - Accent1 4 2 3" xfId="2284" xr:uid="{76F109DA-AB53-4438-93D2-71312D41273F}"/>
    <cellStyle name="20% - Accent1 4 3" xfId="1039" xr:uid="{428055E1-6B12-4BB1-984E-811CDCFDA42E}"/>
    <cellStyle name="20% - Accent1 4 3 2" xfId="2697" xr:uid="{96AD063D-6DDD-4E6D-A343-F2B761795593}"/>
    <cellStyle name="20% - Accent1 4 4" xfId="1868" xr:uid="{85A9B294-D854-46DE-B37F-FC3F46E1542D}"/>
    <cellStyle name="20% - Accent1 5" xfId="578" xr:uid="{00000000-0005-0000-0000-00000F000000}"/>
    <cellStyle name="20% - Accent1 5 2" xfId="1448" xr:uid="{810CDC1B-5509-4F30-8215-EAF0DB0C24EC}"/>
    <cellStyle name="20% - Accent1 5 2 2" xfId="3106" xr:uid="{6F6BB2BA-14D6-453C-9260-9297E01FA9EF}"/>
    <cellStyle name="20% - Accent1 5 3" xfId="2277" xr:uid="{77C92493-D9B3-4F46-AB19-FC3BC7D5DFD2}"/>
    <cellStyle name="20% - Accent1 6" xfId="1032" xr:uid="{4D07C274-10F3-46B6-9DC1-54512FC56D2E}"/>
    <cellStyle name="20% - Accent1 6 2" xfId="2690" xr:uid="{2488B060-3C68-4994-A1E9-6A5BCA84D832}"/>
    <cellStyle name="20% - Accent1 7" xfId="1861" xr:uid="{2FC7A697-E60E-47B0-BB28-69856966900E}"/>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7AAB78C2-0C7E-4E73-8D8C-67D0554F2D9D}"/>
    <cellStyle name="20% - Accent2 2 2 2 2 2 2" xfId="3117" xr:uid="{82848F35-24CB-406B-95AE-5614E6637C99}"/>
    <cellStyle name="20% - Accent2 2 2 2 2 3" xfId="2288" xr:uid="{21B641FB-5540-45AA-AC9D-B16F8FEB1AA5}"/>
    <cellStyle name="20% - Accent2 2 2 2 3" xfId="1043" xr:uid="{B129861E-1F90-487D-A39D-FA006FACA0AC}"/>
    <cellStyle name="20% - Accent2 2 2 2 3 2" xfId="2701" xr:uid="{EC236443-3A4C-45A1-91BB-2A85620332E9}"/>
    <cellStyle name="20% - Accent2 2 2 2 4" xfId="1872" xr:uid="{1AA6F162-F27E-4353-9B9B-CFD949E4ED00}"/>
    <cellStyle name="20% - Accent2 2 2 3" xfId="588" xr:uid="{00000000-0005-0000-0000-000015000000}"/>
    <cellStyle name="20% - Accent2 2 2 3 2" xfId="1458" xr:uid="{3D8358CC-9883-4EAC-B45A-1BFFFD6CA2B2}"/>
    <cellStyle name="20% - Accent2 2 2 3 2 2" xfId="3116" xr:uid="{DB1537EB-F211-4417-AFBF-D913CE3E20F9}"/>
    <cellStyle name="20% - Accent2 2 2 3 3" xfId="2287" xr:uid="{2F374855-EF91-480F-89FE-866BCE96241B}"/>
    <cellStyle name="20% - Accent2 2 2 4" xfId="1042" xr:uid="{5BAC5593-8592-4243-A987-12F459D8E476}"/>
    <cellStyle name="20% - Accent2 2 2 4 2" xfId="2700" xr:uid="{28EAA0F8-CADE-47B3-9A2E-69FC68FA8F2F}"/>
    <cellStyle name="20% - Accent2 2 2 5" xfId="1871" xr:uid="{A1979C9F-349F-4D64-9660-F73BEAA2024B}"/>
    <cellStyle name="20% - Accent2 2 3" xfId="13" xr:uid="{00000000-0005-0000-0000-000016000000}"/>
    <cellStyle name="20% - Accent2 2 3 2" xfId="590" xr:uid="{00000000-0005-0000-0000-000017000000}"/>
    <cellStyle name="20% - Accent2 2 3 2 2" xfId="1460" xr:uid="{9D8C2737-1434-4214-AE32-93620E282433}"/>
    <cellStyle name="20% - Accent2 2 3 2 2 2" xfId="3118" xr:uid="{4FB457EB-E37B-4E26-BC94-94A78F024DA3}"/>
    <cellStyle name="20% - Accent2 2 3 2 3" xfId="2289" xr:uid="{BEE1B282-A8D6-4DFE-BAF0-3254E444866E}"/>
    <cellStyle name="20% - Accent2 2 3 3" xfId="1044" xr:uid="{DAB8E8CB-91E5-4D48-8D51-73DC34139A89}"/>
    <cellStyle name="20% - Accent2 2 3 3 2" xfId="2702" xr:uid="{EADC88C0-D6E8-41D7-B668-7583DC061FAD}"/>
    <cellStyle name="20% - Accent2 2 3 4" xfId="1873" xr:uid="{4AD0E6E1-DD03-45F9-9A90-C217595CEACA}"/>
    <cellStyle name="20% - Accent2 2 4" xfId="587" xr:uid="{00000000-0005-0000-0000-000018000000}"/>
    <cellStyle name="20% - Accent2 2 4 2" xfId="1457" xr:uid="{A336AEBC-690E-4A42-9D52-BF6B86DF7B87}"/>
    <cellStyle name="20% - Accent2 2 4 2 2" xfId="3115" xr:uid="{B48FAA1E-AE90-4020-B3DD-53F38961D733}"/>
    <cellStyle name="20% - Accent2 2 4 3" xfId="2286" xr:uid="{1BC11A34-14D0-4AA4-8983-BADBD6870929}"/>
    <cellStyle name="20% - Accent2 2 5" xfId="1041" xr:uid="{040A381A-78E3-4D6D-90F4-C01074EBD1E2}"/>
    <cellStyle name="20% - Accent2 2 5 2" xfId="2699" xr:uid="{69854DFD-219D-4B05-8ACC-B7DC685BEEFB}"/>
    <cellStyle name="20% - Accent2 2 6" xfId="1870" xr:uid="{00F7ADE8-D821-46CF-8FCF-16AD3CE29CFE}"/>
    <cellStyle name="20% - Accent2 3" xfId="14" xr:uid="{00000000-0005-0000-0000-000019000000}"/>
    <cellStyle name="20% - Accent2 3 2" xfId="15" xr:uid="{00000000-0005-0000-0000-00001A000000}"/>
    <cellStyle name="20% - Accent2 3 2 2" xfId="592" xr:uid="{00000000-0005-0000-0000-00001B000000}"/>
    <cellStyle name="20% - Accent2 3 2 2 2" xfId="1462" xr:uid="{4540FDD7-5C6F-427A-AC11-853D88C463ED}"/>
    <cellStyle name="20% - Accent2 3 2 2 2 2" xfId="3120" xr:uid="{AA60BB49-18A8-41F8-BA58-FEF53471D657}"/>
    <cellStyle name="20% - Accent2 3 2 2 3" xfId="2291" xr:uid="{36BDB0A9-C298-4D3B-A069-E1ADB789B8EC}"/>
    <cellStyle name="20% - Accent2 3 2 3" xfId="1046" xr:uid="{E6B9AF41-1AC6-41FD-A734-582AF29C5B9C}"/>
    <cellStyle name="20% - Accent2 3 2 3 2" xfId="2704" xr:uid="{8F8201C0-B9D4-4364-8BD9-E632FFE7BB03}"/>
    <cellStyle name="20% - Accent2 3 2 4" xfId="1875" xr:uid="{B1371DEA-9C65-4214-B831-DFC5D1BBAD83}"/>
    <cellStyle name="20% - Accent2 3 3" xfId="591" xr:uid="{00000000-0005-0000-0000-00001C000000}"/>
    <cellStyle name="20% - Accent2 3 3 2" xfId="1461" xr:uid="{C8AFDD72-AE8D-4F9B-93C0-494BC6850A33}"/>
    <cellStyle name="20% - Accent2 3 3 2 2" xfId="3119" xr:uid="{E53ACE11-20A2-4E1D-964F-D9D8F08EAAD9}"/>
    <cellStyle name="20% - Accent2 3 3 3" xfId="2290" xr:uid="{64497DE5-6CCE-4646-A1BC-6313B2E740C4}"/>
    <cellStyle name="20% - Accent2 3 4" xfId="1045" xr:uid="{DFA8959F-E347-405B-A844-AE11C7E21894}"/>
    <cellStyle name="20% - Accent2 3 4 2" xfId="2703" xr:uid="{81E9B778-7902-4721-B312-D1D06D53BE56}"/>
    <cellStyle name="20% - Accent2 3 5" xfId="1874" xr:uid="{E5A39D9D-105B-4130-9F50-0E2829703640}"/>
    <cellStyle name="20% - Accent2 4" xfId="16" xr:uid="{00000000-0005-0000-0000-00001D000000}"/>
    <cellStyle name="20% - Accent2 4 2" xfId="593" xr:uid="{00000000-0005-0000-0000-00001E000000}"/>
    <cellStyle name="20% - Accent2 4 2 2" xfId="1463" xr:uid="{3113C6EF-80DA-4402-AC38-C2A419A12781}"/>
    <cellStyle name="20% - Accent2 4 2 2 2" xfId="3121" xr:uid="{8200FEAB-421A-4A03-A12A-4CCA3866B22F}"/>
    <cellStyle name="20% - Accent2 4 2 3" xfId="2292" xr:uid="{608CF25B-E48C-4606-9D36-99EEC1C171E5}"/>
    <cellStyle name="20% - Accent2 4 3" xfId="1047" xr:uid="{5492BFF3-6AC3-43A2-9537-1B24E276C11C}"/>
    <cellStyle name="20% - Accent2 4 3 2" xfId="2705" xr:uid="{0FD1AE5F-1884-4F06-96CC-1DB433C33067}"/>
    <cellStyle name="20% - Accent2 4 4" xfId="1876" xr:uid="{C1271297-0ABE-48C9-969F-26D15875F233}"/>
    <cellStyle name="20% - Accent2 5" xfId="586" xr:uid="{00000000-0005-0000-0000-00001F000000}"/>
    <cellStyle name="20% - Accent2 5 2" xfId="1456" xr:uid="{3FA9C3AE-00F1-402C-8740-AE9CCC6B236B}"/>
    <cellStyle name="20% - Accent2 5 2 2" xfId="3114" xr:uid="{6E781E40-0DA7-47A7-8895-7A4BEAA8737D}"/>
    <cellStyle name="20% - Accent2 5 3" xfId="2285" xr:uid="{2C2B8753-70BD-4149-8BBC-25D01C359265}"/>
    <cellStyle name="20% - Accent2 6" xfId="1040" xr:uid="{09A9AA63-8B33-4CEE-BE0C-58CA8195D0A9}"/>
    <cellStyle name="20% - Accent2 6 2" xfId="2698" xr:uid="{4C3B35A4-5D9F-4BA3-ACB8-7352C65DA72E}"/>
    <cellStyle name="20% - Accent2 7" xfId="1869" xr:uid="{68F80E87-E7A4-4100-B67F-B6AB28AC768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F9F4E25F-1D14-4B61-9E9E-18CFA849D898}"/>
    <cellStyle name="20% - Accent3 2 2 2 2 2 2" xfId="3125" xr:uid="{6A3E8916-594B-455B-ADC0-4E574504AA10}"/>
    <cellStyle name="20% - Accent3 2 2 2 2 3" xfId="2296" xr:uid="{DFC0453E-C28B-407D-A6C9-BFAEAEF46BFE}"/>
    <cellStyle name="20% - Accent3 2 2 2 3" xfId="1051" xr:uid="{1FDD7535-8138-4FC4-9842-8F69AD2BD4D2}"/>
    <cellStyle name="20% - Accent3 2 2 2 3 2" xfId="2709" xr:uid="{82301E86-8324-4E8B-A0F4-3C426926F19A}"/>
    <cellStyle name="20% - Accent3 2 2 2 4" xfId="1880" xr:uid="{7ECAF8B2-485E-44E5-A219-783D7F5BAB00}"/>
    <cellStyle name="20% - Accent3 2 2 3" xfId="596" xr:uid="{00000000-0005-0000-0000-000025000000}"/>
    <cellStyle name="20% - Accent3 2 2 3 2" xfId="1466" xr:uid="{72DDD889-8653-4EFB-9325-B76B8113E9A2}"/>
    <cellStyle name="20% - Accent3 2 2 3 2 2" xfId="3124" xr:uid="{BE50B939-65CC-4548-91B2-10AD87C79CAA}"/>
    <cellStyle name="20% - Accent3 2 2 3 3" xfId="2295" xr:uid="{4CD3C967-C1FD-412B-A449-08186E5E2179}"/>
    <cellStyle name="20% - Accent3 2 2 4" xfId="1050" xr:uid="{9A2DDC6D-C9D7-4C5B-B495-4C0B6008E291}"/>
    <cellStyle name="20% - Accent3 2 2 4 2" xfId="2708" xr:uid="{2B08E323-87E2-4A9A-8118-17B19A4E9340}"/>
    <cellStyle name="20% - Accent3 2 2 5" xfId="1879" xr:uid="{0AE076AC-A7D6-46BA-BFE4-5A8D9CDD5527}"/>
    <cellStyle name="20% - Accent3 2 3" xfId="21" xr:uid="{00000000-0005-0000-0000-000026000000}"/>
    <cellStyle name="20% - Accent3 2 3 2" xfId="598" xr:uid="{00000000-0005-0000-0000-000027000000}"/>
    <cellStyle name="20% - Accent3 2 3 2 2" xfId="1468" xr:uid="{5D349C03-6917-4534-8717-BD3CC67AFAB3}"/>
    <cellStyle name="20% - Accent3 2 3 2 2 2" xfId="3126" xr:uid="{053E959B-07BA-4CFC-BF38-296419D83BD1}"/>
    <cellStyle name="20% - Accent3 2 3 2 3" xfId="2297" xr:uid="{A5C78311-7DDA-4294-9704-2F23D60AB8AE}"/>
    <cellStyle name="20% - Accent3 2 3 3" xfId="1052" xr:uid="{E152A8B1-16B6-498C-A32B-33101B16F3E7}"/>
    <cellStyle name="20% - Accent3 2 3 3 2" xfId="2710" xr:uid="{CAF6A49B-6DE6-4956-BE93-23B210B8A15C}"/>
    <cellStyle name="20% - Accent3 2 3 4" xfId="1881" xr:uid="{D809715C-6EA2-493C-9877-A6296C26570D}"/>
    <cellStyle name="20% - Accent3 2 4" xfId="595" xr:uid="{00000000-0005-0000-0000-000028000000}"/>
    <cellStyle name="20% - Accent3 2 4 2" xfId="1465" xr:uid="{EBF99B6A-C684-400F-85D9-5C7BFAEA6BB8}"/>
    <cellStyle name="20% - Accent3 2 4 2 2" xfId="3123" xr:uid="{0A0AE085-BBCE-4943-8FD5-96C849858FC0}"/>
    <cellStyle name="20% - Accent3 2 4 3" xfId="2294" xr:uid="{835A0D50-21C4-4F17-A5FD-FE42407975B7}"/>
    <cellStyle name="20% - Accent3 2 5" xfId="1049" xr:uid="{8EDAB7B6-309A-428E-B4AA-C2BF69DB7812}"/>
    <cellStyle name="20% - Accent3 2 5 2" xfId="2707" xr:uid="{48635F5F-8554-4055-B72F-483864C96431}"/>
    <cellStyle name="20% - Accent3 2 6" xfId="1878" xr:uid="{20F3AC0E-41C7-4BCE-A353-BC8100B427DA}"/>
    <cellStyle name="20% - Accent3 3" xfId="22" xr:uid="{00000000-0005-0000-0000-000029000000}"/>
    <cellStyle name="20% - Accent3 3 2" xfId="23" xr:uid="{00000000-0005-0000-0000-00002A000000}"/>
    <cellStyle name="20% - Accent3 3 2 2" xfId="600" xr:uid="{00000000-0005-0000-0000-00002B000000}"/>
    <cellStyle name="20% - Accent3 3 2 2 2" xfId="1470" xr:uid="{7B8702F3-0348-44DD-80C3-8B6067CAE122}"/>
    <cellStyle name="20% - Accent3 3 2 2 2 2" xfId="3128" xr:uid="{19F093A4-BD54-456D-9959-6165BF76E12C}"/>
    <cellStyle name="20% - Accent3 3 2 2 3" xfId="2299" xr:uid="{97F30AAE-12F1-4761-9DEA-1CCE4CA551E4}"/>
    <cellStyle name="20% - Accent3 3 2 3" xfId="1054" xr:uid="{2C17F992-04D4-43C8-994A-E2AC33E19B0E}"/>
    <cellStyle name="20% - Accent3 3 2 3 2" xfId="2712" xr:uid="{90A983C9-1FBF-4AF6-BF6E-53FF86E0BD56}"/>
    <cellStyle name="20% - Accent3 3 2 4" xfId="1883" xr:uid="{F8927820-89BC-4B58-8CDB-FA5826B40C71}"/>
    <cellStyle name="20% - Accent3 3 3" xfId="599" xr:uid="{00000000-0005-0000-0000-00002C000000}"/>
    <cellStyle name="20% - Accent3 3 3 2" xfId="1469" xr:uid="{42000DC2-2FF1-422B-9091-32646CCE0FFB}"/>
    <cellStyle name="20% - Accent3 3 3 2 2" xfId="3127" xr:uid="{072110D4-8269-4AF5-8062-D7D15E7D4EA7}"/>
    <cellStyle name="20% - Accent3 3 3 3" xfId="2298" xr:uid="{C5F6A8DD-2D8A-42AC-8C4D-29D93D45DEC0}"/>
    <cellStyle name="20% - Accent3 3 4" xfId="1053" xr:uid="{413E8E81-64E0-4DBF-982C-DC3050D908BE}"/>
    <cellStyle name="20% - Accent3 3 4 2" xfId="2711" xr:uid="{C427344D-CE5D-4E34-A58B-982CE6254F4F}"/>
    <cellStyle name="20% - Accent3 3 5" xfId="1882" xr:uid="{15A9251E-E934-4EE7-8995-386507111E04}"/>
    <cellStyle name="20% - Accent3 4" xfId="24" xr:uid="{00000000-0005-0000-0000-00002D000000}"/>
    <cellStyle name="20% - Accent3 4 2" xfId="601" xr:uid="{00000000-0005-0000-0000-00002E000000}"/>
    <cellStyle name="20% - Accent3 4 2 2" xfId="1471" xr:uid="{EC721117-0C6B-41DC-B73C-754C08297116}"/>
    <cellStyle name="20% - Accent3 4 2 2 2" xfId="3129" xr:uid="{2F8E7932-6B19-47E2-850D-5754C4A2AA39}"/>
    <cellStyle name="20% - Accent3 4 2 3" xfId="2300" xr:uid="{E1BF5795-81F3-4018-BB53-96BF27BAA2F7}"/>
    <cellStyle name="20% - Accent3 4 3" xfId="1055" xr:uid="{55EE5A7D-63E9-4647-B56E-801441534DC5}"/>
    <cellStyle name="20% - Accent3 4 3 2" xfId="2713" xr:uid="{D5FCB632-68ED-4AB0-99B8-BBA7360FFE96}"/>
    <cellStyle name="20% - Accent3 4 4" xfId="1884" xr:uid="{DBEB7DF7-A664-48E7-8245-C4CB0FA70623}"/>
    <cellStyle name="20% - Accent3 5" xfId="594" xr:uid="{00000000-0005-0000-0000-00002F000000}"/>
    <cellStyle name="20% - Accent3 5 2" xfId="1464" xr:uid="{F7D66803-2643-4FAD-8F8A-808DC96B699D}"/>
    <cellStyle name="20% - Accent3 5 2 2" xfId="3122" xr:uid="{A000EBDD-4D69-415E-919F-87569A98A977}"/>
    <cellStyle name="20% - Accent3 5 3" xfId="2293" xr:uid="{1E0C0F2F-2199-45E2-B4D3-5B89A7D5399B}"/>
    <cellStyle name="20% - Accent3 6" xfId="1048" xr:uid="{D218CABB-14C7-4119-B648-59BA99CCA112}"/>
    <cellStyle name="20% - Accent3 6 2" xfId="2706" xr:uid="{2AD9A04E-DB95-4540-85F2-0BA44EEA2BDA}"/>
    <cellStyle name="20% - Accent3 7" xfId="1877" xr:uid="{434BADF3-16FA-4158-B7A6-6E78CDB9EDC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AC460F02-453A-42E8-BCD9-4F9DDD4A3081}"/>
    <cellStyle name="20% - Accent4 2 2 2 2 2 2" xfId="3133" xr:uid="{F1A640A0-ED56-494B-8CAB-B6A3C36933DF}"/>
    <cellStyle name="20% - Accent4 2 2 2 2 3" xfId="2304" xr:uid="{AF9D2E0E-51E8-459D-A2C4-AECECE791737}"/>
    <cellStyle name="20% - Accent4 2 2 2 3" xfId="1059" xr:uid="{F41E9FAE-3C5B-40D1-9748-1E5CD70EDA17}"/>
    <cellStyle name="20% - Accent4 2 2 2 3 2" xfId="2717" xr:uid="{D50A68BB-5264-41ED-A9B6-3CCAAF6F1229}"/>
    <cellStyle name="20% - Accent4 2 2 2 4" xfId="1888" xr:uid="{4D9E9CAE-9659-4ECE-A88A-E4C6F2155393}"/>
    <cellStyle name="20% - Accent4 2 2 3" xfId="604" xr:uid="{00000000-0005-0000-0000-000035000000}"/>
    <cellStyle name="20% - Accent4 2 2 3 2" xfId="1474" xr:uid="{AA5F0572-747B-4A79-9590-D4720CA43207}"/>
    <cellStyle name="20% - Accent4 2 2 3 2 2" xfId="3132" xr:uid="{BB04A070-1061-4C32-85E9-2657FBEE78D7}"/>
    <cellStyle name="20% - Accent4 2 2 3 3" xfId="2303" xr:uid="{E8F7CD21-AD15-469E-88D2-55EC468ACFB7}"/>
    <cellStyle name="20% - Accent4 2 2 4" xfId="1058" xr:uid="{353A2638-14B8-40A1-A518-F71B45EA7065}"/>
    <cellStyle name="20% - Accent4 2 2 4 2" xfId="2716" xr:uid="{E97A6714-3386-4818-AEB0-7D2CBA62A839}"/>
    <cellStyle name="20% - Accent4 2 2 5" xfId="1887" xr:uid="{2EBC942B-3B94-413F-8428-A29D475DD4EE}"/>
    <cellStyle name="20% - Accent4 2 3" xfId="29" xr:uid="{00000000-0005-0000-0000-000036000000}"/>
    <cellStyle name="20% - Accent4 2 3 2" xfId="606" xr:uid="{00000000-0005-0000-0000-000037000000}"/>
    <cellStyle name="20% - Accent4 2 3 2 2" xfId="1476" xr:uid="{546D2EAB-22A5-4778-B429-E2C1331B9D05}"/>
    <cellStyle name="20% - Accent4 2 3 2 2 2" xfId="3134" xr:uid="{B5B1D92C-40E1-48D3-84D3-5E63D1AAC2D8}"/>
    <cellStyle name="20% - Accent4 2 3 2 3" xfId="2305" xr:uid="{0CCFED56-504C-4C84-8125-2A9C60D7EA80}"/>
    <cellStyle name="20% - Accent4 2 3 3" xfId="1060" xr:uid="{23F75216-2B88-4FB9-8043-27B5840F4F41}"/>
    <cellStyle name="20% - Accent4 2 3 3 2" xfId="2718" xr:uid="{75A7825A-4E8F-4B91-BA59-780629B60031}"/>
    <cellStyle name="20% - Accent4 2 3 4" xfId="1889" xr:uid="{306B2960-C94C-4225-B623-71054EBAD3DF}"/>
    <cellStyle name="20% - Accent4 2 4" xfId="603" xr:uid="{00000000-0005-0000-0000-000038000000}"/>
    <cellStyle name="20% - Accent4 2 4 2" xfId="1473" xr:uid="{DCE75143-5384-456C-9137-D1E1DDC6774C}"/>
    <cellStyle name="20% - Accent4 2 4 2 2" xfId="3131" xr:uid="{BF11E553-FAD8-4578-AAC2-3F9D48C42F18}"/>
    <cellStyle name="20% - Accent4 2 4 3" xfId="2302" xr:uid="{04A9ED66-FCAA-4238-9634-E18F01DCE743}"/>
    <cellStyle name="20% - Accent4 2 5" xfId="1057" xr:uid="{4B478C1E-2B1D-48CA-A402-E3D989249889}"/>
    <cellStyle name="20% - Accent4 2 5 2" xfId="2715" xr:uid="{9E1124F2-DA4D-40CD-989C-F197204E0663}"/>
    <cellStyle name="20% - Accent4 2 6" xfId="1886" xr:uid="{B7CEBBD1-01AC-4AB5-B0EC-391DDA0D5285}"/>
    <cellStyle name="20% - Accent4 3" xfId="30" xr:uid="{00000000-0005-0000-0000-000039000000}"/>
    <cellStyle name="20% - Accent4 3 2" xfId="31" xr:uid="{00000000-0005-0000-0000-00003A000000}"/>
    <cellStyle name="20% - Accent4 3 2 2" xfId="608" xr:uid="{00000000-0005-0000-0000-00003B000000}"/>
    <cellStyle name="20% - Accent4 3 2 2 2" xfId="1478" xr:uid="{ECEBB5CD-1835-4C2E-96ED-6E6876A44689}"/>
    <cellStyle name="20% - Accent4 3 2 2 2 2" xfId="3136" xr:uid="{189633D5-E4E7-4D0F-8F53-3308B2D29449}"/>
    <cellStyle name="20% - Accent4 3 2 2 3" xfId="2307" xr:uid="{4F2EF9C1-5BF3-4BCC-8D40-677B95A481FE}"/>
    <cellStyle name="20% - Accent4 3 2 3" xfId="1062" xr:uid="{12490A64-E8ED-4C70-B7C6-105C9180A074}"/>
    <cellStyle name="20% - Accent4 3 2 3 2" xfId="2720" xr:uid="{545A28D0-0045-48E7-B413-3552EA53C3ED}"/>
    <cellStyle name="20% - Accent4 3 2 4" xfId="1891" xr:uid="{165625A3-0E65-4A1D-B572-7D41C3D1ED78}"/>
    <cellStyle name="20% - Accent4 3 3" xfId="607" xr:uid="{00000000-0005-0000-0000-00003C000000}"/>
    <cellStyle name="20% - Accent4 3 3 2" xfId="1477" xr:uid="{DAE0B939-35C4-4F8A-B8BD-5664ECAB06AD}"/>
    <cellStyle name="20% - Accent4 3 3 2 2" xfId="3135" xr:uid="{391E5289-9738-4842-88E6-FDF067F6BD03}"/>
    <cellStyle name="20% - Accent4 3 3 3" xfId="2306" xr:uid="{94469FF0-E173-4730-B62A-01B326D4AA6C}"/>
    <cellStyle name="20% - Accent4 3 4" xfId="1061" xr:uid="{80142B1E-B61C-46A0-97E6-82A6E202FDE1}"/>
    <cellStyle name="20% - Accent4 3 4 2" xfId="2719" xr:uid="{AF7C1358-63A3-40DC-B04E-50CB4A2F7013}"/>
    <cellStyle name="20% - Accent4 3 5" xfId="1890" xr:uid="{A0AE7630-6825-4E7A-9752-1333340F138C}"/>
    <cellStyle name="20% - Accent4 4" xfId="32" xr:uid="{00000000-0005-0000-0000-00003D000000}"/>
    <cellStyle name="20% - Accent4 4 2" xfId="609" xr:uid="{00000000-0005-0000-0000-00003E000000}"/>
    <cellStyle name="20% - Accent4 4 2 2" xfId="1479" xr:uid="{A6D8C903-8AF7-45F4-ABDD-AEBA9697E78F}"/>
    <cellStyle name="20% - Accent4 4 2 2 2" xfId="3137" xr:uid="{A0CD0085-682B-4C58-86C6-CCD06DB8613B}"/>
    <cellStyle name="20% - Accent4 4 2 3" xfId="2308" xr:uid="{41186CA7-B098-431A-A915-18B86ED22D6B}"/>
    <cellStyle name="20% - Accent4 4 3" xfId="1063" xr:uid="{CD4CC5FC-E7F5-41EE-9F59-0D8C38775B9B}"/>
    <cellStyle name="20% - Accent4 4 3 2" xfId="2721" xr:uid="{2389F04B-1E8F-488B-9E98-2D0AFFBD9669}"/>
    <cellStyle name="20% - Accent4 4 4" xfId="1892" xr:uid="{98FE527A-B683-40B5-B0D0-921BD63C8CC7}"/>
    <cellStyle name="20% - Accent4 5" xfId="602" xr:uid="{00000000-0005-0000-0000-00003F000000}"/>
    <cellStyle name="20% - Accent4 5 2" xfId="1472" xr:uid="{FA879869-1807-4552-B2FE-D52C326DC372}"/>
    <cellStyle name="20% - Accent4 5 2 2" xfId="3130" xr:uid="{1E47FBB4-3104-484E-BDCD-6811243EEC6D}"/>
    <cellStyle name="20% - Accent4 5 3" xfId="2301" xr:uid="{7DCE2E77-4AA5-4BC8-A01B-235A68C256B5}"/>
    <cellStyle name="20% - Accent4 6" xfId="1056" xr:uid="{EF90DF42-FF45-4D55-B48B-F66E06857A00}"/>
    <cellStyle name="20% - Accent4 6 2" xfId="2714" xr:uid="{F5D925F9-E540-4A88-8743-B35BEC68D3E1}"/>
    <cellStyle name="20% - Accent4 7" xfId="1885" xr:uid="{2666C08B-B465-4840-932D-902A3A05C38A}"/>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37E9400D-AF87-4A30-99A7-92147F19669C}"/>
    <cellStyle name="20% - Accent5 2 2 2 2 2 2" xfId="3141" xr:uid="{124B3F38-5636-48B7-BCBC-67CFF032CB26}"/>
    <cellStyle name="20% - Accent5 2 2 2 2 3" xfId="2312" xr:uid="{A4CBB54D-8762-4916-A194-16D8562C6AF8}"/>
    <cellStyle name="20% - Accent5 2 2 2 3" xfId="1067" xr:uid="{301F20CE-9515-4E26-A596-13E6C8DFD520}"/>
    <cellStyle name="20% - Accent5 2 2 2 3 2" xfId="2725" xr:uid="{DA08FAEA-727A-4C86-9A6D-79427D99A64B}"/>
    <cellStyle name="20% - Accent5 2 2 2 4" xfId="1896" xr:uid="{3CD290B2-E051-41B9-B17F-92ED48F4F182}"/>
    <cellStyle name="20% - Accent5 2 2 3" xfId="612" xr:uid="{00000000-0005-0000-0000-000045000000}"/>
    <cellStyle name="20% - Accent5 2 2 3 2" xfId="1482" xr:uid="{59F74537-E695-40AB-B48A-1D3495F604C2}"/>
    <cellStyle name="20% - Accent5 2 2 3 2 2" xfId="3140" xr:uid="{5D4544EE-7314-4FF5-BDF3-888E145594CE}"/>
    <cellStyle name="20% - Accent5 2 2 3 3" xfId="2311" xr:uid="{4AF47CA2-EC31-4A69-B589-5FDE0894C6B5}"/>
    <cellStyle name="20% - Accent5 2 2 4" xfId="1066" xr:uid="{83730367-93FA-47F2-ACA6-EBFF3FE427E4}"/>
    <cellStyle name="20% - Accent5 2 2 4 2" xfId="2724" xr:uid="{2FBC1FC3-46BD-428C-BC58-0B809CF613BD}"/>
    <cellStyle name="20% - Accent5 2 2 5" xfId="1895" xr:uid="{69ED6795-798D-47EA-A5AB-3F2D4DEAC2A0}"/>
    <cellStyle name="20% - Accent5 2 3" xfId="37" xr:uid="{00000000-0005-0000-0000-000046000000}"/>
    <cellStyle name="20% - Accent5 2 3 2" xfId="614" xr:uid="{00000000-0005-0000-0000-000047000000}"/>
    <cellStyle name="20% - Accent5 2 3 2 2" xfId="1484" xr:uid="{E2C5E860-2211-42C9-B0AF-7283AB55B9EB}"/>
    <cellStyle name="20% - Accent5 2 3 2 2 2" xfId="3142" xr:uid="{60F144CF-CABC-437F-BBA3-83DBE46A21F8}"/>
    <cellStyle name="20% - Accent5 2 3 2 3" xfId="2313" xr:uid="{FBC6B35E-4D30-40DE-8EC0-A6DFAECD953E}"/>
    <cellStyle name="20% - Accent5 2 3 3" xfId="1068" xr:uid="{19CF051E-9761-4FB9-BF9C-F510EFAE83CC}"/>
    <cellStyle name="20% - Accent5 2 3 3 2" xfId="2726" xr:uid="{F7D8A5AD-3DE1-4440-BDB3-56C7E66A6656}"/>
    <cellStyle name="20% - Accent5 2 3 4" xfId="1897" xr:uid="{F7005AB6-705F-4EE7-A4DD-47AEF1FCA962}"/>
    <cellStyle name="20% - Accent5 2 4" xfId="611" xr:uid="{00000000-0005-0000-0000-000048000000}"/>
    <cellStyle name="20% - Accent5 2 4 2" xfId="1481" xr:uid="{9CDBEE5D-560F-42B7-81B2-DC2084B8F48D}"/>
    <cellStyle name="20% - Accent5 2 4 2 2" xfId="3139" xr:uid="{250FA40F-6E34-4D0A-935A-919E61BB93CD}"/>
    <cellStyle name="20% - Accent5 2 4 3" xfId="2310" xr:uid="{8CC9545B-6038-48BB-95D5-75010A214A23}"/>
    <cellStyle name="20% - Accent5 2 5" xfId="1065" xr:uid="{5200BDB7-4337-4610-AB49-7B7D3CE80089}"/>
    <cellStyle name="20% - Accent5 2 5 2" xfId="2723" xr:uid="{C608BB64-E8BA-4B30-A19D-BC5127308F51}"/>
    <cellStyle name="20% - Accent5 2 6" xfId="1894" xr:uid="{32CEAC93-9F1D-4AD3-AB0D-C51A28C54317}"/>
    <cellStyle name="20% - Accent5 3" xfId="38" xr:uid="{00000000-0005-0000-0000-000049000000}"/>
    <cellStyle name="20% - Accent5 3 2" xfId="39" xr:uid="{00000000-0005-0000-0000-00004A000000}"/>
    <cellStyle name="20% - Accent5 3 2 2" xfId="616" xr:uid="{00000000-0005-0000-0000-00004B000000}"/>
    <cellStyle name="20% - Accent5 3 2 2 2" xfId="1486" xr:uid="{48D73E9A-E52A-4E79-B2AA-98A609D1EBC2}"/>
    <cellStyle name="20% - Accent5 3 2 2 2 2" xfId="3144" xr:uid="{8408B687-8102-43D9-9B73-B005D34DA7EF}"/>
    <cellStyle name="20% - Accent5 3 2 2 3" xfId="2315" xr:uid="{FD3E370C-FFE5-4EDE-B02C-14BA04A6F712}"/>
    <cellStyle name="20% - Accent5 3 2 3" xfId="1070" xr:uid="{2D75A5E9-B5B7-424D-8B3F-9D2AAA402092}"/>
    <cellStyle name="20% - Accent5 3 2 3 2" xfId="2728" xr:uid="{882F3446-6484-4BB5-8FAF-E9CEB94C0824}"/>
    <cellStyle name="20% - Accent5 3 2 4" xfId="1899" xr:uid="{828CC867-A8CA-487D-8605-5D4B5EF7F633}"/>
    <cellStyle name="20% - Accent5 3 3" xfId="615" xr:uid="{00000000-0005-0000-0000-00004C000000}"/>
    <cellStyle name="20% - Accent5 3 3 2" xfId="1485" xr:uid="{789EA30D-F6C0-433E-AC76-71DCD14CEB2F}"/>
    <cellStyle name="20% - Accent5 3 3 2 2" xfId="3143" xr:uid="{4F1279FD-9807-41D1-BADC-7BDE0440E566}"/>
    <cellStyle name="20% - Accent5 3 3 3" xfId="2314" xr:uid="{F5414145-DA85-4D6E-A1F0-AC00D3606918}"/>
    <cellStyle name="20% - Accent5 3 4" xfId="1069" xr:uid="{9A6ED4CA-DE0E-42C4-96AB-AA81A5FA7E0E}"/>
    <cellStyle name="20% - Accent5 3 4 2" xfId="2727" xr:uid="{5580AE2F-8923-40D8-9C27-4F1CEC263533}"/>
    <cellStyle name="20% - Accent5 3 5" xfId="1898" xr:uid="{4FF056DB-13C3-4CE2-9EF2-4405E92359EB}"/>
    <cellStyle name="20% - Accent5 4" xfId="40" xr:uid="{00000000-0005-0000-0000-00004D000000}"/>
    <cellStyle name="20% - Accent5 4 2" xfId="617" xr:uid="{00000000-0005-0000-0000-00004E000000}"/>
    <cellStyle name="20% - Accent5 4 2 2" xfId="1487" xr:uid="{64ACD075-9EEC-493D-8BAC-5E34A3D829B7}"/>
    <cellStyle name="20% - Accent5 4 2 2 2" xfId="3145" xr:uid="{91748132-7EF5-4BBB-B55D-D86EE46632A5}"/>
    <cellStyle name="20% - Accent5 4 2 3" xfId="2316" xr:uid="{86DEB2F7-292B-45A2-A5FF-E0E377AB6314}"/>
    <cellStyle name="20% - Accent5 4 3" xfId="1071" xr:uid="{798E8618-CE97-4A41-AF8E-4E394C40BED3}"/>
    <cellStyle name="20% - Accent5 4 3 2" xfId="2729" xr:uid="{147249B9-0584-438E-8627-458D351588A0}"/>
    <cellStyle name="20% - Accent5 4 4" xfId="1900" xr:uid="{A6FB6B29-E7F3-4776-B201-42FFA9F8791C}"/>
    <cellStyle name="20% - Accent5 5" xfId="610" xr:uid="{00000000-0005-0000-0000-00004F000000}"/>
    <cellStyle name="20% - Accent5 5 2" xfId="1480" xr:uid="{193744FB-9DDD-426B-B1CE-8A4FB2FBA99F}"/>
    <cellStyle name="20% - Accent5 5 2 2" xfId="3138" xr:uid="{A1F5FE0B-FC03-4EF5-BE3B-FEAF51E6E6E9}"/>
    <cellStyle name="20% - Accent5 5 3" xfId="2309" xr:uid="{0B9C7E1B-7DEF-4516-90B1-00B5F829A839}"/>
    <cellStyle name="20% - Accent5 6" xfId="1064" xr:uid="{D2100970-7197-42AC-BF4A-C1C8BCD1E653}"/>
    <cellStyle name="20% - Accent5 6 2" xfId="2722" xr:uid="{67920121-6296-4AF3-A361-DFBDCBB36F46}"/>
    <cellStyle name="20% - Accent5 7" xfId="1893" xr:uid="{8F7AF71B-0BC2-4DF5-9A6F-EC670A8BAB99}"/>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CD5955B3-8153-4A1D-9572-72CD3A80ABA0}"/>
    <cellStyle name="20% - Accent6 2 2 2 2 2 2" xfId="3149" xr:uid="{E699F074-762C-4890-899E-42BA0C49E061}"/>
    <cellStyle name="20% - Accent6 2 2 2 2 3" xfId="2320" xr:uid="{E951D134-F806-45FB-A863-9F82D494634D}"/>
    <cellStyle name="20% - Accent6 2 2 2 3" xfId="1075" xr:uid="{9782243C-6A81-43A2-BF38-13CF354BCA18}"/>
    <cellStyle name="20% - Accent6 2 2 2 3 2" xfId="2733" xr:uid="{F96154B9-C690-41C3-A6C0-E21E56854200}"/>
    <cellStyle name="20% - Accent6 2 2 2 4" xfId="1904" xr:uid="{C545677F-81D0-40AB-8CCE-D6038812B4B8}"/>
    <cellStyle name="20% - Accent6 2 2 3" xfId="620" xr:uid="{00000000-0005-0000-0000-000055000000}"/>
    <cellStyle name="20% - Accent6 2 2 3 2" xfId="1490" xr:uid="{F169A7D2-2D0D-4041-A226-DB6C7FB0A1B9}"/>
    <cellStyle name="20% - Accent6 2 2 3 2 2" xfId="3148" xr:uid="{9CCE1F8D-A847-4F1A-999F-369B7661C050}"/>
    <cellStyle name="20% - Accent6 2 2 3 3" xfId="2319" xr:uid="{BDB940FE-FF40-41CF-B624-F1F37405CE12}"/>
    <cellStyle name="20% - Accent6 2 2 4" xfId="1074" xr:uid="{5710F4E6-D29E-4FFF-93D2-DFBE0CEFBFC5}"/>
    <cellStyle name="20% - Accent6 2 2 4 2" xfId="2732" xr:uid="{F3066FB7-3328-4A84-80E2-FFB9F76CFE47}"/>
    <cellStyle name="20% - Accent6 2 2 5" xfId="1903" xr:uid="{5EA04A77-4FE4-48D2-88C6-04D1F41072A8}"/>
    <cellStyle name="20% - Accent6 2 3" xfId="45" xr:uid="{00000000-0005-0000-0000-000056000000}"/>
    <cellStyle name="20% - Accent6 2 3 2" xfId="622" xr:uid="{00000000-0005-0000-0000-000057000000}"/>
    <cellStyle name="20% - Accent6 2 3 2 2" xfId="1492" xr:uid="{00F275DC-7769-4CF1-8FA9-6BD05202F1B3}"/>
    <cellStyle name="20% - Accent6 2 3 2 2 2" xfId="3150" xr:uid="{93F59468-1655-4F1D-8858-4F87069190F7}"/>
    <cellStyle name="20% - Accent6 2 3 2 3" xfId="2321" xr:uid="{E33C4CFA-2785-40CC-AC60-56668CDEF7EF}"/>
    <cellStyle name="20% - Accent6 2 3 3" xfId="1076" xr:uid="{2B4DB9C6-CEDD-44AC-A795-A7F91B59BF83}"/>
    <cellStyle name="20% - Accent6 2 3 3 2" xfId="2734" xr:uid="{E4573FD2-2F2E-4424-A0B6-E6133BFEA8D6}"/>
    <cellStyle name="20% - Accent6 2 3 4" xfId="1905" xr:uid="{DF841B47-C030-4D62-AAE0-59BE74B64C17}"/>
    <cellStyle name="20% - Accent6 2 4" xfId="619" xr:uid="{00000000-0005-0000-0000-000058000000}"/>
    <cellStyle name="20% - Accent6 2 4 2" xfId="1489" xr:uid="{8E3250BB-8F75-4A7D-BC31-4066BC222E09}"/>
    <cellStyle name="20% - Accent6 2 4 2 2" xfId="3147" xr:uid="{194D1F98-D3DD-474A-99DB-7BC8AF48B87C}"/>
    <cellStyle name="20% - Accent6 2 4 3" xfId="2318" xr:uid="{BE37D899-52D4-43BB-A743-FA18259C7D7C}"/>
    <cellStyle name="20% - Accent6 2 5" xfId="1073" xr:uid="{A7991F3A-3971-4975-B3FE-8A7F86AB4EA7}"/>
    <cellStyle name="20% - Accent6 2 5 2" xfId="2731" xr:uid="{77D2CC53-C10C-419C-AE82-1934F449BD53}"/>
    <cellStyle name="20% - Accent6 2 6" xfId="1902" xr:uid="{42F386DC-8B45-41DF-9EAA-86B32DB890B1}"/>
    <cellStyle name="20% - Accent6 3" xfId="46" xr:uid="{00000000-0005-0000-0000-000059000000}"/>
    <cellStyle name="20% - Accent6 3 2" xfId="47" xr:uid="{00000000-0005-0000-0000-00005A000000}"/>
    <cellStyle name="20% - Accent6 3 2 2" xfId="624" xr:uid="{00000000-0005-0000-0000-00005B000000}"/>
    <cellStyle name="20% - Accent6 3 2 2 2" xfId="1494" xr:uid="{3D851321-CF19-4014-B349-103E1A665595}"/>
    <cellStyle name="20% - Accent6 3 2 2 2 2" xfId="3152" xr:uid="{793CE719-FC42-4E5F-88FA-EC41E7F1CC2D}"/>
    <cellStyle name="20% - Accent6 3 2 2 3" xfId="2323" xr:uid="{F4017791-7E70-4BBB-882F-46EEB9A25A1D}"/>
    <cellStyle name="20% - Accent6 3 2 3" xfId="1078" xr:uid="{F4E86373-1F2D-4978-9CEE-4B238CB4CB18}"/>
    <cellStyle name="20% - Accent6 3 2 3 2" xfId="2736" xr:uid="{4EE186EA-A561-4FFB-9AA9-CA738A18A13A}"/>
    <cellStyle name="20% - Accent6 3 2 4" xfId="1907" xr:uid="{151FC941-9396-4054-8A53-64FDD3B36934}"/>
    <cellStyle name="20% - Accent6 3 3" xfId="623" xr:uid="{00000000-0005-0000-0000-00005C000000}"/>
    <cellStyle name="20% - Accent6 3 3 2" xfId="1493" xr:uid="{CF5184EF-5BEC-42C3-A758-9D32B8262300}"/>
    <cellStyle name="20% - Accent6 3 3 2 2" xfId="3151" xr:uid="{0086E07F-72C1-4910-A5DD-9A0F6FD644FC}"/>
    <cellStyle name="20% - Accent6 3 3 3" xfId="2322" xr:uid="{2E3C1A68-EB0B-4263-B50F-0E87B7FBD67E}"/>
    <cellStyle name="20% - Accent6 3 4" xfId="1077" xr:uid="{8228009D-ECF0-466B-8B72-5B36D51C4A35}"/>
    <cellStyle name="20% - Accent6 3 4 2" xfId="2735" xr:uid="{035C6212-F846-47EA-8753-F7E68B645560}"/>
    <cellStyle name="20% - Accent6 3 5" xfId="1906" xr:uid="{F92FD287-397A-4315-955E-A3F70F24681D}"/>
    <cellStyle name="20% - Accent6 4" xfId="48" xr:uid="{00000000-0005-0000-0000-00005D000000}"/>
    <cellStyle name="20% - Accent6 4 2" xfId="625" xr:uid="{00000000-0005-0000-0000-00005E000000}"/>
    <cellStyle name="20% - Accent6 4 2 2" xfId="1495" xr:uid="{FDD53E90-D048-40EB-9171-AD33436A14FE}"/>
    <cellStyle name="20% - Accent6 4 2 2 2" xfId="3153" xr:uid="{E46A25B9-7C2A-4C17-BD94-DC55ADAFABED}"/>
    <cellStyle name="20% - Accent6 4 2 3" xfId="2324" xr:uid="{816C6E30-0E58-4323-913A-28D188341A5E}"/>
    <cellStyle name="20% - Accent6 4 3" xfId="1079" xr:uid="{A19CD9F3-5886-49DA-980E-AC4C6A425EEC}"/>
    <cellStyle name="20% - Accent6 4 3 2" xfId="2737" xr:uid="{87104BD0-5005-451E-9B2A-514D3F309426}"/>
    <cellStyle name="20% - Accent6 4 4" xfId="1908" xr:uid="{29520109-049E-4ACC-A0BA-2C2A084D7253}"/>
    <cellStyle name="20% - Accent6 5" xfId="618" xr:uid="{00000000-0005-0000-0000-00005F000000}"/>
    <cellStyle name="20% - Accent6 5 2" xfId="1488" xr:uid="{16BE9F2D-E95B-4231-87C7-BD4274B5C7B9}"/>
    <cellStyle name="20% - Accent6 5 2 2" xfId="3146" xr:uid="{5805ECB9-DAB2-47C5-9FDF-E566B489989F}"/>
    <cellStyle name="20% - Accent6 5 3" xfId="2317" xr:uid="{1D95F704-B082-4933-BFBB-E5B7D429CAFA}"/>
    <cellStyle name="20% - Accent6 6" xfId="1072" xr:uid="{4AE7F4CF-E76C-4406-A0DC-3A30E60760AF}"/>
    <cellStyle name="20% - Accent6 6 2" xfId="2730" xr:uid="{02CA427C-3A81-4680-ACEB-49CDED367402}"/>
    <cellStyle name="20% - Accent6 7" xfId="1901" xr:uid="{35D32481-24A7-44E1-A314-523EFA163379}"/>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EB0C9A91-7358-4C7E-B114-F3C2643813CF}"/>
    <cellStyle name="40% - Accent1 2 2 2 2 2 2" xfId="3157" xr:uid="{3EE75409-4042-4155-B776-FDB523B01891}"/>
    <cellStyle name="40% - Accent1 2 2 2 2 3" xfId="2328" xr:uid="{CFF000E9-01EB-4CA5-9C96-F3C42F92F915}"/>
    <cellStyle name="40% - Accent1 2 2 2 3" xfId="1083" xr:uid="{442399E2-D155-4A52-BE65-DA0E38B61129}"/>
    <cellStyle name="40% - Accent1 2 2 2 3 2" xfId="2741" xr:uid="{00842724-B1FE-46AD-8836-9EEC15AD4BE5}"/>
    <cellStyle name="40% - Accent1 2 2 2 4" xfId="1912" xr:uid="{BB413E83-27CF-463F-A8E3-2F076E17EB3A}"/>
    <cellStyle name="40% - Accent1 2 2 3" xfId="628" xr:uid="{00000000-0005-0000-0000-000065000000}"/>
    <cellStyle name="40% - Accent1 2 2 3 2" xfId="1498" xr:uid="{85DA3E9E-F71C-4FC3-9099-AF85433E9739}"/>
    <cellStyle name="40% - Accent1 2 2 3 2 2" xfId="3156" xr:uid="{6017F0E4-A0B3-4CD2-BB42-BF3C0B5D7D36}"/>
    <cellStyle name="40% - Accent1 2 2 3 3" xfId="2327" xr:uid="{1C8F122F-CAA1-4A74-B633-CEDF94E54E43}"/>
    <cellStyle name="40% - Accent1 2 2 4" xfId="1082" xr:uid="{AEDE2D19-C3B7-475F-A8A7-847507C7825C}"/>
    <cellStyle name="40% - Accent1 2 2 4 2" xfId="2740" xr:uid="{2BCBA080-3C8F-4C44-A043-544F203AA8FB}"/>
    <cellStyle name="40% - Accent1 2 2 5" xfId="1911" xr:uid="{002037B2-1F49-4E61-B04D-C861D1DAEE1F}"/>
    <cellStyle name="40% - Accent1 2 3" xfId="53" xr:uid="{00000000-0005-0000-0000-000066000000}"/>
    <cellStyle name="40% - Accent1 2 3 2" xfId="630" xr:uid="{00000000-0005-0000-0000-000067000000}"/>
    <cellStyle name="40% - Accent1 2 3 2 2" xfId="1500" xr:uid="{3CA0633B-59F4-4834-84A8-1815644F3E92}"/>
    <cellStyle name="40% - Accent1 2 3 2 2 2" xfId="3158" xr:uid="{4957AFB5-711F-41B6-8B88-4F969095DDBA}"/>
    <cellStyle name="40% - Accent1 2 3 2 3" xfId="2329" xr:uid="{26199D70-D925-4309-AF09-0430DB56BC33}"/>
    <cellStyle name="40% - Accent1 2 3 3" xfId="1084" xr:uid="{19541C2C-562C-4023-A983-731228465663}"/>
    <cellStyle name="40% - Accent1 2 3 3 2" xfId="2742" xr:uid="{C31BE939-5D65-449B-BD4F-E08D52CDD748}"/>
    <cellStyle name="40% - Accent1 2 3 4" xfId="1913" xr:uid="{87B15886-0B55-41A2-B2DA-71AA8667A43A}"/>
    <cellStyle name="40% - Accent1 2 4" xfId="627" xr:uid="{00000000-0005-0000-0000-000068000000}"/>
    <cellStyle name="40% - Accent1 2 4 2" xfId="1497" xr:uid="{DBAE8855-E06B-49DA-87DF-C073AB61C981}"/>
    <cellStyle name="40% - Accent1 2 4 2 2" xfId="3155" xr:uid="{326A1D73-9339-4876-B94C-87E126437F0B}"/>
    <cellStyle name="40% - Accent1 2 4 3" xfId="2326" xr:uid="{C95864F1-E6BD-42F8-8CD6-18519D7D7AB0}"/>
    <cellStyle name="40% - Accent1 2 5" xfId="1081" xr:uid="{2F29BD3C-6AD3-4D44-B89F-1D75EBF74A5D}"/>
    <cellStyle name="40% - Accent1 2 5 2" xfId="2739" xr:uid="{ACFCCFF8-E5F2-4060-B6D5-BD3A86301D41}"/>
    <cellStyle name="40% - Accent1 2 6" xfId="1910" xr:uid="{EB858992-08DA-4931-8FEE-0F47E757BEA4}"/>
    <cellStyle name="40% - Accent1 3" xfId="54" xr:uid="{00000000-0005-0000-0000-000069000000}"/>
    <cellStyle name="40% - Accent1 3 2" xfId="55" xr:uid="{00000000-0005-0000-0000-00006A000000}"/>
    <cellStyle name="40% - Accent1 3 2 2" xfId="632" xr:uid="{00000000-0005-0000-0000-00006B000000}"/>
    <cellStyle name="40% - Accent1 3 2 2 2" xfId="1502" xr:uid="{B7828E0E-D11E-4CEC-B8D9-05EF2B88DAEB}"/>
    <cellStyle name="40% - Accent1 3 2 2 2 2" xfId="3160" xr:uid="{67E5FA8F-A6D1-44FD-B9A1-2EFDB651F0DD}"/>
    <cellStyle name="40% - Accent1 3 2 2 3" xfId="2331" xr:uid="{8C2A4B66-9461-45E6-99D6-234ED429C850}"/>
    <cellStyle name="40% - Accent1 3 2 3" xfId="1086" xr:uid="{79C7C3EB-1FD4-4DCA-A7FD-44EAA700D0E4}"/>
    <cellStyle name="40% - Accent1 3 2 3 2" xfId="2744" xr:uid="{0EAD29F2-A594-48DE-993B-24CEB52A9D32}"/>
    <cellStyle name="40% - Accent1 3 2 4" xfId="1915" xr:uid="{71558B60-E91B-4CA5-9408-55F33428E49C}"/>
    <cellStyle name="40% - Accent1 3 3" xfId="631" xr:uid="{00000000-0005-0000-0000-00006C000000}"/>
    <cellStyle name="40% - Accent1 3 3 2" xfId="1501" xr:uid="{5512BA89-2ACE-4192-B74E-D63456429AEB}"/>
    <cellStyle name="40% - Accent1 3 3 2 2" xfId="3159" xr:uid="{796FEBDD-AE04-4A6E-9E3E-B55D120FC25B}"/>
    <cellStyle name="40% - Accent1 3 3 3" xfId="2330" xr:uid="{90C15083-66DE-4C96-BD5D-B32CAE7476CD}"/>
    <cellStyle name="40% - Accent1 3 4" xfId="1085" xr:uid="{9CCDB38B-71B6-445B-AB0D-7C44D653F809}"/>
    <cellStyle name="40% - Accent1 3 4 2" xfId="2743" xr:uid="{8E8E035F-07C4-4D5A-A775-F5F62B762428}"/>
    <cellStyle name="40% - Accent1 3 5" xfId="1914" xr:uid="{C64103EB-8F83-49D0-B770-65FD75CE101A}"/>
    <cellStyle name="40% - Accent1 4" xfId="56" xr:uid="{00000000-0005-0000-0000-00006D000000}"/>
    <cellStyle name="40% - Accent1 4 2" xfId="633" xr:uid="{00000000-0005-0000-0000-00006E000000}"/>
    <cellStyle name="40% - Accent1 4 2 2" xfId="1503" xr:uid="{58DEF361-F78E-4FA9-88D3-D192DCE7B444}"/>
    <cellStyle name="40% - Accent1 4 2 2 2" xfId="3161" xr:uid="{E7E93C23-ABEB-434A-BC0D-F35EBAD28F83}"/>
    <cellStyle name="40% - Accent1 4 2 3" xfId="2332" xr:uid="{16CAC859-A106-4B92-A348-9A848DFE6134}"/>
    <cellStyle name="40% - Accent1 4 3" xfId="1087" xr:uid="{A4A10F00-2FF3-42A1-A209-C159214DFCF6}"/>
    <cellStyle name="40% - Accent1 4 3 2" xfId="2745" xr:uid="{9D703356-81FC-4254-97AE-2F35ADE149A3}"/>
    <cellStyle name="40% - Accent1 4 4" xfId="1916" xr:uid="{2727144F-57D1-4DA4-80E5-593F8F8D8285}"/>
    <cellStyle name="40% - Accent1 5" xfId="626" xr:uid="{00000000-0005-0000-0000-00006F000000}"/>
    <cellStyle name="40% - Accent1 5 2" xfId="1496" xr:uid="{4F5B2411-3451-4C17-9994-829F4D2DC75B}"/>
    <cellStyle name="40% - Accent1 5 2 2" xfId="3154" xr:uid="{9DFE92F1-914F-4B3C-A3F4-1F9406D4ADF4}"/>
    <cellStyle name="40% - Accent1 5 3" xfId="2325" xr:uid="{CE6D4FF2-A461-4252-8F4C-2205A3D17923}"/>
    <cellStyle name="40% - Accent1 6" xfId="1080" xr:uid="{9FA8F569-7DB7-4049-BFBE-D86E9AF2667A}"/>
    <cellStyle name="40% - Accent1 6 2" xfId="2738" xr:uid="{A4150E50-8850-46A2-A195-F5141A27A848}"/>
    <cellStyle name="40% - Accent1 7" xfId="1909" xr:uid="{C960450E-5A13-4FB7-AB96-F07793E1E8FA}"/>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6E087FF1-F838-4F90-B1C4-E43D793A55FF}"/>
    <cellStyle name="40% - Accent2 2 2 2 2 2 2" xfId="3165" xr:uid="{30CFF0E2-03A1-4020-92BE-96C2621AF85C}"/>
    <cellStyle name="40% - Accent2 2 2 2 2 3" xfId="2336" xr:uid="{318E8855-4823-471B-8D41-F8CCAF6CB972}"/>
    <cellStyle name="40% - Accent2 2 2 2 3" xfId="1091" xr:uid="{3EA34849-BD2D-4151-8D54-83CF507C868D}"/>
    <cellStyle name="40% - Accent2 2 2 2 3 2" xfId="2749" xr:uid="{8A9D6EEB-4F47-494D-8B67-8A8A6B6D803A}"/>
    <cellStyle name="40% - Accent2 2 2 2 4" xfId="1920" xr:uid="{B71DB89E-A822-4B60-B31C-F11A4BB5D25D}"/>
    <cellStyle name="40% - Accent2 2 2 3" xfId="636" xr:uid="{00000000-0005-0000-0000-000075000000}"/>
    <cellStyle name="40% - Accent2 2 2 3 2" xfId="1506" xr:uid="{D97D495D-369A-479A-AD1F-ACDE56645553}"/>
    <cellStyle name="40% - Accent2 2 2 3 2 2" xfId="3164" xr:uid="{F6771190-C865-4CF7-910A-566C9AB6E360}"/>
    <cellStyle name="40% - Accent2 2 2 3 3" xfId="2335" xr:uid="{EF68CCBB-5920-43A5-8A22-577DA71CBE9E}"/>
    <cellStyle name="40% - Accent2 2 2 4" xfId="1090" xr:uid="{20151652-43C7-4794-ACEC-EE53C7F8A981}"/>
    <cellStyle name="40% - Accent2 2 2 4 2" xfId="2748" xr:uid="{D0E1ECFB-F3D3-4B7A-8071-B6BC02A09BC7}"/>
    <cellStyle name="40% - Accent2 2 2 5" xfId="1919" xr:uid="{142E14BE-D4FC-49E8-A4B4-5159C3A087DA}"/>
    <cellStyle name="40% - Accent2 2 3" xfId="61" xr:uid="{00000000-0005-0000-0000-000076000000}"/>
    <cellStyle name="40% - Accent2 2 3 2" xfId="638" xr:uid="{00000000-0005-0000-0000-000077000000}"/>
    <cellStyle name="40% - Accent2 2 3 2 2" xfId="1508" xr:uid="{BE6FAB3F-F61C-493F-AA6D-5D7D50E01715}"/>
    <cellStyle name="40% - Accent2 2 3 2 2 2" xfId="3166" xr:uid="{5DDAF2AC-E875-45D1-9FAC-21B568A7CB89}"/>
    <cellStyle name="40% - Accent2 2 3 2 3" xfId="2337" xr:uid="{9BF3B728-F42A-456C-8EBE-E35DBCB0F131}"/>
    <cellStyle name="40% - Accent2 2 3 3" xfId="1092" xr:uid="{356E03EB-DCE1-4026-8D9C-42C07DA9FFEA}"/>
    <cellStyle name="40% - Accent2 2 3 3 2" xfId="2750" xr:uid="{DAA13214-1DC2-4855-BEB5-6F16BE15E4D9}"/>
    <cellStyle name="40% - Accent2 2 3 4" xfId="1921" xr:uid="{E2C81281-6042-4534-A4C0-E031E1093754}"/>
    <cellStyle name="40% - Accent2 2 4" xfId="635" xr:uid="{00000000-0005-0000-0000-000078000000}"/>
    <cellStyle name="40% - Accent2 2 4 2" xfId="1505" xr:uid="{11E75EDB-0CF9-43CB-AEA0-714DAAA21B49}"/>
    <cellStyle name="40% - Accent2 2 4 2 2" xfId="3163" xr:uid="{A4D4BDE1-845C-4205-9550-44D3EF1F6465}"/>
    <cellStyle name="40% - Accent2 2 4 3" xfId="2334" xr:uid="{DBBEB1F2-6B77-49BA-A8EA-8CFA58802953}"/>
    <cellStyle name="40% - Accent2 2 5" xfId="1089" xr:uid="{19B07E2C-2966-4CFB-9E71-30547CD9C6EA}"/>
    <cellStyle name="40% - Accent2 2 5 2" xfId="2747" xr:uid="{8F71EFB3-9E7B-443C-A900-3C021EDDF45D}"/>
    <cellStyle name="40% - Accent2 2 6" xfId="1918" xr:uid="{7E5855B0-4832-42C8-890A-1729F6058694}"/>
    <cellStyle name="40% - Accent2 3" xfId="62" xr:uid="{00000000-0005-0000-0000-000079000000}"/>
    <cellStyle name="40% - Accent2 3 2" xfId="63" xr:uid="{00000000-0005-0000-0000-00007A000000}"/>
    <cellStyle name="40% - Accent2 3 2 2" xfId="640" xr:uid="{00000000-0005-0000-0000-00007B000000}"/>
    <cellStyle name="40% - Accent2 3 2 2 2" xfId="1510" xr:uid="{6027DA16-D5B3-4977-AEE3-846EA16E299A}"/>
    <cellStyle name="40% - Accent2 3 2 2 2 2" xfId="3168" xr:uid="{4A149FD3-9938-4BC9-B67E-04600B592CF5}"/>
    <cellStyle name="40% - Accent2 3 2 2 3" xfId="2339" xr:uid="{E60DF181-F4BE-4BD1-A9C5-743AC54B39F6}"/>
    <cellStyle name="40% - Accent2 3 2 3" xfId="1094" xr:uid="{8C06A023-89CC-4EFF-90BA-69D9765621CF}"/>
    <cellStyle name="40% - Accent2 3 2 3 2" xfId="2752" xr:uid="{1446CC8A-7886-4BAE-A3BC-F89EDCFA45B2}"/>
    <cellStyle name="40% - Accent2 3 2 4" xfId="1923" xr:uid="{1EF011CF-1F75-4163-85C9-53DEF94C1077}"/>
    <cellStyle name="40% - Accent2 3 3" xfId="639" xr:uid="{00000000-0005-0000-0000-00007C000000}"/>
    <cellStyle name="40% - Accent2 3 3 2" xfId="1509" xr:uid="{2FCD33B3-E131-46AA-967E-026605A241BA}"/>
    <cellStyle name="40% - Accent2 3 3 2 2" xfId="3167" xr:uid="{2E06A7C5-D960-4F0F-8860-81CD7050F3D1}"/>
    <cellStyle name="40% - Accent2 3 3 3" xfId="2338" xr:uid="{A10D6340-C0BA-47B3-B27C-5355FAD22F18}"/>
    <cellStyle name="40% - Accent2 3 4" xfId="1093" xr:uid="{8DA85BBA-36BA-400C-AE75-B41FC30804AC}"/>
    <cellStyle name="40% - Accent2 3 4 2" xfId="2751" xr:uid="{3CF6F76E-F07D-4BE2-B5B5-ECD9CB05A00B}"/>
    <cellStyle name="40% - Accent2 3 5" xfId="1922" xr:uid="{18E7324C-3BB4-43FA-BBEF-4166744E4DDA}"/>
    <cellStyle name="40% - Accent2 4" xfId="64" xr:uid="{00000000-0005-0000-0000-00007D000000}"/>
    <cellStyle name="40% - Accent2 4 2" xfId="641" xr:uid="{00000000-0005-0000-0000-00007E000000}"/>
    <cellStyle name="40% - Accent2 4 2 2" xfId="1511" xr:uid="{99A75300-893D-4AB8-BB26-898D18A97833}"/>
    <cellStyle name="40% - Accent2 4 2 2 2" xfId="3169" xr:uid="{963EF773-B5B1-4E07-93DF-ADB4AB905368}"/>
    <cellStyle name="40% - Accent2 4 2 3" xfId="2340" xr:uid="{03CA50EC-E418-4B8B-89D1-71E3822926F5}"/>
    <cellStyle name="40% - Accent2 4 3" xfId="1095" xr:uid="{F1D0CBE3-581A-4E22-9874-6DC4F0DA2E41}"/>
    <cellStyle name="40% - Accent2 4 3 2" xfId="2753" xr:uid="{0DAA9B81-FF54-43C4-A5A6-6DACDA4B444F}"/>
    <cellStyle name="40% - Accent2 4 4" xfId="1924" xr:uid="{DCA03807-09FA-4BDC-8072-2C2714DE70F3}"/>
    <cellStyle name="40% - Accent2 5" xfId="634" xr:uid="{00000000-0005-0000-0000-00007F000000}"/>
    <cellStyle name="40% - Accent2 5 2" xfId="1504" xr:uid="{00F75E8E-D063-44B0-9BB4-876BE9434AEB}"/>
    <cellStyle name="40% - Accent2 5 2 2" xfId="3162" xr:uid="{77EF67AB-5ABB-4C7E-B29F-E4F872A1484B}"/>
    <cellStyle name="40% - Accent2 5 3" xfId="2333" xr:uid="{3A51154B-6FE6-4FED-B561-F5D60822A445}"/>
    <cellStyle name="40% - Accent2 6" xfId="1088" xr:uid="{CF6F32A8-E7E9-4249-BCF5-6C7E94D8BB6B}"/>
    <cellStyle name="40% - Accent2 6 2" xfId="2746" xr:uid="{7304B033-893A-4A38-8899-F2402B0D3A91}"/>
    <cellStyle name="40% - Accent2 7" xfId="1917" xr:uid="{8B4CE71B-D96D-482A-84FB-191D4DC68A2E}"/>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1336FB41-0EA0-44B6-B6BE-7ECBC3D373F7}"/>
    <cellStyle name="40% - Accent3 2 2 2 2 2 2" xfId="3173" xr:uid="{FC8D1135-BD23-406B-9172-9438AB90B5F6}"/>
    <cellStyle name="40% - Accent3 2 2 2 2 3" xfId="2344" xr:uid="{09CA6EC8-E1F5-4701-86E8-5D179C15B6EF}"/>
    <cellStyle name="40% - Accent3 2 2 2 3" xfId="1099" xr:uid="{15229E57-4370-4BEA-82FC-8EF520052377}"/>
    <cellStyle name="40% - Accent3 2 2 2 3 2" xfId="2757" xr:uid="{F2FD7D07-BD07-4955-958D-67DD0FA3399E}"/>
    <cellStyle name="40% - Accent3 2 2 2 4" xfId="1928" xr:uid="{43156765-EFC0-4ABF-8E19-51ADECF28420}"/>
    <cellStyle name="40% - Accent3 2 2 3" xfId="644" xr:uid="{00000000-0005-0000-0000-000085000000}"/>
    <cellStyle name="40% - Accent3 2 2 3 2" xfId="1514" xr:uid="{4D40A293-FF6C-422E-9106-534AD4CABD41}"/>
    <cellStyle name="40% - Accent3 2 2 3 2 2" xfId="3172" xr:uid="{7D5F4A10-7FE7-4907-BD1A-B3051000B768}"/>
    <cellStyle name="40% - Accent3 2 2 3 3" xfId="2343" xr:uid="{1CB4A3B1-8348-4C1B-BB39-B65309BCD12E}"/>
    <cellStyle name="40% - Accent3 2 2 4" xfId="1098" xr:uid="{4AAA4330-99C5-4E3D-A47C-A409F46AD8F1}"/>
    <cellStyle name="40% - Accent3 2 2 4 2" xfId="2756" xr:uid="{4C06B8E8-E1DB-48B7-8439-B11323F7330E}"/>
    <cellStyle name="40% - Accent3 2 2 5" xfId="1927" xr:uid="{000DE737-A670-402F-8F3D-0EE129F4821D}"/>
    <cellStyle name="40% - Accent3 2 3" xfId="69" xr:uid="{00000000-0005-0000-0000-000086000000}"/>
    <cellStyle name="40% - Accent3 2 3 2" xfId="646" xr:uid="{00000000-0005-0000-0000-000087000000}"/>
    <cellStyle name="40% - Accent3 2 3 2 2" xfId="1516" xr:uid="{B73B695D-D967-4718-83A3-72A41EE60146}"/>
    <cellStyle name="40% - Accent3 2 3 2 2 2" xfId="3174" xr:uid="{11FB44A2-C088-4134-949C-B8619C7F3F09}"/>
    <cellStyle name="40% - Accent3 2 3 2 3" xfId="2345" xr:uid="{59D5FA71-BD10-4309-BC86-AD1CE7271B68}"/>
    <cellStyle name="40% - Accent3 2 3 3" xfId="1100" xr:uid="{AA73966F-1508-4125-814D-F794369B3158}"/>
    <cellStyle name="40% - Accent3 2 3 3 2" xfId="2758" xr:uid="{8523CD6B-BC64-4235-A1AF-1DD5902A92A9}"/>
    <cellStyle name="40% - Accent3 2 3 4" xfId="1929" xr:uid="{6BFF4207-74EA-4D47-902C-EB58C8572A1D}"/>
    <cellStyle name="40% - Accent3 2 4" xfId="643" xr:uid="{00000000-0005-0000-0000-000088000000}"/>
    <cellStyle name="40% - Accent3 2 4 2" xfId="1513" xr:uid="{B977BAC1-0850-4397-9A4D-F07C89DD3569}"/>
    <cellStyle name="40% - Accent3 2 4 2 2" xfId="3171" xr:uid="{CD9AD400-4473-489F-8247-F41808848F20}"/>
    <cellStyle name="40% - Accent3 2 4 3" xfId="2342" xr:uid="{360ECC4F-08C7-4630-9F9A-95ECA577DFA4}"/>
    <cellStyle name="40% - Accent3 2 5" xfId="1097" xr:uid="{AAE76139-C341-4971-88FF-7A03F05CD866}"/>
    <cellStyle name="40% - Accent3 2 5 2" xfId="2755" xr:uid="{B06E1599-ABC6-475A-9FDA-B18196EBBE02}"/>
    <cellStyle name="40% - Accent3 2 6" xfId="1926" xr:uid="{D21A4C8B-972E-474C-84B0-133AFEBAD59F}"/>
    <cellStyle name="40% - Accent3 3" xfId="70" xr:uid="{00000000-0005-0000-0000-000089000000}"/>
    <cellStyle name="40% - Accent3 3 2" xfId="71" xr:uid="{00000000-0005-0000-0000-00008A000000}"/>
    <cellStyle name="40% - Accent3 3 2 2" xfId="648" xr:uid="{00000000-0005-0000-0000-00008B000000}"/>
    <cellStyle name="40% - Accent3 3 2 2 2" xfId="1518" xr:uid="{F91ED829-6AE4-4E60-A09D-AB0AB1CC9380}"/>
    <cellStyle name="40% - Accent3 3 2 2 2 2" xfId="3176" xr:uid="{7E8EC08F-355F-410D-BF36-02DF9D74787D}"/>
    <cellStyle name="40% - Accent3 3 2 2 3" xfId="2347" xr:uid="{B7E70C8F-6FBC-458A-A758-B15FEBA0C4F5}"/>
    <cellStyle name="40% - Accent3 3 2 3" xfId="1102" xr:uid="{5B1778CB-6EE4-48DA-8BAA-9342F0AC10F0}"/>
    <cellStyle name="40% - Accent3 3 2 3 2" xfId="2760" xr:uid="{6C9130A3-A580-4F97-B4DA-BF4DB93D5942}"/>
    <cellStyle name="40% - Accent3 3 2 4" xfId="1931" xr:uid="{D3F2F9C3-CB0C-4FFA-AC35-C1046C086B50}"/>
    <cellStyle name="40% - Accent3 3 3" xfId="647" xr:uid="{00000000-0005-0000-0000-00008C000000}"/>
    <cellStyle name="40% - Accent3 3 3 2" xfId="1517" xr:uid="{2CF91918-B214-4E59-844B-E86EC761E1EB}"/>
    <cellStyle name="40% - Accent3 3 3 2 2" xfId="3175" xr:uid="{2F064E72-268D-4D12-9F3A-E93308118BE6}"/>
    <cellStyle name="40% - Accent3 3 3 3" xfId="2346" xr:uid="{1CD5292D-1DE6-4147-9DFC-7D0EB56B8F55}"/>
    <cellStyle name="40% - Accent3 3 4" xfId="1101" xr:uid="{286741DF-BD1B-4760-BF29-540AD8395BE9}"/>
    <cellStyle name="40% - Accent3 3 4 2" xfId="2759" xr:uid="{F347FF3A-3A5D-4173-B494-0CEA2D915E32}"/>
    <cellStyle name="40% - Accent3 3 5" xfId="1930" xr:uid="{0329EBC7-3391-490E-BB7C-89F3902AA9AF}"/>
    <cellStyle name="40% - Accent3 4" xfId="72" xr:uid="{00000000-0005-0000-0000-00008D000000}"/>
    <cellStyle name="40% - Accent3 4 2" xfId="649" xr:uid="{00000000-0005-0000-0000-00008E000000}"/>
    <cellStyle name="40% - Accent3 4 2 2" xfId="1519" xr:uid="{BF77CB4A-E97B-4DDB-A836-BB489A186D93}"/>
    <cellStyle name="40% - Accent3 4 2 2 2" xfId="3177" xr:uid="{CA0CBB6B-E813-45B0-A00E-7E0DDE7C9A40}"/>
    <cellStyle name="40% - Accent3 4 2 3" xfId="2348" xr:uid="{5609B0C5-999C-4769-975F-B84EC9F192EA}"/>
    <cellStyle name="40% - Accent3 4 3" xfId="1103" xr:uid="{5F62DB5E-B851-4543-BFF2-D2E53A943C5C}"/>
    <cellStyle name="40% - Accent3 4 3 2" xfId="2761" xr:uid="{4C8F5DF6-4B06-4D43-9ED4-F54774CD0D9A}"/>
    <cellStyle name="40% - Accent3 4 4" xfId="1932" xr:uid="{24600A94-11E7-4ACC-90A0-25577451D865}"/>
    <cellStyle name="40% - Accent3 5" xfId="642" xr:uid="{00000000-0005-0000-0000-00008F000000}"/>
    <cellStyle name="40% - Accent3 5 2" xfId="1512" xr:uid="{E08B3359-A75C-4FFF-8AC6-70052211A486}"/>
    <cellStyle name="40% - Accent3 5 2 2" xfId="3170" xr:uid="{4B8A943C-94D2-4EED-9CB6-BD09A168BBD7}"/>
    <cellStyle name="40% - Accent3 5 3" xfId="2341" xr:uid="{AC816AFF-EB37-4CA2-8F41-5062592ADC25}"/>
    <cellStyle name="40% - Accent3 6" xfId="1096" xr:uid="{AFEC113F-DAFA-42EA-B18E-E0CADBECB8E3}"/>
    <cellStyle name="40% - Accent3 6 2" xfId="2754" xr:uid="{8737E513-08A5-4191-B7CB-498110D59A4B}"/>
    <cellStyle name="40% - Accent3 7" xfId="1925" xr:uid="{BED8E2A2-5ADF-4CF4-B8C1-761AF2044D52}"/>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C351C5B3-E530-4CBA-AC61-F109DE5465FC}"/>
    <cellStyle name="40% - Accent4 2 2 2 2 2 2" xfId="3181" xr:uid="{BDCB66E2-4442-434E-A045-CA53DFB09883}"/>
    <cellStyle name="40% - Accent4 2 2 2 2 3" xfId="2352" xr:uid="{D4D9153E-1F83-4294-9809-29E27EB60B8A}"/>
    <cellStyle name="40% - Accent4 2 2 2 3" xfId="1107" xr:uid="{EEE5C55B-999A-478B-8C87-7C641E3FADE8}"/>
    <cellStyle name="40% - Accent4 2 2 2 3 2" xfId="2765" xr:uid="{D30059CC-6C15-4EB0-A6D2-A03C2B35ADBC}"/>
    <cellStyle name="40% - Accent4 2 2 2 4" xfId="1936" xr:uid="{4D1A5F24-DCCC-4073-BBCF-D42F1E42135A}"/>
    <cellStyle name="40% - Accent4 2 2 3" xfId="652" xr:uid="{00000000-0005-0000-0000-000095000000}"/>
    <cellStyle name="40% - Accent4 2 2 3 2" xfId="1522" xr:uid="{843C88AD-3653-4A5D-A3BB-418B68287718}"/>
    <cellStyle name="40% - Accent4 2 2 3 2 2" xfId="3180" xr:uid="{AF27F618-8B87-40B2-80F1-8E3BD4711037}"/>
    <cellStyle name="40% - Accent4 2 2 3 3" xfId="2351" xr:uid="{3E0825A7-1861-439D-BBE9-8BCB968310BB}"/>
    <cellStyle name="40% - Accent4 2 2 4" xfId="1106" xr:uid="{048ACB3F-4FF0-498D-9051-B1C1E2E1A42D}"/>
    <cellStyle name="40% - Accent4 2 2 4 2" xfId="2764" xr:uid="{B425743B-3EBB-46E4-96BD-E28DAA43542C}"/>
    <cellStyle name="40% - Accent4 2 2 5" xfId="1935" xr:uid="{2617F44E-45E1-4BE8-A57C-769A53407017}"/>
    <cellStyle name="40% - Accent4 2 3" xfId="77" xr:uid="{00000000-0005-0000-0000-000096000000}"/>
    <cellStyle name="40% - Accent4 2 3 2" xfId="654" xr:uid="{00000000-0005-0000-0000-000097000000}"/>
    <cellStyle name="40% - Accent4 2 3 2 2" xfId="1524" xr:uid="{7D097318-4D50-42F7-84D2-26DF32A11A13}"/>
    <cellStyle name="40% - Accent4 2 3 2 2 2" xfId="3182" xr:uid="{82EB043C-095D-4F5E-AB33-A290829A809E}"/>
    <cellStyle name="40% - Accent4 2 3 2 3" xfId="2353" xr:uid="{1275A07B-C704-4E7A-BB80-9D62B50D18B4}"/>
    <cellStyle name="40% - Accent4 2 3 3" xfId="1108" xr:uid="{8907E2E9-BEA2-4239-AB32-36991E4FB3C5}"/>
    <cellStyle name="40% - Accent4 2 3 3 2" xfId="2766" xr:uid="{6313EF59-735B-4ED2-BA2E-841BF15EE03F}"/>
    <cellStyle name="40% - Accent4 2 3 4" xfId="1937" xr:uid="{1F93F45F-FB65-47BD-BBDD-3AA24CD0D68B}"/>
    <cellStyle name="40% - Accent4 2 4" xfId="651" xr:uid="{00000000-0005-0000-0000-000098000000}"/>
    <cellStyle name="40% - Accent4 2 4 2" xfId="1521" xr:uid="{305B2317-B263-40C9-95FE-5ED8A2537BCD}"/>
    <cellStyle name="40% - Accent4 2 4 2 2" xfId="3179" xr:uid="{A613C83C-F061-4903-A0C0-A821E9E1F971}"/>
    <cellStyle name="40% - Accent4 2 4 3" xfId="2350" xr:uid="{F174F4BB-122F-4A10-AF48-A6B851E49889}"/>
    <cellStyle name="40% - Accent4 2 5" xfId="1105" xr:uid="{9329BA7B-38DB-4FA4-A99A-62CE1F0CC98F}"/>
    <cellStyle name="40% - Accent4 2 5 2" xfId="2763" xr:uid="{C607DA0C-8493-46A0-92AD-6EB768D26981}"/>
    <cellStyle name="40% - Accent4 2 6" xfId="1934" xr:uid="{42D5D812-3601-487C-8BBB-58256B482541}"/>
    <cellStyle name="40% - Accent4 3" xfId="78" xr:uid="{00000000-0005-0000-0000-000099000000}"/>
    <cellStyle name="40% - Accent4 3 2" xfId="79" xr:uid="{00000000-0005-0000-0000-00009A000000}"/>
    <cellStyle name="40% - Accent4 3 2 2" xfId="656" xr:uid="{00000000-0005-0000-0000-00009B000000}"/>
    <cellStyle name="40% - Accent4 3 2 2 2" xfId="1526" xr:uid="{125964A7-B0DE-406F-A414-EF0E110A3C56}"/>
    <cellStyle name="40% - Accent4 3 2 2 2 2" xfId="3184" xr:uid="{7F33ED63-9806-4502-914D-D8A943D2EDBA}"/>
    <cellStyle name="40% - Accent4 3 2 2 3" xfId="2355" xr:uid="{073CF992-6B3D-4F54-ABE1-18BC8717440A}"/>
    <cellStyle name="40% - Accent4 3 2 3" xfId="1110" xr:uid="{781A48A4-9FF4-44F4-8F0A-C6D2434E48C6}"/>
    <cellStyle name="40% - Accent4 3 2 3 2" xfId="2768" xr:uid="{B5938ECB-3FDD-474E-AF84-125C5D9E7AEE}"/>
    <cellStyle name="40% - Accent4 3 2 4" xfId="1939" xr:uid="{EFCABB6F-E50C-42BC-9778-0B1E7282CD24}"/>
    <cellStyle name="40% - Accent4 3 3" xfId="655" xr:uid="{00000000-0005-0000-0000-00009C000000}"/>
    <cellStyle name="40% - Accent4 3 3 2" xfId="1525" xr:uid="{B8E72967-2C52-4BF7-916C-49F30AB792B9}"/>
    <cellStyle name="40% - Accent4 3 3 2 2" xfId="3183" xr:uid="{FB7E5177-6B5D-480F-A24B-B80E6E446D81}"/>
    <cellStyle name="40% - Accent4 3 3 3" xfId="2354" xr:uid="{B373DB75-3059-4574-A0EA-B9485FBE5656}"/>
    <cellStyle name="40% - Accent4 3 4" xfId="1109" xr:uid="{94091F7F-F4CE-48E1-B7F0-54742F4CA570}"/>
    <cellStyle name="40% - Accent4 3 4 2" xfId="2767" xr:uid="{F6D98F91-5539-4B77-9E01-7484A6874B13}"/>
    <cellStyle name="40% - Accent4 3 5" xfId="1938" xr:uid="{C4F6371B-93D6-44C6-B4F4-E884BF8EE23D}"/>
    <cellStyle name="40% - Accent4 4" xfId="80" xr:uid="{00000000-0005-0000-0000-00009D000000}"/>
    <cellStyle name="40% - Accent4 4 2" xfId="657" xr:uid="{00000000-0005-0000-0000-00009E000000}"/>
    <cellStyle name="40% - Accent4 4 2 2" xfId="1527" xr:uid="{E1B0E9A9-876B-4CBE-983A-08182A8386F7}"/>
    <cellStyle name="40% - Accent4 4 2 2 2" xfId="3185" xr:uid="{5FA39354-B997-4F3B-9E23-03F758F7EF55}"/>
    <cellStyle name="40% - Accent4 4 2 3" xfId="2356" xr:uid="{6BCAF3AC-BE18-4FBC-AF5C-4BED1411198B}"/>
    <cellStyle name="40% - Accent4 4 3" xfId="1111" xr:uid="{0B6B9AE3-33CC-443A-9614-5C042D2E1A1B}"/>
    <cellStyle name="40% - Accent4 4 3 2" xfId="2769" xr:uid="{F8F51A06-D04F-4CDC-8513-7DA9EF03AC70}"/>
    <cellStyle name="40% - Accent4 4 4" xfId="1940" xr:uid="{C4960601-CAD9-4B69-A5CB-4A423FA3959A}"/>
    <cellStyle name="40% - Accent4 5" xfId="650" xr:uid="{00000000-0005-0000-0000-00009F000000}"/>
    <cellStyle name="40% - Accent4 5 2" xfId="1520" xr:uid="{7F0054A1-85F1-4C83-A76B-1D542C5F8C31}"/>
    <cellStyle name="40% - Accent4 5 2 2" xfId="3178" xr:uid="{6D726D95-8E85-466F-ABA2-77F5A197FAE3}"/>
    <cellStyle name="40% - Accent4 5 3" xfId="2349" xr:uid="{15CFC73C-37D0-436D-8FC5-4438C34C4965}"/>
    <cellStyle name="40% - Accent4 6" xfId="1104" xr:uid="{0C9DE976-68B4-465D-998B-8A0E3386E81F}"/>
    <cellStyle name="40% - Accent4 6 2" xfId="2762" xr:uid="{5DE62D93-2DE3-4EC8-B872-8D3210192D15}"/>
    <cellStyle name="40% - Accent4 7" xfId="1933" xr:uid="{17278B9C-C007-41F2-AA26-B75261FE4E32}"/>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38EB5160-AE75-406D-8101-A110D2B64E5D}"/>
    <cellStyle name="40% - Accent5 2 2 2 2 2 2" xfId="3189" xr:uid="{4056CB1B-C2AD-48C7-BC2D-A92EFA18BB40}"/>
    <cellStyle name="40% - Accent5 2 2 2 2 3" xfId="2360" xr:uid="{A071B6EA-737A-406A-9276-85BC7528C3BC}"/>
    <cellStyle name="40% - Accent5 2 2 2 3" xfId="1115" xr:uid="{96E94F66-D08C-475C-A99A-AF78683F282C}"/>
    <cellStyle name="40% - Accent5 2 2 2 3 2" xfId="2773" xr:uid="{DF24CF91-81F8-4227-B31A-F094A99DDC43}"/>
    <cellStyle name="40% - Accent5 2 2 2 4" xfId="1944" xr:uid="{E6DB6492-5697-4AEB-BE60-8869B59227D9}"/>
    <cellStyle name="40% - Accent5 2 2 3" xfId="660" xr:uid="{00000000-0005-0000-0000-0000A5000000}"/>
    <cellStyle name="40% - Accent5 2 2 3 2" xfId="1530" xr:uid="{1EDE545B-A53E-4061-9400-F2726B374A4C}"/>
    <cellStyle name="40% - Accent5 2 2 3 2 2" xfId="3188" xr:uid="{BAABCEAF-8DE3-4E18-815D-436CA151D91B}"/>
    <cellStyle name="40% - Accent5 2 2 3 3" xfId="2359" xr:uid="{037BAC39-EF2E-448E-80FA-A12FF0A8DDFC}"/>
    <cellStyle name="40% - Accent5 2 2 4" xfId="1114" xr:uid="{8DAE4ECB-E9C5-45C4-BEC4-F7B5E3F8D9CB}"/>
    <cellStyle name="40% - Accent5 2 2 4 2" xfId="2772" xr:uid="{7756115D-9178-4F7E-ADE4-832FC4382432}"/>
    <cellStyle name="40% - Accent5 2 2 5" xfId="1943" xr:uid="{37EA3EEE-9C55-47BA-8CA7-AD37E7F48CF5}"/>
    <cellStyle name="40% - Accent5 2 3" xfId="85" xr:uid="{00000000-0005-0000-0000-0000A6000000}"/>
    <cellStyle name="40% - Accent5 2 3 2" xfId="662" xr:uid="{00000000-0005-0000-0000-0000A7000000}"/>
    <cellStyle name="40% - Accent5 2 3 2 2" xfId="1532" xr:uid="{4994629B-F3E5-4943-8DFE-B2F70F6BE485}"/>
    <cellStyle name="40% - Accent5 2 3 2 2 2" xfId="3190" xr:uid="{06288E53-72C8-4A93-AD3F-D3406DC90166}"/>
    <cellStyle name="40% - Accent5 2 3 2 3" xfId="2361" xr:uid="{B81F5756-4AE7-4DD5-897C-19B48015C1C4}"/>
    <cellStyle name="40% - Accent5 2 3 3" xfId="1116" xr:uid="{F2C713C3-A84D-4195-845C-64217CF8F036}"/>
    <cellStyle name="40% - Accent5 2 3 3 2" xfId="2774" xr:uid="{B7026BE4-07D6-441E-836E-B3BC2FF560BF}"/>
    <cellStyle name="40% - Accent5 2 3 4" xfId="1945" xr:uid="{9493A7BE-444F-4578-A414-43ECC5B91CB7}"/>
    <cellStyle name="40% - Accent5 2 4" xfId="659" xr:uid="{00000000-0005-0000-0000-0000A8000000}"/>
    <cellStyle name="40% - Accent5 2 4 2" xfId="1529" xr:uid="{F150CC4F-3882-4911-9E0B-43292672759A}"/>
    <cellStyle name="40% - Accent5 2 4 2 2" xfId="3187" xr:uid="{FAED35D1-247A-4484-893C-A8F9D76190FC}"/>
    <cellStyle name="40% - Accent5 2 4 3" xfId="2358" xr:uid="{C1B2B84D-EE3B-4C19-8E3D-30BB6ADB232A}"/>
    <cellStyle name="40% - Accent5 2 5" xfId="1113" xr:uid="{48B6416D-BD23-430E-87A7-8905DCAC478C}"/>
    <cellStyle name="40% - Accent5 2 5 2" xfId="2771" xr:uid="{D67DDB1A-383B-4E28-B47D-C9988A8865D4}"/>
    <cellStyle name="40% - Accent5 2 6" xfId="1942" xr:uid="{60152774-04E8-4D27-B943-8AB9049FA418}"/>
    <cellStyle name="40% - Accent5 3" xfId="86" xr:uid="{00000000-0005-0000-0000-0000A9000000}"/>
    <cellStyle name="40% - Accent5 3 2" xfId="87" xr:uid="{00000000-0005-0000-0000-0000AA000000}"/>
    <cellStyle name="40% - Accent5 3 2 2" xfId="664" xr:uid="{00000000-0005-0000-0000-0000AB000000}"/>
    <cellStyle name="40% - Accent5 3 2 2 2" xfId="1534" xr:uid="{FC89B51F-0B27-4CC6-A320-0D0E21C3374F}"/>
    <cellStyle name="40% - Accent5 3 2 2 2 2" xfId="3192" xr:uid="{AF9F2429-0F9D-43B5-8E5A-2E1E694555F1}"/>
    <cellStyle name="40% - Accent5 3 2 2 3" xfId="2363" xr:uid="{6068B414-BCE1-46DB-B897-A8702B5A0B79}"/>
    <cellStyle name="40% - Accent5 3 2 3" xfId="1118" xr:uid="{0C86891A-2C3A-4B24-BE17-6C0A715D402F}"/>
    <cellStyle name="40% - Accent5 3 2 3 2" xfId="2776" xr:uid="{51FC5EBB-9DEC-4B42-A1CD-BD72775ABB27}"/>
    <cellStyle name="40% - Accent5 3 2 4" xfId="1947" xr:uid="{B59023BF-994E-4B96-BD97-3520D413BC8F}"/>
    <cellStyle name="40% - Accent5 3 3" xfId="663" xr:uid="{00000000-0005-0000-0000-0000AC000000}"/>
    <cellStyle name="40% - Accent5 3 3 2" xfId="1533" xr:uid="{40E68D7C-D036-419E-AD00-0F4CB9156F2A}"/>
    <cellStyle name="40% - Accent5 3 3 2 2" xfId="3191" xr:uid="{B992A6F3-2720-431C-A6BA-3892AE81C0A5}"/>
    <cellStyle name="40% - Accent5 3 3 3" xfId="2362" xr:uid="{0E4325F2-CF2B-432B-B091-422ABF26CE3C}"/>
    <cellStyle name="40% - Accent5 3 4" xfId="1117" xr:uid="{E42D7D11-3B83-423E-9626-A42C171F8409}"/>
    <cellStyle name="40% - Accent5 3 4 2" xfId="2775" xr:uid="{6B93BF80-CAB9-48A8-A837-5F89CC7C6B4E}"/>
    <cellStyle name="40% - Accent5 3 5" xfId="1946" xr:uid="{D6702F39-7347-4FC8-A460-4E9C0833AB8B}"/>
    <cellStyle name="40% - Accent5 4" xfId="88" xr:uid="{00000000-0005-0000-0000-0000AD000000}"/>
    <cellStyle name="40% - Accent5 4 2" xfId="665" xr:uid="{00000000-0005-0000-0000-0000AE000000}"/>
    <cellStyle name="40% - Accent5 4 2 2" xfId="1535" xr:uid="{7745E17B-EE4F-4F47-9611-6F2DD237C1A8}"/>
    <cellStyle name="40% - Accent5 4 2 2 2" xfId="3193" xr:uid="{2B8450EB-FF28-4D0A-AD43-0F3ACC1B6698}"/>
    <cellStyle name="40% - Accent5 4 2 3" xfId="2364" xr:uid="{45314C0A-F96A-4C64-8280-A31595E9C75E}"/>
    <cellStyle name="40% - Accent5 4 3" xfId="1119" xr:uid="{C9CF8016-8C9B-4871-B405-8397203AA421}"/>
    <cellStyle name="40% - Accent5 4 3 2" xfId="2777" xr:uid="{08BE9332-99A5-4D9D-8C2B-98ACDC2594CA}"/>
    <cellStyle name="40% - Accent5 4 4" xfId="1948" xr:uid="{9C67D565-DFE7-4262-BB64-76384D11CD78}"/>
    <cellStyle name="40% - Accent5 5" xfId="658" xr:uid="{00000000-0005-0000-0000-0000AF000000}"/>
    <cellStyle name="40% - Accent5 5 2" xfId="1528" xr:uid="{5D23B9E6-B888-4739-ACD0-A328EFF54393}"/>
    <cellStyle name="40% - Accent5 5 2 2" xfId="3186" xr:uid="{D00DFC40-C783-48CC-AE07-FDCD3575D1FE}"/>
    <cellStyle name="40% - Accent5 5 3" xfId="2357" xr:uid="{1680E01E-2724-4CFD-905F-1CFC709458AF}"/>
    <cellStyle name="40% - Accent5 6" xfId="1112" xr:uid="{6DB991FB-7979-4B63-A383-03E0366F1503}"/>
    <cellStyle name="40% - Accent5 6 2" xfId="2770" xr:uid="{E83E9488-3438-4FB5-BE4D-36CA90922C3F}"/>
    <cellStyle name="40% - Accent5 7" xfId="1941" xr:uid="{AD8AB5EB-F43D-4166-9C4D-5E9772A5FC6D}"/>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1DB9E946-B550-4BDE-9FE6-3538187F8478}"/>
    <cellStyle name="40% - Accent6 2 2 2 2 2 2" xfId="3197" xr:uid="{2D9D36EB-E049-447C-914C-85AE9DBCF9FB}"/>
    <cellStyle name="40% - Accent6 2 2 2 2 3" xfId="2368" xr:uid="{E024E38D-45B3-4C00-B3C2-A54F36A2BFA8}"/>
    <cellStyle name="40% - Accent6 2 2 2 3" xfId="1123" xr:uid="{7B3CB9D5-5160-456D-8683-DA346E923C77}"/>
    <cellStyle name="40% - Accent6 2 2 2 3 2" xfId="2781" xr:uid="{87DE21CF-0901-4A8B-AD1E-AC41B438DF1E}"/>
    <cellStyle name="40% - Accent6 2 2 2 4" xfId="1952" xr:uid="{31AE5E54-0947-4423-8BE9-A6581319ACCD}"/>
    <cellStyle name="40% - Accent6 2 2 3" xfId="668" xr:uid="{00000000-0005-0000-0000-0000B5000000}"/>
    <cellStyle name="40% - Accent6 2 2 3 2" xfId="1538" xr:uid="{79CCEE89-322D-4573-A2D4-19EE3A939769}"/>
    <cellStyle name="40% - Accent6 2 2 3 2 2" xfId="3196" xr:uid="{FAA4DDB3-5709-4B8F-93AE-6AD3CE6DC9F9}"/>
    <cellStyle name="40% - Accent6 2 2 3 3" xfId="2367" xr:uid="{625A08B1-1339-4713-A335-4CDF252CCB57}"/>
    <cellStyle name="40% - Accent6 2 2 4" xfId="1122" xr:uid="{94CE5D98-AA45-4E94-B60D-1BB06E43CF94}"/>
    <cellStyle name="40% - Accent6 2 2 4 2" xfId="2780" xr:uid="{A5D73762-0E02-4B68-974E-D7198FF635B3}"/>
    <cellStyle name="40% - Accent6 2 2 5" xfId="1951" xr:uid="{1D41705A-30E0-4758-89BA-4F4CBD627FF4}"/>
    <cellStyle name="40% - Accent6 2 3" xfId="93" xr:uid="{00000000-0005-0000-0000-0000B6000000}"/>
    <cellStyle name="40% - Accent6 2 3 2" xfId="670" xr:uid="{00000000-0005-0000-0000-0000B7000000}"/>
    <cellStyle name="40% - Accent6 2 3 2 2" xfId="1540" xr:uid="{51931329-1BA5-4870-9D37-8CFADD46151A}"/>
    <cellStyle name="40% - Accent6 2 3 2 2 2" xfId="3198" xr:uid="{C54510DB-4C4B-4934-9C31-DB5818EC62D2}"/>
    <cellStyle name="40% - Accent6 2 3 2 3" xfId="2369" xr:uid="{896CB2C0-BD8D-473C-B5AE-D393D9341CC4}"/>
    <cellStyle name="40% - Accent6 2 3 3" xfId="1124" xr:uid="{EA0D6D49-9CD6-4092-B7F4-F116DCADA4D8}"/>
    <cellStyle name="40% - Accent6 2 3 3 2" xfId="2782" xr:uid="{39282DE6-E59B-4DB1-B29F-76DF7FA8FF1E}"/>
    <cellStyle name="40% - Accent6 2 3 4" xfId="1953" xr:uid="{EFB8DADF-9186-4064-B5DD-602D97B1B472}"/>
    <cellStyle name="40% - Accent6 2 4" xfId="667" xr:uid="{00000000-0005-0000-0000-0000B8000000}"/>
    <cellStyle name="40% - Accent6 2 4 2" xfId="1537" xr:uid="{94033D0D-CF2D-4277-A2D1-14088EBE8E95}"/>
    <cellStyle name="40% - Accent6 2 4 2 2" xfId="3195" xr:uid="{357BC07C-9F64-4EC3-BCCC-7FF705EA9223}"/>
    <cellStyle name="40% - Accent6 2 4 3" xfId="2366" xr:uid="{2AF5D2EC-2B5A-4F45-A0B2-102838A25D47}"/>
    <cellStyle name="40% - Accent6 2 5" xfId="1121" xr:uid="{DA249745-2404-4A1A-A78A-5C9587E1A6E8}"/>
    <cellStyle name="40% - Accent6 2 5 2" xfId="2779" xr:uid="{9B839ADD-B284-4D42-8EF6-B3CC31A11BC7}"/>
    <cellStyle name="40% - Accent6 2 6" xfId="1950" xr:uid="{2C80EB65-AC6E-4498-A381-7DB65337ADAD}"/>
    <cellStyle name="40% - Accent6 3" xfId="94" xr:uid="{00000000-0005-0000-0000-0000B9000000}"/>
    <cellStyle name="40% - Accent6 3 2" xfId="95" xr:uid="{00000000-0005-0000-0000-0000BA000000}"/>
    <cellStyle name="40% - Accent6 3 2 2" xfId="672" xr:uid="{00000000-0005-0000-0000-0000BB000000}"/>
    <cellStyle name="40% - Accent6 3 2 2 2" xfId="1542" xr:uid="{8C33D897-CEB0-45AC-80CC-007E4F4C2FFB}"/>
    <cellStyle name="40% - Accent6 3 2 2 2 2" xfId="3200" xr:uid="{61F9D0E5-7613-44C8-80E2-B83CB7896BC8}"/>
    <cellStyle name="40% - Accent6 3 2 2 3" xfId="2371" xr:uid="{C81D3493-6ED6-4B5C-89D4-3FF633EFDFA6}"/>
    <cellStyle name="40% - Accent6 3 2 3" xfId="1126" xr:uid="{7A25E789-4DC4-4AF3-AD04-FDCE407CCE38}"/>
    <cellStyle name="40% - Accent6 3 2 3 2" xfId="2784" xr:uid="{2FA831C5-F40E-4782-9FF5-C3CC5FF8567F}"/>
    <cellStyle name="40% - Accent6 3 2 4" xfId="1955" xr:uid="{5BFC925C-EA6C-4D04-A56F-2B66EDED8474}"/>
    <cellStyle name="40% - Accent6 3 3" xfId="671" xr:uid="{00000000-0005-0000-0000-0000BC000000}"/>
    <cellStyle name="40% - Accent6 3 3 2" xfId="1541" xr:uid="{4482DB62-3EE1-4784-A349-6FC8534B63BA}"/>
    <cellStyle name="40% - Accent6 3 3 2 2" xfId="3199" xr:uid="{FBC3998B-CEF3-4B74-BFB3-40CAB22D68FC}"/>
    <cellStyle name="40% - Accent6 3 3 3" xfId="2370" xr:uid="{679261A4-1E26-4209-867D-7FFAC58FD440}"/>
    <cellStyle name="40% - Accent6 3 4" xfId="1125" xr:uid="{C60A4ED1-C996-4C63-B4AB-0393ED0871FF}"/>
    <cellStyle name="40% - Accent6 3 4 2" xfId="2783" xr:uid="{ED40ED49-C560-49DD-AB07-75EC2EAAEA6C}"/>
    <cellStyle name="40% - Accent6 3 5" xfId="1954" xr:uid="{4E813779-83F9-4301-8EBC-F70EBA904C51}"/>
    <cellStyle name="40% - Accent6 4" xfId="96" xr:uid="{00000000-0005-0000-0000-0000BD000000}"/>
    <cellStyle name="40% - Accent6 4 2" xfId="673" xr:uid="{00000000-0005-0000-0000-0000BE000000}"/>
    <cellStyle name="40% - Accent6 4 2 2" xfId="1543" xr:uid="{67E7FCC5-ABB8-4C91-AEFF-5D57585D57E8}"/>
    <cellStyle name="40% - Accent6 4 2 2 2" xfId="3201" xr:uid="{9176BDF1-9B47-40EA-AA2E-5CD0A5C4B260}"/>
    <cellStyle name="40% - Accent6 4 2 3" xfId="2372" xr:uid="{91FB40F4-DEA2-4B1C-A830-37090BB91334}"/>
    <cellStyle name="40% - Accent6 4 3" xfId="1127" xr:uid="{482983D1-0B3A-4D68-93D9-4C609024D739}"/>
    <cellStyle name="40% - Accent6 4 3 2" xfId="2785" xr:uid="{CA1F7234-C194-448B-AEF1-B789AA2B4281}"/>
    <cellStyle name="40% - Accent6 4 4" xfId="1956" xr:uid="{74DC6EB8-8680-465A-9417-4305050A7AB8}"/>
    <cellStyle name="40% - Accent6 5" xfId="666" xr:uid="{00000000-0005-0000-0000-0000BF000000}"/>
    <cellStyle name="40% - Accent6 5 2" xfId="1536" xr:uid="{1AECC43E-6DF1-4194-8331-4CD4772A1735}"/>
    <cellStyle name="40% - Accent6 5 2 2" xfId="3194" xr:uid="{73946A92-731E-49EA-AFD5-411060E97ADA}"/>
    <cellStyle name="40% - Accent6 5 3" xfId="2365" xr:uid="{8F32E5DE-0917-40BD-B4CC-BAA4F193C67A}"/>
    <cellStyle name="40% - Accent6 6" xfId="1120" xr:uid="{BDEFE257-40DD-4C6A-9E9C-8E8DA035BF65}"/>
    <cellStyle name="40% - Accent6 6 2" xfId="2778" xr:uid="{FEAB0BD7-49C3-4249-B096-FAED7202C8E3}"/>
    <cellStyle name="40% - Accent6 7" xfId="1949" xr:uid="{374BC282-C110-41FF-B336-9A2700AB7B2C}"/>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95532EEE-AEE8-4CA5-B07E-A56121849B33}"/>
    <cellStyle name="Comma 4 2 2 2 2 2 2 2 2" xfId="3204" xr:uid="{421B42C1-A25E-4003-8F27-0891E978DC4C}"/>
    <cellStyle name="Comma 4 2 2 2 2 2 2 3" xfId="2375" xr:uid="{F292C8E8-D1AB-42B1-ACFA-6D8A6F3B856A}"/>
    <cellStyle name="Comma 4 2 2 2 2 2 3" xfId="1130" xr:uid="{C0D4C1CF-AE86-44F9-80A9-2F23DE35CF83}"/>
    <cellStyle name="Comma 4 2 2 2 2 2 3 2" xfId="2788" xr:uid="{FF5BD88A-89E5-4768-80CA-36D707AE304E}"/>
    <cellStyle name="Comma 4 2 2 2 2 2 4" xfId="1959" xr:uid="{413D4F32-2636-4021-8E19-AD540F97EB0D}"/>
    <cellStyle name="Comma 4 2 2 2 2 3" xfId="675" xr:uid="{00000000-0005-0000-0000-0000E3000000}"/>
    <cellStyle name="Comma 4 2 2 2 2 3 2" xfId="1545" xr:uid="{97312170-10F6-449A-AB8F-F30DD784F5F8}"/>
    <cellStyle name="Comma 4 2 2 2 2 3 2 2" xfId="3203" xr:uid="{89D30972-24F5-4AD3-B90A-4713714F755C}"/>
    <cellStyle name="Comma 4 2 2 2 2 3 3" xfId="2374" xr:uid="{46A4871B-3C78-4F0A-AB43-5A126885E27D}"/>
    <cellStyle name="Comma 4 2 2 2 2 4" xfId="1129" xr:uid="{C86F506B-4B8D-4354-898A-55099C1E1FB7}"/>
    <cellStyle name="Comma 4 2 2 2 2 4 2" xfId="2787" xr:uid="{965999A2-E1EE-403D-8241-516057B92268}"/>
    <cellStyle name="Comma 4 2 2 2 2 5" xfId="1958" xr:uid="{4877DF1D-0744-4B25-AC51-5321040CD3F9}"/>
    <cellStyle name="Comma 4 2 2 2 3" xfId="131" xr:uid="{00000000-0005-0000-0000-0000E4000000}"/>
    <cellStyle name="Comma 4 2 2 2 3 2" xfId="677" xr:uid="{00000000-0005-0000-0000-0000E5000000}"/>
    <cellStyle name="Comma 4 2 2 2 3 2 2" xfId="1547" xr:uid="{83E9D9A5-ED0C-4998-A58B-AAAADA8FF548}"/>
    <cellStyle name="Comma 4 2 2 2 3 2 2 2" xfId="3205" xr:uid="{C57B06AF-CA44-495E-A8EF-5ACD9DD72686}"/>
    <cellStyle name="Comma 4 2 2 2 3 2 3" xfId="2376" xr:uid="{D79EDFFE-8C0F-4BEF-8467-F8642F69462B}"/>
    <cellStyle name="Comma 4 2 2 2 3 3" xfId="1131" xr:uid="{729DF444-8EF0-4F8D-A41E-981A8A65E961}"/>
    <cellStyle name="Comma 4 2 2 2 3 3 2" xfId="2789" xr:uid="{9198FB40-6A16-477E-9278-71BA6C07EE4E}"/>
    <cellStyle name="Comma 4 2 2 2 3 4" xfId="1960" xr:uid="{7F5D189C-764C-4E51-B55A-6CF396DCD8B1}"/>
    <cellStyle name="Comma 4 2 2 2 4" xfId="674" xr:uid="{00000000-0005-0000-0000-0000E6000000}"/>
    <cellStyle name="Comma 4 2 2 2 4 2" xfId="1544" xr:uid="{9296DBAD-03F9-4E50-8E1F-B28C8BFDB1D4}"/>
    <cellStyle name="Comma 4 2 2 2 4 2 2" xfId="3202" xr:uid="{02C137E7-2D72-4A45-AFC7-579D678C5B06}"/>
    <cellStyle name="Comma 4 2 2 2 4 3" xfId="2373" xr:uid="{ADF164CA-29E7-4682-8561-EFA0B7169F8A}"/>
    <cellStyle name="Comma 4 2 2 2 5" xfId="1128" xr:uid="{065D10FE-D725-4923-BBB7-2B3BE4F0268B}"/>
    <cellStyle name="Comma 4 2 2 2 5 2" xfId="2786" xr:uid="{84BAD09B-32D6-4D10-9C2F-60235870C898}"/>
    <cellStyle name="Comma 4 2 2 2 6" xfId="1957" xr:uid="{7C2B09D3-103E-4142-809E-885003E37BF0}"/>
    <cellStyle name="Comma 4 2 2 3" xfId="132" xr:uid="{00000000-0005-0000-0000-0000E7000000}"/>
    <cellStyle name="Comma 4 2 2 3 2" xfId="133" xr:uid="{00000000-0005-0000-0000-0000E8000000}"/>
    <cellStyle name="Comma 4 2 2 3 2 2" xfId="679" xr:uid="{00000000-0005-0000-0000-0000E9000000}"/>
    <cellStyle name="Comma 4 2 2 3 2 2 2" xfId="1549" xr:uid="{F8CAEBDC-D8AE-40FB-9A64-4640BDAADCD3}"/>
    <cellStyle name="Comma 4 2 2 3 2 2 2 2" xfId="3207" xr:uid="{0E355965-0616-47BC-9295-B2EB28A4C4BE}"/>
    <cellStyle name="Comma 4 2 2 3 2 2 3" xfId="2378" xr:uid="{24AE878F-987F-40F5-91A9-45AE3CA4A2C0}"/>
    <cellStyle name="Comma 4 2 2 3 2 3" xfId="1133" xr:uid="{9C7229D6-FD29-4D87-8B30-F0D27F94B087}"/>
    <cellStyle name="Comma 4 2 2 3 2 3 2" xfId="2791" xr:uid="{700DC39A-A5BD-49E1-B8C7-A1420A75F121}"/>
    <cellStyle name="Comma 4 2 2 3 2 4" xfId="1962" xr:uid="{8ABAD7CB-EC18-4202-B121-2DE647DEA665}"/>
    <cellStyle name="Comma 4 2 2 3 3" xfId="678" xr:uid="{00000000-0005-0000-0000-0000EA000000}"/>
    <cellStyle name="Comma 4 2 2 3 3 2" xfId="1548" xr:uid="{01E86A44-5317-467A-8E2F-2CF37C3A2D07}"/>
    <cellStyle name="Comma 4 2 2 3 3 2 2" xfId="3206" xr:uid="{99266434-5E77-4B0A-8C79-50435D66D784}"/>
    <cellStyle name="Comma 4 2 2 3 3 3" xfId="2377" xr:uid="{332F14EE-2D79-4288-9ECD-D55946AA5FF2}"/>
    <cellStyle name="Comma 4 2 2 3 4" xfId="1132" xr:uid="{80B7C236-437F-4614-8F2A-D52202E7DA9E}"/>
    <cellStyle name="Comma 4 2 2 3 4 2" xfId="2790" xr:uid="{123E023C-2CC2-491A-AC80-FB47BA08E933}"/>
    <cellStyle name="Comma 4 2 2 3 5" xfId="1961" xr:uid="{AA1A9E13-505A-4E5D-94D2-CC0764DF33B3}"/>
    <cellStyle name="Comma 4 2 2 4" xfId="134" xr:uid="{00000000-0005-0000-0000-0000EB000000}"/>
    <cellStyle name="Comma 4 2 2 4 2" xfId="680" xr:uid="{00000000-0005-0000-0000-0000EC000000}"/>
    <cellStyle name="Comma 4 2 2 4 2 2" xfId="1550" xr:uid="{A3A29A8A-6B53-434B-84EC-10B2C3F8DF7C}"/>
    <cellStyle name="Comma 4 2 2 4 2 2 2" xfId="3208" xr:uid="{0A6DEBE6-CDFB-4811-89C4-3B2613B1B308}"/>
    <cellStyle name="Comma 4 2 2 4 2 3" xfId="2379" xr:uid="{E0BBDA8A-FACF-42F2-A2AE-04CC1B238798}"/>
    <cellStyle name="Comma 4 2 2 4 3" xfId="1134" xr:uid="{9EFF0688-0D12-4FF1-B907-302F65C8917B}"/>
    <cellStyle name="Comma 4 2 2 4 3 2" xfId="2792" xr:uid="{3C9B1933-6A16-40F0-ACD7-9899D6E289C6}"/>
    <cellStyle name="Comma 4 2 2 4 4" xfId="1963" xr:uid="{13AC1BFE-7A28-4D86-94E7-BCC2CC2AA86A}"/>
    <cellStyle name="Comma 4 2 2 5" xfId="135" xr:uid="{00000000-0005-0000-0000-0000ED000000}"/>
    <cellStyle name="Comma 4 2 2 5 2" xfId="681" xr:uid="{00000000-0005-0000-0000-0000EE000000}"/>
    <cellStyle name="Comma 4 2 2 5 2 2" xfId="1551" xr:uid="{1B8C9770-E863-4EC0-A109-8E2B0EAE5A95}"/>
    <cellStyle name="Comma 4 2 2 5 2 2 2" xfId="3209" xr:uid="{D39709A4-F2BA-470C-903D-669403F3C9A9}"/>
    <cellStyle name="Comma 4 2 2 5 2 3" xfId="2380" xr:uid="{A91002AA-D605-4AB0-AF9F-09FE87D30474}"/>
    <cellStyle name="Comma 4 2 2 5 3" xfId="1135" xr:uid="{CBF93327-B274-42B6-A2DF-986496140DE2}"/>
    <cellStyle name="Comma 4 2 2 5 3 2" xfId="2793" xr:uid="{C7B7766B-2F72-45C2-94E5-161EE61C4192}"/>
    <cellStyle name="Comma 4 2 2 5 4" xfId="1964" xr:uid="{89D633A6-FE4E-41CA-B446-2CFF7AC78058}"/>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BA9FC47F-E76C-41AB-9F47-4F12EAE0D496}"/>
    <cellStyle name="Comma 4 2 3 2 2 2 2 2" xfId="3212" xr:uid="{98229B0A-AB63-422A-99C6-B0E90B842E73}"/>
    <cellStyle name="Comma 4 2 3 2 2 2 3" xfId="2383" xr:uid="{A24046F3-4D2C-4BA8-9FF6-78C1E786B9B8}"/>
    <cellStyle name="Comma 4 2 3 2 2 3" xfId="1138" xr:uid="{45625974-F776-45FA-916A-BD9F1972682F}"/>
    <cellStyle name="Comma 4 2 3 2 2 3 2" xfId="2796" xr:uid="{BD6715DB-4E62-4FFC-B00A-E0916D2BEC3A}"/>
    <cellStyle name="Comma 4 2 3 2 2 4" xfId="1967" xr:uid="{1A7FFF2C-4D7A-460B-81C3-806462F68AB8}"/>
    <cellStyle name="Comma 4 2 3 2 3" xfId="683" xr:uid="{00000000-0005-0000-0000-0000F3000000}"/>
    <cellStyle name="Comma 4 2 3 2 3 2" xfId="1553" xr:uid="{F6611B01-F6D8-46EC-B0FC-30CCBB2652AF}"/>
    <cellStyle name="Comma 4 2 3 2 3 2 2" xfId="3211" xr:uid="{834DF8B1-330B-4E57-93A3-1E8DF2CFF754}"/>
    <cellStyle name="Comma 4 2 3 2 3 3" xfId="2382" xr:uid="{33F86A2E-9A93-4419-9BFA-EDAD45D60BC4}"/>
    <cellStyle name="Comma 4 2 3 2 4" xfId="1137" xr:uid="{B9E36D7D-934D-4967-A3E7-FC1A942B7CE6}"/>
    <cellStyle name="Comma 4 2 3 2 4 2" xfId="2795" xr:uid="{473A0061-EDA1-453E-BF98-95007CB4A551}"/>
    <cellStyle name="Comma 4 2 3 2 5" xfId="1966" xr:uid="{91942B0C-C297-48E6-B112-F64D7F7A470D}"/>
    <cellStyle name="Comma 4 2 3 3" xfId="139" xr:uid="{00000000-0005-0000-0000-0000F4000000}"/>
    <cellStyle name="Comma 4 2 3 3 2" xfId="685" xr:uid="{00000000-0005-0000-0000-0000F5000000}"/>
    <cellStyle name="Comma 4 2 3 3 2 2" xfId="1555" xr:uid="{41B88499-59ED-4DEA-A7E8-22227DC6DAE0}"/>
    <cellStyle name="Comma 4 2 3 3 2 2 2" xfId="3213" xr:uid="{E5DC7EDD-1BFC-43C1-9941-25CAE71E5B2A}"/>
    <cellStyle name="Comma 4 2 3 3 2 3" xfId="2384" xr:uid="{B31F0DA0-A37A-464B-A5F2-FCEBB930C507}"/>
    <cellStyle name="Comma 4 2 3 3 3" xfId="1139" xr:uid="{2C7465D4-0AB7-4FB4-A3B5-C15C6881E299}"/>
    <cellStyle name="Comma 4 2 3 3 3 2" xfId="2797" xr:uid="{7292D2D0-8619-4212-860B-71C81B5E08F0}"/>
    <cellStyle name="Comma 4 2 3 3 4" xfId="1968" xr:uid="{9718C0DF-6C1C-45C3-88C1-F4B52C550CA0}"/>
    <cellStyle name="Comma 4 2 3 4" xfId="682" xr:uid="{00000000-0005-0000-0000-0000F6000000}"/>
    <cellStyle name="Comma 4 2 3 4 2" xfId="1552" xr:uid="{8ABC3CF2-1B92-40EC-9A7C-9A3AC323BD31}"/>
    <cellStyle name="Comma 4 2 3 4 2 2" xfId="3210" xr:uid="{AC43AA57-49E8-4CAE-B942-D5CFAEE5A23A}"/>
    <cellStyle name="Comma 4 2 3 4 3" xfId="2381" xr:uid="{BAF08F8F-4D1C-4FF4-8277-7C01CC830BD4}"/>
    <cellStyle name="Comma 4 2 3 5" xfId="1136" xr:uid="{A51D1E74-B5BF-4B6B-B0DC-37D7CE74EB6E}"/>
    <cellStyle name="Comma 4 2 3 5 2" xfId="2794" xr:uid="{760ADFCB-9709-4D6E-86C5-ED48AE597E08}"/>
    <cellStyle name="Comma 4 2 3 6" xfId="1965" xr:uid="{37642FF6-A42C-48BF-A5D6-BBAD6EDD6372}"/>
    <cellStyle name="Comma 4 2 4" xfId="140" xr:uid="{00000000-0005-0000-0000-0000F7000000}"/>
    <cellStyle name="Comma 4 2 4 2" xfId="141" xr:uid="{00000000-0005-0000-0000-0000F8000000}"/>
    <cellStyle name="Comma 4 2 4 2 2" xfId="687" xr:uid="{00000000-0005-0000-0000-0000F9000000}"/>
    <cellStyle name="Comma 4 2 4 2 2 2" xfId="1557" xr:uid="{E62912A0-2029-410A-93E1-A26D53CAAAE0}"/>
    <cellStyle name="Comma 4 2 4 2 2 2 2" xfId="3215" xr:uid="{6CBE86F3-0080-4471-8FB1-6A1F2D5492D8}"/>
    <cellStyle name="Comma 4 2 4 2 2 3" xfId="2386" xr:uid="{53BA3EBE-63F0-463B-99F5-72C33A921C08}"/>
    <cellStyle name="Comma 4 2 4 2 3" xfId="1141" xr:uid="{6E8FA37A-1025-400E-A9AC-FDDB15A5841D}"/>
    <cellStyle name="Comma 4 2 4 2 3 2" xfId="2799" xr:uid="{9464040D-A25C-4397-B173-36D5176E18CC}"/>
    <cellStyle name="Comma 4 2 4 2 4" xfId="1970" xr:uid="{CACDBE26-821E-4125-B7B7-45567E3E4D19}"/>
    <cellStyle name="Comma 4 2 4 3" xfId="686" xr:uid="{00000000-0005-0000-0000-0000FA000000}"/>
    <cellStyle name="Comma 4 2 4 3 2" xfId="1556" xr:uid="{AE7B78FF-6FEB-4C8A-8448-2CA7224FF9F6}"/>
    <cellStyle name="Comma 4 2 4 3 2 2" xfId="3214" xr:uid="{4DAE3EC9-47CE-43EC-A65C-5C40C4F263D4}"/>
    <cellStyle name="Comma 4 2 4 3 3" xfId="2385" xr:uid="{5D57867D-A30F-41C4-B5F0-7BB8191CA9C0}"/>
    <cellStyle name="Comma 4 2 4 4" xfId="1140" xr:uid="{D5BBCDFE-3400-4855-85CF-CA3E894C3B7A}"/>
    <cellStyle name="Comma 4 2 4 4 2" xfId="2798" xr:uid="{4DFEEFC7-F115-48BD-AB15-43C920799AB9}"/>
    <cellStyle name="Comma 4 2 4 5" xfId="1969" xr:uid="{CB20F6E6-07DD-4BA4-B5FC-D2EE2B57AD25}"/>
    <cellStyle name="Comma 4 2 5" xfId="142" xr:uid="{00000000-0005-0000-0000-0000FB000000}"/>
    <cellStyle name="Comma 4 2 5 2" xfId="688" xr:uid="{00000000-0005-0000-0000-0000FC000000}"/>
    <cellStyle name="Comma 4 2 5 2 2" xfId="1558" xr:uid="{CC12ECB3-BFEB-424C-820C-9914A9443708}"/>
    <cellStyle name="Comma 4 2 5 2 2 2" xfId="3216" xr:uid="{F7A466EA-70CF-4574-BD3A-6FA21B712058}"/>
    <cellStyle name="Comma 4 2 5 2 3" xfId="2387" xr:uid="{EF839161-8B55-43B5-A38E-A16D6311E780}"/>
    <cellStyle name="Comma 4 2 5 3" xfId="1142" xr:uid="{1CA1ACCA-22F4-40F5-BFD7-60274A713586}"/>
    <cellStyle name="Comma 4 2 5 3 2" xfId="2800" xr:uid="{D55DC6B9-C361-426D-9CA5-D68EE426B1DD}"/>
    <cellStyle name="Comma 4 2 5 4" xfId="1971" xr:uid="{EFE1CBA0-199E-4BB9-8127-ADC7F85E2841}"/>
    <cellStyle name="Comma 4 2 6" xfId="143" xr:uid="{00000000-0005-0000-0000-0000FD000000}"/>
    <cellStyle name="Comma 4 2 6 2" xfId="689" xr:uid="{00000000-0005-0000-0000-0000FE000000}"/>
    <cellStyle name="Comma 4 2 6 2 2" xfId="1559" xr:uid="{AE26F7CE-2818-479F-B220-B535BE8455F1}"/>
    <cellStyle name="Comma 4 2 6 2 2 2" xfId="3217" xr:uid="{F917317F-880D-4230-9627-B4F3C63A2CD1}"/>
    <cellStyle name="Comma 4 2 6 2 3" xfId="2388" xr:uid="{D9556708-A63F-4420-9780-DB5A17D42AE1}"/>
    <cellStyle name="Comma 4 2 6 3" xfId="1143" xr:uid="{035F5F0B-6BC9-49CD-87E3-C0F719E857E1}"/>
    <cellStyle name="Comma 4 2 6 3 2" xfId="2801" xr:uid="{A7D3C991-EEC2-402C-B787-447693D22925}"/>
    <cellStyle name="Comma 4 2 6 4" xfId="1972" xr:uid="{8048D520-EE36-42A7-A831-53F881470A6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14280AF5-4E51-431D-87EB-853CC856FF6B}"/>
    <cellStyle name="Comma 4 3 2 2 2 2 2 2" xfId="3220" xr:uid="{98A53537-A387-47E2-A818-6CDC528015CD}"/>
    <cellStyle name="Comma 4 3 2 2 2 2 3" xfId="2391" xr:uid="{A341CE2E-362E-4811-896F-E03B474805F5}"/>
    <cellStyle name="Comma 4 3 2 2 2 3" xfId="1146" xr:uid="{D5DFFACD-6B9D-487E-B208-3A3621657A29}"/>
    <cellStyle name="Comma 4 3 2 2 2 3 2" xfId="2804" xr:uid="{23D04281-F8FB-4E54-A7EE-A5448CC22171}"/>
    <cellStyle name="Comma 4 3 2 2 2 4" xfId="1975" xr:uid="{EC513D09-02E5-4D4B-B24E-7C2342D4CCC6}"/>
    <cellStyle name="Comma 4 3 2 2 3" xfId="691" xr:uid="{00000000-0005-0000-0000-000004010000}"/>
    <cellStyle name="Comma 4 3 2 2 3 2" xfId="1561" xr:uid="{8ECAF982-9627-40F2-BAA7-A55669F6F2BA}"/>
    <cellStyle name="Comma 4 3 2 2 3 2 2" xfId="3219" xr:uid="{F6EECEC8-23B0-48DA-92A5-A0374EC71EA7}"/>
    <cellStyle name="Comma 4 3 2 2 3 3" xfId="2390" xr:uid="{9EEA158B-39DD-40CC-A28F-767753B57CD4}"/>
    <cellStyle name="Comma 4 3 2 2 4" xfId="1145" xr:uid="{73C6C9D3-858E-49E4-99A9-F2BC3D96B91E}"/>
    <cellStyle name="Comma 4 3 2 2 4 2" xfId="2803" xr:uid="{CE449440-56CB-48C3-889A-E78F888CA505}"/>
    <cellStyle name="Comma 4 3 2 2 5" xfId="1974" xr:uid="{ECA54FF2-C2F7-4DB1-B767-8AF20B5637BE}"/>
    <cellStyle name="Comma 4 3 2 3" xfId="148" xr:uid="{00000000-0005-0000-0000-000005010000}"/>
    <cellStyle name="Comma 4 3 2 3 2" xfId="693" xr:uid="{00000000-0005-0000-0000-000006010000}"/>
    <cellStyle name="Comma 4 3 2 3 2 2" xfId="1563" xr:uid="{14DDCC0E-8A6F-426B-99ED-DF8A5ACA7FB9}"/>
    <cellStyle name="Comma 4 3 2 3 2 2 2" xfId="3221" xr:uid="{5138B23E-9619-4979-BC00-F92F5E661DC5}"/>
    <cellStyle name="Comma 4 3 2 3 2 3" xfId="2392" xr:uid="{E3A7DFA1-58FC-41F8-A653-4AFE9B454072}"/>
    <cellStyle name="Comma 4 3 2 3 3" xfId="1147" xr:uid="{25CC9C18-EF0B-4886-832D-BA82DC7571CE}"/>
    <cellStyle name="Comma 4 3 2 3 3 2" xfId="2805" xr:uid="{F97E828A-085D-424E-B41E-0506D2AB49C3}"/>
    <cellStyle name="Comma 4 3 2 3 4" xfId="1976" xr:uid="{04138217-BAEE-4242-801F-FE5985D62D78}"/>
    <cellStyle name="Comma 4 3 2 4" xfId="690" xr:uid="{00000000-0005-0000-0000-000007010000}"/>
    <cellStyle name="Comma 4 3 2 4 2" xfId="1560" xr:uid="{BBFDBDB0-4750-4572-BDEF-C5ECC9EE2861}"/>
    <cellStyle name="Comma 4 3 2 4 2 2" xfId="3218" xr:uid="{369EE4D7-7E71-4E41-9CA9-A358D7DC94D0}"/>
    <cellStyle name="Comma 4 3 2 4 3" xfId="2389" xr:uid="{1B05EFFC-CA45-4421-B157-4E3EE77A9C36}"/>
    <cellStyle name="Comma 4 3 2 5" xfId="1144" xr:uid="{458764E0-18F5-41F2-A9CE-D12A0D47427B}"/>
    <cellStyle name="Comma 4 3 2 5 2" xfId="2802" xr:uid="{AF8D8BDA-2593-46E4-BC7A-2ED5502D3BC3}"/>
    <cellStyle name="Comma 4 3 2 6" xfId="1973" xr:uid="{4ABEE6A9-2742-41E3-9E53-184B02D20032}"/>
    <cellStyle name="Comma 4 3 3" xfId="149" xr:uid="{00000000-0005-0000-0000-000008010000}"/>
    <cellStyle name="Comma 4 3 3 2" xfId="150" xr:uid="{00000000-0005-0000-0000-000009010000}"/>
    <cellStyle name="Comma 4 3 3 2 2" xfId="695" xr:uid="{00000000-0005-0000-0000-00000A010000}"/>
    <cellStyle name="Comma 4 3 3 2 2 2" xfId="1565" xr:uid="{9002F6B8-3A88-483C-AB6C-6797CF7E92D9}"/>
    <cellStyle name="Comma 4 3 3 2 2 2 2" xfId="3223" xr:uid="{39F934FD-39E1-4419-9738-BAD59039A429}"/>
    <cellStyle name="Comma 4 3 3 2 2 3" xfId="2394" xr:uid="{297AAE07-1AA0-49A5-903C-54E0DEAE26E0}"/>
    <cellStyle name="Comma 4 3 3 2 3" xfId="1149" xr:uid="{7BC8C0B4-FBD6-4A58-9DA7-BB047A633B57}"/>
    <cellStyle name="Comma 4 3 3 2 3 2" xfId="2807" xr:uid="{F4C3D769-10CD-4E5C-9D5D-F8B71A2669DD}"/>
    <cellStyle name="Comma 4 3 3 2 4" xfId="1978" xr:uid="{DF391E2C-8D3C-4EB5-BB7B-97330BE63464}"/>
    <cellStyle name="Comma 4 3 3 3" xfId="694" xr:uid="{00000000-0005-0000-0000-00000B010000}"/>
    <cellStyle name="Comma 4 3 3 3 2" xfId="1564" xr:uid="{AC85141E-8178-416C-AD76-2E7B8F35618D}"/>
    <cellStyle name="Comma 4 3 3 3 2 2" xfId="3222" xr:uid="{DEF59C2D-532F-4F31-9BAC-DFCD91B48F9E}"/>
    <cellStyle name="Comma 4 3 3 3 3" xfId="2393" xr:uid="{BA9C2DE6-5A2E-4423-91F8-F6D7031875BA}"/>
    <cellStyle name="Comma 4 3 3 4" xfId="1148" xr:uid="{56AB0A4A-B122-40CC-A9F2-816296FDD1C1}"/>
    <cellStyle name="Comma 4 3 3 4 2" xfId="2806" xr:uid="{5C4DCEB7-71B3-4406-AAF7-17D02387238C}"/>
    <cellStyle name="Comma 4 3 3 5" xfId="1977" xr:uid="{85146769-7698-4BEA-AB27-4ED9B0A9486F}"/>
    <cellStyle name="Comma 4 3 4" xfId="151" xr:uid="{00000000-0005-0000-0000-00000C010000}"/>
    <cellStyle name="Comma 4 3 4 2" xfId="696" xr:uid="{00000000-0005-0000-0000-00000D010000}"/>
    <cellStyle name="Comma 4 3 4 2 2" xfId="1566" xr:uid="{7EF1AA8B-3480-416C-B134-5C1229286F8A}"/>
    <cellStyle name="Comma 4 3 4 2 2 2" xfId="3224" xr:uid="{6E4C740A-BBD5-407F-9E33-04F7795D2994}"/>
    <cellStyle name="Comma 4 3 4 2 3" xfId="2395" xr:uid="{8FBD0783-9DC2-461C-99A0-CBE79884D7C9}"/>
    <cellStyle name="Comma 4 3 4 3" xfId="1150" xr:uid="{3AEFDE68-AD68-42B2-940B-D148849821AE}"/>
    <cellStyle name="Comma 4 3 4 3 2" xfId="2808" xr:uid="{A9193CF4-7DAF-479D-862A-9E0E877BBBAF}"/>
    <cellStyle name="Comma 4 3 4 4" xfId="1979" xr:uid="{C47B1483-A492-45B6-BDD4-BCF96EDB5189}"/>
    <cellStyle name="Comma 4 3 5" xfId="152" xr:uid="{00000000-0005-0000-0000-00000E010000}"/>
    <cellStyle name="Comma 4 3 5 2" xfId="697" xr:uid="{00000000-0005-0000-0000-00000F010000}"/>
    <cellStyle name="Comma 4 3 5 2 2" xfId="1567" xr:uid="{CB04C94C-DC3F-4B5F-A92B-AB69A97267CF}"/>
    <cellStyle name="Comma 4 3 5 2 2 2" xfId="3225" xr:uid="{9625BCEE-DF6A-48AE-ACDE-5D78B961D074}"/>
    <cellStyle name="Comma 4 3 5 2 3" xfId="2396" xr:uid="{E00D4FD2-CCFF-439E-AF66-21E4469D973A}"/>
    <cellStyle name="Comma 4 3 5 3" xfId="1151" xr:uid="{0BA82A42-BADB-4236-83B4-FA8A94557BA0}"/>
    <cellStyle name="Comma 4 3 5 3 2" xfId="2809" xr:uid="{4DC2A30E-AD31-42CD-80B4-441C828B4258}"/>
    <cellStyle name="Comma 4 3 5 4" xfId="1980" xr:uid="{360C8C92-B378-458C-9A2E-5874FD878176}"/>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755ACEC5-BC5D-4F23-AF89-6C32F3921253}"/>
    <cellStyle name="Comma 4 4 2 2 2 2 2" xfId="3228" xr:uid="{C186A5DC-1EDA-40F5-9D4C-5530AB16F57A}"/>
    <cellStyle name="Comma 4 4 2 2 2 3" xfId="2399" xr:uid="{346D3E55-9708-4B39-AC69-BA44662D85A2}"/>
    <cellStyle name="Comma 4 4 2 2 3" xfId="1154" xr:uid="{E28CAC1D-D29F-4C99-96E7-02F36FC43997}"/>
    <cellStyle name="Comma 4 4 2 2 3 2" xfId="2812" xr:uid="{D95284D5-C0E9-45EE-AFA2-7C7B33B544EB}"/>
    <cellStyle name="Comma 4 4 2 2 4" xfId="1983" xr:uid="{56302DEF-5BC6-483D-AFDE-610BF17A7FCA}"/>
    <cellStyle name="Comma 4 4 2 3" xfId="699" xr:uid="{00000000-0005-0000-0000-000014010000}"/>
    <cellStyle name="Comma 4 4 2 3 2" xfId="1569" xr:uid="{C09A2083-5B51-4B20-B193-51CFBD137905}"/>
    <cellStyle name="Comma 4 4 2 3 2 2" xfId="3227" xr:uid="{DAC20E6C-C0D6-4388-8807-12DBF8882D5E}"/>
    <cellStyle name="Comma 4 4 2 3 3" xfId="2398" xr:uid="{47A14196-F5F3-4462-9912-816E4E6E225E}"/>
    <cellStyle name="Comma 4 4 2 4" xfId="1153" xr:uid="{BC2D5DCA-6C8D-4FF1-A0AA-73068BDEC0C8}"/>
    <cellStyle name="Comma 4 4 2 4 2" xfId="2811" xr:uid="{D88784A5-6DC5-4F1D-B249-9D6B2D659383}"/>
    <cellStyle name="Comma 4 4 2 5" xfId="1982" xr:uid="{6D141386-83A6-4C02-8E4E-9BDB5BB866D0}"/>
    <cellStyle name="Comma 4 4 3" xfId="156" xr:uid="{00000000-0005-0000-0000-000015010000}"/>
    <cellStyle name="Comma 4 4 3 2" xfId="701" xr:uid="{00000000-0005-0000-0000-000016010000}"/>
    <cellStyle name="Comma 4 4 3 2 2" xfId="1571" xr:uid="{63684A98-2447-4180-8553-DA46CE36FFD2}"/>
    <cellStyle name="Comma 4 4 3 2 2 2" xfId="3229" xr:uid="{972F0945-CE4D-48E4-9179-693FBDD1C3BC}"/>
    <cellStyle name="Comma 4 4 3 2 3" xfId="2400" xr:uid="{D56D2D0E-A02E-44FA-9D88-FC02917B2D4A}"/>
    <cellStyle name="Comma 4 4 3 3" xfId="1155" xr:uid="{517CA48B-8B49-4A24-94E4-AFC5B6969352}"/>
    <cellStyle name="Comma 4 4 3 3 2" xfId="2813" xr:uid="{8B2D5244-9703-491D-817E-CBCE578898CA}"/>
    <cellStyle name="Comma 4 4 3 4" xfId="1984" xr:uid="{478AFCE9-5859-4B68-B6B0-107B30752477}"/>
    <cellStyle name="Comma 4 4 4" xfId="698" xr:uid="{00000000-0005-0000-0000-000017010000}"/>
    <cellStyle name="Comma 4 4 4 2" xfId="1568" xr:uid="{48EF2006-DE97-4853-AC86-73541A7D2829}"/>
    <cellStyle name="Comma 4 4 4 2 2" xfId="3226" xr:uid="{866023C2-04EC-4CAB-8389-C0D4C90DCAF1}"/>
    <cellStyle name="Comma 4 4 4 3" xfId="2397" xr:uid="{8C7ED696-F029-45A5-A277-2196FCF34665}"/>
    <cellStyle name="Comma 4 4 5" xfId="1152" xr:uid="{C37E76F0-A4D5-4514-B5BD-7A7F480CA3C4}"/>
    <cellStyle name="Comma 4 4 5 2" xfId="2810" xr:uid="{425A5E35-6ECF-4C16-AD7F-B1B6BBCC25BE}"/>
    <cellStyle name="Comma 4 4 6" xfId="1981" xr:uid="{7EE96A69-1B43-4BA3-B613-5FE526ACFDD2}"/>
    <cellStyle name="Comma 4 5" xfId="157" xr:uid="{00000000-0005-0000-0000-000018010000}"/>
    <cellStyle name="Comma 4 5 2" xfId="158" xr:uid="{00000000-0005-0000-0000-000019010000}"/>
    <cellStyle name="Comma 4 5 2 2" xfId="703" xr:uid="{00000000-0005-0000-0000-00001A010000}"/>
    <cellStyle name="Comma 4 5 2 2 2" xfId="1573" xr:uid="{8A563847-C8D3-43BB-AD8A-E9FBB8C73B03}"/>
    <cellStyle name="Comma 4 5 2 2 2 2" xfId="3231" xr:uid="{B48342F2-430F-431F-9D84-9AF805DA6AE6}"/>
    <cellStyle name="Comma 4 5 2 2 3" xfId="2402" xr:uid="{EE4D33AD-5C16-4443-B252-DBDD818BEB8A}"/>
    <cellStyle name="Comma 4 5 2 3" xfId="1157" xr:uid="{A53659BB-76F5-4757-822E-8935EF17702E}"/>
    <cellStyle name="Comma 4 5 2 3 2" xfId="2815" xr:uid="{28BC3F1A-EFBC-41A6-84AA-E5DFD7438B97}"/>
    <cellStyle name="Comma 4 5 2 4" xfId="1986" xr:uid="{EEA3FF5F-4ECC-4F42-9BDC-D4DED00944FA}"/>
    <cellStyle name="Comma 4 5 3" xfId="702" xr:uid="{00000000-0005-0000-0000-00001B010000}"/>
    <cellStyle name="Comma 4 5 3 2" xfId="1572" xr:uid="{465FDCA7-B4A0-434F-8E3A-6F369A67B51E}"/>
    <cellStyle name="Comma 4 5 3 2 2" xfId="3230" xr:uid="{3BC6FFC8-4690-4679-9093-0962D8D4EAEB}"/>
    <cellStyle name="Comma 4 5 3 3" xfId="2401" xr:uid="{F6CA14C3-16FA-419A-BBA5-238DC40F070F}"/>
    <cellStyle name="Comma 4 5 4" xfId="1156" xr:uid="{61A83BC3-0404-4C5B-85A9-B5851730303B}"/>
    <cellStyle name="Comma 4 5 4 2" xfId="2814" xr:uid="{12789289-9D93-40B8-8610-44F635238604}"/>
    <cellStyle name="Comma 4 5 5" xfId="1985" xr:uid="{F888D7D0-6987-426C-8CF0-2AC5C2017079}"/>
    <cellStyle name="Comma 4 6" xfId="159" xr:uid="{00000000-0005-0000-0000-00001C010000}"/>
    <cellStyle name="Comma 4 6 2" xfId="704" xr:uid="{00000000-0005-0000-0000-00001D010000}"/>
    <cellStyle name="Comma 4 6 2 2" xfId="1574" xr:uid="{943F0061-69E5-47FD-B69B-D3BFEEABB6D5}"/>
    <cellStyle name="Comma 4 6 2 2 2" xfId="3232" xr:uid="{8E2E30AF-2C68-44A8-B181-C3921C644707}"/>
    <cellStyle name="Comma 4 6 2 3" xfId="2403" xr:uid="{4E36F0FF-1B04-4164-872E-ABCE963B9CA1}"/>
    <cellStyle name="Comma 4 6 3" xfId="1158" xr:uid="{EB026DD6-AFAA-4A45-8CEE-3F4B61E42913}"/>
    <cellStyle name="Comma 4 6 3 2" xfId="2816" xr:uid="{DDEE563E-63C8-43FC-9AC7-79706EAA52F1}"/>
    <cellStyle name="Comma 4 6 4" xfId="1987" xr:uid="{04DED7F7-76C8-4760-857B-A80AC1EE1063}"/>
    <cellStyle name="Comma 4 7" xfId="160" xr:uid="{00000000-0005-0000-0000-00001E010000}"/>
    <cellStyle name="Comma 4 7 2" xfId="705" xr:uid="{00000000-0005-0000-0000-00001F010000}"/>
    <cellStyle name="Comma 4 7 2 2" xfId="1575" xr:uid="{A5A9A199-9389-4E86-B327-3FD065D74E4F}"/>
    <cellStyle name="Comma 4 7 2 2 2" xfId="3233" xr:uid="{D88FC458-0B5F-4C92-B28E-D6581B263C42}"/>
    <cellStyle name="Comma 4 7 2 3" xfId="2404" xr:uid="{9A3D751B-FEE3-4C65-B5FB-0724544935CC}"/>
    <cellStyle name="Comma 4 7 3" xfId="1159" xr:uid="{1135365D-0FBF-4486-BEFA-7C849207DC05}"/>
    <cellStyle name="Comma 4 7 3 2" xfId="2817" xr:uid="{06601178-BBB8-41AF-84D7-592C37D0241A}"/>
    <cellStyle name="Comma 4 7 4" xfId="1988" xr:uid="{79029949-FB24-4CA4-A758-85F806546A0D}"/>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B635FA70-B23A-484C-B038-906EB1350D46}"/>
    <cellStyle name="Comma 7 2 2" xfId="3104" xr:uid="{FC6C2DFE-C3A8-483C-922D-C514BF878613}"/>
    <cellStyle name="Comma 7 3" xfId="2275" xr:uid="{347EE4FE-04E4-4033-9B41-6F8F41A1C283}"/>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A2CFC889-8914-4F33-8687-34485C6160F1}"/>
    <cellStyle name="Currency 3 2 2 2 2 2 2 2" xfId="3236" xr:uid="{66E15580-F747-4C7F-A765-42057DDFC9AE}"/>
    <cellStyle name="Currency 3 2 2 2 2 2 3" xfId="2407" xr:uid="{B7BFE928-CC6B-4E38-8E03-2F58E462ADF4}"/>
    <cellStyle name="Currency 3 2 2 2 2 3" xfId="1162" xr:uid="{8C8B65B2-A0B4-4DF6-9F30-2B88CF73A888}"/>
    <cellStyle name="Currency 3 2 2 2 2 3 2" xfId="2820" xr:uid="{BD132043-98EF-4784-ABA7-F2ECD402975D}"/>
    <cellStyle name="Currency 3 2 2 2 2 4" xfId="1991" xr:uid="{4223F345-344D-486C-9540-33DEC9F52CF5}"/>
    <cellStyle name="Currency 3 2 2 2 3" xfId="716" xr:uid="{00000000-0005-0000-0000-000040010000}"/>
    <cellStyle name="Currency 3 2 2 2 3 2" xfId="1577" xr:uid="{FA710598-F3EE-4192-B94D-931BD2AA4525}"/>
    <cellStyle name="Currency 3 2 2 2 3 2 2" xfId="3235" xr:uid="{D8D7F880-B7F7-45A0-9426-E7BC78BF8B2D}"/>
    <cellStyle name="Currency 3 2 2 2 3 3" xfId="2406" xr:uid="{F841197C-D20E-4C96-AE5F-237ED905AA9E}"/>
    <cellStyle name="Currency 3 2 2 2 4" xfId="1161" xr:uid="{AE521D79-96A6-415A-AA60-70274278962F}"/>
    <cellStyle name="Currency 3 2 2 2 4 2" xfId="2819" xr:uid="{3882CC4A-FF5E-4B6C-A086-19F395B708DF}"/>
    <cellStyle name="Currency 3 2 2 2 5" xfId="1990" xr:uid="{400DE7B3-3F12-456E-B371-8D52E5B431A0}"/>
    <cellStyle name="Currency 3 2 2 3" xfId="182" xr:uid="{00000000-0005-0000-0000-000041010000}"/>
    <cellStyle name="Currency 3 2 2 3 2" xfId="718" xr:uid="{00000000-0005-0000-0000-000042010000}"/>
    <cellStyle name="Currency 3 2 2 3 2 2" xfId="1579" xr:uid="{6892B51C-E92E-4FC8-9A44-8D75F6657734}"/>
    <cellStyle name="Currency 3 2 2 3 2 2 2" xfId="3237" xr:uid="{58B8F6CC-8E05-4A33-B880-7238008FB369}"/>
    <cellStyle name="Currency 3 2 2 3 2 3" xfId="2408" xr:uid="{226E9B20-2ACD-4A06-9EEA-8C89D9A82279}"/>
    <cellStyle name="Currency 3 2 2 3 3" xfId="1163" xr:uid="{077B8A0D-78F1-44A6-A111-4E418AAF6D97}"/>
    <cellStyle name="Currency 3 2 2 3 3 2" xfId="2821" xr:uid="{575147F1-095E-4EE4-B888-295E67C3B353}"/>
    <cellStyle name="Currency 3 2 2 3 4" xfId="1992" xr:uid="{93647630-12CD-48B7-8D6A-EC6B34C9282B}"/>
    <cellStyle name="Currency 3 2 2 4" xfId="715" xr:uid="{00000000-0005-0000-0000-000043010000}"/>
    <cellStyle name="Currency 3 2 2 4 2" xfId="1576" xr:uid="{29C5D475-FAC8-4C48-A8F7-BD313D3C6B64}"/>
    <cellStyle name="Currency 3 2 2 4 2 2" xfId="3234" xr:uid="{A78EF5BD-F9B1-4333-AD7B-711CA5B995E4}"/>
    <cellStyle name="Currency 3 2 2 4 3" xfId="2405" xr:uid="{EFC3B634-555D-4CBB-AF02-96CD50F2368F}"/>
    <cellStyle name="Currency 3 2 2 5" xfId="1160" xr:uid="{02852EEC-A55F-4FC1-8FC2-EEDF0760C94A}"/>
    <cellStyle name="Currency 3 2 2 5 2" xfId="2818" xr:uid="{D53A38D5-86F4-4267-AB02-BDF87A8772D9}"/>
    <cellStyle name="Currency 3 2 2 6" xfId="1989" xr:uid="{BD459478-071B-421E-AA08-0081E3FF3D95}"/>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6EEBA4C6-1FCC-418F-A5DE-EB890BA167BF}"/>
    <cellStyle name="Currency 3 2 3 2 2 2 2" xfId="3239" xr:uid="{6632D100-1FFA-456A-A785-D5B81C16AB38}"/>
    <cellStyle name="Currency 3 2 3 2 2 3" xfId="2410" xr:uid="{60D89F06-D134-487E-BC97-7DB151E58669}"/>
    <cellStyle name="Currency 3 2 3 2 3" xfId="1165" xr:uid="{9189995D-90A3-42F9-BBDD-7683B5C321F5}"/>
    <cellStyle name="Currency 3 2 3 2 3 2" xfId="2823" xr:uid="{DABBB7D1-0940-418C-848C-E3C44FF30973}"/>
    <cellStyle name="Currency 3 2 3 2 4" xfId="1994" xr:uid="{5F0E849E-6982-43F8-95EE-C894FF2DA498}"/>
    <cellStyle name="Currency 3 2 3 3" xfId="719" xr:uid="{00000000-0005-0000-0000-000047010000}"/>
    <cellStyle name="Currency 3 2 3 3 2" xfId="1580" xr:uid="{E3B24BA8-0BE0-412B-A09B-A4095E8F0DCF}"/>
    <cellStyle name="Currency 3 2 3 3 2 2" xfId="3238" xr:uid="{E593E81A-CF75-4314-AA1A-0E05511CE269}"/>
    <cellStyle name="Currency 3 2 3 3 3" xfId="2409" xr:uid="{F68079FD-EB14-4F9B-B2D7-F75BD6885E24}"/>
    <cellStyle name="Currency 3 2 3 4" xfId="1164" xr:uid="{3DFBEC29-DBBC-45A1-9608-AE5326E0A949}"/>
    <cellStyle name="Currency 3 2 3 4 2" xfId="2822" xr:uid="{3455FB51-3C74-4645-B298-070F414B1A6D}"/>
    <cellStyle name="Currency 3 2 3 5" xfId="1993" xr:uid="{39F6A23E-8111-45AB-B5DE-185B85B25865}"/>
    <cellStyle name="Currency 3 2 4" xfId="185" xr:uid="{00000000-0005-0000-0000-000048010000}"/>
    <cellStyle name="Currency 3 2 4 2" xfId="721" xr:uid="{00000000-0005-0000-0000-000049010000}"/>
    <cellStyle name="Currency 3 2 4 2 2" xfId="1582" xr:uid="{DFD3B246-5E79-4248-9A9B-8C14F2AA5FAF}"/>
    <cellStyle name="Currency 3 2 4 2 2 2" xfId="3240" xr:uid="{8473FA20-892F-4A61-B0FE-D139D71E0ADF}"/>
    <cellStyle name="Currency 3 2 4 2 3" xfId="2411" xr:uid="{4B1C4313-73E6-4A6F-A350-25C4FB74BCF9}"/>
    <cellStyle name="Currency 3 2 4 3" xfId="1166" xr:uid="{A67AA817-92C6-4628-860B-4D18AFB6FB6D}"/>
    <cellStyle name="Currency 3 2 4 3 2" xfId="2824" xr:uid="{EBF36C0B-51A6-437D-B01F-75C241397517}"/>
    <cellStyle name="Currency 3 2 4 4" xfId="1995" xr:uid="{AEB98A99-D43D-4CE9-B5EA-F4A3249BF1F9}"/>
    <cellStyle name="Currency 3 2 5" xfId="186" xr:uid="{00000000-0005-0000-0000-00004A010000}"/>
    <cellStyle name="Currency 3 2 5 2" xfId="722" xr:uid="{00000000-0005-0000-0000-00004B010000}"/>
    <cellStyle name="Currency 3 2 5 2 2" xfId="1583" xr:uid="{E7E733C6-D5E7-475F-A7B6-C741B4E0609D}"/>
    <cellStyle name="Currency 3 2 5 2 2 2" xfId="3241" xr:uid="{8F36D0E0-337A-432E-8E44-00BC0B60936C}"/>
    <cellStyle name="Currency 3 2 5 2 3" xfId="2412" xr:uid="{13337746-B0A1-457F-931C-E09931B78916}"/>
    <cellStyle name="Currency 3 2 5 3" xfId="1167" xr:uid="{36CDAE2C-A2E9-4F00-B681-A5A5BCB5889B}"/>
    <cellStyle name="Currency 3 2 5 3 2" xfId="2825" xr:uid="{1BCD1963-0F33-4B7D-97FC-742D856DE9A0}"/>
    <cellStyle name="Currency 3 2 5 4" xfId="1996" xr:uid="{7BF57585-B794-4C64-B3B8-6146DEA02994}"/>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997E99E2-E747-4201-8229-B293A7943D89}"/>
    <cellStyle name="Currency 5 2 2 2 2 2 2 2 2" xfId="3244" xr:uid="{EE7CB72E-B729-4B25-A709-E506FBC4F707}"/>
    <cellStyle name="Currency 5 2 2 2 2 2 2 3" xfId="2415" xr:uid="{78C42221-C7B8-4504-9674-F47FA373C6A0}"/>
    <cellStyle name="Currency 5 2 2 2 2 2 3" xfId="1170" xr:uid="{C0DB0F95-39B8-45AB-B518-3E2E419F4247}"/>
    <cellStyle name="Currency 5 2 2 2 2 2 3 2" xfId="2828" xr:uid="{9523E889-B63B-47ED-A33A-58F3D011D0D1}"/>
    <cellStyle name="Currency 5 2 2 2 2 2 4" xfId="1999" xr:uid="{DEEB601B-D472-4D78-B926-60F4AAC57DED}"/>
    <cellStyle name="Currency 5 2 2 2 2 3" xfId="731" xr:uid="{00000000-0005-0000-0000-00005F010000}"/>
    <cellStyle name="Currency 5 2 2 2 2 3 2" xfId="1585" xr:uid="{6DC9C67D-09CE-4AD4-AFB4-ACE6A37CD282}"/>
    <cellStyle name="Currency 5 2 2 2 2 3 2 2" xfId="3243" xr:uid="{26B67CFC-06AB-4C04-A13B-C267FA2BEC69}"/>
    <cellStyle name="Currency 5 2 2 2 2 3 3" xfId="2414" xr:uid="{3A73ABB7-85D9-4507-BEA5-7AB96635DA42}"/>
    <cellStyle name="Currency 5 2 2 2 2 4" xfId="1169" xr:uid="{203A59FC-C985-44BB-8555-CC19C9C1CDB5}"/>
    <cellStyle name="Currency 5 2 2 2 2 4 2" xfId="2827" xr:uid="{F8B0B546-8F6D-4BAB-86E3-34306E28E861}"/>
    <cellStyle name="Currency 5 2 2 2 2 5" xfId="1998" xr:uid="{72688354-C22A-4CBF-9F56-248F393DBD93}"/>
    <cellStyle name="Currency 5 2 2 2 3" xfId="200" xr:uid="{00000000-0005-0000-0000-000060010000}"/>
    <cellStyle name="Currency 5 2 2 2 3 2" xfId="733" xr:uid="{00000000-0005-0000-0000-000061010000}"/>
    <cellStyle name="Currency 5 2 2 2 3 2 2" xfId="1587" xr:uid="{F314F1C1-1CD6-4105-BDD0-9A88C3EA2E0F}"/>
    <cellStyle name="Currency 5 2 2 2 3 2 2 2" xfId="3245" xr:uid="{43EC20A1-32BA-4B90-A039-E5D2C3060E28}"/>
    <cellStyle name="Currency 5 2 2 2 3 2 3" xfId="2416" xr:uid="{AB4A95F6-2001-441E-92A6-7CDBEAAE8CEA}"/>
    <cellStyle name="Currency 5 2 2 2 3 3" xfId="1171" xr:uid="{3DC141F1-50AC-4076-AFF8-DD7071A18A62}"/>
    <cellStyle name="Currency 5 2 2 2 3 3 2" xfId="2829" xr:uid="{6A3E10E9-1791-4E82-B784-12D6C4B230B4}"/>
    <cellStyle name="Currency 5 2 2 2 3 4" xfId="2000" xr:uid="{17E2C085-B4AE-45D3-9F56-EB1DB435A1BE}"/>
    <cellStyle name="Currency 5 2 2 2 4" xfId="730" xr:uid="{00000000-0005-0000-0000-000062010000}"/>
    <cellStyle name="Currency 5 2 2 2 4 2" xfId="1584" xr:uid="{403D6C53-2F2C-4429-BE0B-DE9BF8B2051A}"/>
    <cellStyle name="Currency 5 2 2 2 4 2 2" xfId="3242" xr:uid="{4224FC78-A9BF-462A-8527-5BC34A47DF6D}"/>
    <cellStyle name="Currency 5 2 2 2 4 3" xfId="2413" xr:uid="{B265CC71-1DD7-421F-95F4-35F671581DA1}"/>
    <cellStyle name="Currency 5 2 2 2 5" xfId="1168" xr:uid="{1E70A89E-7BBB-4D89-B145-D198EF2F731E}"/>
    <cellStyle name="Currency 5 2 2 2 5 2" xfId="2826" xr:uid="{DE06508F-2808-4AF4-8FF9-4DBB49A7693B}"/>
    <cellStyle name="Currency 5 2 2 2 6" xfId="1997" xr:uid="{68EE8CC1-1881-4191-A34E-E326177888F5}"/>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6A49E83B-99C7-4BED-B020-4138413B9132}"/>
    <cellStyle name="Currency 5 2 2 3 2 2 2 2" xfId="3247" xr:uid="{2DFD2EC4-9AAC-48D6-837D-C4B0E92B68AC}"/>
    <cellStyle name="Currency 5 2 2 3 2 2 3" xfId="2418" xr:uid="{61E49F01-3192-446B-97CA-9D1A52BD6B93}"/>
    <cellStyle name="Currency 5 2 2 3 2 3" xfId="1173" xr:uid="{DE1DF626-92F7-464D-9F9D-7662C5CBF7C0}"/>
    <cellStyle name="Currency 5 2 2 3 2 3 2" xfId="2831" xr:uid="{4CA1EFC4-F20D-4FD1-BC6B-10E028437F45}"/>
    <cellStyle name="Currency 5 2 2 3 2 4" xfId="2002" xr:uid="{AD02BDF5-02B6-496B-A117-E4639E7FAC7F}"/>
    <cellStyle name="Currency 5 2 2 3 3" xfId="734" xr:uid="{00000000-0005-0000-0000-000066010000}"/>
    <cellStyle name="Currency 5 2 2 3 3 2" xfId="1588" xr:uid="{E563C9DD-292C-4E13-B175-8E11D0ECBFD6}"/>
    <cellStyle name="Currency 5 2 2 3 3 2 2" xfId="3246" xr:uid="{26C207E7-FD1F-4AD4-A428-E15BD1113F84}"/>
    <cellStyle name="Currency 5 2 2 3 3 3" xfId="2417" xr:uid="{77717BDA-AF55-487E-BFC1-34F724152986}"/>
    <cellStyle name="Currency 5 2 2 3 4" xfId="1172" xr:uid="{70A24B4B-2617-4558-8247-1C50442B328D}"/>
    <cellStyle name="Currency 5 2 2 3 4 2" xfId="2830" xr:uid="{00E85B07-0ADE-4072-815E-75F3B4EE4344}"/>
    <cellStyle name="Currency 5 2 2 3 5" xfId="2001" xr:uid="{960A543A-9AAA-4424-B929-F95808853FB3}"/>
    <cellStyle name="Currency 5 2 2 4" xfId="203" xr:uid="{00000000-0005-0000-0000-000067010000}"/>
    <cellStyle name="Currency 5 2 2 4 2" xfId="736" xr:uid="{00000000-0005-0000-0000-000068010000}"/>
    <cellStyle name="Currency 5 2 2 4 2 2" xfId="1590" xr:uid="{BB61FC33-A343-47F5-92F1-40AC39F9CCCC}"/>
    <cellStyle name="Currency 5 2 2 4 2 2 2" xfId="3248" xr:uid="{AEF3A83B-38C9-4316-AC8D-3534F3D0D527}"/>
    <cellStyle name="Currency 5 2 2 4 2 3" xfId="2419" xr:uid="{9F1B530A-82A0-4207-8E8F-FB36CF88019B}"/>
    <cellStyle name="Currency 5 2 2 4 3" xfId="1174" xr:uid="{FFEFDAA5-8234-4025-B5F6-156AD64BBE74}"/>
    <cellStyle name="Currency 5 2 2 4 3 2" xfId="2832" xr:uid="{A5C3CB22-D0B6-42EF-A68C-73AF01A2A1AD}"/>
    <cellStyle name="Currency 5 2 2 4 4" xfId="2003" xr:uid="{54F0D9BF-C336-43DD-8AD9-150F256F27C4}"/>
    <cellStyle name="Currency 5 2 2 5" xfId="204" xr:uid="{00000000-0005-0000-0000-000069010000}"/>
    <cellStyle name="Currency 5 2 2 5 2" xfId="737" xr:uid="{00000000-0005-0000-0000-00006A010000}"/>
    <cellStyle name="Currency 5 2 2 5 2 2" xfId="1591" xr:uid="{11474524-14DB-4C8C-92DE-0F4502569F09}"/>
    <cellStyle name="Currency 5 2 2 5 2 2 2" xfId="3249" xr:uid="{0ACFE8F8-02E7-4F22-8F73-16FBCA2CAAF8}"/>
    <cellStyle name="Currency 5 2 2 5 2 3" xfId="2420" xr:uid="{841199EB-A6AC-44D3-B82A-689F1566DA70}"/>
    <cellStyle name="Currency 5 2 2 5 3" xfId="1175" xr:uid="{68616E5E-40B2-4A31-83A6-A081D11E384D}"/>
    <cellStyle name="Currency 5 2 2 5 3 2" xfId="2833" xr:uid="{EB02BF8A-F530-4D48-8298-9EE0BE264D69}"/>
    <cellStyle name="Currency 5 2 2 5 4" xfId="2004" xr:uid="{829394A7-C9BC-449D-A51E-2EB7D5A56B12}"/>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AAFF881A-3C13-45D0-B3AD-93985AA20456}"/>
    <cellStyle name="Currency 5 2 4 2 2 2 2" xfId="3251" xr:uid="{2A73861F-DF5B-47BA-8A78-3686235E41DB}"/>
    <cellStyle name="Currency 5 2 4 2 2 3" xfId="2422" xr:uid="{4E999439-6BBA-45B9-A263-129132D40BFB}"/>
    <cellStyle name="Currency 5 2 4 2 3" xfId="1177" xr:uid="{4F203A88-526C-4C33-B732-2B3A9F81AAC1}"/>
    <cellStyle name="Currency 5 2 4 2 3 2" xfId="2835" xr:uid="{9ECBC713-B7AA-496D-97B5-16CD4D9B635F}"/>
    <cellStyle name="Currency 5 2 4 2 4" xfId="2006" xr:uid="{9431CD25-D01B-4E6B-B524-646918A61019}"/>
    <cellStyle name="Currency 5 2 4 3" xfId="739" xr:uid="{00000000-0005-0000-0000-000070010000}"/>
    <cellStyle name="Currency 5 2 4 3 2" xfId="1592" xr:uid="{043219A2-329B-4960-81C1-9494F9AADACC}"/>
    <cellStyle name="Currency 5 2 4 3 2 2" xfId="3250" xr:uid="{FF7494F7-E579-4527-9A0C-3CE345667B93}"/>
    <cellStyle name="Currency 5 2 4 3 3" xfId="2421" xr:uid="{0E77BAAC-AE0B-4739-A7E0-DE98D7FF79D3}"/>
    <cellStyle name="Currency 5 2 4 4" xfId="1176" xr:uid="{4E58AE90-A51D-4F68-9816-DFB925574C1D}"/>
    <cellStyle name="Currency 5 2 4 4 2" xfId="2834" xr:uid="{E94B12F0-3295-43A0-A432-043C211739A4}"/>
    <cellStyle name="Currency 5 2 4 5" xfId="2005" xr:uid="{569CC41C-82AD-4B93-B0C4-B605C45798A1}"/>
    <cellStyle name="Currency 5 2 5" xfId="208" xr:uid="{00000000-0005-0000-0000-000071010000}"/>
    <cellStyle name="Currency 5 2 5 2" xfId="741" xr:uid="{00000000-0005-0000-0000-000072010000}"/>
    <cellStyle name="Currency 5 2 5 2 2" xfId="1594" xr:uid="{47615848-DC18-4F7A-99AA-4F82258D122A}"/>
    <cellStyle name="Currency 5 2 5 2 2 2" xfId="3252" xr:uid="{34A49C88-28FF-4AAA-AD31-0161070C407F}"/>
    <cellStyle name="Currency 5 2 5 2 3" xfId="2423" xr:uid="{AC7E1293-92E0-4FE7-B6EF-A1A915BCA724}"/>
    <cellStyle name="Currency 5 2 5 3" xfId="1178" xr:uid="{8016489C-6EF7-48FD-ABB5-971CCCB6F981}"/>
    <cellStyle name="Currency 5 2 5 3 2" xfId="2836" xr:uid="{D638FCFB-189D-4F37-9BE8-C43148071468}"/>
    <cellStyle name="Currency 5 2 5 4" xfId="2007" xr:uid="{F0761318-AA51-4A91-AE92-2BC600F2FA9C}"/>
    <cellStyle name="Currency 5 2 6" xfId="209" xr:uid="{00000000-0005-0000-0000-000073010000}"/>
    <cellStyle name="Currency 5 2 6 2" xfId="742" xr:uid="{00000000-0005-0000-0000-000074010000}"/>
    <cellStyle name="Currency 5 2 6 2 2" xfId="1595" xr:uid="{9BC88244-AFDC-4F47-998C-3222C89E64F9}"/>
    <cellStyle name="Currency 5 2 6 2 2 2" xfId="3253" xr:uid="{4EDB5E92-ED35-4A73-827F-1793E78C9367}"/>
    <cellStyle name="Currency 5 2 6 2 3" xfId="2424" xr:uid="{5F66A74A-014A-4FA0-84AF-915EBCF5A50B}"/>
    <cellStyle name="Currency 5 2 6 3" xfId="1179" xr:uid="{D4352875-704A-4547-BDF4-2EE944774517}"/>
    <cellStyle name="Currency 5 2 6 3 2" xfId="2837" xr:uid="{3F8D508D-9D41-45AB-BBCC-B9D4F8CED743}"/>
    <cellStyle name="Currency 5 2 6 4" xfId="2008" xr:uid="{00B965FB-D24A-41DE-93F2-38BC0311E073}"/>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CB1B8FA4-C4C5-4C72-93AC-8234AD461ACB}"/>
    <cellStyle name="Currency 5 3 2 2 2 2 2 2" xfId="3256" xr:uid="{CA60A3D6-04EF-470C-8A8C-1268668B0EF5}"/>
    <cellStyle name="Currency 5 3 2 2 2 2 3" xfId="2427" xr:uid="{ABD3231F-4531-43A0-9C09-1709C9DD7B33}"/>
    <cellStyle name="Currency 5 3 2 2 2 3" xfId="1182" xr:uid="{4EA1A8C7-682A-4665-BA26-C44CB369C3A6}"/>
    <cellStyle name="Currency 5 3 2 2 2 3 2" xfId="2840" xr:uid="{7FA686A3-0A81-49E5-B7A6-65A9CF6698FF}"/>
    <cellStyle name="Currency 5 3 2 2 2 4" xfId="2011" xr:uid="{DCF48B95-1B07-4D4E-8F0A-5DB008041775}"/>
    <cellStyle name="Currency 5 3 2 2 3" xfId="744" xr:uid="{00000000-0005-0000-0000-00007B010000}"/>
    <cellStyle name="Currency 5 3 2 2 3 2" xfId="1597" xr:uid="{52E6D347-1814-490E-A882-7A942675D8B9}"/>
    <cellStyle name="Currency 5 3 2 2 3 2 2" xfId="3255" xr:uid="{6ABDEB47-1AB5-4980-8A56-9A516EB5FEB7}"/>
    <cellStyle name="Currency 5 3 2 2 3 3" xfId="2426" xr:uid="{68329AD0-FCAE-44A5-93EE-3E5DF01E33AB}"/>
    <cellStyle name="Currency 5 3 2 2 4" xfId="1181" xr:uid="{B27BA00E-BAD6-4404-9411-E151C8A82568}"/>
    <cellStyle name="Currency 5 3 2 2 4 2" xfId="2839" xr:uid="{725B0A11-C587-4A96-B54A-38B64AAAB843}"/>
    <cellStyle name="Currency 5 3 2 2 5" xfId="2010" xr:uid="{76F94988-DC21-4FFD-9B17-176E1181A915}"/>
    <cellStyle name="Currency 5 3 2 3" xfId="214" xr:uid="{00000000-0005-0000-0000-00007C010000}"/>
    <cellStyle name="Currency 5 3 2 3 2" xfId="746" xr:uid="{00000000-0005-0000-0000-00007D010000}"/>
    <cellStyle name="Currency 5 3 2 3 2 2" xfId="1599" xr:uid="{CBFDC620-26D2-4DA1-8375-7657FADDE6F4}"/>
    <cellStyle name="Currency 5 3 2 3 2 2 2" xfId="3257" xr:uid="{93CCE052-6E79-453A-9ACC-1395EC808C67}"/>
    <cellStyle name="Currency 5 3 2 3 2 3" xfId="2428" xr:uid="{6591FB30-1772-4015-9F30-1B211039B917}"/>
    <cellStyle name="Currency 5 3 2 3 3" xfId="1183" xr:uid="{A4C3F5BA-859D-4324-B97D-77B65C2A925E}"/>
    <cellStyle name="Currency 5 3 2 3 3 2" xfId="2841" xr:uid="{AB21559E-88F5-4B02-AC6C-AC17F2DE31A8}"/>
    <cellStyle name="Currency 5 3 2 3 4" xfId="2012" xr:uid="{D53042C2-267F-48A3-B70F-50D43E67B5FD}"/>
    <cellStyle name="Currency 5 3 2 4" xfId="743" xr:uid="{00000000-0005-0000-0000-00007E010000}"/>
    <cellStyle name="Currency 5 3 2 4 2" xfId="1596" xr:uid="{BA07F942-02D5-4067-B1B4-7ADDF46E0926}"/>
    <cellStyle name="Currency 5 3 2 4 2 2" xfId="3254" xr:uid="{533B4655-2D93-43F6-8CE0-78B6E6EDCBD2}"/>
    <cellStyle name="Currency 5 3 2 4 3" xfId="2425" xr:uid="{2C2B06DE-945F-44B3-87D6-85FB313F9692}"/>
    <cellStyle name="Currency 5 3 2 5" xfId="1180" xr:uid="{60D64544-930B-4AD0-ABFA-4038B3DF2824}"/>
    <cellStyle name="Currency 5 3 2 5 2" xfId="2838" xr:uid="{5299ECCC-4F31-4562-AECF-0F46AE7BE049}"/>
    <cellStyle name="Currency 5 3 2 6" xfId="2009" xr:uid="{D3E35F69-81A3-4A05-9A0D-AD5609294008}"/>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784DC603-3B26-4A20-9F56-0455AF11DFEF}"/>
    <cellStyle name="Currency 5 3 3 2 2 2 2" xfId="3259" xr:uid="{87212B70-4C4E-4C94-AB1B-BC7285FA66BC}"/>
    <cellStyle name="Currency 5 3 3 2 2 3" xfId="2430" xr:uid="{33F876A3-B386-4FFD-9AF0-A44D7AE87A18}"/>
    <cellStyle name="Currency 5 3 3 2 3" xfId="1185" xr:uid="{EDBC4167-3911-4F63-9395-33814FAA0A1E}"/>
    <cellStyle name="Currency 5 3 3 2 3 2" xfId="2843" xr:uid="{277E99A9-374E-45A6-999A-A552579BFC1F}"/>
    <cellStyle name="Currency 5 3 3 2 4" xfId="2014" xr:uid="{0A4C4FB1-3A6B-4CB5-BCC2-2AB0E247260C}"/>
    <cellStyle name="Currency 5 3 3 3" xfId="747" xr:uid="{00000000-0005-0000-0000-000082010000}"/>
    <cellStyle name="Currency 5 3 3 3 2" xfId="1600" xr:uid="{28A0B258-63E9-4850-A0A6-80D577D31232}"/>
    <cellStyle name="Currency 5 3 3 3 2 2" xfId="3258" xr:uid="{E0CFF20B-8813-4705-A042-6D61F8CF3599}"/>
    <cellStyle name="Currency 5 3 3 3 3" xfId="2429" xr:uid="{4A6234B3-A015-4A2E-A496-CFAC27BF3B44}"/>
    <cellStyle name="Currency 5 3 3 4" xfId="1184" xr:uid="{1DE2CD51-F4DF-4400-82D9-A26E27ABA058}"/>
    <cellStyle name="Currency 5 3 3 4 2" xfId="2842" xr:uid="{ECBF6376-6064-4EE6-99B2-46AF54268825}"/>
    <cellStyle name="Currency 5 3 3 5" xfId="2013" xr:uid="{0B0C00E0-47F0-4062-85AF-E9F138E5CE71}"/>
    <cellStyle name="Currency 5 3 4" xfId="217" xr:uid="{00000000-0005-0000-0000-000083010000}"/>
    <cellStyle name="Currency 5 3 4 2" xfId="749" xr:uid="{00000000-0005-0000-0000-000084010000}"/>
    <cellStyle name="Currency 5 3 4 2 2" xfId="1602" xr:uid="{7E2DE17C-13F4-454A-9362-7411C6EE64CA}"/>
    <cellStyle name="Currency 5 3 4 2 2 2" xfId="3260" xr:uid="{6C93C2FD-DB4F-4929-84CA-7C3638FD24E6}"/>
    <cellStyle name="Currency 5 3 4 2 3" xfId="2431" xr:uid="{2500FBE1-3D12-440F-88C0-A90BBD1ABC88}"/>
    <cellStyle name="Currency 5 3 4 3" xfId="1186" xr:uid="{281A3366-8CB1-4A08-89D6-8106427EA73C}"/>
    <cellStyle name="Currency 5 3 4 3 2" xfId="2844" xr:uid="{CDE8FF30-99FC-4168-A75B-3659CF98E018}"/>
    <cellStyle name="Currency 5 3 4 4" xfId="2015" xr:uid="{96302803-DD4B-4B2A-9386-48F95D2D3CDB}"/>
    <cellStyle name="Currency 5 3 5" xfId="218" xr:uid="{00000000-0005-0000-0000-000085010000}"/>
    <cellStyle name="Currency 5 3 5 2" xfId="750" xr:uid="{00000000-0005-0000-0000-000086010000}"/>
    <cellStyle name="Currency 5 3 5 2 2" xfId="1603" xr:uid="{CC1D2E14-ECDB-47CE-A1FC-D9CEE26578C5}"/>
    <cellStyle name="Currency 5 3 5 2 2 2" xfId="3261" xr:uid="{464A499D-3D15-4362-A563-2DA36CD6350A}"/>
    <cellStyle name="Currency 5 3 5 2 3" xfId="2432" xr:uid="{7847611E-409F-4F98-9941-8514BF2F6558}"/>
    <cellStyle name="Currency 5 3 5 3" xfId="1187" xr:uid="{C42D3321-64A5-4545-B97C-2D87A1BB1137}"/>
    <cellStyle name="Currency 5 3 5 3 2" xfId="2845" xr:uid="{057F7B79-FBD7-4134-A6D5-F72C3EDC9D56}"/>
    <cellStyle name="Currency 5 3 5 4" xfId="2016" xr:uid="{E65A8290-2AD0-4829-8B26-04B410C4F8B2}"/>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2D35E237-F552-4E7E-AA05-26EDF6E9427F}"/>
    <cellStyle name="Currency 5 5 2 2 2 2" xfId="3263" xr:uid="{57527961-1420-4DA6-A43E-16A9DCB968B7}"/>
    <cellStyle name="Currency 5 5 2 2 3" xfId="2434" xr:uid="{673EB59A-24B1-4963-81D8-7E15B5C8C1DF}"/>
    <cellStyle name="Currency 5 5 2 3" xfId="1189" xr:uid="{31F6D6A9-8857-4081-B6D4-69B4BC6AFAA7}"/>
    <cellStyle name="Currency 5 5 2 3 2" xfId="2847" xr:uid="{4D921ECC-57CD-4A26-B9BE-BE0CD52DB516}"/>
    <cellStyle name="Currency 5 5 2 4" xfId="2018" xr:uid="{4327B17B-784A-4F59-AB39-4AC0EF2AF7D0}"/>
    <cellStyle name="Currency 5 5 3" xfId="752" xr:uid="{00000000-0005-0000-0000-00008C010000}"/>
    <cellStyle name="Currency 5 5 3 2" xfId="1604" xr:uid="{64E039BA-31CB-48CC-8D05-3E9059EFD122}"/>
    <cellStyle name="Currency 5 5 3 2 2" xfId="3262" xr:uid="{180F1E78-712B-4374-9376-D42194D94024}"/>
    <cellStyle name="Currency 5 5 3 3" xfId="2433" xr:uid="{E41227E4-E601-4626-BA0F-96DC3805364B}"/>
    <cellStyle name="Currency 5 5 4" xfId="1188" xr:uid="{6BA412DB-3FEE-429D-85DC-1E27F0C02E5C}"/>
    <cellStyle name="Currency 5 5 4 2" xfId="2846" xr:uid="{A7B2BDC3-223C-4131-A185-CE0439285AF8}"/>
    <cellStyle name="Currency 5 5 5" xfId="2017" xr:uid="{15023EFD-BB1A-48F1-90D2-DB3C53C1208C}"/>
    <cellStyle name="Currency 5 6" xfId="222" xr:uid="{00000000-0005-0000-0000-00008D010000}"/>
    <cellStyle name="Currency 5 6 2" xfId="754" xr:uid="{00000000-0005-0000-0000-00008E010000}"/>
    <cellStyle name="Currency 5 6 2 2" xfId="1606" xr:uid="{6350302F-C411-4A3F-8486-B46CE1192993}"/>
    <cellStyle name="Currency 5 6 2 2 2" xfId="3264" xr:uid="{C6E05F2F-F1DA-4373-B162-C0E5EDD8A158}"/>
    <cellStyle name="Currency 5 6 2 3" xfId="2435" xr:uid="{9E62C9A7-B06E-47D2-A536-EC654090C2C3}"/>
    <cellStyle name="Currency 5 6 3" xfId="1190" xr:uid="{9662FC38-DE4E-4032-B678-6383C3229FC0}"/>
    <cellStyle name="Currency 5 6 3 2" xfId="2848" xr:uid="{92E376C7-A844-4B59-91E5-CE1D8521AA68}"/>
    <cellStyle name="Currency 5 6 4" xfId="2019" xr:uid="{EFE27D07-2984-4C54-8CCA-4B9068752C72}"/>
    <cellStyle name="Currency 5 7" xfId="223" xr:uid="{00000000-0005-0000-0000-00008F010000}"/>
    <cellStyle name="Currency 5 7 2" xfId="755" xr:uid="{00000000-0005-0000-0000-000090010000}"/>
    <cellStyle name="Currency 5 7 2 2" xfId="1607" xr:uid="{3A98982E-7537-4899-BDA6-A06126048757}"/>
    <cellStyle name="Currency 5 7 2 2 2" xfId="3265" xr:uid="{456EE001-D1C5-4B16-B58C-49F4E4B09720}"/>
    <cellStyle name="Currency 5 7 2 3" xfId="2436" xr:uid="{CD59F8C2-DE2A-4C2E-B014-F13A942382C9}"/>
    <cellStyle name="Currency 5 7 3" xfId="1191" xr:uid="{63371337-D89D-4FF3-A2E0-E394DC3C694E}"/>
    <cellStyle name="Currency 5 7 3 2" xfId="2849" xr:uid="{C4EFB76F-A15A-46C7-B2C3-F89B0D5FC63D}"/>
    <cellStyle name="Currency 5 7 4" xfId="2020" xr:uid="{1A5A6FDC-60A8-4FD0-9DE2-D53B5DDFE811}"/>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ED67BC44-6410-493F-AD52-39FD6F782B0E}"/>
    <cellStyle name="Normal 12 2 2 2 2 2 2" xfId="3269" xr:uid="{E55229F0-2FDB-4005-A3E6-2D25088BD41B}"/>
    <cellStyle name="Normal 12 2 2 2 2 3" xfId="2440" xr:uid="{5F77D924-184F-4A84-8C13-F77D1ACD0E49}"/>
    <cellStyle name="Normal 12 2 2 2 3" xfId="1195" xr:uid="{AED43EB6-853A-41AA-9AD7-E54558C5DB1A}"/>
    <cellStyle name="Normal 12 2 2 2 3 2" xfId="2853" xr:uid="{01382223-CD0D-4FA8-AA58-B2A491863FD0}"/>
    <cellStyle name="Normal 12 2 2 2 4" xfId="2024" xr:uid="{B377AFF1-6DCE-4066-B12A-4C05912F5C79}"/>
    <cellStyle name="Normal 12 2 2 3" xfId="770" xr:uid="{00000000-0005-0000-0000-0000C9010000}"/>
    <cellStyle name="Normal 12 2 2 3 2" xfId="1610" xr:uid="{16468DE1-C14A-4346-9B95-169E078AA184}"/>
    <cellStyle name="Normal 12 2 2 3 2 2" xfId="3268" xr:uid="{8FCEBBEA-C0D6-4616-9EA9-0B25FB71A3B0}"/>
    <cellStyle name="Normal 12 2 2 3 3" xfId="2439" xr:uid="{C7796B4D-2355-4925-8323-9EFE9C52E55F}"/>
    <cellStyle name="Normal 12 2 2 4" xfId="1194" xr:uid="{12C12C46-F5B9-46D8-8F11-0F9A354DBC3D}"/>
    <cellStyle name="Normal 12 2 2 4 2" xfId="2852" xr:uid="{C0AAD6E5-8579-4638-9BDA-559E9EF4CB0E}"/>
    <cellStyle name="Normal 12 2 2 5" xfId="2023" xr:uid="{BBC2B71B-E9B1-436F-BD3F-D10437CB89E3}"/>
    <cellStyle name="Normal 12 2 3" xfId="265" xr:uid="{00000000-0005-0000-0000-0000CA010000}"/>
    <cellStyle name="Normal 12 2 3 2" xfId="772" xr:uid="{00000000-0005-0000-0000-0000CB010000}"/>
    <cellStyle name="Normal 12 2 3 2 2" xfId="1612" xr:uid="{EBE75749-DA77-4D2B-9145-4AE759EB6BDE}"/>
    <cellStyle name="Normal 12 2 3 2 2 2" xfId="3270" xr:uid="{FE84CBA1-05A9-4848-923E-26124A4F11E6}"/>
    <cellStyle name="Normal 12 2 3 2 3" xfId="2441" xr:uid="{C6712469-6F9B-4209-9CBB-E952A0D4C866}"/>
    <cellStyle name="Normal 12 2 3 3" xfId="1196" xr:uid="{FAADB18B-71F3-4D74-A0AB-55CB0DAB6438}"/>
    <cellStyle name="Normal 12 2 3 3 2" xfId="2854" xr:uid="{EB24D09B-3CE1-4063-A05F-95C0328B5D7F}"/>
    <cellStyle name="Normal 12 2 3 4" xfId="2025" xr:uid="{70D927ED-A84A-4657-8D8E-26549695EDA1}"/>
    <cellStyle name="Normal 12 2 4" xfId="769" xr:uid="{00000000-0005-0000-0000-0000CC010000}"/>
    <cellStyle name="Normal 12 2 4 2" xfId="1609" xr:uid="{FFAC05D7-FE4D-477E-85BF-20A29B3D6151}"/>
    <cellStyle name="Normal 12 2 4 2 2" xfId="3267" xr:uid="{49DFE9A2-93E1-48C5-A784-281D61268E11}"/>
    <cellStyle name="Normal 12 2 4 3" xfId="2438" xr:uid="{884FACEA-5DAF-4EAB-9F4D-A735548D1FE3}"/>
    <cellStyle name="Normal 12 2 5" xfId="1193" xr:uid="{3309921D-0C16-4784-8FA4-04DE1848680A}"/>
    <cellStyle name="Normal 12 2 5 2" xfId="2851" xr:uid="{66F43858-99E2-4B36-B320-95FB7F4D9C8B}"/>
    <cellStyle name="Normal 12 2 6" xfId="2022" xr:uid="{D34F8C9C-ECE9-4DC8-90F9-2BEC2B7634A4}"/>
    <cellStyle name="Normal 12 3" xfId="266" xr:uid="{00000000-0005-0000-0000-0000CD010000}"/>
    <cellStyle name="Normal 12 3 2" xfId="267" xr:uid="{00000000-0005-0000-0000-0000CE010000}"/>
    <cellStyle name="Normal 12 3 2 2" xfId="774" xr:uid="{00000000-0005-0000-0000-0000CF010000}"/>
    <cellStyle name="Normal 12 3 2 2 2" xfId="1614" xr:uid="{A1862A05-C971-4E6A-B344-897E4ABA515E}"/>
    <cellStyle name="Normal 12 3 2 2 2 2" xfId="3272" xr:uid="{DBAE4CBE-948B-4E73-B271-161A9D246E3A}"/>
    <cellStyle name="Normal 12 3 2 2 3" xfId="2443" xr:uid="{7B33C4E0-56BF-4860-8627-1C23493FAD56}"/>
    <cellStyle name="Normal 12 3 2 3" xfId="1198" xr:uid="{DCC4DC03-8AEF-493D-B82F-9DA1BBF26E52}"/>
    <cellStyle name="Normal 12 3 2 3 2" xfId="2856" xr:uid="{D0942EA9-C096-484C-9CB7-9EE14BF99EBA}"/>
    <cellStyle name="Normal 12 3 2 4" xfId="2027" xr:uid="{F13AE002-72D4-4B63-91B8-E27A80E5CCFF}"/>
    <cellStyle name="Normal 12 3 3" xfId="773" xr:uid="{00000000-0005-0000-0000-0000D0010000}"/>
    <cellStyle name="Normal 12 3 3 2" xfId="1613" xr:uid="{04A10E8B-F364-4FBA-AD20-5D47374D0D82}"/>
    <cellStyle name="Normal 12 3 3 2 2" xfId="3271" xr:uid="{65E008CF-7C95-4400-8DAC-13AFE7D10380}"/>
    <cellStyle name="Normal 12 3 3 3" xfId="2442" xr:uid="{59FD4F79-256E-461A-90F2-DF529742F6C8}"/>
    <cellStyle name="Normal 12 3 4" xfId="1197" xr:uid="{AF647729-5476-4C5A-83E4-1BE7D6D94CD1}"/>
    <cellStyle name="Normal 12 3 4 2" xfId="2855" xr:uid="{FCEE9DD3-A361-49E3-B60A-345216E1BDC6}"/>
    <cellStyle name="Normal 12 3 5" xfId="2026" xr:uid="{DF15BE92-1F4A-4254-90BD-E22EF3F1C04D}"/>
    <cellStyle name="Normal 12 4" xfId="268" xr:uid="{00000000-0005-0000-0000-0000D1010000}"/>
    <cellStyle name="Normal 12 4 2" xfId="775" xr:uid="{00000000-0005-0000-0000-0000D2010000}"/>
    <cellStyle name="Normal 12 4 2 2" xfId="1615" xr:uid="{AE3580AA-9284-498D-B839-BAF00D56C670}"/>
    <cellStyle name="Normal 12 4 2 2 2" xfId="3273" xr:uid="{709B2175-4D72-4940-8A9E-24AAA2AC2650}"/>
    <cellStyle name="Normal 12 4 2 3" xfId="2444" xr:uid="{2947E64C-689C-47D2-B4BE-6F819EF4F6FC}"/>
    <cellStyle name="Normal 12 4 3" xfId="1199" xr:uid="{C844512B-FB1B-4414-B1C5-4E70390BB6C1}"/>
    <cellStyle name="Normal 12 4 3 2" xfId="2857" xr:uid="{D74BA7FD-5545-48D3-8230-756D1D9EFD31}"/>
    <cellStyle name="Normal 12 4 4" xfId="2028" xr:uid="{18A49CE8-3B06-422C-8E51-A7A6C4208A5F}"/>
    <cellStyle name="Normal 12 5" xfId="269" xr:uid="{00000000-0005-0000-0000-0000D3010000}"/>
    <cellStyle name="Normal 12 6" xfId="768" xr:uid="{00000000-0005-0000-0000-0000D4010000}"/>
    <cellStyle name="Normal 12 6 2" xfId="1608" xr:uid="{F3B84A56-BB9F-457F-99AA-B1548666EC2C}"/>
    <cellStyle name="Normal 12 6 2 2" xfId="3266" xr:uid="{4DFD3CB5-75A1-48AB-A051-3924DF83227D}"/>
    <cellStyle name="Normal 12 6 3" xfId="2437" xr:uid="{FC9AF841-A41D-4BAC-950D-44E66D4A027F}"/>
    <cellStyle name="Normal 12 7" xfId="1192" xr:uid="{81528357-90CB-4942-A118-9635A3F20597}"/>
    <cellStyle name="Normal 12 7 2" xfId="2850" xr:uid="{E745F69B-7A13-457F-BE49-73D6D2FB4578}"/>
    <cellStyle name="Normal 12 8" xfId="2021" xr:uid="{A67CA006-6EB6-41B6-9622-10B0A53531DC}"/>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E4BD6AAD-F385-456C-8831-8AFB056D9462}"/>
    <cellStyle name="Normal 14 2 2 2" xfId="3274" xr:uid="{77E43860-415A-4963-A4FA-B0E4E65BB695}"/>
    <cellStyle name="Normal 14 2 3" xfId="2445" xr:uid="{46D045E9-99E4-4D73-A408-77EFC20FBC73}"/>
    <cellStyle name="Normal 14 3" xfId="1200" xr:uid="{322D2D56-FC52-482C-99B0-2113F7CC0A50}"/>
    <cellStyle name="Normal 14 3 2" xfId="2858" xr:uid="{C0A45D89-D4DA-45F1-8D12-47B814E19DEE}"/>
    <cellStyle name="Normal 14 4" xfId="2029" xr:uid="{D5220544-413C-4A79-9A47-06C2E22C5BD7}"/>
    <cellStyle name="Normal 15" xfId="575" xr:uid="{00000000-0005-0000-0000-0000D9010000}"/>
    <cellStyle name="Normal 15 2" xfId="1445" xr:uid="{C02D7513-0875-4BD7-8B8F-7FF92FC88D96}"/>
    <cellStyle name="Normal 15 2 2" xfId="3103" xr:uid="{68E308EA-2FD0-414B-8317-ABB50C85ED20}"/>
    <cellStyle name="Normal 15 3" xfId="2274" xr:uid="{5DB52B70-E684-48D2-B467-08A1CE623AE3}"/>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505DC2B4-4AF7-48CC-A2F2-A9630695B459}"/>
    <cellStyle name="Normal 2 4 2 3 2 2 2 2 2 2" xfId="3279" xr:uid="{04583E99-4DFB-4EC8-8B74-2E4EE7F58CFB}"/>
    <cellStyle name="Normal 2 4 2 3 2 2 2 2 3" xfId="2450" xr:uid="{8B81E467-844D-4199-A9E6-54AE35BF52E5}"/>
    <cellStyle name="Normal 2 4 2 3 2 2 2 3" xfId="1205" xr:uid="{49A7CE7D-80AC-4CF9-A2B8-4FD1FCE9F5C7}"/>
    <cellStyle name="Normal 2 4 2 3 2 2 2 3 2" xfId="2863" xr:uid="{FE0FC5FD-4F45-4006-BB6F-A05274559981}"/>
    <cellStyle name="Normal 2 4 2 3 2 2 2 4" xfId="2034" xr:uid="{234C5611-C9DF-41DC-9C1E-7B3EC5EB9CC9}"/>
    <cellStyle name="Normal 2 4 2 3 2 2 3" xfId="782" xr:uid="{00000000-0005-0000-0000-0000EC010000}"/>
    <cellStyle name="Normal 2 4 2 3 2 2 3 2" xfId="1620" xr:uid="{1633A66B-E25A-47AB-AE7D-5CC0010FE910}"/>
    <cellStyle name="Normal 2 4 2 3 2 2 3 2 2" xfId="3278" xr:uid="{EF0F5CBD-3F17-4C41-8838-504C35E275C9}"/>
    <cellStyle name="Normal 2 4 2 3 2 2 3 3" xfId="2449" xr:uid="{D2DA461A-5C7B-4DE3-AA9B-853501DFA67C}"/>
    <cellStyle name="Normal 2 4 2 3 2 2 4" xfId="1204" xr:uid="{A940D394-879B-4799-A66E-3C67795E50D9}"/>
    <cellStyle name="Normal 2 4 2 3 2 2 4 2" xfId="2862" xr:uid="{BF4F149F-765A-4BAF-BBA7-0C60170EEA3B}"/>
    <cellStyle name="Normal 2 4 2 3 2 2 5" xfId="2033" xr:uid="{C0BE3646-F7A2-4BA7-8B04-3647A0BA8A80}"/>
    <cellStyle name="Normal 2 4 2 3 2 3" xfId="288" xr:uid="{00000000-0005-0000-0000-0000ED010000}"/>
    <cellStyle name="Normal 2 4 2 3 2 3 2" xfId="784" xr:uid="{00000000-0005-0000-0000-0000EE010000}"/>
    <cellStyle name="Normal 2 4 2 3 2 3 2 2" xfId="1622" xr:uid="{DB4CE252-B370-4861-98B2-E813AD6370C3}"/>
    <cellStyle name="Normal 2 4 2 3 2 3 2 2 2" xfId="3280" xr:uid="{D30D3BE2-EB52-4CB6-B97A-6132237CA74C}"/>
    <cellStyle name="Normal 2 4 2 3 2 3 2 3" xfId="2451" xr:uid="{BAFF7076-CB6A-47EE-A849-BDB91879CD07}"/>
    <cellStyle name="Normal 2 4 2 3 2 3 3" xfId="1206" xr:uid="{C872C24A-56A9-4D2C-AE51-D86210052AF7}"/>
    <cellStyle name="Normal 2 4 2 3 2 3 3 2" xfId="2864" xr:uid="{A1E0CC24-04D3-40A8-93E4-B7942FBA4DBA}"/>
    <cellStyle name="Normal 2 4 2 3 2 3 4" xfId="2035" xr:uid="{6675B03B-A43D-4147-90A9-485E252768D5}"/>
    <cellStyle name="Normal 2 4 2 3 2 4" xfId="781" xr:uid="{00000000-0005-0000-0000-0000EF010000}"/>
    <cellStyle name="Normal 2 4 2 3 2 4 2" xfId="1619" xr:uid="{9BC8CAED-4B50-4B33-AF85-5579AE150FA5}"/>
    <cellStyle name="Normal 2 4 2 3 2 4 2 2" xfId="3277" xr:uid="{B6687917-89ED-419D-BBA4-68304C86FED7}"/>
    <cellStyle name="Normal 2 4 2 3 2 4 3" xfId="2448" xr:uid="{60FDFAAC-DC5E-4D40-81D6-5B172558022F}"/>
    <cellStyle name="Normal 2 4 2 3 2 5" xfId="1203" xr:uid="{D6DB616E-E166-4B42-AAB8-5A36BFA96E54}"/>
    <cellStyle name="Normal 2 4 2 3 2 5 2" xfId="2861" xr:uid="{748BA56E-AD95-4E36-985E-911DF8605B44}"/>
    <cellStyle name="Normal 2 4 2 3 2 6" xfId="2032" xr:uid="{134555DF-8CBB-429F-A7D7-9CBF9DF79AE3}"/>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EC7161BA-09A0-4658-875C-B8A3729B0D5E}"/>
    <cellStyle name="Normal 2 4 2 3 3 2 2 2 2" xfId="3282" xr:uid="{E86CEDB6-8C33-4208-96F0-43CF3D6493AD}"/>
    <cellStyle name="Normal 2 4 2 3 3 2 2 3" xfId="2453" xr:uid="{D4581F58-A9D2-4688-AAC7-BE31824D0CBC}"/>
    <cellStyle name="Normal 2 4 2 3 3 2 3" xfId="1208" xr:uid="{93A5DF97-20B5-48FF-BC17-B15BFFDCA5EE}"/>
    <cellStyle name="Normal 2 4 2 3 3 2 3 2" xfId="2866" xr:uid="{824B4CB9-6445-43C2-AA01-D14E1684D1D1}"/>
    <cellStyle name="Normal 2 4 2 3 3 2 4" xfId="2037" xr:uid="{5FC34EA7-5E59-4617-B676-3D159ACFBDC7}"/>
    <cellStyle name="Normal 2 4 2 3 3 3" xfId="785" xr:uid="{00000000-0005-0000-0000-0000F3010000}"/>
    <cellStyle name="Normal 2 4 2 3 3 3 2" xfId="1623" xr:uid="{A6B80C45-1675-4CA7-8C3F-5A1C6CB932C4}"/>
    <cellStyle name="Normal 2 4 2 3 3 3 2 2" xfId="3281" xr:uid="{0BE4E4A5-5A8E-466E-8776-D27420DDFAEB}"/>
    <cellStyle name="Normal 2 4 2 3 3 3 3" xfId="2452" xr:uid="{15CC6187-BBBA-43FA-8AC8-84B8303283DA}"/>
    <cellStyle name="Normal 2 4 2 3 3 4" xfId="1207" xr:uid="{3E1D8100-F078-4EF8-B163-7F12D4A1369B}"/>
    <cellStyle name="Normal 2 4 2 3 3 4 2" xfId="2865" xr:uid="{F1122C61-D2B4-4946-B975-F010C28B6F53}"/>
    <cellStyle name="Normal 2 4 2 3 3 5" xfId="2036" xr:uid="{9F1F17C3-735D-4C9F-9696-E5DE83AA4DA0}"/>
    <cellStyle name="Normal 2 4 2 3 4" xfId="291" xr:uid="{00000000-0005-0000-0000-0000F4010000}"/>
    <cellStyle name="Normal 2 4 2 3 4 2" xfId="787" xr:uid="{00000000-0005-0000-0000-0000F5010000}"/>
    <cellStyle name="Normal 2 4 2 3 4 2 2" xfId="1625" xr:uid="{81934AB7-A655-46C3-90EB-5CBD31F92FAA}"/>
    <cellStyle name="Normal 2 4 2 3 4 2 2 2" xfId="3283" xr:uid="{68DAB68D-E592-45E9-A8A9-222199F9A3D8}"/>
    <cellStyle name="Normal 2 4 2 3 4 2 3" xfId="2454" xr:uid="{2832ADED-8A7A-4A6B-B180-ACA8DE3FA191}"/>
    <cellStyle name="Normal 2 4 2 3 4 3" xfId="1209" xr:uid="{4B518D1B-26DB-4023-A13B-7B6C3194F652}"/>
    <cellStyle name="Normal 2 4 2 3 4 3 2" xfId="2867" xr:uid="{6C9137F3-E18A-40A4-81F1-16E5991AB5AA}"/>
    <cellStyle name="Normal 2 4 2 3 4 4" xfId="2038" xr:uid="{9A45AE14-2A0F-4AAA-860A-C7513333D063}"/>
    <cellStyle name="Normal 2 4 2 3 5" xfId="780" xr:uid="{00000000-0005-0000-0000-0000F6010000}"/>
    <cellStyle name="Normal 2 4 2 3 5 2" xfId="1618" xr:uid="{1B4BDFDD-AD10-4D4C-BF8B-229A1125579E}"/>
    <cellStyle name="Normal 2 4 2 3 5 2 2" xfId="3276" xr:uid="{7674EBC7-3B3A-431C-A236-01407843C149}"/>
    <cellStyle name="Normal 2 4 2 3 5 3" xfId="2447" xr:uid="{A33CC144-7A9F-4FFE-B96A-009717151BAA}"/>
    <cellStyle name="Normal 2 4 2 3 6" xfId="1202" xr:uid="{4B47376F-E0A8-47F1-BBFC-42734CD7057D}"/>
    <cellStyle name="Normal 2 4 2 3 6 2" xfId="2860" xr:uid="{81210BE7-9B36-4015-9D58-F9DBC61A6667}"/>
    <cellStyle name="Normal 2 4 2 3 7" xfId="2031" xr:uid="{20A38A99-F918-470A-ADF4-0CA967FE796D}"/>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421BAEDF-0BA3-4055-8628-3E4ADC05D578}"/>
    <cellStyle name="Normal 2 4 2 4 2 2 2 2 2" xfId="3286" xr:uid="{6F4BE3EE-872D-451A-9E24-8EC961D9D296}"/>
    <cellStyle name="Normal 2 4 2 4 2 2 2 3" xfId="2457" xr:uid="{5271E086-404C-4BBC-BB82-BCBDE94F046A}"/>
    <cellStyle name="Normal 2 4 2 4 2 2 3" xfId="1212" xr:uid="{B7CC957F-354B-40BA-A6DE-8B8BE33B68B2}"/>
    <cellStyle name="Normal 2 4 2 4 2 2 3 2" xfId="2870" xr:uid="{C553ADB0-6955-4561-B06B-C17EF1D2E6E3}"/>
    <cellStyle name="Normal 2 4 2 4 2 2 4" xfId="2041" xr:uid="{C3886F8A-1C95-48DB-B4C6-75690EC35AE0}"/>
    <cellStyle name="Normal 2 4 2 4 2 3" xfId="789" xr:uid="{00000000-0005-0000-0000-0000FB010000}"/>
    <cellStyle name="Normal 2 4 2 4 2 3 2" xfId="1627" xr:uid="{BB08F192-3BF0-4FD3-BC7F-98962EB6F2A5}"/>
    <cellStyle name="Normal 2 4 2 4 2 3 2 2" xfId="3285" xr:uid="{93B9FA02-680C-4209-91C7-1B5906AF2137}"/>
    <cellStyle name="Normal 2 4 2 4 2 3 3" xfId="2456" xr:uid="{E4E225FC-9301-4C0B-B09A-2B2D876FDA4E}"/>
    <cellStyle name="Normal 2 4 2 4 2 4" xfId="1211" xr:uid="{585C5507-7D82-4FED-B3A6-D97AD9283C8F}"/>
    <cellStyle name="Normal 2 4 2 4 2 4 2" xfId="2869" xr:uid="{19CC9D3E-86CB-46D9-9A5F-C47B87557170}"/>
    <cellStyle name="Normal 2 4 2 4 2 5" xfId="2040" xr:uid="{916F9DDD-3441-4904-9579-7E5C6F1D7065}"/>
    <cellStyle name="Normal 2 4 2 4 3" xfId="295" xr:uid="{00000000-0005-0000-0000-0000FC010000}"/>
    <cellStyle name="Normal 2 4 2 4 3 2" xfId="791" xr:uid="{00000000-0005-0000-0000-0000FD010000}"/>
    <cellStyle name="Normal 2 4 2 4 3 2 2" xfId="1629" xr:uid="{3B2566A3-C3E3-4A04-B6E7-F97C5FA61C34}"/>
    <cellStyle name="Normal 2 4 2 4 3 2 2 2" xfId="3287" xr:uid="{A8B110FA-3B1D-43F3-A920-245DB77F7CE0}"/>
    <cellStyle name="Normal 2 4 2 4 3 2 3" xfId="2458" xr:uid="{74251548-0D10-456D-9350-FC16F2A42BE4}"/>
    <cellStyle name="Normal 2 4 2 4 3 3" xfId="1213" xr:uid="{FD118E43-4406-4351-8C4C-3AF25824AD7B}"/>
    <cellStyle name="Normal 2 4 2 4 3 3 2" xfId="2871" xr:uid="{F789801B-E973-4716-BB1C-639054E4CD9A}"/>
    <cellStyle name="Normal 2 4 2 4 3 4" xfId="2042" xr:uid="{3C55A511-0265-4BE4-A749-50F401B6DAF7}"/>
    <cellStyle name="Normal 2 4 2 4 4" xfId="788" xr:uid="{00000000-0005-0000-0000-0000FE010000}"/>
    <cellStyle name="Normal 2 4 2 4 4 2" xfId="1626" xr:uid="{057A1267-587C-41F4-9176-1AF6AF3BB037}"/>
    <cellStyle name="Normal 2 4 2 4 4 2 2" xfId="3284" xr:uid="{56E5A4B6-5B2F-4235-BABF-8A62728EEB50}"/>
    <cellStyle name="Normal 2 4 2 4 4 3" xfId="2455" xr:uid="{041CEBA5-95C8-4F43-A4B6-6542EB195C5A}"/>
    <cellStyle name="Normal 2 4 2 4 5" xfId="1210" xr:uid="{157803B5-B668-41F5-8FDC-DFCD79057A07}"/>
    <cellStyle name="Normal 2 4 2 4 5 2" xfId="2868" xr:uid="{9A4F19CF-AC50-4278-9A8A-DE3F28461DB3}"/>
    <cellStyle name="Normal 2 4 2 4 6" xfId="2039" xr:uid="{E03CA16D-779C-4FA9-9328-5512952F9A74}"/>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B2D6BA68-C6E6-4932-A396-01FAD676C2FC}"/>
    <cellStyle name="Normal 2 4 2 5 2 2 2 2" xfId="3289" xr:uid="{8EA62F9F-6291-46D1-961B-6E404C70E17C}"/>
    <cellStyle name="Normal 2 4 2 5 2 2 3" xfId="2460" xr:uid="{4839DE53-1A46-4068-88EC-5F6EE7818FE4}"/>
    <cellStyle name="Normal 2 4 2 5 2 3" xfId="1215" xr:uid="{4D637C05-B526-4411-ABBA-82ACF9162DEB}"/>
    <cellStyle name="Normal 2 4 2 5 2 3 2" xfId="2873" xr:uid="{0E582752-26AB-4D24-8D0B-5611A188F4A5}"/>
    <cellStyle name="Normal 2 4 2 5 2 4" xfId="2044" xr:uid="{459FE85D-38EE-4985-BC6F-887444E83509}"/>
    <cellStyle name="Normal 2 4 2 5 3" xfId="792" xr:uid="{00000000-0005-0000-0000-000002020000}"/>
    <cellStyle name="Normal 2 4 2 5 3 2" xfId="1630" xr:uid="{CEA03B34-72C2-4441-AE7E-2F0BB76DC4EB}"/>
    <cellStyle name="Normal 2 4 2 5 3 2 2" xfId="3288" xr:uid="{AC88E2C5-DB5E-4888-895A-481A9336DE14}"/>
    <cellStyle name="Normal 2 4 2 5 3 3" xfId="2459" xr:uid="{0266B3C3-6122-46F2-B1CD-3A91568E9C99}"/>
    <cellStyle name="Normal 2 4 2 5 4" xfId="1214" xr:uid="{0A2F4EF3-7C65-46C1-A2A4-20F382A80E64}"/>
    <cellStyle name="Normal 2 4 2 5 4 2" xfId="2872" xr:uid="{B57FF709-46F3-48E6-ADE6-AE87582F4ED3}"/>
    <cellStyle name="Normal 2 4 2 5 5" xfId="2043" xr:uid="{93C84D73-D353-4B31-AC4E-80289868371F}"/>
    <cellStyle name="Normal 2 4 2 6" xfId="298" xr:uid="{00000000-0005-0000-0000-000003020000}"/>
    <cellStyle name="Normal 2 4 2 6 2" xfId="794" xr:uid="{00000000-0005-0000-0000-000004020000}"/>
    <cellStyle name="Normal 2 4 2 6 2 2" xfId="1632" xr:uid="{DC8D9651-A96E-4509-8CA1-CC3662A3B4F4}"/>
    <cellStyle name="Normal 2 4 2 6 2 2 2" xfId="3290" xr:uid="{5A010E46-D412-4850-9960-4C9F531D2C55}"/>
    <cellStyle name="Normal 2 4 2 6 2 3" xfId="2461" xr:uid="{318A6558-D848-40A1-82FE-1B878050E149}"/>
    <cellStyle name="Normal 2 4 2 6 3" xfId="1216" xr:uid="{8F436B3C-5A06-41EF-87DA-9F50B0F43970}"/>
    <cellStyle name="Normal 2 4 2 6 3 2" xfId="2874" xr:uid="{C6D109E1-35DB-452B-BD2A-70D1A79918C8}"/>
    <cellStyle name="Normal 2 4 2 6 4" xfId="2045" xr:uid="{70849861-8DF4-452D-8014-70DFC271321E}"/>
    <cellStyle name="Normal 2 4 2 7" xfId="779" xr:uid="{00000000-0005-0000-0000-000005020000}"/>
    <cellStyle name="Normal 2 4 2 7 2" xfId="1617" xr:uid="{06889ED7-2B34-48F3-9A88-674160857C8A}"/>
    <cellStyle name="Normal 2 4 2 7 2 2" xfId="3275" xr:uid="{D3F36820-1C92-4109-A160-A4EDD3231EA6}"/>
    <cellStyle name="Normal 2 4 2 7 3" xfId="2446" xr:uid="{87934D70-80B6-4794-B7CB-BEBDE662F11E}"/>
    <cellStyle name="Normal 2 4 2 8" xfId="1201" xr:uid="{6EE67F80-2C2B-45BD-9970-AAE224CEF4AD}"/>
    <cellStyle name="Normal 2 4 2 8 2" xfId="2859" xr:uid="{C0FCA48A-CCFF-4ADA-976C-1CC9A0440184}"/>
    <cellStyle name="Normal 2 4 2 9" xfId="2030" xr:uid="{1B1EF1FE-B943-4809-9B8F-8B9574DA9FF8}"/>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FEA15CA5-AFBA-4C0B-82BE-7649CA55DB70}"/>
    <cellStyle name="Normal 2 4 3 3 2 2 2 2 2" xfId="3294" xr:uid="{639EEDC9-BC15-48CF-8AA8-FCDF8CE84AB4}"/>
    <cellStyle name="Normal 2 4 3 3 2 2 2 3" xfId="2465" xr:uid="{B8011A78-F0E8-47E0-BE58-AAB63ECCACB8}"/>
    <cellStyle name="Normal 2 4 3 3 2 2 3" xfId="1220" xr:uid="{B99A43CF-6EC5-4207-96DC-06965C0C93D2}"/>
    <cellStyle name="Normal 2 4 3 3 2 2 3 2" xfId="2878" xr:uid="{453F8F73-88AD-4F6E-ADB5-4F32F784E785}"/>
    <cellStyle name="Normal 2 4 3 3 2 2 4" xfId="2049" xr:uid="{93E0EE29-A04C-4424-8426-4A1CED4FBE36}"/>
    <cellStyle name="Normal 2 4 3 3 2 3" xfId="797" xr:uid="{00000000-0005-0000-0000-00000C020000}"/>
    <cellStyle name="Normal 2 4 3 3 2 3 2" xfId="1635" xr:uid="{30F8CA99-1F6B-481E-AE71-EB4CFBB11CA7}"/>
    <cellStyle name="Normal 2 4 3 3 2 3 2 2" xfId="3293" xr:uid="{4BFF83BF-37BC-444E-9361-043DE85E1233}"/>
    <cellStyle name="Normal 2 4 3 3 2 3 3" xfId="2464" xr:uid="{421B2501-31CB-430D-8347-D8F2AFB8FC99}"/>
    <cellStyle name="Normal 2 4 3 3 2 4" xfId="1219" xr:uid="{0301AE21-5B4B-46B5-A148-4810CF2AE9C6}"/>
    <cellStyle name="Normal 2 4 3 3 2 4 2" xfId="2877" xr:uid="{357E26B4-1B9B-425C-B28C-E9C49B168048}"/>
    <cellStyle name="Normal 2 4 3 3 2 5" xfId="2048" xr:uid="{686D891A-A543-4C39-8F25-60F0E75E30DA}"/>
    <cellStyle name="Normal 2 4 3 3 3" xfId="304" xr:uid="{00000000-0005-0000-0000-00000D020000}"/>
    <cellStyle name="Normal 2 4 3 3 3 2" xfId="799" xr:uid="{00000000-0005-0000-0000-00000E020000}"/>
    <cellStyle name="Normal 2 4 3 3 3 2 2" xfId="1637" xr:uid="{B10B2EF5-A2FA-4BC0-8147-137843B913DC}"/>
    <cellStyle name="Normal 2 4 3 3 3 2 2 2" xfId="3295" xr:uid="{734D4374-80C1-4096-B7E9-068B9D9EB463}"/>
    <cellStyle name="Normal 2 4 3 3 3 2 3" xfId="2466" xr:uid="{70913978-AFF7-4B1F-A9C0-540D0285B44F}"/>
    <cellStyle name="Normal 2 4 3 3 3 3" xfId="1221" xr:uid="{704D5F54-DA7B-446E-9F31-DDBF390A05E1}"/>
    <cellStyle name="Normal 2 4 3 3 3 3 2" xfId="2879" xr:uid="{CA8A0799-FF2A-4484-8E97-BA715C3E5E63}"/>
    <cellStyle name="Normal 2 4 3 3 3 4" xfId="2050" xr:uid="{F0FE3DFF-5418-4083-A9FD-2665CC35DB94}"/>
    <cellStyle name="Normal 2 4 3 3 4" xfId="796" xr:uid="{00000000-0005-0000-0000-00000F020000}"/>
    <cellStyle name="Normal 2 4 3 3 4 2" xfId="1634" xr:uid="{632831BA-A644-4F71-9B1F-0676D584E571}"/>
    <cellStyle name="Normal 2 4 3 3 4 2 2" xfId="3292" xr:uid="{FBD7ED2D-893B-468D-8639-7B5A49D82F67}"/>
    <cellStyle name="Normal 2 4 3 3 4 3" xfId="2463" xr:uid="{ED2BF724-4387-4E88-B170-B2082484E48B}"/>
    <cellStyle name="Normal 2 4 3 3 5" xfId="1218" xr:uid="{90AD3C12-E94F-430A-AFA7-20019304DB93}"/>
    <cellStyle name="Normal 2 4 3 3 5 2" xfId="2876" xr:uid="{B5F5FC5C-FA2C-4A86-B1D1-DE64BE32C575}"/>
    <cellStyle name="Normal 2 4 3 3 6" xfId="2047" xr:uid="{9AD35F78-6B86-457F-B3D8-33D91E146437}"/>
    <cellStyle name="Normal 2 4 3 4" xfId="795" xr:uid="{00000000-0005-0000-0000-000010020000}"/>
    <cellStyle name="Normal 2 4 3 4 2" xfId="1633" xr:uid="{776ECCAA-5593-461A-82C4-DA9AE84E859A}"/>
    <cellStyle name="Normal 2 4 3 4 2 2" xfId="3291" xr:uid="{9D7D4D10-8701-4820-9389-DBCA5E9BCD93}"/>
    <cellStyle name="Normal 2 4 3 4 3" xfId="2462" xr:uid="{2B9649E9-E767-49D6-94A0-A52ACD419EC4}"/>
    <cellStyle name="Normal 2 4 3 5" xfId="1217" xr:uid="{4EF1E220-7228-42B9-9683-41A8CA92EE5C}"/>
    <cellStyle name="Normal 2 4 3 5 2" xfId="2875" xr:uid="{BFB84ED9-2141-4F1B-A692-86C76531CAF8}"/>
    <cellStyle name="Normal 2 4 3 6" xfId="2046" xr:uid="{F0CD24BA-FD87-4B92-852A-4CD995BCADDA}"/>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6CE8F154-4DD8-4F16-B6D8-00332FA32D7D}"/>
    <cellStyle name="Normal 2 4 5 2 2 2 2 2 2" xfId="3299" xr:uid="{12770A61-C70C-45AA-BB46-B51F957F28CE}"/>
    <cellStyle name="Normal 2 4 5 2 2 2 2 3" xfId="2470" xr:uid="{E76BBD90-7847-48AA-8E5F-BE715A6FCA21}"/>
    <cellStyle name="Normal 2 4 5 2 2 2 3" xfId="1225" xr:uid="{CB0E539E-E672-46B3-83A4-BDB623A9ECC9}"/>
    <cellStyle name="Normal 2 4 5 2 2 2 3 2" xfId="2883" xr:uid="{A1D07207-D576-436C-8A36-58EC30C57493}"/>
    <cellStyle name="Normal 2 4 5 2 2 2 4" xfId="2054" xr:uid="{33E40B50-3910-45DD-971D-6B5494216D70}"/>
    <cellStyle name="Normal 2 4 5 2 2 3" xfId="802" xr:uid="{00000000-0005-0000-0000-000017020000}"/>
    <cellStyle name="Normal 2 4 5 2 2 3 2" xfId="1640" xr:uid="{C44CC3DE-5110-4BF6-A6EC-C653718EB32C}"/>
    <cellStyle name="Normal 2 4 5 2 2 3 2 2" xfId="3298" xr:uid="{499946ED-5A7C-4258-9AEB-FB0DFD7FC4D4}"/>
    <cellStyle name="Normal 2 4 5 2 2 3 3" xfId="2469" xr:uid="{6380682D-8F35-4E0E-A39E-20DF651AE872}"/>
    <cellStyle name="Normal 2 4 5 2 2 4" xfId="1224" xr:uid="{E82368FC-FA98-41A4-BD83-84A1FF6F2A68}"/>
    <cellStyle name="Normal 2 4 5 2 2 4 2" xfId="2882" xr:uid="{31701C13-4208-40E0-B9EC-1856CD4005B6}"/>
    <cellStyle name="Normal 2 4 5 2 2 5" xfId="2053" xr:uid="{D9905FF8-4034-4CA7-BD92-F3642780F133}"/>
    <cellStyle name="Normal 2 4 5 2 3" xfId="310" xr:uid="{00000000-0005-0000-0000-000018020000}"/>
    <cellStyle name="Normal 2 4 5 2 3 2" xfId="804" xr:uid="{00000000-0005-0000-0000-000019020000}"/>
    <cellStyle name="Normal 2 4 5 2 3 2 2" xfId="1642" xr:uid="{DA06A7AA-6EAA-482A-8B81-6CBEF0917AF8}"/>
    <cellStyle name="Normal 2 4 5 2 3 2 2 2" xfId="3300" xr:uid="{89E06731-4266-4A85-ADC9-8EF273BE5474}"/>
    <cellStyle name="Normal 2 4 5 2 3 2 3" xfId="2471" xr:uid="{5CCEDAF6-B177-43E3-AC16-BA11662FCF60}"/>
    <cellStyle name="Normal 2 4 5 2 3 3" xfId="1226" xr:uid="{03C93CA1-02C4-4781-8A13-CEFD19C9084E}"/>
    <cellStyle name="Normal 2 4 5 2 3 3 2" xfId="2884" xr:uid="{9D5465D4-8F0B-4944-AB4C-401EEB2B6EF3}"/>
    <cellStyle name="Normal 2 4 5 2 3 4" xfId="2055" xr:uid="{26D848FD-7657-4EEC-B020-2876964AE49A}"/>
    <cellStyle name="Normal 2 4 5 2 4" xfId="801" xr:uid="{00000000-0005-0000-0000-00001A020000}"/>
    <cellStyle name="Normal 2 4 5 2 4 2" xfId="1639" xr:uid="{3D2E4CB3-BB97-4B4C-A137-A390AFE99836}"/>
    <cellStyle name="Normal 2 4 5 2 4 2 2" xfId="3297" xr:uid="{1724B64C-7368-4DC7-8651-F8AB883C3A58}"/>
    <cellStyle name="Normal 2 4 5 2 4 3" xfId="2468" xr:uid="{BFE836B2-43A6-4D57-B259-879F4A4AEF15}"/>
    <cellStyle name="Normal 2 4 5 2 5" xfId="1223" xr:uid="{91D32A01-97C9-44BB-B0D4-DD2250610580}"/>
    <cellStyle name="Normal 2 4 5 2 5 2" xfId="2881" xr:uid="{0D9BD420-2093-4256-B95D-52FDAF15E04D}"/>
    <cellStyle name="Normal 2 4 5 2 6" xfId="2052" xr:uid="{266A01AB-8308-4686-8B3A-8A75475CFCE4}"/>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6E333D77-F6C0-4D0F-ACB9-4AF1682BB8D2}"/>
    <cellStyle name="Normal 2 4 5 3 2 2 2 2" xfId="3302" xr:uid="{F6C95A3E-BFBC-4D03-B477-2A14CAB52690}"/>
    <cellStyle name="Normal 2 4 5 3 2 2 3" xfId="2473" xr:uid="{F09086E8-745F-4FCB-B975-0B9506A5E54E}"/>
    <cellStyle name="Normal 2 4 5 3 2 3" xfId="1228" xr:uid="{84E7E5A8-FEF6-477F-AD15-85A5B3B6B5F5}"/>
    <cellStyle name="Normal 2 4 5 3 2 3 2" xfId="2886" xr:uid="{E1D2968C-8D4E-4C9E-B022-1509AD823F8D}"/>
    <cellStyle name="Normal 2 4 5 3 2 4" xfId="2057" xr:uid="{B64D593D-4EAA-492F-A671-8ACEAD89558D}"/>
    <cellStyle name="Normal 2 4 5 3 3" xfId="805" xr:uid="{00000000-0005-0000-0000-00001E020000}"/>
    <cellStyle name="Normal 2 4 5 3 3 2" xfId="1643" xr:uid="{13FF98BB-683B-44AE-A505-D48CF7DCCEF2}"/>
    <cellStyle name="Normal 2 4 5 3 3 2 2" xfId="3301" xr:uid="{8C7C05B7-9887-404A-8DA4-EEE2EB86ED0B}"/>
    <cellStyle name="Normal 2 4 5 3 3 3" xfId="2472" xr:uid="{2F718E78-E50B-499C-B942-1175AF004065}"/>
    <cellStyle name="Normal 2 4 5 3 4" xfId="1227" xr:uid="{48C402B4-1A59-4642-A43E-FBE695F2FC58}"/>
    <cellStyle name="Normal 2 4 5 3 4 2" xfId="2885" xr:uid="{BE8DB126-EBA0-4525-904F-4A0E19EADCE6}"/>
    <cellStyle name="Normal 2 4 5 3 5" xfId="2056" xr:uid="{66B310B7-7878-49B0-BB64-E184FEDFC48E}"/>
    <cellStyle name="Normal 2 4 5 4" xfId="313" xr:uid="{00000000-0005-0000-0000-00001F020000}"/>
    <cellStyle name="Normal 2 4 5 4 2" xfId="807" xr:uid="{00000000-0005-0000-0000-000020020000}"/>
    <cellStyle name="Normal 2 4 5 4 2 2" xfId="1645" xr:uid="{B1328A2F-DE3A-4EFD-B871-DB3D98A7B589}"/>
    <cellStyle name="Normal 2 4 5 4 2 2 2" xfId="3303" xr:uid="{643A3DFB-0D42-40FF-84EE-35AE2B16A1A2}"/>
    <cellStyle name="Normal 2 4 5 4 2 3" xfId="2474" xr:uid="{DE9A0843-5D30-4C11-AE86-492C7932D91D}"/>
    <cellStyle name="Normal 2 4 5 4 3" xfId="1229" xr:uid="{26D06866-5504-4F7A-8AD1-74BB474A6C07}"/>
    <cellStyle name="Normal 2 4 5 4 3 2" xfId="2887" xr:uid="{F16031CF-4BE0-4B5D-A46F-40194BC67C40}"/>
    <cellStyle name="Normal 2 4 5 4 4" xfId="2058" xr:uid="{6B10AD1D-DF4D-4CA3-984C-1D9A992EC6C5}"/>
    <cellStyle name="Normal 2 4 5 5" xfId="800" xr:uid="{00000000-0005-0000-0000-000021020000}"/>
    <cellStyle name="Normal 2 4 5 5 2" xfId="1638" xr:uid="{FEE2B19E-E777-4EE5-A90C-15B938CADA9E}"/>
    <cellStyle name="Normal 2 4 5 5 2 2" xfId="3296" xr:uid="{C1054F05-071F-43A0-877F-3F075D5EBC72}"/>
    <cellStyle name="Normal 2 4 5 5 3" xfId="2467" xr:uid="{FD999925-3DB5-444E-91E2-E70577EF55AF}"/>
    <cellStyle name="Normal 2 4 5 6" xfId="1222" xr:uid="{47A1DA9F-3C96-46D4-8E2B-2CBB9A690C8A}"/>
    <cellStyle name="Normal 2 4 5 6 2" xfId="2880" xr:uid="{CADDC54C-7391-4DE8-888B-0EB9A70F6940}"/>
    <cellStyle name="Normal 2 4 5 7" xfId="2051" xr:uid="{ED0C6BE2-8AA0-4DAF-A5BA-0CDEEF695E8C}"/>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10C1A407-FA98-4A6D-B7F2-9D2CD3EA4927}"/>
    <cellStyle name="Normal 2 4 7 2 2 2 2" xfId="3305" xr:uid="{CBA72E66-EE66-4A3C-8DCA-8CF44E2C7CF9}"/>
    <cellStyle name="Normal 2 4 7 2 2 3" xfId="2476" xr:uid="{ACEE5859-12F6-484D-B850-675FFAE66432}"/>
    <cellStyle name="Normal 2 4 7 2 3" xfId="1231" xr:uid="{A9DB253B-B5FE-4BD6-A89D-C97001B98DF1}"/>
    <cellStyle name="Normal 2 4 7 2 3 2" xfId="2889" xr:uid="{AC2F46F8-4BF9-42F0-882E-F21B592B80A5}"/>
    <cellStyle name="Normal 2 4 7 2 4" xfId="2060" xr:uid="{0C143FEC-AD1F-448E-A92B-E6040F605CEA}"/>
    <cellStyle name="Normal 2 4 7 3" xfId="808" xr:uid="{00000000-0005-0000-0000-000026020000}"/>
    <cellStyle name="Normal 2 4 7 3 2" xfId="1646" xr:uid="{0ECB1939-602B-40CB-8EAD-52D1D21007A1}"/>
    <cellStyle name="Normal 2 4 7 3 2 2" xfId="3304" xr:uid="{7E1D0D1D-48E6-4CE8-9A3A-5DA511A9C4BD}"/>
    <cellStyle name="Normal 2 4 7 3 3" xfId="2475" xr:uid="{0EF4767F-1AA1-4EC0-8737-3933065EEB15}"/>
    <cellStyle name="Normal 2 4 7 4" xfId="1230" xr:uid="{FAF000FF-75D8-4D0A-9282-943B1A933148}"/>
    <cellStyle name="Normal 2 4 7 4 2" xfId="2888" xr:uid="{57BA986C-16F0-4F34-BA2F-9286BC67C42C}"/>
    <cellStyle name="Normal 2 4 7 5" xfId="2059" xr:uid="{3D3F671A-4512-4A3E-9DCA-1B7DA6A014E6}"/>
    <cellStyle name="Normal 2 4 8" xfId="317" xr:uid="{00000000-0005-0000-0000-000027020000}"/>
    <cellStyle name="Normal 2 4 8 2" xfId="810" xr:uid="{00000000-0005-0000-0000-000028020000}"/>
    <cellStyle name="Normal 2 4 8 2 2" xfId="1648" xr:uid="{8D79BB5C-C5F4-47BB-90A7-6400791F8E19}"/>
    <cellStyle name="Normal 2 4 8 2 2 2" xfId="3306" xr:uid="{D1BC76D1-9B17-440B-BC18-DA69B56757B5}"/>
    <cellStyle name="Normal 2 4 8 2 3" xfId="2477" xr:uid="{8D7E57E3-6517-4A06-A9AC-D4786781BB7B}"/>
    <cellStyle name="Normal 2 4 8 3" xfId="1232" xr:uid="{C5B3ADAA-FDA9-4574-BD1A-3A30F1F9A17B}"/>
    <cellStyle name="Normal 2 4 8 3 2" xfId="2890" xr:uid="{7ABF09CF-6F1E-4667-A30F-22D954F8EEC9}"/>
    <cellStyle name="Normal 2 4 8 4" xfId="2061" xr:uid="{1DD15950-E74D-4899-986E-32460915E207}"/>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0CF1F950-A856-4E66-9564-73B0540C64C1}"/>
    <cellStyle name="Normal 2 5 4 2 2 2 2 2" xfId="3310" xr:uid="{03B4BD34-DBF5-43E6-9BEC-8FF5CD900EB3}"/>
    <cellStyle name="Normal 2 5 4 2 2 2 3" xfId="2481" xr:uid="{DE612A80-2C40-41F2-A95C-D2576DDF8E32}"/>
    <cellStyle name="Normal 2 5 4 2 2 3" xfId="1236" xr:uid="{7557A4DC-8350-4EB4-BDD5-3D1EF4BF9AB8}"/>
    <cellStyle name="Normal 2 5 4 2 2 3 2" xfId="2894" xr:uid="{BD9E2B96-84FD-42E2-B37D-29F510F17EE5}"/>
    <cellStyle name="Normal 2 5 4 2 2 4" xfId="2065" xr:uid="{CE4DB6CD-8FDA-472B-A6A7-9B62B68D8AA8}"/>
    <cellStyle name="Normal 2 5 4 2 3" xfId="813" xr:uid="{00000000-0005-0000-0000-000030020000}"/>
    <cellStyle name="Normal 2 5 4 2 3 2" xfId="1651" xr:uid="{69B97CAB-2EB9-4131-8FE2-2BC506B09A73}"/>
    <cellStyle name="Normal 2 5 4 2 3 2 2" xfId="3309" xr:uid="{4937E50B-AE1A-47B5-AEEF-B4B5C18EB18D}"/>
    <cellStyle name="Normal 2 5 4 2 3 3" xfId="2480" xr:uid="{627569F7-DF78-424A-B048-06D0545A6A4A}"/>
    <cellStyle name="Normal 2 5 4 2 4" xfId="1235" xr:uid="{C3340A09-2C27-4953-973A-42560647B358}"/>
    <cellStyle name="Normal 2 5 4 2 4 2" xfId="2893" xr:uid="{5B17832E-F8E4-41A7-BED5-B944A3713F86}"/>
    <cellStyle name="Normal 2 5 4 2 5" xfId="2064" xr:uid="{04C5B1A3-32E9-42E9-917A-5C441F70DA98}"/>
    <cellStyle name="Normal 2 5 4 3" xfId="324" xr:uid="{00000000-0005-0000-0000-000031020000}"/>
    <cellStyle name="Normal 2 5 4 3 2" xfId="815" xr:uid="{00000000-0005-0000-0000-000032020000}"/>
    <cellStyle name="Normal 2 5 4 3 2 2" xfId="1653" xr:uid="{E91916A0-0A6A-45CE-ACA8-4D258683F1A6}"/>
    <cellStyle name="Normal 2 5 4 3 2 2 2" xfId="3311" xr:uid="{DE24BB75-AA13-4D1D-966D-50C44F0B9C7C}"/>
    <cellStyle name="Normal 2 5 4 3 2 3" xfId="2482" xr:uid="{C7A5E511-53C6-4A71-9FF1-D5BBEF908D9E}"/>
    <cellStyle name="Normal 2 5 4 3 3" xfId="1237" xr:uid="{0ECF9097-6E22-400B-9910-70ADE778C97D}"/>
    <cellStyle name="Normal 2 5 4 3 3 2" xfId="2895" xr:uid="{A22D412D-6934-47C5-A0BC-8FD52FFA8339}"/>
    <cellStyle name="Normal 2 5 4 3 4" xfId="2066" xr:uid="{01066F4B-D312-4C8D-850A-38B3FAB17D32}"/>
    <cellStyle name="Normal 2 5 4 4" xfId="812" xr:uid="{00000000-0005-0000-0000-000033020000}"/>
    <cellStyle name="Normal 2 5 4 4 2" xfId="1650" xr:uid="{69FE9E81-E0E5-4891-B67E-F6F6EA1A0A5D}"/>
    <cellStyle name="Normal 2 5 4 4 2 2" xfId="3308" xr:uid="{715773EF-C3E6-428E-875D-F108DE3D124F}"/>
    <cellStyle name="Normal 2 5 4 4 3" xfId="2479" xr:uid="{CCF80A34-D85F-4787-BE8B-45B61CE0964E}"/>
    <cellStyle name="Normal 2 5 4 5" xfId="1234" xr:uid="{40FFFDE2-4B33-4B72-9789-FD01245E785F}"/>
    <cellStyle name="Normal 2 5 4 5 2" xfId="2892" xr:uid="{5EDE0E98-B618-49C2-8DE0-514C26988F37}"/>
    <cellStyle name="Normal 2 5 4 6" xfId="2063" xr:uid="{1472AA44-F728-4C19-97E1-DB835825882D}"/>
    <cellStyle name="Normal 2 5 5" xfId="811" xr:uid="{00000000-0005-0000-0000-000034020000}"/>
    <cellStyle name="Normal 2 5 5 2" xfId="1649" xr:uid="{2D52DE77-691C-444D-AA06-8C4D63845BBD}"/>
    <cellStyle name="Normal 2 5 5 2 2" xfId="3307" xr:uid="{61FE4124-052C-4ECB-9653-6AAF8F9730D8}"/>
    <cellStyle name="Normal 2 5 5 3" xfId="2478" xr:uid="{C66A6439-AC37-4465-9EF5-D1D934277ECD}"/>
    <cellStyle name="Normal 2 5 6" xfId="1233" xr:uid="{538747B2-EC3E-44BF-B5B3-891983B159AE}"/>
    <cellStyle name="Normal 2 5 6 2" xfId="2891" xr:uid="{2E3544F2-5C97-4358-9110-729984D7198F}"/>
    <cellStyle name="Normal 2 5 7" xfId="2062" xr:uid="{5AB8A73F-7FEC-4A02-819F-4813DFCCAD31}"/>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5242A480-E98A-4CA9-8F2E-A7E98E06776B}"/>
    <cellStyle name="Normal 3 2 3 2 2 2 2 2" xfId="3315" xr:uid="{F0F13A77-09AD-405E-BF01-809CC740B75F}"/>
    <cellStyle name="Normal 3 2 3 2 2 2 3" xfId="2486" xr:uid="{1BB2CCEF-B455-4022-9763-CEC3FC91AF1E}"/>
    <cellStyle name="Normal 3 2 3 2 2 3" xfId="1241" xr:uid="{011402F7-DA6C-4EBF-BE6B-56F449549508}"/>
    <cellStyle name="Normal 3 2 3 2 2 3 2" xfId="2899" xr:uid="{426197DE-0FA9-4324-8E49-6D31916D18D6}"/>
    <cellStyle name="Normal 3 2 3 2 2 4" xfId="2070" xr:uid="{B9D976FB-0CDF-400F-BD5C-3A3847680E79}"/>
    <cellStyle name="Normal 3 2 3 2 3" xfId="820" xr:uid="{00000000-0005-0000-0000-00003F020000}"/>
    <cellStyle name="Normal 3 2 3 2 3 2" xfId="1656" xr:uid="{CABB6A7F-E2D0-47FB-A15A-85E74028E454}"/>
    <cellStyle name="Normal 3 2 3 2 3 2 2" xfId="3314" xr:uid="{C3800F40-897E-4392-AB9F-F9D43D1CD8E9}"/>
    <cellStyle name="Normal 3 2 3 2 3 3" xfId="2485" xr:uid="{6B5F0E15-F1E6-4CD7-BCDF-A284D22899CA}"/>
    <cellStyle name="Normal 3 2 3 2 4" xfId="1240" xr:uid="{B782D5EC-2F19-4398-992D-68B6C790DC00}"/>
    <cellStyle name="Normal 3 2 3 2 4 2" xfId="2898" xr:uid="{BA5C6937-A2C0-4987-8848-F224FC1FEE2B}"/>
    <cellStyle name="Normal 3 2 3 2 5" xfId="2069" xr:uid="{BCC3CDAE-0223-4ECC-9F44-EDE92E2B3AEE}"/>
    <cellStyle name="Normal 3 2 3 3" xfId="332" xr:uid="{00000000-0005-0000-0000-000040020000}"/>
    <cellStyle name="Normal 3 2 3 3 2" xfId="822" xr:uid="{00000000-0005-0000-0000-000041020000}"/>
    <cellStyle name="Normal 3 2 3 3 2 2" xfId="1658" xr:uid="{E58B7967-4D3F-4CFB-A4BD-F4EA0EA9026D}"/>
    <cellStyle name="Normal 3 2 3 3 2 2 2" xfId="3316" xr:uid="{5FD9C3CF-CD30-4CCC-A671-0D76ED68830F}"/>
    <cellStyle name="Normal 3 2 3 3 2 3" xfId="2487" xr:uid="{7F52268A-66EE-44AF-A5AD-F2DD82D05BB9}"/>
    <cellStyle name="Normal 3 2 3 3 3" xfId="1242" xr:uid="{F6317481-2789-458D-91FA-08D4EA5626A2}"/>
    <cellStyle name="Normal 3 2 3 3 3 2" xfId="2900" xr:uid="{EE7F14E7-C410-4EC1-96E5-9930BECDFA75}"/>
    <cellStyle name="Normal 3 2 3 3 4" xfId="2071" xr:uid="{362BC106-1427-4E81-A179-80EC92E32A86}"/>
    <cellStyle name="Normal 3 2 3 4" xfId="819" xr:uid="{00000000-0005-0000-0000-000042020000}"/>
    <cellStyle name="Normal 3 2 3 4 2" xfId="1655" xr:uid="{73BAA249-DE3C-45CD-966B-C8085711B72D}"/>
    <cellStyle name="Normal 3 2 3 4 2 2" xfId="3313" xr:uid="{7AD0B9D6-9BB2-45DC-AEAC-92C9648C9943}"/>
    <cellStyle name="Normal 3 2 3 4 3" xfId="2484" xr:uid="{55280120-AD3C-41EF-BA76-D4E0D4DB8288}"/>
    <cellStyle name="Normal 3 2 3 5" xfId="1239" xr:uid="{6C193228-5A22-4866-AF64-AA83BDC8E833}"/>
    <cellStyle name="Normal 3 2 3 5 2" xfId="2897" xr:uid="{4142761D-D744-4C0C-90D0-7B46D71F9A64}"/>
    <cellStyle name="Normal 3 2 3 6" xfId="2068" xr:uid="{FFE01958-BB52-4ED4-9FD8-BE2BB62EFE9D}"/>
    <cellStyle name="Normal 3 2 4" xfId="817" xr:uid="{00000000-0005-0000-0000-000043020000}"/>
    <cellStyle name="Normal 3 2 4 2" xfId="1654" xr:uid="{0E238419-DF28-4DAE-B089-6B89DD999B30}"/>
    <cellStyle name="Normal 3 2 4 2 2" xfId="3312" xr:uid="{46F94189-B4C0-4F54-BEE6-020DBDE07090}"/>
    <cellStyle name="Normal 3 2 4 3" xfId="2483" xr:uid="{AD6D6CFB-2008-4F64-B13C-F4A90B2B0B53}"/>
    <cellStyle name="Normal 3 2 5" xfId="1238" xr:uid="{4923C7D8-E860-4020-9069-461A7F9A3C95}"/>
    <cellStyle name="Normal 3 2 5 2" xfId="2896" xr:uid="{B40BDAB2-F359-4E46-A607-3858FA6262B1}"/>
    <cellStyle name="Normal 3 2 6" xfId="2067" xr:uid="{4CD6B338-50B3-4910-8E5F-C7C54C7DD1A2}"/>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457F7267-59B5-4969-BB82-4A871F28A4CF}"/>
    <cellStyle name="Normal 4 2 2 3 2 2 2 2 2 2" xfId="3321" xr:uid="{932B3CB4-2AF8-4310-8CC0-A51EFE5ED76E}"/>
    <cellStyle name="Normal 4 2 2 3 2 2 2 2 3" xfId="2492" xr:uid="{4F441E0F-AA5F-4B34-9931-B32AFFE1EA4C}"/>
    <cellStyle name="Normal 4 2 2 3 2 2 2 3" xfId="1247" xr:uid="{167BE3D4-9CAA-48A0-A078-EC34F2FCA972}"/>
    <cellStyle name="Normal 4 2 2 3 2 2 2 3 2" xfId="2905" xr:uid="{0A8D1236-EB08-496C-AEA6-6951BB4DDE6E}"/>
    <cellStyle name="Normal 4 2 2 3 2 2 2 4" xfId="2076" xr:uid="{4347C29D-A678-4AB8-8C56-F636B2219B6C}"/>
    <cellStyle name="Normal 4 2 2 3 2 2 3" xfId="826" xr:uid="{00000000-0005-0000-0000-000053020000}"/>
    <cellStyle name="Normal 4 2 2 3 2 2 3 2" xfId="1662" xr:uid="{A32ABAFC-FE44-473B-868D-7C4352FB4E9A}"/>
    <cellStyle name="Normal 4 2 2 3 2 2 3 2 2" xfId="3320" xr:uid="{87AF7DC6-90D3-4045-979B-800C341148B4}"/>
    <cellStyle name="Normal 4 2 2 3 2 2 3 3" xfId="2491" xr:uid="{2DC4030B-0B79-4653-BB69-FB3410B472AB}"/>
    <cellStyle name="Normal 4 2 2 3 2 2 4" xfId="1246" xr:uid="{FA698372-312F-4AE8-807A-C1F96298158E}"/>
    <cellStyle name="Normal 4 2 2 3 2 2 4 2" xfId="2904" xr:uid="{BF413046-CEC4-4B9C-AD94-C08CAD94EF32}"/>
    <cellStyle name="Normal 4 2 2 3 2 2 5" xfId="2075" xr:uid="{8D0B6A1B-4870-494F-9A29-87484BC401D6}"/>
    <cellStyle name="Normal 4 2 2 3 2 3" xfId="346" xr:uid="{00000000-0005-0000-0000-000054020000}"/>
    <cellStyle name="Normal 4 2 2 3 2 3 2" xfId="828" xr:uid="{00000000-0005-0000-0000-000055020000}"/>
    <cellStyle name="Normal 4 2 2 3 2 3 2 2" xfId="1664" xr:uid="{E43F2A7F-814A-4682-9C70-758D83E3980A}"/>
    <cellStyle name="Normal 4 2 2 3 2 3 2 2 2" xfId="3322" xr:uid="{E2FAF89A-ABFA-4574-8645-C26A070C474C}"/>
    <cellStyle name="Normal 4 2 2 3 2 3 2 3" xfId="2493" xr:uid="{A7CBF662-505C-491A-A86D-74B008D2F040}"/>
    <cellStyle name="Normal 4 2 2 3 2 3 3" xfId="1248" xr:uid="{AD7192C2-5534-4E49-8291-1C8111D39E31}"/>
    <cellStyle name="Normal 4 2 2 3 2 3 3 2" xfId="2906" xr:uid="{4DF2B91F-680F-452A-AE81-2729F46092AA}"/>
    <cellStyle name="Normal 4 2 2 3 2 3 4" xfId="2077" xr:uid="{DCC188D2-F112-40E2-9701-3304DA1B9398}"/>
    <cellStyle name="Normal 4 2 2 3 2 4" xfId="825" xr:uid="{00000000-0005-0000-0000-000056020000}"/>
    <cellStyle name="Normal 4 2 2 3 2 4 2" xfId="1661" xr:uid="{7FAF0F59-AF38-4CA2-8141-482BAC24B2A6}"/>
    <cellStyle name="Normal 4 2 2 3 2 4 2 2" xfId="3319" xr:uid="{6237AC90-57BF-420E-B2FC-4A1B237B216D}"/>
    <cellStyle name="Normal 4 2 2 3 2 4 3" xfId="2490" xr:uid="{50D63D96-F1EF-44A3-AA95-6B73D89C9D03}"/>
    <cellStyle name="Normal 4 2 2 3 2 5" xfId="1245" xr:uid="{C66728CE-4715-4642-82B5-44CCD37A7C7C}"/>
    <cellStyle name="Normal 4 2 2 3 2 5 2" xfId="2903" xr:uid="{06958C8E-A78B-4355-93C0-D20C193066BA}"/>
    <cellStyle name="Normal 4 2 2 3 2 6" xfId="2074" xr:uid="{9E16E7CB-3919-4037-877C-1D1BF7602F6D}"/>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D4574349-7A59-4D29-B3F8-50B6124D3B0B}"/>
    <cellStyle name="Normal 4 2 2 3 3 2 2 2 2" xfId="3324" xr:uid="{252AB232-1CBD-44EB-979F-5B2FA1048888}"/>
    <cellStyle name="Normal 4 2 2 3 3 2 2 3" xfId="2495" xr:uid="{BD229161-93B1-4075-8B8F-E512A6B0017F}"/>
    <cellStyle name="Normal 4 2 2 3 3 2 3" xfId="1250" xr:uid="{B385E810-AD8A-435E-AC3B-560DF443B916}"/>
    <cellStyle name="Normal 4 2 2 3 3 2 3 2" xfId="2908" xr:uid="{17DF905B-65F9-46A9-8F85-E90842931266}"/>
    <cellStyle name="Normal 4 2 2 3 3 2 4" xfId="2079" xr:uid="{EE3C641C-06DB-4C76-873C-AFADDFF5C28B}"/>
    <cellStyle name="Normal 4 2 2 3 3 3" xfId="829" xr:uid="{00000000-0005-0000-0000-00005A020000}"/>
    <cellStyle name="Normal 4 2 2 3 3 3 2" xfId="1665" xr:uid="{08E5E5C3-69A1-48C1-B828-3EED2CF6972F}"/>
    <cellStyle name="Normal 4 2 2 3 3 3 2 2" xfId="3323" xr:uid="{3DC39A0F-6FD1-40D2-B5B1-6D9C944A3CA6}"/>
    <cellStyle name="Normal 4 2 2 3 3 3 3" xfId="2494" xr:uid="{0D6D41D7-23F9-4C7E-A743-9D5D87CBE7DF}"/>
    <cellStyle name="Normal 4 2 2 3 3 4" xfId="1249" xr:uid="{729064E1-D85B-427B-B62C-3C339B0D558E}"/>
    <cellStyle name="Normal 4 2 2 3 3 4 2" xfId="2907" xr:uid="{02141B03-61C2-4AC5-BEF6-12204FE06E4E}"/>
    <cellStyle name="Normal 4 2 2 3 3 5" xfId="2078" xr:uid="{EB614F3F-A1CB-4B8B-918C-31D72869A66E}"/>
    <cellStyle name="Normal 4 2 2 3 4" xfId="349" xr:uid="{00000000-0005-0000-0000-00005B020000}"/>
    <cellStyle name="Normal 4 2 2 3 4 2" xfId="831" xr:uid="{00000000-0005-0000-0000-00005C020000}"/>
    <cellStyle name="Normal 4 2 2 3 4 2 2" xfId="1667" xr:uid="{43012C65-B3DC-42B5-B341-2FEE03C150A7}"/>
    <cellStyle name="Normal 4 2 2 3 4 2 2 2" xfId="3325" xr:uid="{31CDE2FD-CCF6-483C-9773-80F9910E1E59}"/>
    <cellStyle name="Normal 4 2 2 3 4 2 3" xfId="2496" xr:uid="{17653AAC-5880-45D2-A6F0-BF012F4F70C3}"/>
    <cellStyle name="Normal 4 2 2 3 4 3" xfId="1251" xr:uid="{B7B395E4-B073-4331-A4DC-B8267E0B820D}"/>
    <cellStyle name="Normal 4 2 2 3 4 3 2" xfId="2909" xr:uid="{8B7943B4-AD61-468A-A70D-11E021497D33}"/>
    <cellStyle name="Normal 4 2 2 3 4 4" xfId="2080" xr:uid="{3F51E730-9E21-4E1C-A9DC-190726EAAD1D}"/>
    <cellStyle name="Normal 4 2 2 3 5" xfId="824" xr:uid="{00000000-0005-0000-0000-00005D020000}"/>
    <cellStyle name="Normal 4 2 2 3 5 2" xfId="1660" xr:uid="{3E88213B-52EE-4676-BA32-B20F1A36B778}"/>
    <cellStyle name="Normal 4 2 2 3 5 2 2" xfId="3318" xr:uid="{A79674FC-676A-488A-9F39-D5D9C4FC3F08}"/>
    <cellStyle name="Normal 4 2 2 3 5 3" xfId="2489" xr:uid="{2BC0AB17-E5B2-480D-8C1C-15EC45BA242A}"/>
    <cellStyle name="Normal 4 2 2 3 6" xfId="1244" xr:uid="{8E24E7B7-5FA6-41EF-BAEA-8A3D638780A7}"/>
    <cellStyle name="Normal 4 2 2 3 6 2" xfId="2902" xr:uid="{66F3E785-5CCB-49E2-AF79-F6A1A1F38079}"/>
    <cellStyle name="Normal 4 2 2 3 7" xfId="2073" xr:uid="{4E444B26-7062-4764-8681-6F3D38D4633B}"/>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1AB520BA-A18A-4226-8959-0614E8DB11D3}"/>
    <cellStyle name="Normal 4 2 2 4 2 2 2 2 2" xfId="3328" xr:uid="{62E0C329-0915-49F9-8BD9-3DD1170542EE}"/>
    <cellStyle name="Normal 4 2 2 4 2 2 2 3" xfId="2499" xr:uid="{B655DC6F-AEEF-418C-AB46-5ED1E6A08F78}"/>
    <cellStyle name="Normal 4 2 2 4 2 2 3" xfId="1254" xr:uid="{BE5990F2-8213-4BDA-A044-F491A9023BF3}"/>
    <cellStyle name="Normal 4 2 2 4 2 2 3 2" xfId="2912" xr:uid="{C812AFC1-E8BB-491D-85DA-3FB874DC8B54}"/>
    <cellStyle name="Normal 4 2 2 4 2 2 4" xfId="2083" xr:uid="{EC3136B4-EE85-4424-A93E-52172FB293F5}"/>
    <cellStyle name="Normal 4 2 2 4 2 3" xfId="833" xr:uid="{00000000-0005-0000-0000-000062020000}"/>
    <cellStyle name="Normal 4 2 2 4 2 3 2" xfId="1669" xr:uid="{15D809C4-2A76-4917-BD3E-D990BF175C55}"/>
    <cellStyle name="Normal 4 2 2 4 2 3 2 2" xfId="3327" xr:uid="{1462469E-ADBC-4944-9920-FD7BB893BF97}"/>
    <cellStyle name="Normal 4 2 2 4 2 3 3" xfId="2498" xr:uid="{C1B972D3-D2B7-4FD9-B005-748C2D05CB33}"/>
    <cellStyle name="Normal 4 2 2 4 2 4" xfId="1253" xr:uid="{614EDA55-2C0C-41ED-B59F-DAF956940439}"/>
    <cellStyle name="Normal 4 2 2 4 2 4 2" xfId="2911" xr:uid="{363336D1-723F-438B-9413-EA70117A9BDA}"/>
    <cellStyle name="Normal 4 2 2 4 2 5" xfId="2082" xr:uid="{EA99C483-1CEC-41A3-8C9C-38381FC15878}"/>
    <cellStyle name="Normal 4 2 2 4 3" xfId="353" xr:uid="{00000000-0005-0000-0000-000063020000}"/>
    <cellStyle name="Normal 4 2 2 4 3 2" xfId="835" xr:uid="{00000000-0005-0000-0000-000064020000}"/>
    <cellStyle name="Normal 4 2 2 4 3 2 2" xfId="1671" xr:uid="{A2D8531F-97E3-4518-8BBD-9DFD047849AD}"/>
    <cellStyle name="Normal 4 2 2 4 3 2 2 2" xfId="3329" xr:uid="{DA5E707A-7211-4B4F-B04C-4DA62AB8C9B0}"/>
    <cellStyle name="Normal 4 2 2 4 3 2 3" xfId="2500" xr:uid="{01173B46-A7F3-4090-BCDD-74CBDEBBBE4A}"/>
    <cellStyle name="Normal 4 2 2 4 3 3" xfId="1255" xr:uid="{B0B6E5DD-D4D2-4CE4-8EA2-7772CC8CBEE9}"/>
    <cellStyle name="Normal 4 2 2 4 3 3 2" xfId="2913" xr:uid="{BA424F53-60AB-4022-82DB-2515520A5A79}"/>
    <cellStyle name="Normal 4 2 2 4 3 4" xfId="2084" xr:uid="{3A46F1CC-AA76-4EF6-B72D-BBE9048918BD}"/>
    <cellStyle name="Normal 4 2 2 4 4" xfId="832" xr:uid="{00000000-0005-0000-0000-000065020000}"/>
    <cellStyle name="Normal 4 2 2 4 4 2" xfId="1668" xr:uid="{BDD6DAF2-8C22-4509-AC24-9A1CF7B7034C}"/>
    <cellStyle name="Normal 4 2 2 4 4 2 2" xfId="3326" xr:uid="{AC22C40A-9C93-48D4-8A55-C320803DDA58}"/>
    <cellStyle name="Normal 4 2 2 4 4 3" xfId="2497" xr:uid="{9D8621ED-B3F7-4370-8F51-88BB35672935}"/>
    <cellStyle name="Normal 4 2 2 4 5" xfId="1252" xr:uid="{0A971DA8-A60C-4636-9ADA-D3142F3DA22E}"/>
    <cellStyle name="Normal 4 2 2 4 5 2" xfId="2910" xr:uid="{22200EF8-F6BC-4666-B60C-0095B3494AB3}"/>
    <cellStyle name="Normal 4 2 2 4 6" xfId="2081" xr:uid="{FE4EF4B5-C5A3-4FCB-BC5E-266C599CC397}"/>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448604B9-810C-4331-8321-25FB9B0E90D8}"/>
    <cellStyle name="Normal 4 2 2 5 2 2 2 2" xfId="3331" xr:uid="{DFC121D3-0A92-43B3-B537-FEBA9C878616}"/>
    <cellStyle name="Normal 4 2 2 5 2 2 3" xfId="2502" xr:uid="{170AC8A1-5DAE-4067-9EC3-FDD672C8A622}"/>
    <cellStyle name="Normal 4 2 2 5 2 3" xfId="1257" xr:uid="{7D192066-F5E8-4C84-A57A-5261FCA42901}"/>
    <cellStyle name="Normal 4 2 2 5 2 3 2" xfId="2915" xr:uid="{206739B4-CC2E-4576-BD4D-0431204877ED}"/>
    <cellStyle name="Normal 4 2 2 5 2 4" xfId="2086" xr:uid="{FB7CD874-00B7-4018-808A-40328442CB4B}"/>
    <cellStyle name="Normal 4 2 2 5 3" xfId="836" xr:uid="{00000000-0005-0000-0000-000069020000}"/>
    <cellStyle name="Normal 4 2 2 5 3 2" xfId="1672" xr:uid="{D615F2AD-D1AD-4178-83E6-F8DCEF6AAE04}"/>
    <cellStyle name="Normal 4 2 2 5 3 2 2" xfId="3330" xr:uid="{5A5A1969-3EF9-4A9B-B5C0-238575397F1B}"/>
    <cellStyle name="Normal 4 2 2 5 3 3" xfId="2501" xr:uid="{AB72E971-268E-4A70-88AE-66CF4FF84802}"/>
    <cellStyle name="Normal 4 2 2 5 4" xfId="1256" xr:uid="{C63E05D1-7FF3-4ADF-9CF7-864BB8A243F3}"/>
    <cellStyle name="Normal 4 2 2 5 4 2" xfId="2914" xr:uid="{47F993F1-292A-480F-AB05-21F382266C4A}"/>
    <cellStyle name="Normal 4 2 2 5 5" xfId="2085" xr:uid="{B091FC07-27B8-4F95-9B84-F4486E9FEC3F}"/>
    <cellStyle name="Normal 4 2 2 6" xfId="356" xr:uid="{00000000-0005-0000-0000-00006A020000}"/>
    <cellStyle name="Normal 4 2 2 6 2" xfId="838" xr:uid="{00000000-0005-0000-0000-00006B020000}"/>
    <cellStyle name="Normal 4 2 2 6 2 2" xfId="1674" xr:uid="{4261B071-8B60-4404-B3CD-0F6CF51870E9}"/>
    <cellStyle name="Normal 4 2 2 6 2 2 2" xfId="3332" xr:uid="{6FE4829C-335E-4BD4-B0D8-4B4B8E0C48E8}"/>
    <cellStyle name="Normal 4 2 2 6 2 3" xfId="2503" xr:uid="{60A610CC-9682-4F2C-B7AC-83D047BC79A8}"/>
    <cellStyle name="Normal 4 2 2 6 3" xfId="1258" xr:uid="{8DC9DB8A-F81B-436B-901C-145B27809CEB}"/>
    <cellStyle name="Normal 4 2 2 6 3 2" xfId="2916" xr:uid="{53F8FE4F-771C-4C7D-B28B-F16250C0048A}"/>
    <cellStyle name="Normal 4 2 2 6 4" xfId="2087" xr:uid="{AA2C7BD9-95BD-48AB-877D-4C79861455DE}"/>
    <cellStyle name="Normal 4 2 2 7" xfId="823" xr:uid="{00000000-0005-0000-0000-00006C020000}"/>
    <cellStyle name="Normal 4 2 2 7 2" xfId="1659" xr:uid="{C0C24A08-7D03-4D9D-AAA0-ADDDB1C40643}"/>
    <cellStyle name="Normal 4 2 2 7 2 2" xfId="3317" xr:uid="{133798AB-E3E3-4207-806E-9822C20F3128}"/>
    <cellStyle name="Normal 4 2 2 7 3" xfId="2488" xr:uid="{81164188-ABE0-4DCA-B0E9-F2AD55C6FA41}"/>
    <cellStyle name="Normal 4 2 2 8" xfId="1243" xr:uid="{2A800F08-B75A-48E4-8705-4FCB4869B13B}"/>
    <cellStyle name="Normal 4 2 2 8 2" xfId="2901" xr:uid="{BD34C2EC-000F-436C-9E2D-8D9FAE6DA301}"/>
    <cellStyle name="Normal 4 2 2 9" xfId="2072" xr:uid="{4C24B56F-4514-4D4F-86F1-772D52D28A83}"/>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EB3DA45B-CCF4-4848-921E-B1F3C09F03F6}"/>
    <cellStyle name="Normal 4 2 4 2 2 2 2 2 2" xfId="3336" xr:uid="{C4F453FF-5BBE-4CB7-8090-B58AF04AE5FF}"/>
    <cellStyle name="Normal 4 2 4 2 2 2 2 3" xfId="2507" xr:uid="{1177DAFF-7AB8-4542-86CB-15FC0DE9AAE3}"/>
    <cellStyle name="Normal 4 2 4 2 2 2 3" xfId="1262" xr:uid="{AE367C9B-74C2-44EF-A6E2-CBA65B894C2F}"/>
    <cellStyle name="Normal 4 2 4 2 2 2 3 2" xfId="2920" xr:uid="{425B34B4-8F50-45E5-A838-C4119D7FD325}"/>
    <cellStyle name="Normal 4 2 4 2 2 2 4" xfId="2091" xr:uid="{93769B8D-7FD2-495A-AF27-3F514BBA70A8}"/>
    <cellStyle name="Normal 4 2 4 2 2 3" xfId="841" xr:uid="{00000000-0005-0000-0000-000073020000}"/>
    <cellStyle name="Normal 4 2 4 2 2 3 2" xfId="1677" xr:uid="{BF51A2E0-35C0-4C87-AF0B-F8D731F20219}"/>
    <cellStyle name="Normal 4 2 4 2 2 3 2 2" xfId="3335" xr:uid="{CDA6B5B9-ECDA-41AC-8C68-1E07CCA590C7}"/>
    <cellStyle name="Normal 4 2 4 2 2 3 3" xfId="2506" xr:uid="{E7715354-6615-4119-A329-E962196BE6C6}"/>
    <cellStyle name="Normal 4 2 4 2 2 4" xfId="1261" xr:uid="{184FA9FF-B0A9-404A-9957-F2A049EB3163}"/>
    <cellStyle name="Normal 4 2 4 2 2 4 2" xfId="2919" xr:uid="{0E74F843-5435-47EC-BFA4-B7F46763E368}"/>
    <cellStyle name="Normal 4 2 4 2 2 5" xfId="2090" xr:uid="{93AD6947-302D-40D1-9586-86BC7695E74C}"/>
    <cellStyle name="Normal 4 2 4 2 3" xfId="362" xr:uid="{00000000-0005-0000-0000-000074020000}"/>
    <cellStyle name="Normal 4 2 4 2 3 2" xfId="843" xr:uid="{00000000-0005-0000-0000-000075020000}"/>
    <cellStyle name="Normal 4 2 4 2 3 2 2" xfId="1679" xr:uid="{D62D0D2F-514D-4372-B930-E384DAA68CE1}"/>
    <cellStyle name="Normal 4 2 4 2 3 2 2 2" xfId="3337" xr:uid="{6E3E2638-2BBA-4B40-A1D3-2E4A6C263996}"/>
    <cellStyle name="Normal 4 2 4 2 3 2 3" xfId="2508" xr:uid="{8B388B7E-7430-4E2A-98EA-B95931EC7184}"/>
    <cellStyle name="Normal 4 2 4 2 3 3" xfId="1263" xr:uid="{329DA318-3A2D-4C7A-8605-10D5839E082C}"/>
    <cellStyle name="Normal 4 2 4 2 3 3 2" xfId="2921" xr:uid="{84BF8289-BBFA-4DAF-B5EF-289D8BCE385A}"/>
    <cellStyle name="Normal 4 2 4 2 3 4" xfId="2092" xr:uid="{48E2BA96-6248-4FED-BE31-56C0234948CE}"/>
    <cellStyle name="Normal 4 2 4 2 4" xfId="840" xr:uid="{00000000-0005-0000-0000-000076020000}"/>
    <cellStyle name="Normal 4 2 4 2 4 2" xfId="1676" xr:uid="{80C46BC3-EE7C-404A-AC97-2DC16F69DF81}"/>
    <cellStyle name="Normal 4 2 4 2 4 2 2" xfId="3334" xr:uid="{81190E46-2716-4EEC-9C40-C2EFF2BAA136}"/>
    <cellStyle name="Normal 4 2 4 2 4 3" xfId="2505" xr:uid="{1B2325B6-D260-4EB4-8C05-22F199A935FC}"/>
    <cellStyle name="Normal 4 2 4 2 5" xfId="1260" xr:uid="{1201527F-351D-45F7-851A-76199A813B1D}"/>
    <cellStyle name="Normal 4 2 4 2 5 2" xfId="2918" xr:uid="{3F4CCB4B-6BAB-445E-93BB-7038EEB26941}"/>
    <cellStyle name="Normal 4 2 4 2 6" xfId="2089" xr:uid="{81387DF0-3010-4A37-B611-5DB3071EFC30}"/>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7ED32B6F-2BCE-4191-B54A-D18F1A0C62F9}"/>
    <cellStyle name="Normal 4 2 4 3 2 2 2 2" xfId="3339" xr:uid="{54BF1F67-2614-4AB0-97C0-374096D63876}"/>
    <cellStyle name="Normal 4 2 4 3 2 2 3" xfId="2510" xr:uid="{5F6E28E5-7328-4A78-B709-8CB81E1D85E4}"/>
    <cellStyle name="Normal 4 2 4 3 2 3" xfId="1265" xr:uid="{01BA5045-820F-4532-ACFD-B7F1AFFF35BA}"/>
    <cellStyle name="Normal 4 2 4 3 2 3 2" xfId="2923" xr:uid="{D7F61F19-D8D0-446F-97B4-301796ADF36A}"/>
    <cellStyle name="Normal 4 2 4 3 2 4" xfId="2094" xr:uid="{22927A4F-8CC2-4C23-8B87-CDC02F92C0DA}"/>
    <cellStyle name="Normal 4 2 4 3 3" xfId="844" xr:uid="{00000000-0005-0000-0000-00007A020000}"/>
    <cellStyle name="Normal 4 2 4 3 3 2" xfId="1680" xr:uid="{E85BDC23-E4CF-4921-B249-6E4E2DABCBB4}"/>
    <cellStyle name="Normal 4 2 4 3 3 2 2" xfId="3338" xr:uid="{D66BE3AD-8A64-4B28-97FF-99749CC1A95F}"/>
    <cellStyle name="Normal 4 2 4 3 3 3" xfId="2509" xr:uid="{20B6F42B-2190-45CC-A4D5-1406D5E230CB}"/>
    <cellStyle name="Normal 4 2 4 3 4" xfId="1264" xr:uid="{2A6B4517-CF01-49C8-BBEC-E5D442781A04}"/>
    <cellStyle name="Normal 4 2 4 3 4 2" xfId="2922" xr:uid="{1927C4BC-71F8-45C0-A2DE-21DEAAA378E8}"/>
    <cellStyle name="Normal 4 2 4 3 5" xfId="2093" xr:uid="{8F58BB2C-8E2E-4C68-9388-90EBC4654544}"/>
    <cellStyle name="Normal 4 2 4 4" xfId="365" xr:uid="{00000000-0005-0000-0000-00007B020000}"/>
    <cellStyle name="Normal 4 2 4 4 2" xfId="846" xr:uid="{00000000-0005-0000-0000-00007C020000}"/>
    <cellStyle name="Normal 4 2 4 4 2 2" xfId="1682" xr:uid="{51386408-3974-410F-8CC0-330705258491}"/>
    <cellStyle name="Normal 4 2 4 4 2 2 2" xfId="3340" xr:uid="{A8841B50-F35B-4B86-8E78-5C6AD34575ED}"/>
    <cellStyle name="Normal 4 2 4 4 2 3" xfId="2511" xr:uid="{CF7DAA26-C732-44A0-BC5B-06EE256B4506}"/>
    <cellStyle name="Normal 4 2 4 4 3" xfId="1266" xr:uid="{853BA790-2726-4EDD-911F-C0AA0A917715}"/>
    <cellStyle name="Normal 4 2 4 4 3 2" xfId="2924" xr:uid="{89570B9D-60D4-41AA-A93D-AFCD788E11A7}"/>
    <cellStyle name="Normal 4 2 4 4 4" xfId="2095" xr:uid="{982F28FA-2631-4339-AF46-999EF0A76D7A}"/>
    <cellStyle name="Normal 4 2 4 5" xfId="839" xr:uid="{00000000-0005-0000-0000-00007D020000}"/>
    <cellStyle name="Normal 4 2 4 5 2" xfId="1675" xr:uid="{6A6AFA1F-84EB-4066-AB43-8572BA672751}"/>
    <cellStyle name="Normal 4 2 4 5 2 2" xfId="3333" xr:uid="{84985EBD-E134-45A4-81FD-D0E0FF8E3A2A}"/>
    <cellStyle name="Normal 4 2 4 5 3" xfId="2504" xr:uid="{24806564-D37B-46D2-A495-01A5CAAD2B8D}"/>
    <cellStyle name="Normal 4 2 4 6" xfId="1259" xr:uid="{204D5AB8-64D8-4DA2-B455-E88493304C07}"/>
    <cellStyle name="Normal 4 2 4 6 2" xfId="2917" xr:uid="{C83C8F23-DF16-4561-BEDC-2C4A3564770D}"/>
    <cellStyle name="Normal 4 2 4 7" xfId="2088" xr:uid="{CC405810-4899-474F-8636-2B8431418125}"/>
    <cellStyle name="Normal 4 2 5" xfId="366" xr:uid="{00000000-0005-0000-0000-00007E020000}"/>
    <cellStyle name="Normal 4 2 5 2" xfId="367" xr:uid="{00000000-0005-0000-0000-00007F020000}"/>
    <cellStyle name="Normal 4 2 5 2 2" xfId="848" xr:uid="{00000000-0005-0000-0000-000080020000}"/>
    <cellStyle name="Normal 4 2 5 2 2 2" xfId="1684" xr:uid="{934E19E2-AEB7-43EC-88AA-189CA247169F}"/>
    <cellStyle name="Normal 4 2 5 2 2 2 2" xfId="3342" xr:uid="{C1EE15E2-D485-4986-8A48-D6466B18C24A}"/>
    <cellStyle name="Normal 4 2 5 2 2 3" xfId="2513" xr:uid="{EE3B366E-0060-44E4-A302-E35422550353}"/>
    <cellStyle name="Normal 4 2 5 2 3" xfId="1268" xr:uid="{10026614-02D9-4D5E-9043-4CB626B03DFC}"/>
    <cellStyle name="Normal 4 2 5 2 3 2" xfId="2926" xr:uid="{039BCF06-DC07-4A7F-B3C0-7285FBFC4AF7}"/>
    <cellStyle name="Normal 4 2 5 2 4" xfId="2097" xr:uid="{E75B00E9-A395-4FB3-889F-D3B960D6C00E}"/>
    <cellStyle name="Normal 4 2 5 3" xfId="847" xr:uid="{00000000-0005-0000-0000-000081020000}"/>
    <cellStyle name="Normal 4 2 5 3 2" xfId="1683" xr:uid="{FB8AB9B9-94D3-4CDC-805D-0916D987B209}"/>
    <cellStyle name="Normal 4 2 5 3 2 2" xfId="3341" xr:uid="{72385647-BB35-4FF0-8C75-1932EF1C76BB}"/>
    <cellStyle name="Normal 4 2 5 3 3" xfId="2512" xr:uid="{E73EA909-97DF-40CC-9606-588B273F280C}"/>
    <cellStyle name="Normal 4 2 5 4" xfId="1267" xr:uid="{1C9F89EE-BD22-4942-BDAE-C02D96004CA1}"/>
    <cellStyle name="Normal 4 2 5 4 2" xfId="2925" xr:uid="{F002B0EC-E63B-4775-8A84-E928F7F496C5}"/>
    <cellStyle name="Normal 4 2 5 5" xfId="2096" xr:uid="{31424AB9-2F69-422A-9613-C228A1F18A9A}"/>
    <cellStyle name="Normal 4 2 6" xfId="368" xr:uid="{00000000-0005-0000-0000-000082020000}"/>
    <cellStyle name="Normal 4 2 6 2" xfId="849" xr:uid="{00000000-0005-0000-0000-000083020000}"/>
    <cellStyle name="Normal 4 2 6 2 2" xfId="1685" xr:uid="{8DEB79F3-7A45-440F-B47E-25C7C1A63CC7}"/>
    <cellStyle name="Normal 4 2 6 2 2 2" xfId="3343" xr:uid="{F4F6EAA6-0FF5-43A1-AF71-9E138A66B3D0}"/>
    <cellStyle name="Normal 4 2 6 2 3" xfId="2514" xr:uid="{65C4A158-916B-46B0-9E2C-C843685CA04B}"/>
    <cellStyle name="Normal 4 2 6 3" xfId="1269" xr:uid="{5F640394-C84C-4099-AA5D-60562F8E0907}"/>
    <cellStyle name="Normal 4 2 6 3 2" xfId="2927" xr:uid="{2237942C-52DD-4027-B20C-0E887EB70731}"/>
    <cellStyle name="Normal 4 2 6 4" xfId="2098" xr:uid="{6E72A00A-F3BB-4B85-9BCF-7CE2268BE69B}"/>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3E18E50C-C5DC-470C-9D41-758F3FCBA885}"/>
    <cellStyle name="Normal 4 3 2 2 2 2 2 2 2 2" xfId="3347" xr:uid="{9042A935-7CAC-4C52-BD6A-E163BFE1B88D}"/>
    <cellStyle name="Normal 4 3 2 2 2 2 2 2 3" xfId="2518" xr:uid="{D7B02B84-614C-4626-BCE4-90E6883A3FC6}"/>
    <cellStyle name="Normal 4 3 2 2 2 2 2 3" xfId="1273" xr:uid="{B5785A0D-4F1B-4D5C-B553-39220BBA7F00}"/>
    <cellStyle name="Normal 4 3 2 2 2 2 2 3 2" xfId="2931" xr:uid="{D1F76583-6A2C-4646-8F98-3AE668F19ADE}"/>
    <cellStyle name="Normal 4 3 2 2 2 2 2 4" xfId="2102" xr:uid="{E21EA660-93A2-4F9A-8B54-ABA3C2388BFB}"/>
    <cellStyle name="Normal 4 3 2 2 2 2 3" xfId="853" xr:uid="{00000000-0005-0000-0000-00008B020000}"/>
    <cellStyle name="Normal 4 3 2 2 2 2 3 2" xfId="1688" xr:uid="{B9E7272A-18F1-4453-9DF6-35615965B4BE}"/>
    <cellStyle name="Normal 4 3 2 2 2 2 3 2 2" xfId="3346" xr:uid="{3866F161-FE07-467F-9491-0BB8A347DF27}"/>
    <cellStyle name="Normal 4 3 2 2 2 2 3 3" xfId="2517" xr:uid="{DE281F9E-1F87-4246-971F-64F22700AB5B}"/>
    <cellStyle name="Normal 4 3 2 2 2 2 4" xfId="1272" xr:uid="{2C5C329D-8B76-4FCF-94C9-2059BAB40296}"/>
    <cellStyle name="Normal 4 3 2 2 2 2 4 2" xfId="2930" xr:uid="{37FC55A7-21C5-4E6B-95EF-ED6A67D88496}"/>
    <cellStyle name="Normal 4 3 2 2 2 2 5" xfId="2101" xr:uid="{A82B9064-A3D7-406C-BF1B-93EB8A8DF203}"/>
    <cellStyle name="Normal 4 3 2 2 2 3" xfId="375" xr:uid="{00000000-0005-0000-0000-00008C020000}"/>
    <cellStyle name="Normal 4 3 2 2 2 3 2" xfId="855" xr:uid="{00000000-0005-0000-0000-00008D020000}"/>
    <cellStyle name="Normal 4 3 2 2 2 3 2 2" xfId="1690" xr:uid="{7E5447EC-F9E1-438A-AAA0-768AC9443B36}"/>
    <cellStyle name="Normal 4 3 2 2 2 3 2 2 2" xfId="3348" xr:uid="{9A0376F7-E8AC-4581-9742-42802E8360FA}"/>
    <cellStyle name="Normal 4 3 2 2 2 3 2 3" xfId="2519" xr:uid="{2B746F26-F770-4EBD-B8F0-E847C1047C53}"/>
    <cellStyle name="Normal 4 3 2 2 2 3 3" xfId="1274" xr:uid="{4E815680-8ABE-4990-9F93-0F0F6B289EB3}"/>
    <cellStyle name="Normal 4 3 2 2 2 3 3 2" xfId="2932" xr:uid="{01F3819B-5FFC-40EC-B412-A287FA3CF1E2}"/>
    <cellStyle name="Normal 4 3 2 2 2 3 4" xfId="2103" xr:uid="{246FF6A2-DF07-4059-80F9-A31143A6F143}"/>
    <cellStyle name="Normal 4 3 2 2 2 4" xfId="852" xr:uid="{00000000-0005-0000-0000-00008E020000}"/>
    <cellStyle name="Normal 4 3 2 2 2 4 2" xfId="1687" xr:uid="{D589A75B-A4FE-4DFC-A607-A93326079A89}"/>
    <cellStyle name="Normal 4 3 2 2 2 4 2 2" xfId="3345" xr:uid="{EB1E8545-15F7-4ACC-9B1D-2C03E38C5796}"/>
    <cellStyle name="Normal 4 3 2 2 2 4 3" xfId="2516" xr:uid="{81F74E7B-C9D2-48EA-B727-55C77C3563C4}"/>
    <cellStyle name="Normal 4 3 2 2 2 5" xfId="1271" xr:uid="{72E3542C-8949-4478-88A1-6FDC174B6BB6}"/>
    <cellStyle name="Normal 4 3 2 2 2 5 2" xfId="2929" xr:uid="{CCCB1CEE-A9E2-4B02-8170-EB7DE064E866}"/>
    <cellStyle name="Normal 4 3 2 2 2 6" xfId="2100" xr:uid="{4D77168D-7E3C-42A0-B5A6-931B2B9D708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1F02BCAF-D4FD-4250-B166-DFB9BD25EF84}"/>
    <cellStyle name="Normal 4 3 3 2 2 2 2 2" xfId="3351" xr:uid="{038D33C3-A819-452C-872E-9736A132A9DA}"/>
    <cellStyle name="Normal 4 3 3 2 2 2 3" xfId="2522" xr:uid="{FE7DF623-2D47-40B5-A5D3-96D6DCE0970C}"/>
    <cellStyle name="Normal 4 3 3 2 2 3" xfId="1277" xr:uid="{1058359B-3279-4D12-8A3E-6779B68B817F}"/>
    <cellStyle name="Normal 4 3 3 2 2 3 2" xfId="2935" xr:uid="{7A39AC13-51AE-4452-88BE-42EA9B8B5B49}"/>
    <cellStyle name="Normal 4 3 3 2 2 4" xfId="2106" xr:uid="{91E9495D-F090-43D9-8336-E51A8D938825}"/>
    <cellStyle name="Normal 4 3 3 2 3" xfId="858" xr:uid="{00000000-0005-0000-0000-000096020000}"/>
    <cellStyle name="Normal 4 3 3 2 3 2" xfId="1692" xr:uid="{77AE9C4D-8250-4828-A1CD-0517C085A27B}"/>
    <cellStyle name="Normal 4 3 3 2 3 2 2" xfId="3350" xr:uid="{8FA692C6-A3BD-44BB-8E0D-21A22EDA47E8}"/>
    <cellStyle name="Normal 4 3 3 2 3 3" xfId="2521" xr:uid="{C86D0995-A2D9-4051-A383-DD2B579F443F}"/>
    <cellStyle name="Normal 4 3 3 2 4" xfId="1276" xr:uid="{B969B47D-09AC-4FE3-8DB0-0B9DFE282997}"/>
    <cellStyle name="Normal 4 3 3 2 4 2" xfId="2934" xr:uid="{2E2DAD42-F6EE-4E57-9486-CC2F5CE1579E}"/>
    <cellStyle name="Normal 4 3 3 2 5" xfId="2105" xr:uid="{9C7C15CC-578C-47D9-8811-0CCFF0445D6D}"/>
    <cellStyle name="Normal 4 3 3 3" xfId="380" xr:uid="{00000000-0005-0000-0000-000097020000}"/>
    <cellStyle name="Normal 4 3 3 3 2" xfId="860" xr:uid="{00000000-0005-0000-0000-000098020000}"/>
    <cellStyle name="Normal 4 3 3 3 2 2" xfId="1694" xr:uid="{539052F3-D1CE-41FB-97B2-BBF20F9E8514}"/>
    <cellStyle name="Normal 4 3 3 3 2 2 2" xfId="3352" xr:uid="{60F3D210-6DDC-4C1C-919E-B44D1302A037}"/>
    <cellStyle name="Normal 4 3 3 3 2 3" xfId="2523" xr:uid="{3E7184F8-098D-4D41-9F8C-38B36459955F}"/>
    <cellStyle name="Normal 4 3 3 3 3" xfId="1278" xr:uid="{60A83B00-42D6-47F1-B9FB-20054A27CC05}"/>
    <cellStyle name="Normal 4 3 3 3 3 2" xfId="2936" xr:uid="{80666E6A-A5B5-47F2-A240-174812D3B2F9}"/>
    <cellStyle name="Normal 4 3 3 3 4" xfId="2107" xr:uid="{43DFB87F-F009-41E5-BDBA-8AD7FE437B63}"/>
    <cellStyle name="Normal 4 3 3 4" xfId="857" xr:uid="{00000000-0005-0000-0000-000099020000}"/>
    <cellStyle name="Normal 4 3 3 4 2" xfId="1691" xr:uid="{8A07032E-CDD1-487E-95CD-B1419A8B39F5}"/>
    <cellStyle name="Normal 4 3 3 4 2 2" xfId="3349" xr:uid="{5F1414A7-C85B-4536-A29B-89B555113F74}"/>
    <cellStyle name="Normal 4 3 3 4 3" xfId="2520" xr:uid="{CAB749E8-5BEA-4F18-808D-1B08D4969568}"/>
    <cellStyle name="Normal 4 3 3 5" xfId="1275" xr:uid="{30ACDB2F-282F-4670-A2F1-64732B7E2782}"/>
    <cellStyle name="Normal 4 3 3 5 2" xfId="2933" xr:uid="{4AD95A75-2EBB-4B55-A098-A9D827F43FF4}"/>
    <cellStyle name="Normal 4 3 3 6" xfId="2104" xr:uid="{40A06C8C-3B60-449C-81C7-6248009628EB}"/>
    <cellStyle name="Normal 4 3 4" xfId="850" xr:uid="{00000000-0005-0000-0000-00009A020000}"/>
    <cellStyle name="Normal 4 3 4 2" xfId="1686" xr:uid="{4F5A441C-0635-4626-B060-7B3E0421EEF5}"/>
    <cellStyle name="Normal 4 3 4 2 2" xfId="3344" xr:uid="{BE59892E-8971-49C6-9C45-BF506D12FA88}"/>
    <cellStyle name="Normal 4 3 4 3" xfId="2515" xr:uid="{32902C8B-8EEA-4F3D-B1E0-5DFBCCD6F304}"/>
    <cellStyle name="Normal 4 3 5" xfId="1270" xr:uid="{BDD1DD87-647B-4818-AF81-6F3BB9B29496}"/>
    <cellStyle name="Normal 4 3 5 2" xfId="2928" xr:uid="{7A4D5C2C-05F8-44FF-A1A8-70DF0D700FA0}"/>
    <cellStyle name="Normal 4 3 6" xfId="2099" xr:uid="{58DFE6A0-6971-4E5C-AF22-741ED73648A7}"/>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AE26F455-C5F3-42D0-B6D9-AC70BB7145C0}"/>
    <cellStyle name="Normal 4 4 2 2 2 2 2 2 2" xfId="3357" xr:uid="{A8CE53B7-17F2-4834-ADF9-45BEC77FD8C5}"/>
    <cellStyle name="Normal 4 4 2 2 2 2 2 3" xfId="2528" xr:uid="{FA5D62A3-97F0-45DE-AE0C-A3AA2C125501}"/>
    <cellStyle name="Normal 4 4 2 2 2 2 3" xfId="1283" xr:uid="{1723A4E5-A8A5-45FD-B958-11B2028F8A42}"/>
    <cellStyle name="Normal 4 4 2 2 2 2 3 2" xfId="2941" xr:uid="{441B7A5C-5406-474A-8D72-30442D147734}"/>
    <cellStyle name="Normal 4 4 2 2 2 2 4" xfId="2112" xr:uid="{47BC83BF-DE37-4692-80AC-6ABD22F3C050}"/>
    <cellStyle name="Normal 4 4 2 2 2 3" xfId="864" xr:uid="{00000000-0005-0000-0000-0000A1020000}"/>
    <cellStyle name="Normal 4 4 2 2 2 3 2" xfId="1698" xr:uid="{0D2232FC-B5E7-4EB5-919A-A65D6ADAA199}"/>
    <cellStyle name="Normal 4 4 2 2 2 3 2 2" xfId="3356" xr:uid="{EB864CF3-75D3-44D1-96F3-42326B130CB3}"/>
    <cellStyle name="Normal 4 4 2 2 2 3 3" xfId="2527" xr:uid="{06E79105-17A2-4D3A-B581-8456F1434275}"/>
    <cellStyle name="Normal 4 4 2 2 2 4" xfId="1282" xr:uid="{C7CBDCD0-FCAB-4D98-9704-60D0E1D8B87D}"/>
    <cellStyle name="Normal 4 4 2 2 2 4 2" xfId="2940" xr:uid="{64F67465-0FFF-4517-BF9B-97CDAD7B6E17}"/>
    <cellStyle name="Normal 4 4 2 2 2 5" xfId="2111" xr:uid="{292937DF-0284-4719-AA97-42D35652853C}"/>
    <cellStyle name="Normal 4 4 2 2 3" xfId="386" xr:uid="{00000000-0005-0000-0000-0000A2020000}"/>
    <cellStyle name="Normal 4 4 2 2 3 2" xfId="866" xr:uid="{00000000-0005-0000-0000-0000A3020000}"/>
    <cellStyle name="Normal 4 4 2 2 3 2 2" xfId="1700" xr:uid="{6B2E2FC5-491A-4A7A-A403-46F457EF3A1C}"/>
    <cellStyle name="Normal 4 4 2 2 3 2 2 2" xfId="3358" xr:uid="{3C5F9326-647A-4CF3-849E-2677206684E1}"/>
    <cellStyle name="Normal 4 4 2 2 3 2 3" xfId="2529" xr:uid="{CCFB075A-5DEA-4734-84A7-B0A94A46D213}"/>
    <cellStyle name="Normal 4 4 2 2 3 3" xfId="1284" xr:uid="{09C54D96-8D65-47E4-BC3E-ED87D3AC101B}"/>
    <cellStyle name="Normal 4 4 2 2 3 3 2" xfId="2942" xr:uid="{650B7E1F-77EF-41FF-B91F-C06E303B5352}"/>
    <cellStyle name="Normal 4 4 2 2 3 4" xfId="2113" xr:uid="{F87BA775-494C-4653-8164-6D90F8A09996}"/>
    <cellStyle name="Normal 4 4 2 2 4" xfId="863" xr:uid="{00000000-0005-0000-0000-0000A4020000}"/>
    <cellStyle name="Normal 4 4 2 2 4 2" xfId="1697" xr:uid="{4E666C53-8E1B-44A1-8832-B3A49CE9E4E9}"/>
    <cellStyle name="Normal 4 4 2 2 4 2 2" xfId="3355" xr:uid="{77159002-76FB-4734-A5B9-B36CD05ED637}"/>
    <cellStyle name="Normal 4 4 2 2 4 3" xfId="2526" xr:uid="{6F9E9FF1-DD64-4F0C-9FAF-65BCB5961114}"/>
    <cellStyle name="Normal 4 4 2 2 5" xfId="1281" xr:uid="{BD35A693-3364-4E01-AD39-BCB8C2CC8973}"/>
    <cellStyle name="Normal 4 4 2 2 5 2" xfId="2939" xr:uid="{AC1B5930-D749-4634-A41B-0975064508E0}"/>
    <cellStyle name="Normal 4 4 2 2 6" xfId="2110" xr:uid="{B18388DC-AD5F-4021-B679-020B83B8072D}"/>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F3A410D8-5D79-43A7-901C-F91BC381CE57}"/>
    <cellStyle name="Normal 4 4 2 3 2 2 2 2" xfId="3360" xr:uid="{4CDECBAC-7EA7-4F64-BB1F-03990D7E665B}"/>
    <cellStyle name="Normal 4 4 2 3 2 2 3" xfId="2531" xr:uid="{F49B6F53-A198-42E1-A7BA-A26E16055EEE}"/>
    <cellStyle name="Normal 4 4 2 3 2 3" xfId="1286" xr:uid="{0E0F2A9B-045E-4A28-8E52-316BEDB28481}"/>
    <cellStyle name="Normal 4 4 2 3 2 3 2" xfId="2944" xr:uid="{3AFD6167-A0D1-4819-9091-5FE3CBB9BDC4}"/>
    <cellStyle name="Normal 4 4 2 3 2 4" xfId="2115" xr:uid="{AD9C1F9D-4187-4509-9784-9968B66CAAAB}"/>
    <cellStyle name="Normal 4 4 2 3 3" xfId="867" xr:uid="{00000000-0005-0000-0000-0000A8020000}"/>
    <cellStyle name="Normal 4 4 2 3 3 2" xfId="1701" xr:uid="{91F9CB5B-C8BD-4672-B6E1-CDF9677EB093}"/>
    <cellStyle name="Normal 4 4 2 3 3 2 2" xfId="3359" xr:uid="{2BBB1C9B-56CB-46EF-8062-745986FA935B}"/>
    <cellStyle name="Normal 4 4 2 3 3 3" xfId="2530" xr:uid="{CB48C8B8-9C32-49D5-A620-3BA0CD1A65EA}"/>
    <cellStyle name="Normal 4 4 2 3 4" xfId="1285" xr:uid="{6490EAF0-DBAF-4377-9F01-02272BF72B86}"/>
    <cellStyle name="Normal 4 4 2 3 4 2" xfId="2943" xr:uid="{4D4A60BE-85A6-49D9-A182-7802740F0883}"/>
    <cellStyle name="Normal 4 4 2 3 5" xfId="2114" xr:uid="{7EBEBC20-F12A-4945-B86A-28C1EF62CF99}"/>
    <cellStyle name="Normal 4 4 2 4" xfId="389" xr:uid="{00000000-0005-0000-0000-0000A9020000}"/>
    <cellStyle name="Normal 4 4 2 4 2" xfId="869" xr:uid="{00000000-0005-0000-0000-0000AA020000}"/>
    <cellStyle name="Normal 4 4 2 4 2 2" xfId="1703" xr:uid="{CA0EDE16-FA93-4C57-8784-AFCD3638C955}"/>
    <cellStyle name="Normal 4 4 2 4 2 2 2" xfId="3361" xr:uid="{644D4D94-96A8-4918-944E-868906FA8602}"/>
    <cellStyle name="Normal 4 4 2 4 2 3" xfId="2532" xr:uid="{A89B2292-04C5-4EB1-8A60-047F6D68CD61}"/>
    <cellStyle name="Normal 4 4 2 4 3" xfId="1287" xr:uid="{0026D8A6-1AC5-4043-958B-A4F7028ED16B}"/>
    <cellStyle name="Normal 4 4 2 4 3 2" xfId="2945" xr:uid="{B72089B1-DFE8-4D62-BC29-A19CC7198954}"/>
    <cellStyle name="Normal 4 4 2 4 4" xfId="2116" xr:uid="{85423784-67DD-4900-ACD4-33718DAA7A6F}"/>
    <cellStyle name="Normal 4 4 2 5" xfId="862" xr:uid="{00000000-0005-0000-0000-0000AB020000}"/>
    <cellStyle name="Normal 4 4 2 5 2" xfId="1696" xr:uid="{22A5C67A-EE31-4EF8-9873-F9AD688CAC53}"/>
    <cellStyle name="Normal 4 4 2 5 2 2" xfId="3354" xr:uid="{9C12DF2C-0A46-442A-8C3C-33C3DA486365}"/>
    <cellStyle name="Normal 4 4 2 5 3" xfId="2525" xr:uid="{B7B1E50E-7868-4B6B-9329-906D26EAC34A}"/>
    <cellStyle name="Normal 4 4 2 6" xfId="1280" xr:uid="{325DAA8B-21D8-4DE4-A9D7-E3FD413D7AC9}"/>
    <cellStyle name="Normal 4 4 2 6 2" xfId="2938" xr:uid="{E99A0195-FC85-4011-B446-E9ED026B7184}"/>
    <cellStyle name="Normal 4 4 2 7" xfId="2109" xr:uid="{1ED8D374-8B46-4655-8B21-D8E4975C4E1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CC1FAE2B-918E-4C3C-8D63-FED18E67CE0A}"/>
    <cellStyle name="Normal 4 4 3 2 2 2 2 2" xfId="3364" xr:uid="{744C0FF4-6CF4-4A2C-A213-80485698A1FC}"/>
    <cellStyle name="Normal 4 4 3 2 2 2 3" xfId="2535" xr:uid="{4263A182-8F36-4B85-8096-08910C941253}"/>
    <cellStyle name="Normal 4 4 3 2 2 3" xfId="1290" xr:uid="{543ECB60-0D0D-4C78-BBBD-7D45892DFEB3}"/>
    <cellStyle name="Normal 4 4 3 2 2 3 2" xfId="2948" xr:uid="{7DC230EB-0623-43AF-A7A0-731CE215EED8}"/>
    <cellStyle name="Normal 4 4 3 2 2 4" xfId="2119" xr:uid="{DC225790-786E-4A8F-BF92-CC485AD28450}"/>
    <cellStyle name="Normal 4 4 3 2 3" xfId="871" xr:uid="{00000000-0005-0000-0000-0000B0020000}"/>
    <cellStyle name="Normal 4 4 3 2 3 2" xfId="1705" xr:uid="{C72C23DB-14FB-44D8-BBB2-FEB49CE0AD2D}"/>
    <cellStyle name="Normal 4 4 3 2 3 2 2" xfId="3363" xr:uid="{6EB857F6-04A3-4B20-B8E1-417B713EBDB6}"/>
    <cellStyle name="Normal 4 4 3 2 3 3" xfId="2534" xr:uid="{61E20E8D-7D5C-488F-AAA1-EA21A0A22F18}"/>
    <cellStyle name="Normal 4 4 3 2 4" xfId="1289" xr:uid="{AA00ADF8-6A22-4273-AD69-D7D638A18B35}"/>
    <cellStyle name="Normal 4 4 3 2 4 2" xfId="2947" xr:uid="{6BDBD550-0013-4644-8B2A-9372844F6140}"/>
    <cellStyle name="Normal 4 4 3 2 5" xfId="2118" xr:uid="{DF3D9431-85AD-46B1-8E80-A611CCB4FC4E}"/>
    <cellStyle name="Normal 4 4 3 3" xfId="393" xr:uid="{00000000-0005-0000-0000-0000B1020000}"/>
    <cellStyle name="Normal 4 4 3 3 2" xfId="873" xr:uid="{00000000-0005-0000-0000-0000B2020000}"/>
    <cellStyle name="Normal 4 4 3 3 2 2" xfId="1707" xr:uid="{2F3B7E7D-86FA-449C-A4F6-6796FBB9E2B3}"/>
    <cellStyle name="Normal 4 4 3 3 2 2 2" xfId="3365" xr:uid="{A0D6EA09-2F0F-4378-B3D8-328B607AD343}"/>
    <cellStyle name="Normal 4 4 3 3 2 3" xfId="2536" xr:uid="{32AD6BC8-B1A0-4AC5-9614-5D57A559D67B}"/>
    <cellStyle name="Normal 4 4 3 3 3" xfId="1291" xr:uid="{B4233CC3-BC39-4ED6-B9DD-CC88E2FAAA64}"/>
    <cellStyle name="Normal 4 4 3 3 3 2" xfId="2949" xr:uid="{52E1EB99-C3A1-41D2-94F3-B9DFB184741E}"/>
    <cellStyle name="Normal 4 4 3 3 4" xfId="2120" xr:uid="{2E1BB5D6-4750-4FD0-859C-379A83B7DEAA}"/>
    <cellStyle name="Normal 4 4 3 4" xfId="870" xr:uid="{00000000-0005-0000-0000-0000B3020000}"/>
    <cellStyle name="Normal 4 4 3 4 2" xfId="1704" xr:uid="{A77C6070-A841-481C-B07D-DDE8C3E41C05}"/>
    <cellStyle name="Normal 4 4 3 4 2 2" xfId="3362" xr:uid="{A38DEB4E-0E26-4D70-A4DE-0E20C54A643A}"/>
    <cellStyle name="Normal 4 4 3 4 3" xfId="2533" xr:uid="{31D253D7-3E4D-47CF-BC30-CC76B757B4A3}"/>
    <cellStyle name="Normal 4 4 3 5" xfId="1288" xr:uid="{D90DA3E8-D29F-49BF-BAB3-6C8739E6D646}"/>
    <cellStyle name="Normal 4 4 3 5 2" xfId="2946" xr:uid="{C9291267-B874-4D86-A399-4706BEBF302D}"/>
    <cellStyle name="Normal 4 4 3 6" xfId="2117" xr:uid="{A12C5D88-5E6A-4456-9716-466E376624EF}"/>
    <cellStyle name="Normal 4 4 4" xfId="394" xr:uid="{00000000-0005-0000-0000-0000B4020000}"/>
    <cellStyle name="Normal 4 4 4 2" xfId="395" xr:uid="{00000000-0005-0000-0000-0000B5020000}"/>
    <cellStyle name="Normal 4 4 4 2 2" xfId="875" xr:uid="{00000000-0005-0000-0000-0000B6020000}"/>
    <cellStyle name="Normal 4 4 4 2 2 2" xfId="1709" xr:uid="{C6021E4A-F463-4BA7-A818-9A5F37DB5978}"/>
    <cellStyle name="Normal 4 4 4 2 2 2 2" xfId="3367" xr:uid="{0D0C783E-482D-49E4-8895-4093FA618ED3}"/>
    <cellStyle name="Normal 4 4 4 2 2 3" xfId="2538" xr:uid="{6B3B9A1B-2BD7-413E-9AD7-1BEA00DF632E}"/>
    <cellStyle name="Normal 4 4 4 2 3" xfId="1293" xr:uid="{BED5737D-211B-4E38-8756-322C12CF9C99}"/>
    <cellStyle name="Normal 4 4 4 2 3 2" xfId="2951" xr:uid="{A0049558-3028-4B61-BE83-D6222C5FC84E}"/>
    <cellStyle name="Normal 4 4 4 2 4" xfId="2122" xr:uid="{9294FC9D-0988-464A-BB93-82F68A3DECFD}"/>
    <cellStyle name="Normal 4 4 4 3" xfId="874" xr:uid="{00000000-0005-0000-0000-0000B7020000}"/>
    <cellStyle name="Normal 4 4 4 3 2" xfId="1708" xr:uid="{F53F4313-441F-4D00-A50E-0AB8927350BC}"/>
    <cellStyle name="Normal 4 4 4 3 2 2" xfId="3366" xr:uid="{F495EB23-06EF-4341-A4F2-2EBD6D7EAAFB}"/>
    <cellStyle name="Normal 4 4 4 3 3" xfId="2537" xr:uid="{97AF204F-4A33-4DE9-9AD0-96BEB5778574}"/>
    <cellStyle name="Normal 4 4 4 4" xfId="1292" xr:uid="{1D6B24BD-FB75-4ABB-B84D-6952EFE05718}"/>
    <cellStyle name="Normal 4 4 4 4 2" xfId="2950" xr:uid="{B111C030-0B82-47BB-BB11-5D0250BA7B0B}"/>
    <cellStyle name="Normal 4 4 4 5" xfId="2121" xr:uid="{F424ED7D-F108-4704-AADF-5E341B2B5D2D}"/>
    <cellStyle name="Normal 4 4 5" xfId="396" xr:uid="{00000000-0005-0000-0000-0000B8020000}"/>
    <cellStyle name="Normal 4 4 5 2" xfId="876" xr:uid="{00000000-0005-0000-0000-0000B9020000}"/>
    <cellStyle name="Normal 4 4 5 2 2" xfId="1710" xr:uid="{7EE9EFD1-1AFA-46AA-866C-C81761477407}"/>
    <cellStyle name="Normal 4 4 5 2 2 2" xfId="3368" xr:uid="{9F2023B3-DCAF-4330-B2B9-514DAA4B2EA7}"/>
    <cellStyle name="Normal 4 4 5 2 3" xfId="2539" xr:uid="{AC9E73D7-F12B-499E-B9AF-5B0549F88FD6}"/>
    <cellStyle name="Normal 4 4 5 3" xfId="1294" xr:uid="{DF011808-A9C0-42CE-B24D-98CA0A8BC996}"/>
    <cellStyle name="Normal 4 4 5 3 2" xfId="2952" xr:uid="{4E228AE5-44AC-4DEA-9E93-619CBD2EABB0}"/>
    <cellStyle name="Normal 4 4 5 4" xfId="2123" xr:uid="{173B56BC-C2CE-41CD-99E3-B6A5F0E437B3}"/>
    <cellStyle name="Normal 4 4 6" xfId="861" xr:uid="{00000000-0005-0000-0000-0000BA020000}"/>
    <cellStyle name="Normal 4 4 6 2" xfId="1695" xr:uid="{9313B7C1-64BD-4907-8B2F-E7856CD1B8DE}"/>
    <cellStyle name="Normal 4 4 6 2 2" xfId="3353" xr:uid="{EC53F600-3B6D-4B3D-AEA0-851CAE5EEF22}"/>
    <cellStyle name="Normal 4 4 6 3" xfId="2524" xr:uid="{557A48BD-A28B-4C05-AA0A-BB71603EB798}"/>
    <cellStyle name="Normal 4 4 7" xfId="1279" xr:uid="{8E046ED3-C9C4-469A-8650-F9907095ED69}"/>
    <cellStyle name="Normal 4 4 7 2" xfId="2937" xr:uid="{9DD554C0-8B2B-457F-9A18-3F2FFDBCB1B0}"/>
    <cellStyle name="Normal 4 4 8" xfId="2108" xr:uid="{B673488B-9DB8-401D-9E0D-6D6BDB48646D}"/>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B8609868-E0A2-46FD-B9DB-F05B580B6BB7}"/>
    <cellStyle name="Normal 4 6 2 2 2 2 2 2" xfId="3372" xr:uid="{A28B7938-B4CC-4730-B27B-AFC7133C5E9E}"/>
    <cellStyle name="Normal 4 6 2 2 2 2 3" xfId="2543" xr:uid="{479D8DE1-C036-408D-B621-E75B855E971E}"/>
    <cellStyle name="Normal 4 6 2 2 2 3" xfId="1298" xr:uid="{C7E66CAF-5019-4CA7-AAB8-17B57F98BBBC}"/>
    <cellStyle name="Normal 4 6 2 2 2 3 2" xfId="2956" xr:uid="{19171B85-DCA3-41C1-9C11-5BBA61A389B3}"/>
    <cellStyle name="Normal 4 6 2 2 2 4" xfId="2127" xr:uid="{13211F19-8DED-494C-A5FB-A16F0521529D}"/>
    <cellStyle name="Normal 4 6 2 2 3" xfId="879" xr:uid="{00000000-0005-0000-0000-0000C1020000}"/>
    <cellStyle name="Normal 4 6 2 2 3 2" xfId="1713" xr:uid="{E934612E-93CA-437C-8C04-E0861B62759D}"/>
    <cellStyle name="Normal 4 6 2 2 3 2 2" xfId="3371" xr:uid="{E8C13F42-D667-4DA1-BC75-255582E0F9E2}"/>
    <cellStyle name="Normal 4 6 2 2 3 3" xfId="2542" xr:uid="{2E7805A1-3D72-42A4-B23E-9C7BC0EF0DB2}"/>
    <cellStyle name="Normal 4 6 2 2 4" xfId="1297" xr:uid="{2BCBCD97-6E1D-43A6-AD35-DAF0EAA30AF0}"/>
    <cellStyle name="Normal 4 6 2 2 4 2" xfId="2955" xr:uid="{A5B17F1C-8984-4619-87C1-7C853F1D4427}"/>
    <cellStyle name="Normal 4 6 2 2 5" xfId="2126" xr:uid="{3FF49197-627F-4D33-BC0C-BE9E3C64E515}"/>
    <cellStyle name="Normal 4 6 2 3" xfId="402" xr:uid="{00000000-0005-0000-0000-0000C2020000}"/>
    <cellStyle name="Normal 4 6 2 3 2" xfId="881" xr:uid="{00000000-0005-0000-0000-0000C3020000}"/>
    <cellStyle name="Normal 4 6 2 3 2 2" xfId="1715" xr:uid="{9D9B9043-0DD2-4E96-AC26-92826A053619}"/>
    <cellStyle name="Normal 4 6 2 3 2 2 2" xfId="3373" xr:uid="{48E73944-3DF9-4548-B271-189F544074DC}"/>
    <cellStyle name="Normal 4 6 2 3 2 3" xfId="2544" xr:uid="{FFAFB398-A726-4B9E-A8A1-7C4A19DDEEC8}"/>
    <cellStyle name="Normal 4 6 2 3 3" xfId="1299" xr:uid="{ABF7E64E-8B70-4D9F-998A-3866032461D0}"/>
    <cellStyle name="Normal 4 6 2 3 3 2" xfId="2957" xr:uid="{570D56EF-7790-4B45-B7C0-7D0285FFAD91}"/>
    <cellStyle name="Normal 4 6 2 3 4" xfId="2128" xr:uid="{C912F018-ED43-44FD-9F4A-0588E5D310F9}"/>
    <cellStyle name="Normal 4 6 2 4" xfId="878" xr:uid="{00000000-0005-0000-0000-0000C4020000}"/>
    <cellStyle name="Normal 4 6 2 4 2" xfId="1712" xr:uid="{7C267B92-48BF-44C7-8F6A-D906A9EADC86}"/>
    <cellStyle name="Normal 4 6 2 4 2 2" xfId="3370" xr:uid="{CF3ED0EA-4C4C-43B0-BFA9-416192558EEE}"/>
    <cellStyle name="Normal 4 6 2 4 3" xfId="2541" xr:uid="{35EC89B7-2CBA-4749-9D7E-76F37D52A8C3}"/>
    <cellStyle name="Normal 4 6 2 5" xfId="1296" xr:uid="{706BF686-E9CC-4B44-94B6-750564FDD85A}"/>
    <cellStyle name="Normal 4 6 2 5 2" xfId="2954" xr:uid="{DE53A7A7-22BC-4AB2-A533-93B938D8E247}"/>
    <cellStyle name="Normal 4 6 2 6" xfId="2125" xr:uid="{DFB4A454-8907-427F-8CC2-94F224C68771}"/>
    <cellStyle name="Normal 4 6 3" xfId="403" xr:uid="{00000000-0005-0000-0000-0000C5020000}"/>
    <cellStyle name="Normal 4 6 3 2" xfId="404" xr:uid="{00000000-0005-0000-0000-0000C6020000}"/>
    <cellStyle name="Normal 4 6 3 2 2" xfId="883" xr:uid="{00000000-0005-0000-0000-0000C7020000}"/>
    <cellStyle name="Normal 4 6 3 2 2 2" xfId="1717" xr:uid="{F488C824-D1F1-494E-B5A5-A38C6BE8D3DF}"/>
    <cellStyle name="Normal 4 6 3 2 2 2 2" xfId="3375" xr:uid="{A1B03C87-B6B8-4956-966C-F416E3CD1407}"/>
    <cellStyle name="Normal 4 6 3 2 2 3" xfId="2546" xr:uid="{EB0F4E1A-CD44-4E30-A88D-17A51C2A5ACC}"/>
    <cellStyle name="Normal 4 6 3 2 3" xfId="1301" xr:uid="{121AB407-1F46-46F8-B5F0-D62EB499BBEE}"/>
    <cellStyle name="Normal 4 6 3 2 3 2" xfId="2959" xr:uid="{650A879D-A777-4F35-A89E-DABE0CEE21E5}"/>
    <cellStyle name="Normal 4 6 3 2 4" xfId="2130" xr:uid="{3D03FC01-B45C-4E57-9909-7AC47CD7134C}"/>
    <cellStyle name="Normal 4 6 3 3" xfId="882" xr:uid="{00000000-0005-0000-0000-0000C8020000}"/>
    <cellStyle name="Normal 4 6 3 3 2" xfId="1716" xr:uid="{EED1E06A-7512-45F4-957C-D95520807B2F}"/>
    <cellStyle name="Normal 4 6 3 3 2 2" xfId="3374" xr:uid="{37EF6EC3-C474-4C51-A6B2-854D75086B93}"/>
    <cellStyle name="Normal 4 6 3 3 3" xfId="2545" xr:uid="{51826ED4-1A7F-4910-86D4-1C43877676C4}"/>
    <cellStyle name="Normal 4 6 3 4" xfId="1300" xr:uid="{5D52A10A-4E88-4B60-A6DA-F98D54816EA0}"/>
    <cellStyle name="Normal 4 6 3 4 2" xfId="2958" xr:uid="{77F439E0-D29A-4A83-967D-D020E6F001FB}"/>
    <cellStyle name="Normal 4 6 3 5" xfId="2129" xr:uid="{3F7A5D59-8159-4D46-A4D0-6531802C0DBD}"/>
    <cellStyle name="Normal 4 6 4" xfId="405" xr:uid="{00000000-0005-0000-0000-0000C9020000}"/>
    <cellStyle name="Normal 4 6 4 2" xfId="884" xr:uid="{00000000-0005-0000-0000-0000CA020000}"/>
    <cellStyle name="Normal 4 6 4 2 2" xfId="1718" xr:uid="{C4777EC6-8182-401D-B294-9E18EDA54B53}"/>
    <cellStyle name="Normal 4 6 4 2 2 2" xfId="3376" xr:uid="{6689AE7E-ADC1-436F-808E-66FBE5F38466}"/>
    <cellStyle name="Normal 4 6 4 2 3" xfId="2547" xr:uid="{CDE177C7-4432-4ABE-8247-A645CEDBB1DC}"/>
    <cellStyle name="Normal 4 6 4 3" xfId="1302" xr:uid="{4294EA61-9DCA-4EF2-B3EC-CE91F809FAB5}"/>
    <cellStyle name="Normal 4 6 4 3 2" xfId="2960" xr:uid="{68048A23-19DD-49E3-BD09-5DD7FE421183}"/>
    <cellStyle name="Normal 4 6 4 4" xfId="2131" xr:uid="{3DC8BA62-1BDD-4614-984B-13E23EBFB080}"/>
    <cellStyle name="Normal 4 6 5" xfId="877" xr:uid="{00000000-0005-0000-0000-0000CB020000}"/>
    <cellStyle name="Normal 4 6 5 2" xfId="1711" xr:uid="{C154361E-0B04-481B-A33F-2C5D3AFF56E4}"/>
    <cellStyle name="Normal 4 6 5 2 2" xfId="3369" xr:uid="{B5E80A2F-9251-4B91-B4A0-977482D67937}"/>
    <cellStyle name="Normal 4 6 5 3" xfId="2540" xr:uid="{ABACDC8A-98EC-47FD-AB87-3E81DCE61307}"/>
    <cellStyle name="Normal 4 6 6" xfId="1295" xr:uid="{1C0E79DD-4FC9-41AC-A6AD-6D6F7C8700A3}"/>
    <cellStyle name="Normal 4 6 6 2" xfId="2953" xr:uid="{BC13B84B-A4DB-4365-8C3C-FD611936DCF3}"/>
    <cellStyle name="Normal 4 6 7" xfId="2124" xr:uid="{44A19E40-6890-429E-96DB-4D828E9FCA3D}"/>
    <cellStyle name="Normal 4 7" xfId="406" xr:uid="{00000000-0005-0000-0000-0000CC020000}"/>
    <cellStyle name="Normal 4 7 2" xfId="407" xr:uid="{00000000-0005-0000-0000-0000CD020000}"/>
    <cellStyle name="Normal 4 7 2 2" xfId="886" xr:uid="{00000000-0005-0000-0000-0000CE020000}"/>
    <cellStyle name="Normal 4 7 2 2 2" xfId="1720" xr:uid="{E4431EF9-E97A-4351-B587-3CF3BB8D8D4A}"/>
    <cellStyle name="Normal 4 7 2 2 2 2" xfId="3378" xr:uid="{8E77F375-3FFD-4FB4-89C3-91B7995E0F3D}"/>
    <cellStyle name="Normal 4 7 2 2 3" xfId="2549" xr:uid="{9E861857-F498-498D-B932-D7ADC371C933}"/>
    <cellStyle name="Normal 4 7 2 3" xfId="1304" xr:uid="{899CD6EB-6ECD-452B-8BE3-2E2EA5F3B669}"/>
    <cellStyle name="Normal 4 7 2 3 2" xfId="2962" xr:uid="{845CD3FF-1E4C-4D6B-A20F-DF7C93CA80C2}"/>
    <cellStyle name="Normal 4 7 2 4" xfId="2133" xr:uid="{D81B0B32-8B21-423E-811F-9086DF13B591}"/>
    <cellStyle name="Normal 4 7 3" xfId="885" xr:uid="{00000000-0005-0000-0000-0000CF020000}"/>
    <cellStyle name="Normal 4 7 3 2" xfId="1719" xr:uid="{2825B7B2-DB25-4471-812D-94B3B0E0EBE7}"/>
    <cellStyle name="Normal 4 7 3 2 2" xfId="3377" xr:uid="{4D5502DD-C222-4F3B-AEEA-9ACED95EB07A}"/>
    <cellStyle name="Normal 4 7 3 3" xfId="2548" xr:uid="{C98886FE-B409-4392-ACBB-DCD72A01700B}"/>
    <cellStyle name="Normal 4 7 4" xfId="1303" xr:uid="{9A96A7C1-5D1A-40BC-AC70-3A609AD4660E}"/>
    <cellStyle name="Normal 4 7 4 2" xfId="2961" xr:uid="{80E02AE6-A598-40AE-83F3-E57A0C90DCD4}"/>
    <cellStyle name="Normal 4 7 5" xfId="2132" xr:uid="{512BC4D0-C032-4560-815B-EFCB8524DBFD}"/>
    <cellStyle name="Normal 4 8" xfId="408" xr:uid="{00000000-0005-0000-0000-0000D0020000}"/>
    <cellStyle name="Normal 4 8 2" xfId="887" xr:uid="{00000000-0005-0000-0000-0000D1020000}"/>
    <cellStyle name="Normal 4 8 2 2" xfId="1721" xr:uid="{82682085-572D-4576-BDF0-EF4226CCD9B9}"/>
    <cellStyle name="Normal 4 8 2 2 2" xfId="3379" xr:uid="{B55F3229-DB16-4E48-B678-E58DE1F8BAA0}"/>
    <cellStyle name="Normal 4 8 2 3" xfId="2550" xr:uid="{7C64D949-0527-4567-9051-1E2DB83C67ED}"/>
    <cellStyle name="Normal 4 8 3" xfId="1305" xr:uid="{E0385708-3C82-4722-B3A2-A808D650DE95}"/>
    <cellStyle name="Normal 4 8 3 2" xfId="2963" xr:uid="{6DC3D675-5EAE-412E-95B8-17423D6FAB68}"/>
    <cellStyle name="Normal 4 8 4" xfId="2134" xr:uid="{856D0F50-09B9-4564-98A4-A9C55B0A07C0}"/>
    <cellStyle name="Normal 5" xfId="409" xr:uid="{00000000-0005-0000-0000-0000D2020000}"/>
    <cellStyle name="Normal 5 10" xfId="2135" xr:uid="{E5B0FC39-C811-4A33-880C-383AE39AAA71}"/>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D9B51488-1648-4A2A-8BCF-3E4663D1DB33}"/>
    <cellStyle name="Normal 5 2 2 2 2 2 2 2 2 2" xfId="3386" xr:uid="{428214E5-4B06-4106-8C1E-C425E835E93D}"/>
    <cellStyle name="Normal 5 2 2 2 2 2 2 2 3" xfId="2557" xr:uid="{022B5008-F6FD-4BB0-9746-BCC3E4BE45EF}"/>
    <cellStyle name="Normal 5 2 2 2 2 2 2 3" xfId="1312" xr:uid="{D0DA7F4D-820E-46DF-B048-DF1129AD61A1}"/>
    <cellStyle name="Normal 5 2 2 2 2 2 2 3 2" xfId="2970" xr:uid="{6DE38B41-D7DA-4637-A72C-77E2649D9774}"/>
    <cellStyle name="Normal 5 2 2 2 2 2 2 4" xfId="2141" xr:uid="{B242C7AE-61F8-464A-976B-824900A5F542}"/>
    <cellStyle name="Normal 5 2 2 2 2 2 3" xfId="893" xr:uid="{00000000-0005-0000-0000-0000DA020000}"/>
    <cellStyle name="Normal 5 2 2 2 2 2 3 2" xfId="1727" xr:uid="{9000DC05-963E-417F-84C3-7224F96078D8}"/>
    <cellStyle name="Normal 5 2 2 2 2 2 3 2 2" xfId="3385" xr:uid="{D4E2736E-2571-458A-B8DD-04CD24D16D09}"/>
    <cellStyle name="Normal 5 2 2 2 2 2 3 3" xfId="2556" xr:uid="{579660A2-CDD7-492C-A243-7E685A19C9B4}"/>
    <cellStyle name="Normal 5 2 2 2 2 2 4" xfId="1311" xr:uid="{8427D2AB-53B1-4BD1-B9F4-6B269D48E5C1}"/>
    <cellStyle name="Normal 5 2 2 2 2 2 4 2" xfId="2969" xr:uid="{A502E6EC-0101-4925-9937-81AD3800B5C6}"/>
    <cellStyle name="Normal 5 2 2 2 2 2 5" xfId="2140" xr:uid="{2CB3183E-4215-43B1-91F0-D1C79D57FEA3}"/>
    <cellStyle name="Normal 5 2 2 2 2 3" xfId="416" xr:uid="{00000000-0005-0000-0000-0000DB020000}"/>
    <cellStyle name="Normal 5 2 2 2 2 3 2" xfId="895" xr:uid="{00000000-0005-0000-0000-0000DC020000}"/>
    <cellStyle name="Normal 5 2 2 2 2 3 2 2" xfId="1729" xr:uid="{7D048883-D147-41F9-BCD6-358A75C5D92F}"/>
    <cellStyle name="Normal 5 2 2 2 2 3 2 2 2" xfId="3387" xr:uid="{5ED6CE91-44D8-4140-8953-726F0E34DA26}"/>
    <cellStyle name="Normal 5 2 2 2 2 3 2 3" xfId="2558" xr:uid="{7E04C9E9-B493-4515-8C05-51F65CCF04FA}"/>
    <cellStyle name="Normal 5 2 2 2 2 3 3" xfId="1313" xr:uid="{ECB75F1A-F713-440F-83B0-D6F9CF202DF7}"/>
    <cellStyle name="Normal 5 2 2 2 2 3 3 2" xfId="2971" xr:uid="{F6A0A13E-90C2-4A45-99E3-A7431D70625B}"/>
    <cellStyle name="Normal 5 2 2 2 2 3 4" xfId="2142" xr:uid="{F8AD43BE-10FB-498C-8B6C-6D56E4C4F030}"/>
    <cellStyle name="Normal 5 2 2 2 2 4" xfId="892" xr:uid="{00000000-0005-0000-0000-0000DD020000}"/>
    <cellStyle name="Normal 5 2 2 2 2 4 2" xfId="1726" xr:uid="{62E7E5EF-0C3C-4CF3-B907-A5F5F4AF3F1F}"/>
    <cellStyle name="Normal 5 2 2 2 2 4 2 2" xfId="3384" xr:uid="{0CEBD229-449B-451A-9C00-F861A2E63E0C}"/>
    <cellStyle name="Normal 5 2 2 2 2 4 3" xfId="2555" xr:uid="{B454BF6F-7E09-4216-A7B9-B1A5E46D7EEA}"/>
    <cellStyle name="Normal 5 2 2 2 2 5" xfId="1310" xr:uid="{51BC56B9-62FD-4103-A6E1-493864050D4B}"/>
    <cellStyle name="Normal 5 2 2 2 2 5 2" xfId="2968" xr:uid="{41982BE1-6EA4-46AE-A349-003E18A74DE9}"/>
    <cellStyle name="Normal 5 2 2 2 2 6" xfId="2139" xr:uid="{8A7C9F08-4080-44C9-9C9E-428719406020}"/>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98081FB6-8A13-4EC7-A537-CF45F5FE9D2E}"/>
    <cellStyle name="Normal 5 2 2 2 3 2 2 2 2" xfId="3389" xr:uid="{1BCEF747-F48D-4337-9A1A-D7F62321E930}"/>
    <cellStyle name="Normal 5 2 2 2 3 2 2 3" xfId="2560" xr:uid="{DE1BD7CA-D01B-4672-B8AA-7F1D9EEA6F9F}"/>
    <cellStyle name="Normal 5 2 2 2 3 2 3" xfId="1315" xr:uid="{E98C6E99-8979-4785-9C94-4F5BF7D8B5F9}"/>
    <cellStyle name="Normal 5 2 2 2 3 2 3 2" xfId="2973" xr:uid="{8FBED185-7761-4855-AE05-FCA57874DD09}"/>
    <cellStyle name="Normal 5 2 2 2 3 2 4" xfId="2144" xr:uid="{F5DB32DB-2E45-4C25-945E-0AB018698A7F}"/>
    <cellStyle name="Normal 5 2 2 2 3 3" xfId="896" xr:uid="{00000000-0005-0000-0000-0000E1020000}"/>
    <cellStyle name="Normal 5 2 2 2 3 3 2" xfId="1730" xr:uid="{EB90DD8B-A255-48E9-A0CA-7C4AB2ACC61F}"/>
    <cellStyle name="Normal 5 2 2 2 3 3 2 2" xfId="3388" xr:uid="{E03D7EB9-5AED-40C5-8782-3691A4B2C79F}"/>
    <cellStyle name="Normal 5 2 2 2 3 3 3" xfId="2559" xr:uid="{5C3FDAF3-03A9-47BB-AA99-AAE1BEBEB40B}"/>
    <cellStyle name="Normal 5 2 2 2 3 4" xfId="1314" xr:uid="{625ECCBF-2502-475F-B81C-17F5B1660122}"/>
    <cellStyle name="Normal 5 2 2 2 3 4 2" xfId="2972" xr:uid="{664B9AA2-E7AB-4818-B204-0E0BC86B3A2C}"/>
    <cellStyle name="Normal 5 2 2 2 3 5" xfId="2143" xr:uid="{6817A912-2059-41BF-9A84-AD7A267BAAB2}"/>
    <cellStyle name="Normal 5 2 2 2 4" xfId="419" xr:uid="{00000000-0005-0000-0000-0000E2020000}"/>
    <cellStyle name="Normal 5 2 2 2 4 2" xfId="898" xr:uid="{00000000-0005-0000-0000-0000E3020000}"/>
    <cellStyle name="Normal 5 2 2 2 4 2 2" xfId="1732" xr:uid="{A2BCE68A-15A0-4003-90D0-D8EAED5A3F94}"/>
    <cellStyle name="Normal 5 2 2 2 4 2 2 2" xfId="3390" xr:uid="{D0C67F9A-014D-4D8A-9DCE-B6ACB40BB419}"/>
    <cellStyle name="Normal 5 2 2 2 4 2 3" xfId="2561" xr:uid="{AC8F14B0-7D9B-4E2D-B744-2477EF53A342}"/>
    <cellStyle name="Normal 5 2 2 2 4 3" xfId="1316" xr:uid="{60F75E15-42EB-42B9-BC2A-10627A6A8D6D}"/>
    <cellStyle name="Normal 5 2 2 2 4 3 2" xfId="2974" xr:uid="{8A6AF27E-608A-4F08-AA81-AEB20E2B5FAF}"/>
    <cellStyle name="Normal 5 2 2 2 4 4" xfId="2145" xr:uid="{903A6D77-A788-40A0-A2DF-11EA0CFD8E02}"/>
    <cellStyle name="Normal 5 2 2 2 5" xfId="891" xr:uid="{00000000-0005-0000-0000-0000E4020000}"/>
    <cellStyle name="Normal 5 2 2 2 5 2" xfId="1725" xr:uid="{8C64F257-63E0-4582-88C0-2208C44C33D5}"/>
    <cellStyle name="Normal 5 2 2 2 5 2 2" xfId="3383" xr:uid="{EF7EEFEF-0F6E-4746-8FE8-F2573958E66C}"/>
    <cellStyle name="Normal 5 2 2 2 5 3" xfId="2554" xr:uid="{D7E53588-D1D6-408C-9C88-62F863740BC1}"/>
    <cellStyle name="Normal 5 2 2 2 6" xfId="1309" xr:uid="{37B9CE52-E515-47DF-A69A-C4BAE87D334B}"/>
    <cellStyle name="Normal 5 2 2 2 6 2" xfId="2967" xr:uid="{AA44F322-5A5E-42D3-B4BC-B47E37F7C782}"/>
    <cellStyle name="Normal 5 2 2 2 7" xfId="2138" xr:uid="{49EFDB42-4542-4DF6-B7EF-06F8166175C9}"/>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F29E0E99-F894-4979-BBF9-FF3864D5DE41}"/>
    <cellStyle name="Normal 5 2 2 3 2 2 2 2 2" xfId="3393" xr:uid="{3B86C23A-FBD0-4E57-B725-06F47AF61D1D}"/>
    <cellStyle name="Normal 5 2 2 3 2 2 2 3" xfId="2564" xr:uid="{89A27CA9-8726-44C4-8CD0-9B0DC7666058}"/>
    <cellStyle name="Normal 5 2 2 3 2 2 3" xfId="1319" xr:uid="{14AB6283-3BBD-46D0-A352-78B41CECDD9B}"/>
    <cellStyle name="Normal 5 2 2 3 2 2 3 2" xfId="2977" xr:uid="{3FCBA049-3039-4FDB-8227-9EF344AD0F33}"/>
    <cellStyle name="Normal 5 2 2 3 2 2 4" xfId="2148" xr:uid="{83F5EF47-B2C4-4C6D-8D3F-177F6B07ACF8}"/>
    <cellStyle name="Normal 5 2 2 3 2 3" xfId="900" xr:uid="{00000000-0005-0000-0000-0000E9020000}"/>
    <cellStyle name="Normal 5 2 2 3 2 3 2" xfId="1734" xr:uid="{8CA71495-FEB7-43D5-923D-D6CE290B070C}"/>
    <cellStyle name="Normal 5 2 2 3 2 3 2 2" xfId="3392" xr:uid="{8CEDCA57-6E70-4CFF-A46A-F371F8C57DE3}"/>
    <cellStyle name="Normal 5 2 2 3 2 3 3" xfId="2563" xr:uid="{FC7E1A59-4879-48F2-BDB0-3D5A2EFF1E2B}"/>
    <cellStyle name="Normal 5 2 2 3 2 4" xfId="1318" xr:uid="{7DB165E0-A296-48B8-95C5-A6B3CCAC7A27}"/>
    <cellStyle name="Normal 5 2 2 3 2 4 2" xfId="2976" xr:uid="{F2F4A5D2-D6EE-41A5-9CA1-8569F7E3FF44}"/>
    <cellStyle name="Normal 5 2 2 3 2 5" xfId="2147" xr:uid="{A7CED4EB-8BCB-4DE5-A5CF-83447249F291}"/>
    <cellStyle name="Normal 5 2 2 3 3" xfId="423" xr:uid="{00000000-0005-0000-0000-0000EA020000}"/>
    <cellStyle name="Normal 5 2 2 3 3 2" xfId="902" xr:uid="{00000000-0005-0000-0000-0000EB020000}"/>
    <cellStyle name="Normal 5 2 2 3 3 2 2" xfId="1736" xr:uid="{91E4BEEB-425C-4455-9A58-BE7272157FCE}"/>
    <cellStyle name="Normal 5 2 2 3 3 2 2 2" xfId="3394" xr:uid="{06B0A335-E69B-48E8-93A8-8D560B6423E1}"/>
    <cellStyle name="Normal 5 2 2 3 3 2 3" xfId="2565" xr:uid="{DDC7056B-2498-462E-81FE-263AFEDE74DE}"/>
    <cellStyle name="Normal 5 2 2 3 3 3" xfId="1320" xr:uid="{C19B6AD6-73F1-4463-BDB8-CA3C04892481}"/>
    <cellStyle name="Normal 5 2 2 3 3 3 2" xfId="2978" xr:uid="{E63AB21E-56DF-4D3D-8AB1-2D0E883C091C}"/>
    <cellStyle name="Normal 5 2 2 3 3 4" xfId="2149" xr:uid="{E665F743-1A0F-4326-8B02-2D6B2331D9AC}"/>
    <cellStyle name="Normal 5 2 2 3 4" xfId="899" xr:uid="{00000000-0005-0000-0000-0000EC020000}"/>
    <cellStyle name="Normal 5 2 2 3 4 2" xfId="1733" xr:uid="{49DF9969-4BBD-4BA9-91DD-D546C49B1452}"/>
    <cellStyle name="Normal 5 2 2 3 4 2 2" xfId="3391" xr:uid="{154E8499-8F55-423D-8850-320B32A69260}"/>
    <cellStyle name="Normal 5 2 2 3 4 3" xfId="2562" xr:uid="{EDE67020-D446-4304-97DB-1438C0356C0E}"/>
    <cellStyle name="Normal 5 2 2 3 5" xfId="1317" xr:uid="{8FD9FEE6-7CDD-44F3-9577-87780E371C91}"/>
    <cellStyle name="Normal 5 2 2 3 5 2" xfId="2975" xr:uid="{03AE6FF5-F0FD-4C96-ADD0-C8C6BA7D6796}"/>
    <cellStyle name="Normal 5 2 2 3 6" xfId="2146" xr:uid="{3F13A78F-2B1A-4478-93D5-6C3FCB8F4F17}"/>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1DC48003-0771-46F3-AD4B-15CA5F9D3C19}"/>
    <cellStyle name="Normal 5 2 2 4 2 2 2 2" xfId="3396" xr:uid="{9E772041-5E46-45C8-9727-92A459F20BB0}"/>
    <cellStyle name="Normal 5 2 2 4 2 2 3" xfId="2567" xr:uid="{C401E757-940F-4AE5-9AD9-60A4D59DFA0F}"/>
    <cellStyle name="Normal 5 2 2 4 2 3" xfId="1322" xr:uid="{45D44366-B66A-4B2B-AC71-22440D42CC17}"/>
    <cellStyle name="Normal 5 2 2 4 2 3 2" xfId="2980" xr:uid="{95ED2401-600D-4FE6-B884-43D05FDBF2B7}"/>
    <cellStyle name="Normal 5 2 2 4 2 4" xfId="2151" xr:uid="{BED77064-A4E3-4C7D-975B-671C01BB665D}"/>
    <cellStyle name="Normal 5 2 2 4 3" xfId="903" xr:uid="{00000000-0005-0000-0000-0000F0020000}"/>
    <cellStyle name="Normal 5 2 2 4 3 2" xfId="1737" xr:uid="{DB5402F8-821C-48A3-BDA6-124DFD8496BA}"/>
    <cellStyle name="Normal 5 2 2 4 3 2 2" xfId="3395" xr:uid="{74DF0D42-7F7F-4043-9EA4-402313A227A0}"/>
    <cellStyle name="Normal 5 2 2 4 3 3" xfId="2566" xr:uid="{A274739B-6A03-419B-96DA-052A9E0E2FF3}"/>
    <cellStyle name="Normal 5 2 2 4 4" xfId="1321" xr:uid="{CD6F587F-6F31-4D8E-8869-005174A912E0}"/>
    <cellStyle name="Normal 5 2 2 4 4 2" xfId="2979" xr:uid="{E14C4816-0A25-42D5-B378-97BF0FB80A6B}"/>
    <cellStyle name="Normal 5 2 2 4 5" xfId="2150" xr:uid="{6B1793CF-06D3-4E5E-AFA4-D26ECB46C7FE}"/>
    <cellStyle name="Normal 5 2 2 5" xfId="426" xr:uid="{00000000-0005-0000-0000-0000F1020000}"/>
    <cellStyle name="Normal 5 2 2 5 2" xfId="905" xr:uid="{00000000-0005-0000-0000-0000F2020000}"/>
    <cellStyle name="Normal 5 2 2 5 2 2" xfId="1739" xr:uid="{3F3A82F1-F273-4FF3-B895-307C6175CBC3}"/>
    <cellStyle name="Normal 5 2 2 5 2 2 2" xfId="3397" xr:uid="{1CF727AE-3ACC-4313-B295-51D3CBD7F39D}"/>
    <cellStyle name="Normal 5 2 2 5 2 3" xfId="2568" xr:uid="{2273FEDC-5634-436A-AD8D-0FF93D16FFF1}"/>
    <cellStyle name="Normal 5 2 2 5 3" xfId="1323" xr:uid="{08AC69A4-D3EE-4163-8930-151C15D8A5B8}"/>
    <cellStyle name="Normal 5 2 2 5 3 2" xfId="2981" xr:uid="{FEE326FE-4159-4169-B63E-AF77A4A20ECB}"/>
    <cellStyle name="Normal 5 2 2 5 4" xfId="2152" xr:uid="{0B858B5B-D9FF-414A-941E-FD7208A4A865}"/>
    <cellStyle name="Normal 5 2 2 6" xfId="890" xr:uid="{00000000-0005-0000-0000-0000F3020000}"/>
    <cellStyle name="Normal 5 2 2 6 2" xfId="1724" xr:uid="{3168091C-B6F3-4985-897D-ABC51E1D117A}"/>
    <cellStyle name="Normal 5 2 2 6 2 2" xfId="3382" xr:uid="{32A070FD-6B03-4B18-94F9-1E2E733F5C44}"/>
    <cellStyle name="Normal 5 2 2 6 3" xfId="2553" xr:uid="{5DFE1E98-E4EC-4BA3-B482-58C1361D6617}"/>
    <cellStyle name="Normal 5 2 2 7" xfId="1308" xr:uid="{E94D957B-C2B9-4D68-BF14-E2D91F92D8BF}"/>
    <cellStyle name="Normal 5 2 2 7 2" xfId="2966" xr:uid="{C6D3AF66-8510-4D19-A0A7-4E153A95343A}"/>
    <cellStyle name="Normal 5 2 2 8" xfId="2137" xr:uid="{2DD726FD-4548-49CD-AE39-6F4EC7A62D96}"/>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1374725F-EACD-469D-B4C3-1C78816DCC04}"/>
    <cellStyle name="Normal 5 2 3 2 2 2 2 2 2" xfId="3401" xr:uid="{4CE1D48F-109F-4651-A3B7-053C6A8B3DF0}"/>
    <cellStyle name="Normal 5 2 3 2 2 2 2 3" xfId="2572" xr:uid="{09FBB825-ED13-403A-B0EF-B9ECE6A4F631}"/>
    <cellStyle name="Normal 5 2 3 2 2 2 3" xfId="1327" xr:uid="{BCBCC43E-A5C6-44C0-AB50-B5593C5DD989}"/>
    <cellStyle name="Normal 5 2 3 2 2 2 3 2" xfId="2985" xr:uid="{50F9453A-595E-4664-A4FF-5E1074FFA8E2}"/>
    <cellStyle name="Normal 5 2 3 2 2 2 4" xfId="2156" xr:uid="{7BA7F144-436C-48D6-9E07-BFABB02C0816}"/>
    <cellStyle name="Normal 5 2 3 2 2 3" xfId="908" xr:uid="{00000000-0005-0000-0000-0000F9020000}"/>
    <cellStyle name="Normal 5 2 3 2 2 3 2" xfId="1742" xr:uid="{09ABCF4F-9F8D-4F9E-9F7F-DB3AF46FC7A2}"/>
    <cellStyle name="Normal 5 2 3 2 2 3 2 2" xfId="3400" xr:uid="{0B762EAD-AE4C-4879-8D38-79B29439A92C}"/>
    <cellStyle name="Normal 5 2 3 2 2 3 3" xfId="2571" xr:uid="{08D5FF89-5110-4FC9-8501-688EE9166CA5}"/>
    <cellStyle name="Normal 5 2 3 2 2 4" xfId="1326" xr:uid="{A43FBF4A-0AEB-4221-90FB-1610A80D9381}"/>
    <cellStyle name="Normal 5 2 3 2 2 4 2" xfId="2984" xr:uid="{77E5DE8C-B6FD-4984-B190-AD4034457A21}"/>
    <cellStyle name="Normal 5 2 3 2 2 5" xfId="2155" xr:uid="{091B54B4-0727-486A-B753-A40D61E72015}"/>
    <cellStyle name="Normal 5 2 3 2 3" xfId="431" xr:uid="{00000000-0005-0000-0000-0000FA020000}"/>
    <cellStyle name="Normal 5 2 3 2 3 2" xfId="910" xr:uid="{00000000-0005-0000-0000-0000FB020000}"/>
    <cellStyle name="Normal 5 2 3 2 3 2 2" xfId="1744" xr:uid="{216CA968-6702-4B4C-A2FE-045C144F1C22}"/>
    <cellStyle name="Normal 5 2 3 2 3 2 2 2" xfId="3402" xr:uid="{C671E99D-CAAA-45CB-8D16-A645035D69E5}"/>
    <cellStyle name="Normal 5 2 3 2 3 2 3" xfId="2573" xr:uid="{8779205A-D7DA-41D1-9AA1-45C88B1A082C}"/>
    <cellStyle name="Normal 5 2 3 2 3 3" xfId="1328" xr:uid="{C46C3ABD-0548-4990-8546-B79A5CC589A2}"/>
    <cellStyle name="Normal 5 2 3 2 3 3 2" xfId="2986" xr:uid="{4B605AA4-31E1-4C63-87D2-122B9A0EC581}"/>
    <cellStyle name="Normal 5 2 3 2 3 4" xfId="2157" xr:uid="{8CBB3D76-921B-4F24-BCD4-767B696A100A}"/>
    <cellStyle name="Normal 5 2 3 2 4" xfId="907" xr:uid="{00000000-0005-0000-0000-0000FC020000}"/>
    <cellStyle name="Normal 5 2 3 2 4 2" xfId="1741" xr:uid="{D7FF1930-1D26-486E-9222-CBCB956A7746}"/>
    <cellStyle name="Normal 5 2 3 2 4 2 2" xfId="3399" xr:uid="{02273C95-3BD4-4D41-B3B8-18249BE171ED}"/>
    <cellStyle name="Normal 5 2 3 2 4 3" xfId="2570" xr:uid="{DAD2609C-142D-4A75-8ECC-CBD486E2CF07}"/>
    <cellStyle name="Normal 5 2 3 2 5" xfId="1325" xr:uid="{4F75DE3D-D7FF-4351-AE6C-3A7656D7F69F}"/>
    <cellStyle name="Normal 5 2 3 2 5 2" xfId="2983" xr:uid="{DABD6E4F-B7C0-44C3-94EF-35DEE0CDEE63}"/>
    <cellStyle name="Normal 5 2 3 2 6" xfId="2154" xr:uid="{FB847F96-A907-479B-B33A-4392CDF238B5}"/>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3EF25B9E-7B91-40CF-80BB-CB8CD19213C3}"/>
    <cellStyle name="Normal 5 2 3 3 2 2 2 2" xfId="3404" xr:uid="{7025B743-4A5E-4D01-800F-4A45A05EA37D}"/>
    <cellStyle name="Normal 5 2 3 3 2 2 3" xfId="2575" xr:uid="{6D303C63-53C1-4626-939A-24552DDB8AAD}"/>
    <cellStyle name="Normal 5 2 3 3 2 3" xfId="1330" xr:uid="{17E8092A-70C5-4CF3-87A8-01C6173A1EE1}"/>
    <cellStyle name="Normal 5 2 3 3 2 3 2" xfId="2988" xr:uid="{62232A64-8D4A-4ADE-BA66-B032CDA6416B}"/>
    <cellStyle name="Normal 5 2 3 3 2 4" xfId="2159" xr:uid="{7370A9E7-0BDC-4130-BF66-03342B8756E7}"/>
    <cellStyle name="Normal 5 2 3 3 3" xfId="911" xr:uid="{00000000-0005-0000-0000-000000030000}"/>
    <cellStyle name="Normal 5 2 3 3 3 2" xfId="1745" xr:uid="{FED7E1A9-D403-4B97-B048-868C044CB25B}"/>
    <cellStyle name="Normal 5 2 3 3 3 2 2" xfId="3403" xr:uid="{93C9B88F-5E22-46F7-ADF6-D7121B2B561D}"/>
    <cellStyle name="Normal 5 2 3 3 3 3" xfId="2574" xr:uid="{224D8EAD-DC0C-47B7-A088-FDBF5819F5B0}"/>
    <cellStyle name="Normal 5 2 3 3 4" xfId="1329" xr:uid="{36D8EDE2-A15F-44FD-821E-F3EA617ECFEC}"/>
    <cellStyle name="Normal 5 2 3 3 4 2" xfId="2987" xr:uid="{5150D677-0C78-4E29-9196-004B5DFA7525}"/>
    <cellStyle name="Normal 5 2 3 3 5" xfId="2158" xr:uid="{F2D56E1A-18FB-4E11-9C75-E8E044866C08}"/>
    <cellStyle name="Normal 5 2 3 4" xfId="434" xr:uid="{00000000-0005-0000-0000-000001030000}"/>
    <cellStyle name="Normal 5 2 3 4 2" xfId="913" xr:uid="{00000000-0005-0000-0000-000002030000}"/>
    <cellStyle name="Normal 5 2 3 4 2 2" xfId="1747" xr:uid="{0FF5425A-757D-40DC-95C7-1E36D988B2E1}"/>
    <cellStyle name="Normal 5 2 3 4 2 2 2" xfId="3405" xr:uid="{571135BC-8632-492B-A161-B103326EC370}"/>
    <cellStyle name="Normal 5 2 3 4 2 3" xfId="2576" xr:uid="{F53EFA28-2CCE-44F3-AD97-EFE1E6A0C6D8}"/>
    <cellStyle name="Normal 5 2 3 4 3" xfId="1331" xr:uid="{DC8270D6-6064-45A3-B993-142344209B74}"/>
    <cellStyle name="Normal 5 2 3 4 3 2" xfId="2989" xr:uid="{B9E0EAC1-B500-4EF0-9FB4-42AA3E021189}"/>
    <cellStyle name="Normal 5 2 3 4 4" xfId="2160" xr:uid="{1956BC5D-2564-4D35-A119-9E2308A35700}"/>
    <cellStyle name="Normal 5 2 3 5" xfId="906" xr:uid="{00000000-0005-0000-0000-000003030000}"/>
    <cellStyle name="Normal 5 2 3 5 2" xfId="1740" xr:uid="{779285A5-0A79-4AA2-8B02-AA26EEE06579}"/>
    <cellStyle name="Normal 5 2 3 5 2 2" xfId="3398" xr:uid="{3FA2B716-C426-4947-9B9E-76E7354FAE0B}"/>
    <cellStyle name="Normal 5 2 3 5 3" xfId="2569" xr:uid="{4EEB9D89-3A4D-468D-8044-CA46743BD46C}"/>
    <cellStyle name="Normal 5 2 3 6" xfId="1324" xr:uid="{BD66E38F-4A5E-47A8-99E2-174304AE1E9F}"/>
    <cellStyle name="Normal 5 2 3 6 2" xfId="2982" xr:uid="{13F0F156-951F-4DAC-8BD8-C06698882903}"/>
    <cellStyle name="Normal 5 2 3 7" xfId="2153" xr:uid="{A827AE59-CA74-4913-B84F-AEAD1894EBF5}"/>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0582AD7E-3084-4697-89E6-CF9EC86F05AC}"/>
    <cellStyle name="Normal 5 2 4 2 2 2 2 2" xfId="3408" xr:uid="{27FD61CD-0D61-40D8-8C82-97F8CD05804E}"/>
    <cellStyle name="Normal 5 2 4 2 2 2 3" xfId="2579" xr:uid="{03BA44A7-FF5C-4C76-8B13-16111B2CB30B}"/>
    <cellStyle name="Normal 5 2 4 2 2 3" xfId="1334" xr:uid="{E974E359-30BB-43C3-8B7A-BB84A5195834}"/>
    <cellStyle name="Normal 5 2 4 2 2 3 2" xfId="2992" xr:uid="{DD384DE4-5401-4D32-AA84-CC8ADEF8E5A1}"/>
    <cellStyle name="Normal 5 2 4 2 2 4" xfId="2163" xr:uid="{7BA53AEA-708E-4514-BF42-F47D418C42E3}"/>
    <cellStyle name="Normal 5 2 4 2 3" xfId="915" xr:uid="{00000000-0005-0000-0000-000008030000}"/>
    <cellStyle name="Normal 5 2 4 2 3 2" xfId="1749" xr:uid="{4012D6D9-4D89-4119-8C11-4995A6A5E7BB}"/>
    <cellStyle name="Normal 5 2 4 2 3 2 2" xfId="3407" xr:uid="{382B81E5-2B1A-4445-B0D3-39108154EA4C}"/>
    <cellStyle name="Normal 5 2 4 2 3 3" xfId="2578" xr:uid="{9FE1195D-EFF7-4CFD-99A3-1E9425CE4A69}"/>
    <cellStyle name="Normal 5 2 4 2 4" xfId="1333" xr:uid="{9A34908C-2E48-414E-B8BE-986A4F428C86}"/>
    <cellStyle name="Normal 5 2 4 2 4 2" xfId="2991" xr:uid="{15452B74-1A0B-4EF7-B53E-10C0F83121F5}"/>
    <cellStyle name="Normal 5 2 4 2 5" xfId="2162" xr:uid="{A6C921A3-2E95-4CFB-A5BA-9292553CC5CE}"/>
    <cellStyle name="Normal 5 2 4 3" xfId="438" xr:uid="{00000000-0005-0000-0000-000009030000}"/>
    <cellStyle name="Normal 5 2 4 3 2" xfId="917" xr:uid="{00000000-0005-0000-0000-00000A030000}"/>
    <cellStyle name="Normal 5 2 4 3 2 2" xfId="1751" xr:uid="{1ED9BD97-3A8E-4A7C-8737-754C617F6523}"/>
    <cellStyle name="Normal 5 2 4 3 2 2 2" xfId="3409" xr:uid="{652570C4-428F-45D4-9740-034CA3E3FCB6}"/>
    <cellStyle name="Normal 5 2 4 3 2 3" xfId="2580" xr:uid="{D458C80A-9166-457D-9F49-FEB318ED4A64}"/>
    <cellStyle name="Normal 5 2 4 3 3" xfId="1335" xr:uid="{BF5123C6-749D-4905-A072-CA328BC294FE}"/>
    <cellStyle name="Normal 5 2 4 3 3 2" xfId="2993" xr:uid="{13650D34-18E5-4237-824C-AC031A96C17D}"/>
    <cellStyle name="Normal 5 2 4 3 4" xfId="2164" xr:uid="{ED4EBF4A-E599-4878-B83C-63A2A3F5EA3B}"/>
    <cellStyle name="Normal 5 2 4 4" xfId="914" xr:uid="{00000000-0005-0000-0000-00000B030000}"/>
    <cellStyle name="Normal 5 2 4 4 2" xfId="1748" xr:uid="{825269C6-37DA-494A-94CA-E3B138BD21D1}"/>
    <cellStyle name="Normal 5 2 4 4 2 2" xfId="3406" xr:uid="{DEC227EC-5A3B-4EC4-843E-075B4A490C76}"/>
    <cellStyle name="Normal 5 2 4 4 3" xfId="2577" xr:uid="{25B9E386-1E0A-4D37-934C-FF60D6042028}"/>
    <cellStyle name="Normal 5 2 4 5" xfId="1332" xr:uid="{D96052F8-65E3-4847-A5CC-3E170323435D}"/>
    <cellStyle name="Normal 5 2 4 5 2" xfId="2990" xr:uid="{4844DBEE-A178-4A50-876A-344518128BA9}"/>
    <cellStyle name="Normal 5 2 4 6" xfId="2161" xr:uid="{248DA5B5-1CFE-4404-9172-1EFEC1E02279}"/>
    <cellStyle name="Normal 5 2 5" xfId="439" xr:uid="{00000000-0005-0000-0000-00000C030000}"/>
    <cellStyle name="Normal 5 2 5 2" xfId="440" xr:uid="{00000000-0005-0000-0000-00000D030000}"/>
    <cellStyle name="Normal 5 2 5 2 2" xfId="919" xr:uid="{00000000-0005-0000-0000-00000E030000}"/>
    <cellStyle name="Normal 5 2 5 2 2 2" xfId="1753" xr:uid="{818FF478-5E83-45A8-9974-AB033B9DD456}"/>
    <cellStyle name="Normal 5 2 5 2 2 2 2" xfId="3411" xr:uid="{ED2921C7-69DE-41BB-AF61-47672994923B}"/>
    <cellStyle name="Normal 5 2 5 2 2 3" xfId="2582" xr:uid="{273EC2F0-3284-4C9D-8A6A-9BE85019A547}"/>
    <cellStyle name="Normal 5 2 5 2 3" xfId="1337" xr:uid="{697E8522-58E3-4AF3-8257-CCC249AC3A95}"/>
    <cellStyle name="Normal 5 2 5 2 3 2" xfId="2995" xr:uid="{5712713C-2AEA-4782-87D7-19082C213301}"/>
    <cellStyle name="Normal 5 2 5 2 4" xfId="2166" xr:uid="{73D75474-C4EC-44D6-A8C6-F236DCBFD1DE}"/>
    <cellStyle name="Normal 5 2 5 3" xfId="918" xr:uid="{00000000-0005-0000-0000-00000F030000}"/>
    <cellStyle name="Normal 5 2 5 3 2" xfId="1752" xr:uid="{CC62A8DB-64BC-4E1C-985D-5474C7371780}"/>
    <cellStyle name="Normal 5 2 5 3 2 2" xfId="3410" xr:uid="{81407D03-00BF-4ED3-AF9A-5329DECC0632}"/>
    <cellStyle name="Normal 5 2 5 3 3" xfId="2581" xr:uid="{F293AA94-BFED-4021-A1CD-CB6F3F3E6006}"/>
    <cellStyle name="Normal 5 2 5 4" xfId="1336" xr:uid="{0F3ADB1A-7968-4F87-B49E-AC1B59AF7E45}"/>
    <cellStyle name="Normal 5 2 5 4 2" xfId="2994" xr:uid="{1BBE5FB9-0A0A-4C1D-A244-49DFC7B70CA6}"/>
    <cellStyle name="Normal 5 2 5 5" xfId="2165" xr:uid="{72684AA6-4E53-41A9-A716-4E59E3B66399}"/>
    <cellStyle name="Normal 5 2 6" xfId="441" xr:uid="{00000000-0005-0000-0000-000010030000}"/>
    <cellStyle name="Normal 5 2 6 2" xfId="920" xr:uid="{00000000-0005-0000-0000-000011030000}"/>
    <cellStyle name="Normal 5 2 6 2 2" xfId="1754" xr:uid="{EC5E2DBC-B07F-43FC-A84C-C432DCF4B85C}"/>
    <cellStyle name="Normal 5 2 6 2 2 2" xfId="3412" xr:uid="{C670C11B-AF0D-46EE-AFF0-2BB7CC750E85}"/>
    <cellStyle name="Normal 5 2 6 2 3" xfId="2583" xr:uid="{4DDC58EF-B892-4C45-90CD-A2EA22099184}"/>
    <cellStyle name="Normal 5 2 6 3" xfId="1338" xr:uid="{8210B307-2FE0-4D36-891B-B20FDA914367}"/>
    <cellStyle name="Normal 5 2 6 3 2" xfId="2996" xr:uid="{29AF5189-C858-4FEB-91F5-BEB5830AD5D8}"/>
    <cellStyle name="Normal 5 2 6 4" xfId="2167" xr:uid="{6967C674-BF2F-4418-8F9A-2D5B770409F8}"/>
    <cellStyle name="Normal 5 2 7" xfId="889" xr:uid="{00000000-0005-0000-0000-000012030000}"/>
    <cellStyle name="Normal 5 2 7 2" xfId="1723" xr:uid="{42E2DCFF-91D9-4C4F-ACDC-48490FBCC597}"/>
    <cellStyle name="Normal 5 2 7 2 2" xfId="3381" xr:uid="{0F838414-2DDA-493F-A219-19A1B4829953}"/>
    <cellStyle name="Normal 5 2 7 3" xfId="2552" xr:uid="{A3D1CBE8-466E-40CB-B09B-5EDDC7B8D07E}"/>
    <cellStyle name="Normal 5 2 8" xfId="1307" xr:uid="{13BC1048-D63C-4AEA-9B30-F21FC3DBCD77}"/>
    <cellStyle name="Normal 5 2 8 2" xfId="2965" xr:uid="{C1E674A1-B3B7-4F97-AA5C-882426E09FCD}"/>
    <cellStyle name="Normal 5 2 9" xfId="2136" xr:uid="{97182E07-32BC-4B75-9CC0-C243A2D76BE6}"/>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06405792-D4AC-48F2-BDB0-2F8595CBFE92}"/>
    <cellStyle name="Normal 5 3 3 2 2 2 2 2 2" xfId="3417" xr:uid="{D2C850DD-985B-4092-870A-2A856386E968}"/>
    <cellStyle name="Normal 5 3 3 2 2 2 2 3" xfId="2588" xr:uid="{4C317F0F-A8FD-4519-A052-4B9797941687}"/>
    <cellStyle name="Normal 5 3 3 2 2 2 3" xfId="1343" xr:uid="{B55886EB-14D4-4B89-ACD5-B6DA1E0683F0}"/>
    <cellStyle name="Normal 5 3 3 2 2 2 3 2" xfId="3001" xr:uid="{05251E71-459C-4A9F-B5CA-859C94B3F9A7}"/>
    <cellStyle name="Normal 5 3 3 2 2 2 4" xfId="2172" xr:uid="{D6D8E393-A9DC-4031-A4E5-D872D3648D92}"/>
    <cellStyle name="Normal 5 3 3 2 2 3" xfId="925" xr:uid="{00000000-0005-0000-0000-00001B030000}"/>
    <cellStyle name="Normal 5 3 3 2 2 3 2" xfId="1758" xr:uid="{0C55DDDD-6A13-4645-977C-C97ACF1E3505}"/>
    <cellStyle name="Normal 5 3 3 2 2 3 2 2" xfId="3416" xr:uid="{A7B021EE-121C-43E2-BD72-0C32ACA4B286}"/>
    <cellStyle name="Normal 5 3 3 2 2 3 3" xfId="2587" xr:uid="{25664098-B8D3-48ED-8D84-3CC610DE2DC3}"/>
    <cellStyle name="Normal 5 3 3 2 2 4" xfId="1342" xr:uid="{1F67CF7B-1C2E-4331-BC8A-3876DBD5CD17}"/>
    <cellStyle name="Normal 5 3 3 2 2 4 2" xfId="3000" xr:uid="{7F7DA284-2209-4D79-8735-93A614EE3033}"/>
    <cellStyle name="Normal 5 3 3 2 2 5" xfId="2171" xr:uid="{CE8EAC4B-81B2-446D-B4D5-19E6A3A4DB20}"/>
    <cellStyle name="Normal 5 3 3 2 3" xfId="448" xr:uid="{00000000-0005-0000-0000-00001C030000}"/>
    <cellStyle name="Normal 5 3 3 2 3 2" xfId="927" xr:uid="{00000000-0005-0000-0000-00001D030000}"/>
    <cellStyle name="Normal 5 3 3 2 3 2 2" xfId="1760" xr:uid="{C4E1C423-C477-4B77-8249-44EAF6A89FF4}"/>
    <cellStyle name="Normal 5 3 3 2 3 2 2 2" xfId="3418" xr:uid="{F2AB75DD-81E7-4D93-8B84-14B1ED8D61DD}"/>
    <cellStyle name="Normal 5 3 3 2 3 2 3" xfId="2589" xr:uid="{D6218804-76D9-4972-B3CB-38B0C5828BE2}"/>
    <cellStyle name="Normal 5 3 3 2 3 3" xfId="1344" xr:uid="{E502B4D0-024F-4179-9F7D-435EF07AA78B}"/>
    <cellStyle name="Normal 5 3 3 2 3 3 2" xfId="3002" xr:uid="{CBE7C71A-DE23-41B4-86DB-296B41BF995A}"/>
    <cellStyle name="Normal 5 3 3 2 3 4" xfId="2173" xr:uid="{27890338-4BED-4C6F-BC6C-0266476F173A}"/>
    <cellStyle name="Normal 5 3 3 2 4" xfId="924" xr:uid="{00000000-0005-0000-0000-00001E030000}"/>
    <cellStyle name="Normal 5 3 3 2 4 2" xfId="1757" xr:uid="{7F3C5052-326A-449B-ADA2-0EA475F0A88B}"/>
    <cellStyle name="Normal 5 3 3 2 4 2 2" xfId="3415" xr:uid="{AEDA0587-ECEA-451F-B83F-FCE50AB5EB95}"/>
    <cellStyle name="Normal 5 3 3 2 4 3" xfId="2586" xr:uid="{3759031A-4936-4BE3-9725-34FA71DB5A11}"/>
    <cellStyle name="Normal 5 3 3 2 5" xfId="1341" xr:uid="{DA5A18E5-1554-4C0B-A87D-084150A61429}"/>
    <cellStyle name="Normal 5 3 3 2 5 2" xfId="2999" xr:uid="{E9A76631-538B-4558-B41C-5D9EFDC6599D}"/>
    <cellStyle name="Normal 5 3 3 2 6" xfId="2170" xr:uid="{9803FBFD-4949-474D-8AAE-C6A160C63536}"/>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1F8F1DB1-660F-4A31-B61E-799D3CA39EED}"/>
    <cellStyle name="Normal 5 3 3 3 2 2 2 2" xfId="3420" xr:uid="{858D41C1-B651-4535-AE5E-8AC6E887E54D}"/>
    <cellStyle name="Normal 5 3 3 3 2 2 3" xfId="2591" xr:uid="{60E0622B-C5B1-49A2-97D4-C00DAB545C84}"/>
    <cellStyle name="Normal 5 3 3 3 2 3" xfId="1346" xr:uid="{7BF77CCF-BF83-42DC-88BB-9635DB0AA1F1}"/>
    <cellStyle name="Normal 5 3 3 3 2 3 2" xfId="3004" xr:uid="{726E037D-7F94-44E5-92B6-421384687710}"/>
    <cellStyle name="Normal 5 3 3 3 2 4" xfId="2175" xr:uid="{2A8D6837-368A-4D76-AD25-CAFA7A2A9519}"/>
    <cellStyle name="Normal 5 3 3 3 3" xfId="928" xr:uid="{00000000-0005-0000-0000-000022030000}"/>
    <cellStyle name="Normal 5 3 3 3 3 2" xfId="1761" xr:uid="{6374DDEB-2ABB-44DF-9147-FF66A6661EDD}"/>
    <cellStyle name="Normal 5 3 3 3 3 2 2" xfId="3419" xr:uid="{58E761D7-E47F-490A-A2CD-01EE7514F155}"/>
    <cellStyle name="Normal 5 3 3 3 3 3" xfId="2590" xr:uid="{C9F17551-778E-48DF-AFB8-D0C58B421A16}"/>
    <cellStyle name="Normal 5 3 3 3 4" xfId="1345" xr:uid="{8241F8B3-B274-4478-868F-579B5A1B4D82}"/>
    <cellStyle name="Normal 5 3 3 3 4 2" xfId="3003" xr:uid="{96104BA6-88E9-4555-A07A-D0D8CEA12DF8}"/>
    <cellStyle name="Normal 5 3 3 3 5" xfId="2174" xr:uid="{E88D6C83-0BD3-4EF2-BB50-E741E0FAD1BE}"/>
    <cellStyle name="Normal 5 3 3 4" xfId="451" xr:uid="{00000000-0005-0000-0000-000023030000}"/>
    <cellStyle name="Normal 5 3 3 4 2" xfId="930" xr:uid="{00000000-0005-0000-0000-000024030000}"/>
    <cellStyle name="Normal 5 3 3 4 2 2" xfId="1763" xr:uid="{FB9BCEBE-A553-44DC-9620-483722CD851A}"/>
    <cellStyle name="Normal 5 3 3 4 2 2 2" xfId="3421" xr:uid="{0C154651-D7A9-40A1-AE54-6A5DC295EE9A}"/>
    <cellStyle name="Normal 5 3 3 4 2 3" xfId="2592" xr:uid="{59C28071-F92A-46B7-B027-47378673BCB4}"/>
    <cellStyle name="Normal 5 3 3 4 3" xfId="1347" xr:uid="{7CA5B336-E9F4-4C6E-A91C-349F2E687DA9}"/>
    <cellStyle name="Normal 5 3 3 4 3 2" xfId="3005" xr:uid="{ED3A63AF-3541-4EA9-A26C-04C61312FC0A}"/>
    <cellStyle name="Normal 5 3 3 4 4" xfId="2176" xr:uid="{BF29F54F-9DD6-4D24-B00F-CD88894D40C5}"/>
    <cellStyle name="Normal 5 3 3 5" xfId="923" xr:uid="{00000000-0005-0000-0000-000025030000}"/>
    <cellStyle name="Normal 5 3 3 5 2" xfId="1756" xr:uid="{407597A4-F800-48AA-BE95-78161F7871EA}"/>
    <cellStyle name="Normal 5 3 3 5 2 2" xfId="3414" xr:uid="{7F911879-9411-47CF-B506-7FA1CABDAEE2}"/>
    <cellStyle name="Normal 5 3 3 5 3" xfId="2585" xr:uid="{19131757-6F2D-477C-AE18-492086BC8AF2}"/>
    <cellStyle name="Normal 5 3 3 6" xfId="1340" xr:uid="{2B6FB641-8947-4777-AFF0-E22BF44D5825}"/>
    <cellStyle name="Normal 5 3 3 6 2" xfId="2998" xr:uid="{98C4F08B-A2AF-4EBA-8866-6884F81BB09B}"/>
    <cellStyle name="Normal 5 3 3 7" xfId="2169" xr:uid="{D969D7B8-19AD-4D2F-AA03-431CE8D61BEA}"/>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067DA4AF-96BE-4A56-B739-69966726C9CA}"/>
    <cellStyle name="Normal 5 3 4 2 2 2 2 2" xfId="3424" xr:uid="{1E2C7FDC-2B1F-4284-9995-553225FFD929}"/>
    <cellStyle name="Normal 5 3 4 2 2 2 3" xfId="2595" xr:uid="{01868E2F-EDCE-442C-BB32-800F484685F5}"/>
    <cellStyle name="Normal 5 3 4 2 2 3" xfId="1350" xr:uid="{3D05FB58-EDCF-434F-9594-7BCFBEE6BFBE}"/>
    <cellStyle name="Normal 5 3 4 2 2 3 2" xfId="3008" xr:uid="{DDA2982A-19E8-4F5D-87E0-408B0AC632D8}"/>
    <cellStyle name="Normal 5 3 4 2 2 4" xfId="2179" xr:uid="{731434FE-E685-49E5-9B77-1FD7F1F24352}"/>
    <cellStyle name="Normal 5 3 4 2 3" xfId="932" xr:uid="{00000000-0005-0000-0000-00002A030000}"/>
    <cellStyle name="Normal 5 3 4 2 3 2" xfId="1765" xr:uid="{9ECBBC36-41F4-4031-9F8E-B4E034FB3C45}"/>
    <cellStyle name="Normal 5 3 4 2 3 2 2" xfId="3423" xr:uid="{EC255CD7-66C3-451D-926A-8C7DF4C9E77B}"/>
    <cellStyle name="Normal 5 3 4 2 3 3" xfId="2594" xr:uid="{2C600B1B-F343-41E8-BA5F-E7A3F9CAB6CA}"/>
    <cellStyle name="Normal 5 3 4 2 4" xfId="1349" xr:uid="{FE12BEAB-C4F9-4687-85FD-1CEE5EE32351}"/>
    <cellStyle name="Normal 5 3 4 2 4 2" xfId="3007" xr:uid="{56BF118E-D26A-41C7-9749-E48808D3D0DB}"/>
    <cellStyle name="Normal 5 3 4 2 5" xfId="2178" xr:uid="{1746615A-5C92-4F8C-8C21-E66B3F68978A}"/>
    <cellStyle name="Normal 5 3 4 3" xfId="455" xr:uid="{00000000-0005-0000-0000-00002B030000}"/>
    <cellStyle name="Normal 5 3 4 3 2" xfId="934" xr:uid="{00000000-0005-0000-0000-00002C030000}"/>
    <cellStyle name="Normal 5 3 4 3 2 2" xfId="1767" xr:uid="{F9220BFF-C78A-445C-B8A6-2526EB81B532}"/>
    <cellStyle name="Normal 5 3 4 3 2 2 2" xfId="3425" xr:uid="{5D2CE3AD-A29B-49E0-8327-1500512C293E}"/>
    <cellStyle name="Normal 5 3 4 3 2 3" xfId="2596" xr:uid="{7FDE5EE0-A524-436D-9361-3A480039984E}"/>
    <cellStyle name="Normal 5 3 4 3 3" xfId="1351" xr:uid="{061A811A-0214-48F5-9BDA-947EE00A3037}"/>
    <cellStyle name="Normal 5 3 4 3 3 2" xfId="3009" xr:uid="{52653426-E3D6-4A58-BADF-9CB71A22F2AE}"/>
    <cellStyle name="Normal 5 3 4 3 4" xfId="2180" xr:uid="{6B9DD8DF-5A3B-4B77-B5DA-7B9B4344893A}"/>
    <cellStyle name="Normal 5 3 4 4" xfId="931" xr:uid="{00000000-0005-0000-0000-00002D030000}"/>
    <cellStyle name="Normal 5 3 4 4 2" xfId="1764" xr:uid="{FC563730-3990-4B6D-84C7-78C9983FDAD2}"/>
    <cellStyle name="Normal 5 3 4 4 2 2" xfId="3422" xr:uid="{5FF2533F-8595-4BAF-9693-09B4ECE976D1}"/>
    <cellStyle name="Normal 5 3 4 4 3" xfId="2593" xr:uid="{6EED8F89-F9A9-45A4-B743-F5537850F61B}"/>
    <cellStyle name="Normal 5 3 4 5" xfId="1348" xr:uid="{BAC9E47C-CF3F-468B-A053-FD7D3DA71AFA}"/>
    <cellStyle name="Normal 5 3 4 5 2" xfId="3006" xr:uid="{8AB6B5F6-4AD7-45D0-8E4E-608DB5F754BD}"/>
    <cellStyle name="Normal 5 3 4 6" xfId="2177" xr:uid="{1288B313-EF3F-4A3B-92F2-8A9C6F01F6B4}"/>
    <cellStyle name="Normal 5 3 5" xfId="456" xr:uid="{00000000-0005-0000-0000-00002E030000}"/>
    <cellStyle name="Normal 5 3 5 2" xfId="457" xr:uid="{00000000-0005-0000-0000-00002F030000}"/>
    <cellStyle name="Normal 5 3 5 2 2" xfId="936" xr:uid="{00000000-0005-0000-0000-000030030000}"/>
    <cellStyle name="Normal 5 3 5 2 2 2" xfId="1769" xr:uid="{6F78F6C7-2262-467C-B312-D7757FBF00A8}"/>
    <cellStyle name="Normal 5 3 5 2 2 2 2" xfId="3427" xr:uid="{BEC053A0-61E9-40F1-8286-22A234BDB246}"/>
    <cellStyle name="Normal 5 3 5 2 2 3" xfId="2598" xr:uid="{84D43C23-0D7A-4778-B3B3-4B10F49C1AFB}"/>
    <cellStyle name="Normal 5 3 5 2 3" xfId="1353" xr:uid="{79D89411-F6B1-46F9-957E-A7E3BC69D936}"/>
    <cellStyle name="Normal 5 3 5 2 3 2" xfId="3011" xr:uid="{5E2A94DC-962A-477E-AC19-821F6B3E9962}"/>
    <cellStyle name="Normal 5 3 5 2 4" xfId="2182" xr:uid="{F6405647-9388-46B0-9C99-301C5DE85D72}"/>
    <cellStyle name="Normal 5 3 5 3" xfId="935" xr:uid="{00000000-0005-0000-0000-000031030000}"/>
    <cellStyle name="Normal 5 3 5 3 2" xfId="1768" xr:uid="{AC8B7C6E-0380-49EC-953F-34268BF81B10}"/>
    <cellStyle name="Normal 5 3 5 3 2 2" xfId="3426" xr:uid="{D8EFD7E7-CDAA-4BCC-9A0F-F7B1DDBCB863}"/>
    <cellStyle name="Normal 5 3 5 3 3" xfId="2597" xr:uid="{CEB1B61E-2E3E-40AE-90F3-463FDFAEBDF0}"/>
    <cellStyle name="Normal 5 3 5 4" xfId="1352" xr:uid="{31E28AD3-EB50-4D34-BECB-804B4E4ED796}"/>
    <cellStyle name="Normal 5 3 5 4 2" xfId="3010" xr:uid="{E2FB6F5E-55FD-4E19-9537-5022D31A3CE1}"/>
    <cellStyle name="Normal 5 3 5 5" xfId="2181" xr:uid="{E8B240EF-F96F-4B0A-ADF7-A388F9C11E12}"/>
    <cellStyle name="Normal 5 3 6" xfId="458" xr:uid="{00000000-0005-0000-0000-000032030000}"/>
    <cellStyle name="Normal 5 3 6 2" xfId="937" xr:uid="{00000000-0005-0000-0000-000033030000}"/>
    <cellStyle name="Normal 5 3 6 2 2" xfId="1770" xr:uid="{CE9A3B82-1A94-427C-8AFB-F14DC5C6B460}"/>
    <cellStyle name="Normal 5 3 6 2 2 2" xfId="3428" xr:uid="{F7F00106-F8CE-41AF-A789-032AEDAE0187}"/>
    <cellStyle name="Normal 5 3 6 2 3" xfId="2599" xr:uid="{F6E4BB42-6969-4815-8ACF-AA380FDA6DA3}"/>
    <cellStyle name="Normal 5 3 6 3" xfId="1354" xr:uid="{FCC659D5-95A3-46FE-9B4E-BECF3A93A3C7}"/>
    <cellStyle name="Normal 5 3 6 3 2" xfId="3012" xr:uid="{8EC2655A-DBCE-4331-9F56-49B527F9C765}"/>
    <cellStyle name="Normal 5 3 6 4" xfId="2183" xr:uid="{AE626EA2-3B3F-4D32-B39B-9F8A95C5EC24}"/>
    <cellStyle name="Normal 5 3 7" xfId="921" xr:uid="{00000000-0005-0000-0000-000034030000}"/>
    <cellStyle name="Normal 5 3 7 2" xfId="1755" xr:uid="{DDFD325F-7A0E-4858-900C-48CD687715C5}"/>
    <cellStyle name="Normal 5 3 7 2 2" xfId="3413" xr:uid="{90915DBF-7BF2-43C2-8AE9-FCDBF8D4EF43}"/>
    <cellStyle name="Normal 5 3 7 3" xfId="2584" xr:uid="{22652C40-9897-442B-8143-C73B0ACA111D}"/>
    <cellStyle name="Normal 5 3 8" xfId="1339" xr:uid="{CB468999-2837-419E-9ED7-206E7AD6CC15}"/>
    <cellStyle name="Normal 5 3 8 2" xfId="2997" xr:uid="{A193FF95-B18C-4617-87FA-49056E995D3F}"/>
    <cellStyle name="Normal 5 3 9" xfId="2168" xr:uid="{68EDC2D9-548D-4870-97F3-A73341195E43}"/>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9B296B7C-A4EC-40E3-993C-DAC721DC2C09}"/>
    <cellStyle name="Normal 5 4 2 2 2 2 2 2" xfId="3432" xr:uid="{D2F1E85B-1392-42C2-A80E-0E1DBD477BAF}"/>
    <cellStyle name="Normal 5 4 2 2 2 2 3" xfId="2603" xr:uid="{61DF2BCD-E834-4F8D-B42F-D73BF1E562FA}"/>
    <cellStyle name="Normal 5 4 2 2 2 3" xfId="1358" xr:uid="{E09DAA61-1947-489A-BB9E-4B491455263D}"/>
    <cellStyle name="Normal 5 4 2 2 2 3 2" xfId="3016" xr:uid="{B9B69E4D-A74E-48D3-916A-9861DC1A2CEB}"/>
    <cellStyle name="Normal 5 4 2 2 2 4" xfId="2187" xr:uid="{030CCF86-CDAD-493D-89DD-2637614A171E}"/>
    <cellStyle name="Normal 5 4 2 2 3" xfId="940" xr:uid="{00000000-0005-0000-0000-00003A030000}"/>
    <cellStyle name="Normal 5 4 2 2 3 2" xfId="1773" xr:uid="{6D4E06F7-9DFF-4FFE-98BA-97EE48DB44FE}"/>
    <cellStyle name="Normal 5 4 2 2 3 2 2" xfId="3431" xr:uid="{F3744442-4D75-43EF-9940-B451B5B79F68}"/>
    <cellStyle name="Normal 5 4 2 2 3 3" xfId="2602" xr:uid="{ED5702D3-E70D-44A9-A9F4-E13B4401E74F}"/>
    <cellStyle name="Normal 5 4 2 2 4" xfId="1357" xr:uid="{B6BD495B-F668-4A7F-ABBA-CE2FF2350F92}"/>
    <cellStyle name="Normal 5 4 2 2 4 2" xfId="3015" xr:uid="{59F85325-6F1B-44CB-B97F-3CD1DD08318E}"/>
    <cellStyle name="Normal 5 4 2 2 5" xfId="2186" xr:uid="{67672D2F-EB52-465D-AFD6-B90D83369381}"/>
    <cellStyle name="Normal 5 4 2 3" xfId="463" xr:uid="{00000000-0005-0000-0000-00003B030000}"/>
    <cellStyle name="Normal 5 4 2 3 2" xfId="942" xr:uid="{00000000-0005-0000-0000-00003C030000}"/>
    <cellStyle name="Normal 5 4 2 3 2 2" xfId="1775" xr:uid="{D29E980E-440E-4DE9-8917-C22BD6391384}"/>
    <cellStyle name="Normal 5 4 2 3 2 2 2" xfId="3433" xr:uid="{A0C051FB-4330-4A55-978F-D6696649A67E}"/>
    <cellStyle name="Normal 5 4 2 3 2 3" xfId="2604" xr:uid="{D4AFFEE5-5170-4F24-9DF2-7CDE9B47457E}"/>
    <cellStyle name="Normal 5 4 2 3 3" xfId="1359" xr:uid="{38938D93-0350-4DC9-841E-EE7EB7A18CB1}"/>
    <cellStyle name="Normal 5 4 2 3 3 2" xfId="3017" xr:uid="{5615F08C-227B-414C-856A-07D210D18A60}"/>
    <cellStyle name="Normal 5 4 2 3 4" xfId="2188" xr:uid="{82E4C33D-78DE-4622-ADF4-4C5E46141E74}"/>
    <cellStyle name="Normal 5 4 2 4" xfId="939" xr:uid="{00000000-0005-0000-0000-00003D030000}"/>
    <cellStyle name="Normal 5 4 2 4 2" xfId="1772" xr:uid="{AAF7B5B9-84E2-4516-8951-EC36341A97DD}"/>
    <cellStyle name="Normal 5 4 2 4 2 2" xfId="3430" xr:uid="{4955BD23-7AD7-46F2-80C0-310C231CBFDF}"/>
    <cellStyle name="Normal 5 4 2 4 3" xfId="2601" xr:uid="{2B46826F-8565-4D52-A695-73E2D91312EB}"/>
    <cellStyle name="Normal 5 4 2 5" xfId="1356" xr:uid="{19A25036-20AA-465E-9C74-828C6CD6C4BB}"/>
    <cellStyle name="Normal 5 4 2 5 2" xfId="3014" xr:uid="{C8788945-3020-4E8B-A0FF-C3128212B361}"/>
    <cellStyle name="Normal 5 4 2 6" xfId="2185" xr:uid="{774E6E4E-9CCB-43AD-9065-14F236969733}"/>
    <cellStyle name="Normal 5 4 3" xfId="464" xr:uid="{00000000-0005-0000-0000-00003E030000}"/>
    <cellStyle name="Normal 5 4 3 2" xfId="465" xr:uid="{00000000-0005-0000-0000-00003F030000}"/>
    <cellStyle name="Normal 5 4 3 2 2" xfId="944" xr:uid="{00000000-0005-0000-0000-000040030000}"/>
    <cellStyle name="Normal 5 4 3 2 2 2" xfId="1777" xr:uid="{66385869-C95D-4A0F-A163-B51545388355}"/>
    <cellStyle name="Normal 5 4 3 2 2 2 2" xfId="3435" xr:uid="{1E1E8AEA-A1D7-46B5-835E-2BAB127BE7A3}"/>
    <cellStyle name="Normal 5 4 3 2 2 3" xfId="2606" xr:uid="{3960CDAF-A478-4AFB-AD9E-A112885EE948}"/>
    <cellStyle name="Normal 5 4 3 2 3" xfId="1361" xr:uid="{E1B2B0DE-EBD7-4298-9203-25D77F26FED7}"/>
    <cellStyle name="Normal 5 4 3 2 3 2" xfId="3019" xr:uid="{CB049E83-FBA6-49A0-B187-3DBC0DACCBD1}"/>
    <cellStyle name="Normal 5 4 3 2 4" xfId="2190" xr:uid="{5EF746DD-7EF4-444A-A8F9-8299137FE978}"/>
    <cellStyle name="Normal 5 4 3 3" xfId="943" xr:uid="{00000000-0005-0000-0000-000041030000}"/>
    <cellStyle name="Normal 5 4 3 3 2" xfId="1776" xr:uid="{CFA3B8E2-5E3F-418D-8DEE-0CB624EB373F}"/>
    <cellStyle name="Normal 5 4 3 3 2 2" xfId="3434" xr:uid="{4DF7A372-0333-463C-BBBD-51A439C8694A}"/>
    <cellStyle name="Normal 5 4 3 3 3" xfId="2605" xr:uid="{DE59A2D4-2C07-4DDE-A595-4CCD3300F4EA}"/>
    <cellStyle name="Normal 5 4 3 4" xfId="1360" xr:uid="{B4C65B1F-04AC-48BC-81CB-9279E4B94CE4}"/>
    <cellStyle name="Normal 5 4 3 4 2" xfId="3018" xr:uid="{3C33A223-9A72-492D-92EF-7C06D69B1F29}"/>
    <cellStyle name="Normal 5 4 3 5" xfId="2189" xr:uid="{838EC7B3-E14A-48F5-BF10-D0F69275A79A}"/>
    <cellStyle name="Normal 5 4 4" xfId="466" xr:uid="{00000000-0005-0000-0000-000042030000}"/>
    <cellStyle name="Normal 5 4 4 2" xfId="945" xr:uid="{00000000-0005-0000-0000-000043030000}"/>
    <cellStyle name="Normal 5 4 4 2 2" xfId="1778" xr:uid="{DBF471E2-314E-4624-9D89-A910297BFCDA}"/>
    <cellStyle name="Normal 5 4 4 2 2 2" xfId="3436" xr:uid="{634DDCFD-F9E0-4A79-B757-FF2192B23993}"/>
    <cellStyle name="Normal 5 4 4 2 3" xfId="2607" xr:uid="{CB1D75C0-7957-4976-B788-0B4760B4EE2A}"/>
    <cellStyle name="Normal 5 4 4 3" xfId="1362" xr:uid="{0D162886-9A5D-459F-876C-EB0E60EB4286}"/>
    <cellStyle name="Normal 5 4 4 3 2" xfId="3020" xr:uid="{3276E257-C73C-4B24-B30F-B1002392A481}"/>
    <cellStyle name="Normal 5 4 4 4" xfId="2191" xr:uid="{E47B110A-E71C-4B0E-B456-009D474DC3A9}"/>
    <cellStyle name="Normal 5 4 5" xfId="938" xr:uid="{00000000-0005-0000-0000-000044030000}"/>
    <cellStyle name="Normal 5 4 5 2" xfId="1771" xr:uid="{1BDFE77B-C5F0-412B-A248-D6691273D66D}"/>
    <cellStyle name="Normal 5 4 5 2 2" xfId="3429" xr:uid="{B793C6D5-53F9-48B3-B3A1-610907C5DE6B}"/>
    <cellStyle name="Normal 5 4 5 3" xfId="2600" xr:uid="{53414ADB-F508-4D86-A253-573BC0AD3401}"/>
    <cellStyle name="Normal 5 4 6" xfId="1355" xr:uid="{1831FA73-333D-48EC-83B9-0B70B0B46FC4}"/>
    <cellStyle name="Normal 5 4 6 2" xfId="3013" xr:uid="{E0500999-AE0C-4704-A7E9-EBF530BADD39}"/>
    <cellStyle name="Normal 5 4 7" xfId="2184" xr:uid="{4C925098-C57C-49EB-8DB4-26D4E641625C}"/>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8A63FA42-C5BE-4F42-9411-AD07DD79CC38}"/>
    <cellStyle name="Normal 5 5 2 2 2 2 2" xfId="3439" xr:uid="{36D5B913-BB4A-4B1A-ADDA-80A4066EAD69}"/>
    <cellStyle name="Normal 5 5 2 2 2 3" xfId="2610" xr:uid="{6BA7F592-EEB8-4F7A-B1DD-E329757EAED2}"/>
    <cellStyle name="Normal 5 5 2 2 3" xfId="1365" xr:uid="{FF900622-CC7F-477E-A89E-741CD60ADA4F}"/>
    <cellStyle name="Normal 5 5 2 2 3 2" xfId="3023" xr:uid="{630C1BCB-1E7F-43B7-82F6-8BBB8AF33FBE}"/>
    <cellStyle name="Normal 5 5 2 2 4" xfId="2194" xr:uid="{AC995E6E-0736-4003-A051-B66CFDC68C04}"/>
    <cellStyle name="Normal 5 5 2 3" xfId="947" xr:uid="{00000000-0005-0000-0000-000049030000}"/>
    <cellStyle name="Normal 5 5 2 3 2" xfId="1780" xr:uid="{A4A59B95-DFDC-4EFD-AC85-E6CE478DC9C7}"/>
    <cellStyle name="Normal 5 5 2 3 2 2" xfId="3438" xr:uid="{8AA26135-07AD-44D2-93ED-ECA0544DA48A}"/>
    <cellStyle name="Normal 5 5 2 3 3" xfId="2609" xr:uid="{A62396C5-8F8F-4C5F-A2D5-E4E2250A819F}"/>
    <cellStyle name="Normal 5 5 2 4" xfId="1364" xr:uid="{05AAA74D-5C96-4C1C-9D0E-E01531C8C6F3}"/>
    <cellStyle name="Normal 5 5 2 4 2" xfId="3022" xr:uid="{63D33B02-6069-45DE-AF37-B2F00557B4C6}"/>
    <cellStyle name="Normal 5 5 2 5" xfId="2193" xr:uid="{C5392576-4200-469E-BDC6-BA16206AE69F}"/>
    <cellStyle name="Normal 5 5 3" xfId="470" xr:uid="{00000000-0005-0000-0000-00004A030000}"/>
    <cellStyle name="Normal 5 5 3 2" xfId="949" xr:uid="{00000000-0005-0000-0000-00004B030000}"/>
    <cellStyle name="Normal 5 5 3 2 2" xfId="1782" xr:uid="{F16D2415-6C48-4D2E-A8FB-0AA656D27372}"/>
    <cellStyle name="Normal 5 5 3 2 2 2" xfId="3440" xr:uid="{278A3E23-5A21-43A4-87D8-DEF63EB4AC64}"/>
    <cellStyle name="Normal 5 5 3 2 3" xfId="2611" xr:uid="{560A9C97-7C5D-4124-B200-BA1B937B8CBE}"/>
    <cellStyle name="Normal 5 5 3 3" xfId="1366" xr:uid="{5925EB27-72E1-4546-89C4-DA9FC45268FE}"/>
    <cellStyle name="Normal 5 5 3 3 2" xfId="3024" xr:uid="{0D1D91F7-0B7E-4DF8-A6CF-832AB732D13F}"/>
    <cellStyle name="Normal 5 5 3 4" xfId="2195" xr:uid="{DAEF48C0-6BE5-4109-A14E-DD408A3F2E84}"/>
    <cellStyle name="Normal 5 5 4" xfId="946" xr:uid="{00000000-0005-0000-0000-00004C030000}"/>
    <cellStyle name="Normal 5 5 4 2" xfId="1779" xr:uid="{292D93E9-4021-4F2B-BC9D-74CA13BACE07}"/>
    <cellStyle name="Normal 5 5 4 2 2" xfId="3437" xr:uid="{41A60555-F1F0-4145-B1C7-8248D275B5FB}"/>
    <cellStyle name="Normal 5 5 4 3" xfId="2608" xr:uid="{A1E7C7DE-7FBD-40C5-9B9D-63C3ED997CF0}"/>
    <cellStyle name="Normal 5 5 5" xfId="1363" xr:uid="{E14495AF-4647-46B2-A3A0-560CCDFB3401}"/>
    <cellStyle name="Normal 5 5 5 2" xfId="3021" xr:uid="{14EABAFA-20D3-49C9-BC64-8E58216DDAF6}"/>
    <cellStyle name="Normal 5 5 6" xfId="2192" xr:uid="{045D70A8-9778-44AA-B90F-9533A54A217E}"/>
    <cellStyle name="Normal 5 6" xfId="471" xr:uid="{00000000-0005-0000-0000-00004D030000}"/>
    <cellStyle name="Normal 5 6 2" xfId="472" xr:uid="{00000000-0005-0000-0000-00004E030000}"/>
    <cellStyle name="Normal 5 6 2 2" xfId="951" xr:uid="{00000000-0005-0000-0000-00004F030000}"/>
    <cellStyle name="Normal 5 6 2 2 2" xfId="1784" xr:uid="{BEB44563-F707-456A-A43A-FB4AB9C10C0D}"/>
    <cellStyle name="Normal 5 6 2 2 2 2" xfId="3442" xr:uid="{3FC8CF6C-ABA3-4A3A-854E-3C85B02AC39C}"/>
    <cellStyle name="Normal 5 6 2 2 3" xfId="2613" xr:uid="{02122A04-15EB-425D-B3E2-30FD4901BEE7}"/>
    <cellStyle name="Normal 5 6 2 3" xfId="1368" xr:uid="{684BE46D-AE90-40C2-A931-3CA2FA42D242}"/>
    <cellStyle name="Normal 5 6 2 3 2" xfId="3026" xr:uid="{B5826550-B6FF-4681-AACD-50FD32ED083E}"/>
    <cellStyle name="Normal 5 6 2 4" xfId="2197" xr:uid="{721BD760-C83A-4173-88CC-F395FFDB5AD4}"/>
    <cellStyle name="Normal 5 6 3" xfId="950" xr:uid="{00000000-0005-0000-0000-000050030000}"/>
    <cellStyle name="Normal 5 6 3 2" xfId="1783" xr:uid="{1D5E70B3-9F9C-4DF4-A665-41B190F2D383}"/>
    <cellStyle name="Normal 5 6 3 2 2" xfId="3441" xr:uid="{1F034B75-06F8-483C-B4D4-3E779DB085E1}"/>
    <cellStyle name="Normal 5 6 3 3" xfId="2612" xr:uid="{350A2C41-6999-411F-88A9-26346BD26E05}"/>
    <cellStyle name="Normal 5 6 4" xfId="1367" xr:uid="{DE34EACA-9702-4BB1-92FB-3147CEE72CF6}"/>
    <cellStyle name="Normal 5 6 4 2" xfId="3025" xr:uid="{AE846A81-FBCA-41FC-99A5-F101F3B2A9A9}"/>
    <cellStyle name="Normal 5 6 5" xfId="2196" xr:uid="{377DD818-52DD-43F1-81FE-92A0FBD02917}"/>
    <cellStyle name="Normal 5 7" xfId="473" xr:uid="{00000000-0005-0000-0000-000051030000}"/>
    <cellStyle name="Normal 5 7 2" xfId="952" xr:uid="{00000000-0005-0000-0000-000052030000}"/>
    <cellStyle name="Normal 5 7 2 2" xfId="1785" xr:uid="{2CD75382-2DE1-43C8-B2E0-04D21E5420D0}"/>
    <cellStyle name="Normal 5 7 2 2 2" xfId="3443" xr:uid="{D81E8855-EDF9-4C3F-9445-5F94953E3D0E}"/>
    <cellStyle name="Normal 5 7 2 3" xfId="2614" xr:uid="{C4F88739-A9D8-44A6-A42B-2D088D20B1CC}"/>
    <cellStyle name="Normal 5 7 3" xfId="1369" xr:uid="{2E284B89-14C6-43F4-BAF8-E9F440986A79}"/>
    <cellStyle name="Normal 5 7 3 2" xfId="3027" xr:uid="{BF7ED108-CAA0-4CA5-8D94-D5A3E4B8EA53}"/>
    <cellStyle name="Normal 5 7 4" xfId="2198" xr:uid="{8E22B654-C426-41E3-A3B3-7644577C2DFA}"/>
    <cellStyle name="Normal 5 8" xfId="888" xr:uid="{00000000-0005-0000-0000-000053030000}"/>
    <cellStyle name="Normal 5 8 2" xfId="1722" xr:uid="{6BA1A0C8-E83A-4BAC-9A2A-53E268DA38E4}"/>
    <cellStyle name="Normal 5 8 2 2" xfId="3380" xr:uid="{02C21E08-CB5D-471B-AEB6-E338F3BCEAEE}"/>
    <cellStyle name="Normal 5 8 3" xfId="2551" xr:uid="{6C3421E5-D5EC-439A-861F-6060CE79C2E3}"/>
    <cellStyle name="Normal 5 9" xfId="1306" xr:uid="{40D70F9B-01C9-4ED3-A9F4-9AC1C92C295C}"/>
    <cellStyle name="Normal 5 9 2" xfId="2964" xr:uid="{F6E1E20A-0F2E-4298-8353-E6E4E3BF9EA6}"/>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E53A3D23-D5EB-4F55-B997-A9E7A8E6C810}"/>
    <cellStyle name="Normal 8 2 2 2 2 2 2 2 2" xfId="3449" xr:uid="{CEDF5B2B-4C35-40D5-A06F-5E67093D7F57}"/>
    <cellStyle name="Normal 8 2 2 2 2 2 2 3" xfId="2620" xr:uid="{BDC2314A-8795-4FC6-93D1-2B2FE8F37EE5}"/>
    <cellStyle name="Normal 8 2 2 2 2 2 3" xfId="1375" xr:uid="{9E8F1AC1-EED5-4E92-B8DC-E687217AB761}"/>
    <cellStyle name="Normal 8 2 2 2 2 2 3 2" xfId="3033" xr:uid="{DF5B5BD5-EE53-470F-8863-5FF451E13676}"/>
    <cellStyle name="Normal 8 2 2 2 2 2 4" xfId="2204" xr:uid="{7B4AC9B0-217B-47E2-BD2D-8BAF7F419596}"/>
    <cellStyle name="Normal 8 2 2 2 2 3" xfId="957" xr:uid="{00000000-0005-0000-0000-000062030000}"/>
    <cellStyle name="Normal 8 2 2 2 2 3 2" xfId="1790" xr:uid="{C16DA5D2-1D1A-49DE-8F70-47ECCBB010CA}"/>
    <cellStyle name="Normal 8 2 2 2 2 3 2 2" xfId="3448" xr:uid="{661AD4B1-FD5B-471A-83D0-FF77D4EC92D1}"/>
    <cellStyle name="Normal 8 2 2 2 2 3 3" xfId="2619" xr:uid="{973C1630-6D68-45C0-A5B9-B6054ECFB3B6}"/>
    <cellStyle name="Normal 8 2 2 2 2 4" xfId="1374" xr:uid="{6FAF3EF7-7442-461A-9030-CDE06A2E72B2}"/>
    <cellStyle name="Normal 8 2 2 2 2 4 2" xfId="3032" xr:uid="{00282B81-D73B-4793-9E81-709415517998}"/>
    <cellStyle name="Normal 8 2 2 2 2 5" xfId="2203" xr:uid="{1BB07FE3-565B-4504-8172-82C23406E618}"/>
    <cellStyle name="Normal 8 2 2 2 3" xfId="487" xr:uid="{00000000-0005-0000-0000-000063030000}"/>
    <cellStyle name="Normal 8 2 2 2 3 2" xfId="959" xr:uid="{00000000-0005-0000-0000-000064030000}"/>
    <cellStyle name="Normal 8 2 2 2 3 2 2" xfId="1792" xr:uid="{1D4E2544-C130-47F3-A864-C0AB6C09F3BE}"/>
    <cellStyle name="Normal 8 2 2 2 3 2 2 2" xfId="3450" xr:uid="{E5C76ECC-B9D7-450F-A8CC-9254BDFBD5ED}"/>
    <cellStyle name="Normal 8 2 2 2 3 2 3" xfId="2621" xr:uid="{DE8FA3FC-73A3-4029-ACA4-A2C3EEDA7EC7}"/>
    <cellStyle name="Normal 8 2 2 2 3 3" xfId="1376" xr:uid="{D9CAF45E-0551-415A-937B-2270568380A3}"/>
    <cellStyle name="Normal 8 2 2 2 3 3 2" xfId="3034" xr:uid="{0F6E13BD-5699-4BB3-BF2C-1672BF24AC53}"/>
    <cellStyle name="Normal 8 2 2 2 3 4" xfId="2205" xr:uid="{A969DD31-5E08-4589-911C-A14CB9D724E0}"/>
    <cellStyle name="Normal 8 2 2 2 4" xfId="956" xr:uid="{00000000-0005-0000-0000-000065030000}"/>
    <cellStyle name="Normal 8 2 2 2 4 2" xfId="1789" xr:uid="{71CD6C78-9C3C-45BE-AEA3-31C5188F45B5}"/>
    <cellStyle name="Normal 8 2 2 2 4 2 2" xfId="3447" xr:uid="{2166C3F0-4862-4359-9D6C-C98B570B274B}"/>
    <cellStyle name="Normal 8 2 2 2 4 3" xfId="2618" xr:uid="{64BF4DC1-FD3C-4157-9DF7-5F2802E8E8F7}"/>
    <cellStyle name="Normal 8 2 2 2 5" xfId="1373" xr:uid="{BED63083-CA47-48D5-992C-36959AC2DC9C}"/>
    <cellStyle name="Normal 8 2 2 2 5 2" xfId="3031" xr:uid="{DB7579A2-9777-4533-B8E7-1FD1ECC28F6D}"/>
    <cellStyle name="Normal 8 2 2 2 6" xfId="2202" xr:uid="{450D7627-3E0F-4904-BB79-11638D2BB490}"/>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9B960840-B3CF-4EB7-9882-C9574643B7D3}"/>
    <cellStyle name="Normal 8 2 2 3 2 2 2 2" xfId="3452" xr:uid="{1D237BED-896F-4F15-857B-68A4AD00E3B6}"/>
    <cellStyle name="Normal 8 2 2 3 2 2 3" xfId="2623" xr:uid="{35C33F3D-B30E-4397-A54D-B18546B5FCFB}"/>
    <cellStyle name="Normal 8 2 2 3 2 3" xfId="1378" xr:uid="{149EBD82-E74F-4F86-AFD7-7C8DBE45542B}"/>
    <cellStyle name="Normal 8 2 2 3 2 3 2" xfId="3036" xr:uid="{E09E309D-F921-4618-ADF4-D4F5779E1C81}"/>
    <cellStyle name="Normal 8 2 2 3 2 4" xfId="2207" xr:uid="{8B1693A3-509A-42C6-8DE3-1E547AA189C7}"/>
    <cellStyle name="Normal 8 2 2 3 3" xfId="960" xr:uid="{00000000-0005-0000-0000-000069030000}"/>
    <cellStyle name="Normal 8 2 2 3 3 2" xfId="1793" xr:uid="{A93A91FF-8E41-446B-8D31-38C699E1DA2C}"/>
    <cellStyle name="Normal 8 2 2 3 3 2 2" xfId="3451" xr:uid="{27ABF983-AC34-4C60-ABBF-F8D2DCA3065A}"/>
    <cellStyle name="Normal 8 2 2 3 3 3" xfId="2622" xr:uid="{276C9422-2169-4163-8A72-A12D8D128200}"/>
    <cellStyle name="Normal 8 2 2 3 4" xfId="1377" xr:uid="{5816DC62-9B2A-4D89-A850-3177F227D7D8}"/>
    <cellStyle name="Normal 8 2 2 3 4 2" xfId="3035" xr:uid="{B05E4D2E-CFEB-4739-84A9-E03AF390608D}"/>
    <cellStyle name="Normal 8 2 2 3 5" xfId="2206" xr:uid="{A0F6AF50-51CF-46BA-B2F3-92096AA5F60B}"/>
    <cellStyle name="Normal 8 2 2 4" xfId="490" xr:uid="{00000000-0005-0000-0000-00006A030000}"/>
    <cellStyle name="Normal 8 2 2 4 2" xfId="962" xr:uid="{00000000-0005-0000-0000-00006B030000}"/>
    <cellStyle name="Normal 8 2 2 4 2 2" xfId="1795" xr:uid="{403E8F60-BC98-4F3E-9DEB-04F33A848A82}"/>
    <cellStyle name="Normal 8 2 2 4 2 2 2" xfId="3453" xr:uid="{F36808CC-802E-41C7-853E-FCAC4D7F9CFE}"/>
    <cellStyle name="Normal 8 2 2 4 2 3" xfId="2624" xr:uid="{E90A63C8-E57C-4492-B35F-6F01D3BDE221}"/>
    <cellStyle name="Normal 8 2 2 4 3" xfId="1379" xr:uid="{6C151986-428A-493D-8CFD-845E0177A19E}"/>
    <cellStyle name="Normal 8 2 2 4 3 2" xfId="3037" xr:uid="{4521AE4B-4B6B-4AC0-A0C5-A8349ED3324B}"/>
    <cellStyle name="Normal 8 2 2 4 4" xfId="2208" xr:uid="{05B94193-D1BD-4DAA-838F-F7966C5A89BE}"/>
    <cellStyle name="Normal 8 2 2 5" xfId="955" xr:uid="{00000000-0005-0000-0000-00006C030000}"/>
    <cellStyle name="Normal 8 2 2 5 2" xfId="1788" xr:uid="{F404C6BC-CE61-4DC0-96D9-512DA9F14131}"/>
    <cellStyle name="Normal 8 2 2 5 2 2" xfId="3446" xr:uid="{7ABABDE2-ACA4-4CA3-B74C-1E62FE5B2D7F}"/>
    <cellStyle name="Normal 8 2 2 5 3" xfId="2617" xr:uid="{A418F8B3-31C2-4E95-A16C-5A4108CF05AC}"/>
    <cellStyle name="Normal 8 2 2 6" xfId="1372" xr:uid="{988C504C-864D-4E02-B700-0D7659C97E06}"/>
    <cellStyle name="Normal 8 2 2 6 2" xfId="3030" xr:uid="{FCD256CF-9286-4913-AB80-6687979B79D5}"/>
    <cellStyle name="Normal 8 2 2 7" xfId="2201" xr:uid="{88AB3903-9921-4077-BA24-442B8A049E8E}"/>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A1CB914E-EB12-42C4-8464-ED8048C440CE}"/>
    <cellStyle name="Normal 8 2 3 2 2 2 2 2" xfId="3456" xr:uid="{3DE3C2FC-4B5C-4FE2-AAAA-B97D7E3CA81E}"/>
    <cellStyle name="Normal 8 2 3 2 2 2 3" xfId="2627" xr:uid="{04A5CC3E-F7B5-4805-B8F7-CC4F7BA72D83}"/>
    <cellStyle name="Normal 8 2 3 2 2 3" xfId="1382" xr:uid="{2A0519A9-4576-491C-9306-1AC017151A07}"/>
    <cellStyle name="Normal 8 2 3 2 2 3 2" xfId="3040" xr:uid="{C1116D3F-E6B7-4147-AFCA-9E8932FC28F5}"/>
    <cellStyle name="Normal 8 2 3 2 2 4" xfId="2211" xr:uid="{045F5830-3458-40AE-8CE2-2AF71C39235E}"/>
    <cellStyle name="Normal 8 2 3 2 3" xfId="964" xr:uid="{00000000-0005-0000-0000-000071030000}"/>
    <cellStyle name="Normal 8 2 3 2 3 2" xfId="1797" xr:uid="{FAFC7C03-CA0F-41DD-8003-183580D0C19E}"/>
    <cellStyle name="Normal 8 2 3 2 3 2 2" xfId="3455" xr:uid="{391934F7-447F-46C4-9140-399E20131BEB}"/>
    <cellStyle name="Normal 8 2 3 2 3 3" xfId="2626" xr:uid="{BE32294D-8D56-4C16-BF0A-36D018FD424F}"/>
    <cellStyle name="Normal 8 2 3 2 4" xfId="1381" xr:uid="{92D018C2-678B-4736-8268-C39693059944}"/>
    <cellStyle name="Normal 8 2 3 2 4 2" xfId="3039" xr:uid="{975876CA-7D5B-46D3-B350-E55ED7438469}"/>
    <cellStyle name="Normal 8 2 3 2 5" xfId="2210" xr:uid="{4689A6A4-E6B9-490F-B61E-6B4820B00719}"/>
    <cellStyle name="Normal 8 2 3 3" xfId="494" xr:uid="{00000000-0005-0000-0000-000072030000}"/>
    <cellStyle name="Normal 8 2 3 3 2" xfId="966" xr:uid="{00000000-0005-0000-0000-000073030000}"/>
    <cellStyle name="Normal 8 2 3 3 2 2" xfId="1799" xr:uid="{4441B3D3-F6D6-49C2-909E-72992C190DC5}"/>
    <cellStyle name="Normal 8 2 3 3 2 2 2" xfId="3457" xr:uid="{EABCBF7A-8E63-4B32-88CB-9AAD832C14D5}"/>
    <cellStyle name="Normal 8 2 3 3 2 3" xfId="2628" xr:uid="{256FA15E-21A4-45BD-8F0E-366A6DB559F9}"/>
    <cellStyle name="Normal 8 2 3 3 3" xfId="1383" xr:uid="{8D528219-A06F-4E3A-A6D0-67F5D6C3A7D3}"/>
    <cellStyle name="Normal 8 2 3 3 3 2" xfId="3041" xr:uid="{F2DEC904-9883-46A8-BB0D-EF784C720DEC}"/>
    <cellStyle name="Normal 8 2 3 3 4" xfId="2212" xr:uid="{1FEA4EAE-4727-44B2-957C-FF5A0ABBAE33}"/>
    <cellStyle name="Normal 8 2 3 4" xfId="963" xr:uid="{00000000-0005-0000-0000-000074030000}"/>
    <cellStyle name="Normal 8 2 3 4 2" xfId="1796" xr:uid="{41A79E4D-368A-4C52-A57F-FFA0859059D8}"/>
    <cellStyle name="Normal 8 2 3 4 2 2" xfId="3454" xr:uid="{5DCEB8AE-0377-4B9C-BCF9-AC246FB961BC}"/>
    <cellStyle name="Normal 8 2 3 4 3" xfId="2625" xr:uid="{4B7B0DB4-AD73-4ED4-8620-D71080D50AE8}"/>
    <cellStyle name="Normal 8 2 3 5" xfId="1380" xr:uid="{CC49D573-8B69-43EE-9674-D138B827F16F}"/>
    <cellStyle name="Normal 8 2 3 5 2" xfId="3038" xr:uid="{24536D48-85C5-4FFB-BCBB-0901B4E8D42D}"/>
    <cellStyle name="Normal 8 2 3 6" xfId="2209" xr:uid="{ED02E6CA-BFED-4297-B27C-60AD99A429CD}"/>
    <cellStyle name="Normal 8 2 4" xfId="495" xr:uid="{00000000-0005-0000-0000-000075030000}"/>
    <cellStyle name="Normal 8 2 4 2" xfId="496" xr:uid="{00000000-0005-0000-0000-000076030000}"/>
    <cellStyle name="Normal 8 2 4 2 2" xfId="968" xr:uid="{00000000-0005-0000-0000-000077030000}"/>
    <cellStyle name="Normal 8 2 4 2 2 2" xfId="1801" xr:uid="{8DA84372-181C-46B5-B8A1-9EB6C982FFB3}"/>
    <cellStyle name="Normal 8 2 4 2 2 2 2" xfId="3459" xr:uid="{922387B6-C473-4FD2-AA32-B9D6773C0855}"/>
    <cellStyle name="Normal 8 2 4 2 2 3" xfId="2630" xr:uid="{0BF8AC22-0B65-4EC2-B2DE-C5C7794E2B6D}"/>
    <cellStyle name="Normal 8 2 4 2 3" xfId="1385" xr:uid="{CB2DFF87-1730-4F96-A283-C66034A322AB}"/>
    <cellStyle name="Normal 8 2 4 2 3 2" xfId="3043" xr:uid="{51308497-9287-409A-847A-DCCDBD31C715}"/>
    <cellStyle name="Normal 8 2 4 2 4" xfId="2214" xr:uid="{541A68E7-B496-48A7-8FE2-C4A0F98A6886}"/>
    <cellStyle name="Normal 8 2 4 3" xfId="967" xr:uid="{00000000-0005-0000-0000-000078030000}"/>
    <cellStyle name="Normal 8 2 4 3 2" xfId="1800" xr:uid="{D403B3E2-25D2-4F98-828D-585A380CDC4E}"/>
    <cellStyle name="Normal 8 2 4 3 2 2" xfId="3458" xr:uid="{CA06F44E-B2F5-41F6-BC0B-D4C03C057079}"/>
    <cellStyle name="Normal 8 2 4 3 3" xfId="2629" xr:uid="{DF33AE8C-AD86-461C-B280-932BD4DFC4DC}"/>
    <cellStyle name="Normal 8 2 4 4" xfId="1384" xr:uid="{A3E2DB65-3FA3-4642-B0EF-513A63BEAAF8}"/>
    <cellStyle name="Normal 8 2 4 4 2" xfId="3042" xr:uid="{32D3611B-6078-4917-82DC-647420671293}"/>
    <cellStyle name="Normal 8 2 4 5" xfId="2213" xr:uid="{24B1C7E4-B8BE-4B86-A0E3-B9C11B035C5A}"/>
    <cellStyle name="Normal 8 2 5" xfId="497" xr:uid="{00000000-0005-0000-0000-000079030000}"/>
    <cellStyle name="Normal 8 2 5 2" xfId="969" xr:uid="{00000000-0005-0000-0000-00007A030000}"/>
    <cellStyle name="Normal 8 2 5 2 2" xfId="1802" xr:uid="{C74289CC-68D5-49FE-88EF-9C1D46C31E57}"/>
    <cellStyle name="Normal 8 2 5 2 2 2" xfId="3460" xr:uid="{EEE9C779-74C4-401F-86B9-A02E5DCA3583}"/>
    <cellStyle name="Normal 8 2 5 2 3" xfId="2631" xr:uid="{47E25FE9-21FF-4817-AC3F-40926227F65C}"/>
    <cellStyle name="Normal 8 2 5 3" xfId="1386" xr:uid="{336E72BE-B027-42A2-ADBD-DEE2A5CF49FE}"/>
    <cellStyle name="Normal 8 2 5 3 2" xfId="3044" xr:uid="{E163B7AD-39CF-49F2-BAD9-5093A48F542B}"/>
    <cellStyle name="Normal 8 2 5 4" xfId="2215" xr:uid="{027E96B1-5D15-461E-A428-7B411881A620}"/>
    <cellStyle name="Normal 8 2 6" xfId="954" xr:uid="{00000000-0005-0000-0000-00007B030000}"/>
    <cellStyle name="Normal 8 2 6 2" xfId="1787" xr:uid="{1ABE7FF1-856F-49BA-B2CA-F4F82E911FFD}"/>
    <cellStyle name="Normal 8 2 6 2 2" xfId="3445" xr:uid="{4E81E7DF-347C-4C4C-80F7-4B3A8D8C6F47}"/>
    <cellStyle name="Normal 8 2 6 3" xfId="2616" xr:uid="{22077D75-018E-4CCD-B2B0-6E697DA3E2D4}"/>
    <cellStyle name="Normal 8 2 7" xfId="1371" xr:uid="{176B8613-6AEA-4D91-928F-9A17A56F9E1C}"/>
    <cellStyle name="Normal 8 2 7 2" xfId="3029" xr:uid="{6BB81614-8DF6-4871-A7B3-32CBA22DEFCA}"/>
    <cellStyle name="Normal 8 2 8" xfId="2200" xr:uid="{C266832E-05CD-4B02-B3DE-77FEDEA25603}"/>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CD47E55D-CD97-491C-868F-2A165E85D8F2}"/>
    <cellStyle name="Normal 8 3 2 2 2 2 2 2" xfId="3464" xr:uid="{759F183D-68BC-40CB-A42D-B49FB6BCB57F}"/>
    <cellStyle name="Normal 8 3 2 2 2 2 3" xfId="2635" xr:uid="{25902D5B-C488-4203-A54F-C5CB8DEE8578}"/>
    <cellStyle name="Normal 8 3 2 2 2 3" xfId="1390" xr:uid="{876215C7-6B0D-49C8-B189-F74A76E52825}"/>
    <cellStyle name="Normal 8 3 2 2 2 3 2" xfId="3048" xr:uid="{B6CFF6EC-F845-4C9C-9B58-DC17EB6AC34A}"/>
    <cellStyle name="Normal 8 3 2 2 2 4" xfId="2219" xr:uid="{22F10510-31DE-4104-B711-BDCF243AAD4D}"/>
    <cellStyle name="Normal 8 3 2 2 3" xfId="972" xr:uid="{00000000-0005-0000-0000-000081030000}"/>
    <cellStyle name="Normal 8 3 2 2 3 2" xfId="1805" xr:uid="{FEB9489C-5AA6-4517-A585-94F8A15820FE}"/>
    <cellStyle name="Normal 8 3 2 2 3 2 2" xfId="3463" xr:uid="{0AB31FF2-40AB-468C-84F9-426CE1E07701}"/>
    <cellStyle name="Normal 8 3 2 2 3 3" xfId="2634" xr:uid="{4F283658-0E5D-4C2B-84B1-CF5460F86509}"/>
    <cellStyle name="Normal 8 3 2 2 4" xfId="1389" xr:uid="{13A21C59-0CD6-4D17-B71A-F12ACD56B95E}"/>
    <cellStyle name="Normal 8 3 2 2 4 2" xfId="3047" xr:uid="{E02F5C15-CD4D-4E66-9474-D7BF26436282}"/>
    <cellStyle name="Normal 8 3 2 2 5" xfId="2218" xr:uid="{27995223-4522-455C-BC7C-C31511D744E0}"/>
    <cellStyle name="Normal 8 3 2 3" xfId="502" xr:uid="{00000000-0005-0000-0000-000082030000}"/>
    <cellStyle name="Normal 8 3 2 3 2" xfId="974" xr:uid="{00000000-0005-0000-0000-000083030000}"/>
    <cellStyle name="Normal 8 3 2 3 2 2" xfId="1807" xr:uid="{D5A1B314-2E82-479F-8FFB-586C4431D51B}"/>
    <cellStyle name="Normal 8 3 2 3 2 2 2" xfId="3465" xr:uid="{49D1569A-AB48-4CE8-88C8-E484CDBBDDF6}"/>
    <cellStyle name="Normal 8 3 2 3 2 3" xfId="2636" xr:uid="{35AEF04B-B280-4701-859E-BD6AE34ACD28}"/>
    <cellStyle name="Normal 8 3 2 3 3" xfId="1391" xr:uid="{8DAF6EC0-DFEB-4C09-8DF8-8EABBF684AD5}"/>
    <cellStyle name="Normal 8 3 2 3 3 2" xfId="3049" xr:uid="{B9437D91-523D-429D-AC4E-4B0A762B6259}"/>
    <cellStyle name="Normal 8 3 2 3 4" xfId="2220" xr:uid="{5E751858-F47E-40FC-88AC-BFFB02E3B83A}"/>
    <cellStyle name="Normal 8 3 2 4" xfId="971" xr:uid="{00000000-0005-0000-0000-000084030000}"/>
    <cellStyle name="Normal 8 3 2 4 2" xfId="1804" xr:uid="{9472F990-06D5-401F-BBA4-B53F39798D08}"/>
    <cellStyle name="Normal 8 3 2 4 2 2" xfId="3462" xr:uid="{6B000232-37B3-45E1-AA0B-D2455EEC0887}"/>
    <cellStyle name="Normal 8 3 2 4 3" xfId="2633" xr:uid="{D48AA18E-0F14-47F9-9B5C-3A5B9FC173FB}"/>
    <cellStyle name="Normal 8 3 2 5" xfId="1388" xr:uid="{50F8DFFF-8C1B-4C25-ACC8-61E39A4DE02D}"/>
    <cellStyle name="Normal 8 3 2 5 2" xfId="3046" xr:uid="{FEDF151A-A47A-47AF-9ED5-7721B7ED5718}"/>
    <cellStyle name="Normal 8 3 2 6" xfId="2217" xr:uid="{4D8DA2E3-90DF-453E-9F5F-50BFA9DD331C}"/>
    <cellStyle name="Normal 8 3 3" xfId="503" xr:uid="{00000000-0005-0000-0000-000085030000}"/>
    <cellStyle name="Normal 8 3 3 2" xfId="504" xr:uid="{00000000-0005-0000-0000-000086030000}"/>
    <cellStyle name="Normal 8 3 3 2 2" xfId="976" xr:uid="{00000000-0005-0000-0000-000087030000}"/>
    <cellStyle name="Normal 8 3 3 2 2 2" xfId="1809" xr:uid="{8ABBAB77-B41B-4E8A-802D-02B1AF469ACB}"/>
    <cellStyle name="Normal 8 3 3 2 2 2 2" xfId="3467" xr:uid="{454222B3-783F-4736-8844-345F64E20F41}"/>
    <cellStyle name="Normal 8 3 3 2 2 3" xfId="2638" xr:uid="{EA632461-DF85-4CD6-A920-2230792408F8}"/>
    <cellStyle name="Normal 8 3 3 2 3" xfId="1393" xr:uid="{41F2871B-583E-4961-AE0A-AD8145C02E53}"/>
    <cellStyle name="Normal 8 3 3 2 3 2" xfId="3051" xr:uid="{61E0E4EB-3013-4148-9280-2CE7830263E5}"/>
    <cellStyle name="Normal 8 3 3 2 4" xfId="2222" xr:uid="{3DFCDA28-CB79-4060-A58A-04E59B286765}"/>
    <cellStyle name="Normal 8 3 3 3" xfId="975" xr:uid="{00000000-0005-0000-0000-000088030000}"/>
    <cellStyle name="Normal 8 3 3 3 2" xfId="1808" xr:uid="{5CEA1CC2-DDF4-4B96-A567-1B7570111C03}"/>
    <cellStyle name="Normal 8 3 3 3 2 2" xfId="3466" xr:uid="{CFC8EED7-0128-45F6-835D-51DACC30A865}"/>
    <cellStyle name="Normal 8 3 3 3 3" xfId="2637" xr:uid="{2D5F08CD-68AB-4915-850F-1650C8BE0889}"/>
    <cellStyle name="Normal 8 3 3 4" xfId="1392" xr:uid="{D4AE22E6-55AE-4C81-9C07-49ED0AF70E60}"/>
    <cellStyle name="Normal 8 3 3 4 2" xfId="3050" xr:uid="{A0EEFF93-3AC9-4E86-879C-BDC36E632EB3}"/>
    <cellStyle name="Normal 8 3 3 5" xfId="2221" xr:uid="{F7AFFC17-AA8A-4651-B882-66B34C66E4DE}"/>
    <cellStyle name="Normal 8 3 4" xfId="505" xr:uid="{00000000-0005-0000-0000-000089030000}"/>
    <cellStyle name="Normal 8 3 4 2" xfId="977" xr:uid="{00000000-0005-0000-0000-00008A030000}"/>
    <cellStyle name="Normal 8 3 4 2 2" xfId="1810" xr:uid="{9CF69F2E-F5FE-416B-9975-B07AD580F3DB}"/>
    <cellStyle name="Normal 8 3 4 2 2 2" xfId="3468" xr:uid="{1F91A512-FEFC-4068-947D-8BB45C2457C3}"/>
    <cellStyle name="Normal 8 3 4 2 3" xfId="2639" xr:uid="{FE9B8A13-04B7-4F75-A1E4-E5598E16A109}"/>
    <cellStyle name="Normal 8 3 4 3" xfId="1394" xr:uid="{FC253240-CF4E-4183-A896-9F4744757E90}"/>
    <cellStyle name="Normal 8 3 4 3 2" xfId="3052" xr:uid="{CFA6AB07-9DB5-49E7-B84C-0A57F551613F}"/>
    <cellStyle name="Normal 8 3 4 4" xfId="2223" xr:uid="{80F1712B-B14E-4C93-B9B9-E88C42D8934C}"/>
    <cellStyle name="Normal 8 3 5" xfId="970" xr:uid="{00000000-0005-0000-0000-00008B030000}"/>
    <cellStyle name="Normal 8 3 5 2" xfId="1803" xr:uid="{9FDCAD69-9429-46E0-A492-F0C256A5DA9A}"/>
    <cellStyle name="Normal 8 3 5 2 2" xfId="3461" xr:uid="{8C82142C-A585-4969-9706-4D828C1DBD8A}"/>
    <cellStyle name="Normal 8 3 5 3" xfId="2632" xr:uid="{AA9D5AD0-D305-4AC3-A722-BFDA999B029B}"/>
    <cellStyle name="Normal 8 3 6" xfId="1387" xr:uid="{4B44A50E-E6A9-4945-8257-C361F52BDAA8}"/>
    <cellStyle name="Normal 8 3 6 2" xfId="3045" xr:uid="{0EA721CF-149F-4831-B64A-F12F3BE28B83}"/>
    <cellStyle name="Normal 8 3 7" xfId="2216" xr:uid="{C8E9351A-934B-4A39-AA15-F65CD9BD1D63}"/>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16D2E85F-D7A5-4DD4-9BCF-0A7013A6C5D0}"/>
    <cellStyle name="Normal 8 4 2 2 2 2 2" xfId="3471" xr:uid="{A3F36DB4-E926-4D69-9A95-6D003C097334}"/>
    <cellStyle name="Normal 8 4 2 2 2 3" xfId="2642" xr:uid="{9CABDE46-15D5-44B5-BCE1-311EF381C11F}"/>
    <cellStyle name="Normal 8 4 2 2 3" xfId="1397" xr:uid="{9B6D2881-13B9-4CD4-B052-2AECEB56631D}"/>
    <cellStyle name="Normal 8 4 2 2 3 2" xfId="3055" xr:uid="{EFC74D1B-A4A0-45BE-A464-CCE2D7A03056}"/>
    <cellStyle name="Normal 8 4 2 2 4" xfId="2226" xr:uid="{A1113C83-6FFD-4E90-906B-21F4DE9E7451}"/>
    <cellStyle name="Normal 8 4 2 3" xfId="979" xr:uid="{00000000-0005-0000-0000-000090030000}"/>
    <cellStyle name="Normal 8 4 2 3 2" xfId="1812" xr:uid="{05E9CCD3-B5FA-41C6-B3DD-EEB9E52691BE}"/>
    <cellStyle name="Normal 8 4 2 3 2 2" xfId="3470" xr:uid="{C29762D0-48A1-4910-B328-16DCB2BD77B8}"/>
    <cellStyle name="Normal 8 4 2 3 3" xfId="2641" xr:uid="{E3A7C199-BC62-464E-9F06-3AAB2C64FA61}"/>
    <cellStyle name="Normal 8 4 2 4" xfId="1396" xr:uid="{F4B5E296-7F8E-4904-BF89-2012DEE288C8}"/>
    <cellStyle name="Normal 8 4 2 4 2" xfId="3054" xr:uid="{0E4A8038-1A2D-46E7-B8EE-46B96394FC32}"/>
    <cellStyle name="Normal 8 4 2 5" xfId="2225" xr:uid="{DCECAB11-58E3-4C2B-878C-83FBF9A1AB3F}"/>
    <cellStyle name="Normal 8 4 3" xfId="509" xr:uid="{00000000-0005-0000-0000-000091030000}"/>
    <cellStyle name="Normal 8 4 3 2" xfId="981" xr:uid="{00000000-0005-0000-0000-000092030000}"/>
    <cellStyle name="Normal 8 4 3 2 2" xfId="1814" xr:uid="{C529F772-0F92-4D18-8D35-96C4E4DB4A69}"/>
    <cellStyle name="Normal 8 4 3 2 2 2" xfId="3472" xr:uid="{606727B3-E084-4FAC-AAA9-8DC908F1DBF3}"/>
    <cellStyle name="Normal 8 4 3 2 3" xfId="2643" xr:uid="{D1C6275C-CF37-4C0C-BC06-9913C5F08F87}"/>
    <cellStyle name="Normal 8 4 3 3" xfId="1398" xr:uid="{E1CD91BC-AE61-4E13-AA77-6E031E618D9B}"/>
    <cellStyle name="Normal 8 4 3 3 2" xfId="3056" xr:uid="{DA419EF6-DC15-4239-98F2-ADB80C24D10F}"/>
    <cellStyle name="Normal 8 4 3 4" xfId="2227" xr:uid="{6577BE90-5F36-42DB-AB77-55AB8B3D0333}"/>
    <cellStyle name="Normal 8 4 4" xfId="978" xr:uid="{00000000-0005-0000-0000-000093030000}"/>
    <cellStyle name="Normal 8 4 4 2" xfId="1811" xr:uid="{FD3F6C39-5150-4841-90A3-42E7CFE37F62}"/>
    <cellStyle name="Normal 8 4 4 2 2" xfId="3469" xr:uid="{3CE60A51-97F8-43AF-A589-28D40F53E6AD}"/>
    <cellStyle name="Normal 8 4 4 3" xfId="2640" xr:uid="{B7FA2C2C-B8B2-4C4D-A057-4865E7B174B1}"/>
    <cellStyle name="Normal 8 4 5" xfId="1395" xr:uid="{73322436-F702-44A9-8720-DA6DE517EC00}"/>
    <cellStyle name="Normal 8 4 5 2" xfId="3053" xr:uid="{46E4C2AB-9252-4EB9-AB4E-0510ED8A99C6}"/>
    <cellStyle name="Normal 8 4 6" xfId="2224" xr:uid="{67F69192-91F3-4A27-B984-68F7C70AEF51}"/>
    <cellStyle name="Normal 8 5" xfId="510" xr:uid="{00000000-0005-0000-0000-000094030000}"/>
    <cellStyle name="Normal 8 5 2" xfId="511" xr:uid="{00000000-0005-0000-0000-000095030000}"/>
    <cellStyle name="Normal 8 5 2 2" xfId="983" xr:uid="{00000000-0005-0000-0000-000096030000}"/>
    <cellStyle name="Normal 8 5 2 2 2" xfId="1816" xr:uid="{14269A9E-DCCF-4846-9685-05964E624C70}"/>
    <cellStyle name="Normal 8 5 2 2 2 2" xfId="3474" xr:uid="{99A85DBA-B6F2-4D84-99BE-112D5F2D1819}"/>
    <cellStyle name="Normal 8 5 2 2 3" xfId="2645" xr:uid="{119955FD-DEBD-4C71-A7AB-7668B75BFEC7}"/>
    <cellStyle name="Normal 8 5 2 3" xfId="1400" xr:uid="{40323B93-DA88-4BE9-90A6-B1288D60A8E2}"/>
    <cellStyle name="Normal 8 5 2 3 2" xfId="3058" xr:uid="{B6DF4B63-B248-4122-B955-34F0C0C996DD}"/>
    <cellStyle name="Normal 8 5 2 4" xfId="2229" xr:uid="{833CDBB6-6EE4-4180-A2C6-B3C8E0646FFA}"/>
    <cellStyle name="Normal 8 5 3" xfId="982" xr:uid="{00000000-0005-0000-0000-000097030000}"/>
    <cellStyle name="Normal 8 5 3 2" xfId="1815" xr:uid="{B776307B-C740-4A4B-A293-4DFF6DD31118}"/>
    <cellStyle name="Normal 8 5 3 2 2" xfId="3473" xr:uid="{CEB72917-23F4-4ADC-AB79-B26D622A8F77}"/>
    <cellStyle name="Normal 8 5 3 3" xfId="2644" xr:uid="{5E1BCAE8-BAF8-46B8-8B19-24C84C1F08D1}"/>
    <cellStyle name="Normal 8 5 4" xfId="1399" xr:uid="{F294658D-7008-4680-9C9D-E6B5B896EAEF}"/>
    <cellStyle name="Normal 8 5 4 2" xfId="3057" xr:uid="{BA4E6288-42AF-4609-A153-F8C636149F29}"/>
    <cellStyle name="Normal 8 5 5" xfId="2228" xr:uid="{4ECE5BB1-A205-40CF-9236-BCA9DB1CABC6}"/>
    <cellStyle name="Normal 8 6" xfId="512" xr:uid="{00000000-0005-0000-0000-000098030000}"/>
    <cellStyle name="Normal 8 6 2" xfId="984" xr:uid="{00000000-0005-0000-0000-000099030000}"/>
    <cellStyle name="Normal 8 6 2 2" xfId="1817" xr:uid="{A5E614F7-93E6-4A19-89E4-CF11D645AE67}"/>
    <cellStyle name="Normal 8 6 2 2 2" xfId="3475" xr:uid="{E1F7B7D2-904B-4331-9108-29A032688E82}"/>
    <cellStyle name="Normal 8 6 2 3" xfId="2646" xr:uid="{BA4AD1CE-474A-4F9F-A241-E78641C46D2C}"/>
    <cellStyle name="Normal 8 6 3" xfId="1401" xr:uid="{43AD6B68-181A-4496-9814-0EB91D49EAC7}"/>
    <cellStyle name="Normal 8 6 3 2" xfId="3059" xr:uid="{FF233A7C-FC00-4C39-9539-301864756DE4}"/>
    <cellStyle name="Normal 8 6 4" xfId="2230" xr:uid="{32CE136C-6C8E-4C9B-A2E8-E560BD244C88}"/>
    <cellStyle name="Normal 8 7" xfId="953" xr:uid="{00000000-0005-0000-0000-00009A030000}"/>
    <cellStyle name="Normal 8 7 2" xfId="1786" xr:uid="{A6EF625C-971B-4DAE-A8DD-40BA2D20D1DB}"/>
    <cellStyle name="Normal 8 7 2 2" xfId="3444" xr:uid="{329CE446-1267-40B5-B811-F23C7DDEA76C}"/>
    <cellStyle name="Normal 8 7 3" xfId="2615" xr:uid="{EAC44858-CFC8-49B8-A258-76641C8DC1C2}"/>
    <cellStyle name="Normal 8 8" xfId="1370" xr:uid="{E88233F3-D066-44D8-A681-33DEBD6FF0EE}"/>
    <cellStyle name="Normal 8 8 2" xfId="3028" xr:uid="{E8407952-9C2A-4BF9-BC3F-D4050D28C61C}"/>
    <cellStyle name="Normal 8 9" xfId="2199" xr:uid="{FB9F4A66-CD3E-4B33-9DBA-312DF7312DAF}"/>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6AC7959B-0BAB-4E37-8AFB-FB83757F0CFD}"/>
    <cellStyle name="Normal 9 2 2 2 2 2 2 2 2" xfId="3480" xr:uid="{C85114DD-BFD8-4018-9BAC-6C8842C3DB7E}"/>
    <cellStyle name="Normal 9 2 2 2 2 2 2 3" xfId="2651" xr:uid="{EC32A85D-02F4-43B5-830A-862FF4BE170C}"/>
    <cellStyle name="Normal 9 2 2 2 2 2 3" xfId="1406" xr:uid="{B6D6488C-3D28-4320-97EB-40FEF896758A}"/>
    <cellStyle name="Normal 9 2 2 2 2 2 3 2" xfId="3064" xr:uid="{EFDF459C-BFFF-4A89-861A-2B65529EAE6B}"/>
    <cellStyle name="Normal 9 2 2 2 2 2 4" xfId="2235" xr:uid="{488E4F1E-8FFC-40F7-8A9A-2645A3612C39}"/>
    <cellStyle name="Normal 9 2 2 2 2 3" xfId="989" xr:uid="{00000000-0005-0000-0000-0000A2030000}"/>
    <cellStyle name="Normal 9 2 2 2 2 3 2" xfId="1821" xr:uid="{F9F16819-678C-402F-9F49-C7F2940E2712}"/>
    <cellStyle name="Normal 9 2 2 2 2 3 2 2" xfId="3479" xr:uid="{FE7CFAB0-C43D-4674-8F8D-43FE3964F4E3}"/>
    <cellStyle name="Normal 9 2 2 2 2 3 3" xfId="2650" xr:uid="{EBB257C6-FC29-4983-B6C8-3F911D510A3E}"/>
    <cellStyle name="Normal 9 2 2 2 2 4" xfId="1405" xr:uid="{87580315-EB7A-4563-B14C-5A8D4DE30692}"/>
    <cellStyle name="Normal 9 2 2 2 2 4 2" xfId="3063" xr:uid="{6A466D64-B449-4E06-AB88-26F4276BE195}"/>
    <cellStyle name="Normal 9 2 2 2 2 5" xfId="2234" xr:uid="{568ED93B-BB05-4CC4-8CBF-B1772EC6EBF4}"/>
    <cellStyle name="Normal 9 2 2 2 3" xfId="519" xr:uid="{00000000-0005-0000-0000-0000A3030000}"/>
    <cellStyle name="Normal 9 2 2 2 3 2" xfId="991" xr:uid="{00000000-0005-0000-0000-0000A4030000}"/>
    <cellStyle name="Normal 9 2 2 2 3 2 2" xfId="1823" xr:uid="{E7E034AA-E2AD-4011-9380-D608B7D94C8B}"/>
    <cellStyle name="Normal 9 2 2 2 3 2 2 2" xfId="3481" xr:uid="{67C483C7-3B18-4957-BD61-5A60D1750107}"/>
    <cellStyle name="Normal 9 2 2 2 3 2 3" xfId="2652" xr:uid="{A0239BD1-2174-41DD-907E-6EE57F06EF1D}"/>
    <cellStyle name="Normal 9 2 2 2 3 3" xfId="1407" xr:uid="{C0ED1803-6023-4239-ADE2-AB3E3867A806}"/>
    <cellStyle name="Normal 9 2 2 2 3 3 2" xfId="3065" xr:uid="{353C482F-D0F0-441B-ACB1-D53369D9F487}"/>
    <cellStyle name="Normal 9 2 2 2 3 4" xfId="2236" xr:uid="{FFB79F9B-C658-45E7-82B8-CB0A1889E44E}"/>
    <cellStyle name="Normal 9 2 2 2 4" xfId="988" xr:uid="{00000000-0005-0000-0000-0000A5030000}"/>
    <cellStyle name="Normal 9 2 2 2 4 2" xfId="1820" xr:uid="{DF041934-3E89-4C26-B0BB-CDC6C9950E68}"/>
    <cellStyle name="Normal 9 2 2 2 4 2 2" xfId="3478" xr:uid="{A61D3A54-4634-465C-91D0-D96F0F4D023F}"/>
    <cellStyle name="Normal 9 2 2 2 4 3" xfId="2649" xr:uid="{006F66CD-A433-408A-BFBA-5B5EB5FE41EE}"/>
    <cellStyle name="Normal 9 2 2 2 5" xfId="1404" xr:uid="{FD6C03B9-5A3D-472B-9CF3-B9A26DA1A7E4}"/>
    <cellStyle name="Normal 9 2 2 2 5 2" xfId="3062" xr:uid="{48C42D33-38B5-4210-A71A-7AA19B435230}"/>
    <cellStyle name="Normal 9 2 2 2 6" xfId="2233" xr:uid="{74265204-EC84-4848-8276-598691C40998}"/>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C30C6A64-2752-4AAD-92E8-73A99A734769}"/>
    <cellStyle name="Normal 9 2 2 3 2 2 2 2" xfId="3483" xr:uid="{A988118F-1539-4594-9278-A06107004086}"/>
    <cellStyle name="Normal 9 2 2 3 2 2 3" xfId="2654" xr:uid="{7EC5E65C-186F-4ECC-BF80-EED2890CC094}"/>
    <cellStyle name="Normal 9 2 2 3 2 3" xfId="1409" xr:uid="{1F33AF9B-13C0-4648-ACE0-7998ECFB3145}"/>
    <cellStyle name="Normal 9 2 2 3 2 3 2" xfId="3067" xr:uid="{6A0A9DBD-FFA8-4E55-BC89-1B62B107F219}"/>
    <cellStyle name="Normal 9 2 2 3 2 4" xfId="2238" xr:uid="{65998B7B-4A86-413B-979B-5C7A8C7F73DA}"/>
    <cellStyle name="Normal 9 2 2 3 3" xfId="992" xr:uid="{00000000-0005-0000-0000-0000A9030000}"/>
    <cellStyle name="Normal 9 2 2 3 3 2" xfId="1824" xr:uid="{937BFA97-9E19-4AC1-AF25-449FDA742A33}"/>
    <cellStyle name="Normal 9 2 2 3 3 2 2" xfId="3482" xr:uid="{CF8EF6D7-F583-4672-83C4-4D2A79586595}"/>
    <cellStyle name="Normal 9 2 2 3 3 3" xfId="2653" xr:uid="{674F3EFC-D40B-4F58-A52B-3643A16ED6D6}"/>
    <cellStyle name="Normal 9 2 2 3 4" xfId="1408" xr:uid="{7EECCBC8-184C-45CC-929C-7F61753FA7A5}"/>
    <cellStyle name="Normal 9 2 2 3 4 2" xfId="3066" xr:uid="{018C6BA9-8EDA-4494-95EC-EEA75A285625}"/>
    <cellStyle name="Normal 9 2 2 3 5" xfId="2237" xr:uid="{60877C9E-721B-4EB7-92BF-1CB0AC95AD5C}"/>
    <cellStyle name="Normal 9 2 2 4" xfId="522" xr:uid="{00000000-0005-0000-0000-0000AA030000}"/>
    <cellStyle name="Normal 9 2 2 4 2" xfId="994" xr:uid="{00000000-0005-0000-0000-0000AB030000}"/>
    <cellStyle name="Normal 9 2 2 4 2 2" xfId="1826" xr:uid="{C7FB2DE1-F0EE-4C08-B6C8-6B73FAA75A8C}"/>
    <cellStyle name="Normal 9 2 2 4 2 2 2" xfId="3484" xr:uid="{A4A222D2-700A-45BB-8432-DEEFB1EFF7FC}"/>
    <cellStyle name="Normal 9 2 2 4 2 3" xfId="2655" xr:uid="{6EE2A1D4-364C-4541-A4C4-8D0A96CC2EBC}"/>
    <cellStyle name="Normal 9 2 2 4 3" xfId="1410" xr:uid="{BA284F48-707F-4A96-80D5-EB57DAFC1403}"/>
    <cellStyle name="Normal 9 2 2 4 3 2" xfId="3068" xr:uid="{30309201-F676-4752-9119-10DBBD5989FF}"/>
    <cellStyle name="Normal 9 2 2 4 4" xfId="2239" xr:uid="{1352F1F7-1DEF-4C77-AD01-4C1274C0A701}"/>
    <cellStyle name="Normal 9 2 2 5" xfId="987" xr:uid="{00000000-0005-0000-0000-0000AC030000}"/>
    <cellStyle name="Normal 9 2 2 5 2" xfId="1819" xr:uid="{F5445940-BAF2-49BB-BE43-13D212B541C9}"/>
    <cellStyle name="Normal 9 2 2 5 2 2" xfId="3477" xr:uid="{34F8C302-A193-48C6-963A-6CE0D157186C}"/>
    <cellStyle name="Normal 9 2 2 5 3" xfId="2648" xr:uid="{30CC461B-3F21-47A6-81E2-98276E9CC0E4}"/>
    <cellStyle name="Normal 9 2 2 6" xfId="1403" xr:uid="{7B09A673-E6E9-45F4-A9D3-3271E7FEC0AC}"/>
    <cellStyle name="Normal 9 2 2 6 2" xfId="3061" xr:uid="{CD6B5F5C-7872-4B96-9D14-B167B08ED559}"/>
    <cellStyle name="Normal 9 2 2 7" xfId="2232" xr:uid="{B1F02298-2ABD-4584-BDF0-B4B2A3BDD7C1}"/>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E1D4076B-7638-4102-AA5D-08A4D0E6181C}"/>
    <cellStyle name="Normal 9 2 3 2 2 2 2 2" xfId="3487" xr:uid="{AB89C89F-9FCE-4C55-8439-7995BF491A51}"/>
    <cellStyle name="Normal 9 2 3 2 2 2 3" xfId="2658" xr:uid="{24726A9C-8604-4074-8D29-76CAF19D5CEE}"/>
    <cellStyle name="Normal 9 2 3 2 2 3" xfId="1413" xr:uid="{6DD6EDDA-B549-4507-BE9B-3D98C740E21A}"/>
    <cellStyle name="Normal 9 2 3 2 2 3 2" xfId="3071" xr:uid="{2435EA05-8B1F-44FD-9490-9025E4F503AA}"/>
    <cellStyle name="Normal 9 2 3 2 2 4" xfId="2242" xr:uid="{69099248-39CA-4141-8F80-A7AD2BF98AAD}"/>
    <cellStyle name="Normal 9 2 3 2 3" xfId="996" xr:uid="{00000000-0005-0000-0000-0000B1030000}"/>
    <cellStyle name="Normal 9 2 3 2 3 2" xfId="1828" xr:uid="{A742F1A5-787B-44BE-990D-4EDD3312F9FB}"/>
    <cellStyle name="Normal 9 2 3 2 3 2 2" xfId="3486" xr:uid="{5E92BDF9-687D-4A53-9711-400587D43AC6}"/>
    <cellStyle name="Normal 9 2 3 2 3 3" xfId="2657" xr:uid="{6B79EBE6-3EB2-42C9-B77C-EE72D0F6D40A}"/>
    <cellStyle name="Normal 9 2 3 2 4" xfId="1412" xr:uid="{CE72CFFA-6348-4385-93C7-203B5DB87A31}"/>
    <cellStyle name="Normal 9 2 3 2 4 2" xfId="3070" xr:uid="{8A19007D-756A-46D8-A1AF-2373B04399D1}"/>
    <cellStyle name="Normal 9 2 3 2 5" xfId="2241" xr:uid="{444CD80B-C951-41E7-8FC9-C49CFEFB3335}"/>
    <cellStyle name="Normal 9 2 3 3" xfId="526" xr:uid="{00000000-0005-0000-0000-0000B2030000}"/>
    <cellStyle name="Normal 9 2 3 3 2" xfId="998" xr:uid="{00000000-0005-0000-0000-0000B3030000}"/>
    <cellStyle name="Normal 9 2 3 3 2 2" xfId="1830" xr:uid="{0DBBBA3D-E865-4F48-9AD1-FDD461C17F34}"/>
    <cellStyle name="Normal 9 2 3 3 2 2 2" xfId="3488" xr:uid="{9CC1EC88-9BF8-4B14-A329-91DCB6F0EE9D}"/>
    <cellStyle name="Normal 9 2 3 3 2 3" xfId="2659" xr:uid="{69100306-8E4F-4F86-8B1A-B4BADD46ACC2}"/>
    <cellStyle name="Normal 9 2 3 3 3" xfId="1414" xr:uid="{9B7E7CBE-21EB-48B3-945E-BB65263A9D60}"/>
    <cellStyle name="Normal 9 2 3 3 3 2" xfId="3072" xr:uid="{2FE455CE-20D9-4C5C-A1EE-94914BE9D421}"/>
    <cellStyle name="Normal 9 2 3 3 4" xfId="2243" xr:uid="{821EA813-B565-4CB9-A42A-DFA9BAB0258C}"/>
    <cellStyle name="Normal 9 2 3 4" xfId="995" xr:uid="{00000000-0005-0000-0000-0000B4030000}"/>
    <cellStyle name="Normal 9 2 3 4 2" xfId="1827" xr:uid="{BF69F01C-5C0F-4224-B436-052E3473EEB5}"/>
    <cellStyle name="Normal 9 2 3 4 2 2" xfId="3485" xr:uid="{15243C92-D3F0-4903-BA52-DB607B88AF5E}"/>
    <cellStyle name="Normal 9 2 3 4 3" xfId="2656" xr:uid="{338BFED4-92C8-44DD-9EE1-06DCDB1329EB}"/>
    <cellStyle name="Normal 9 2 3 5" xfId="1411" xr:uid="{600AAFCA-DECD-4EE5-9A86-8053ECAB6B2D}"/>
    <cellStyle name="Normal 9 2 3 5 2" xfId="3069" xr:uid="{E9DD64B3-1064-4C54-9A55-16B2B72DF8EA}"/>
    <cellStyle name="Normal 9 2 3 6" xfId="2240" xr:uid="{1CBE4CFF-CEE9-4652-B55A-3FFF5D9B991E}"/>
    <cellStyle name="Normal 9 2 4" xfId="527" xr:uid="{00000000-0005-0000-0000-0000B5030000}"/>
    <cellStyle name="Normal 9 2 4 2" xfId="528" xr:uid="{00000000-0005-0000-0000-0000B6030000}"/>
    <cellStyle name="Normal 9 2 4 2 2" xfId="1000" xr:uid="{00000000-0005-0000-0000-0000B7030000}"/>
    <cellStyle name="Normal 9 2 4 2 2 2" xfId="1832" xr:uid="{D42360A9-8913-4BE3-B1A0-F03E81825DD4}"/>
    <cellStyle name="Normal 9 2 4 2 2 2 2" xfId="3490" xr:uid="{0662648F-9320-4999-8097-8EAEA5A64C89}"/>
    <cellStyle name="Normal 9 2 4 2 2 3" xfId="2661" xr:uid="{5B720A51-F36D-4F47-B943-A67750EDCD1B}"/>
    <cellStyle name="Normal 9 2 4 2 3" xfId="1416" xr:uid="{060DE5AC-61BA-48C6-BA16-F3291DE71C83}"/>
    <cellStyle name="Normal 9 2 4 2 3 2" xfId="3074" xr:uid="{3846EFE9-D77F-4823-932F-54C74E83A972}"/>
    <cellStyle name="Normal 9 2 4 2 4" xfId="2245" xr:uid="{8A15397F-C151-49B9-9C3A-00521C07528E}"/>
    <cellStyle name="Normal 9 2 4 3" xfId="999" xr:uid="{00000000-0005-0000-0000-0000B8030000}"/>
    <cellStyle name="Normal 9 2 4 3 2" xfId="1831" xr:uid="{8D0C5C64-2FC9-4913-A4B6-C3EF7EE507CA}"/>
    <cellStyle name="Normal 9 2 4 3 2 2" xfId="3489" xr:uid="{D24A6E48-F1E6-4B06-B4D8-A28E86BD846B}"/>
    <cellStyle name="Normal 9 2 4 3 3" xfId="2660" xr:uid="{2F5995DC-0DEE-4FA4-9D59-C0A697A65A50}"/>
    <cellStyle name="Normal 9 2 4 4" xfId="1415" xr:uid="{F513CC21-197A-4173-87C3-57C121FD701B}"/>
    <cellStyle name="Normal 9 2 4 4 2" xfId="3073" xr:uid="{F9F3F43A-A20A-41B5-9EAE-EB45A5D23A12}"/>
    <cellStyle name="Normal 9 2 4 5" xfId="2244" xr:uid="{5C0C20C2-D556-4ED7-8E05-31CE01BB5299}"/>
    <cellStyle name="Normal 9 2 5" xfId="529" xr:uid="{00000000-0005-0000-0000-0000B9030000}"/>
    <cellStyle name="Normal 9 2 5 2" xfId="1001" xr:uid="{00000000-0005-0000-0000-0000BA030000}"/>
    <cellStyle name="Normal 9 2 5 2 2" xfId="1833" xr:uid="{E0BA6D9F-860B-4B80-AA31-BF65CC56EB4B}"/>
    <cellStyle name="Normal 9 2 5 2 2 2" xfId="3491" xr:uid="{F1A1631A-7AE5-4B2C-9A86-15B1D64DA7B8}"/>
    <cellStyle name="Normal 9 2 5 2 3" xfId="2662" xr:uid="{07EE2354-9FF0-4150-A9F6-534F258604B0}"/>
    <cellStyle name="Normal 9 2 5 3" xfId="1417" xr:uid="{B106A698-2638-4ECE-A303-C3F83DA298B8}"/>
    <cellStyle name="Normal 9 2 5 3 2" xfId="3075" xr:uid="{A6537451-7E98-4DA7-A0BF-B28CFC49DEDE}"/>
    <cellStyle name="Normal 9 2 5 4" xfId="2246" xr:uid="{704F9F9A-4A1B-44BF-95D2-911415283E42}"/>
    <cellStyle name="Normal 9 2 6" xfId="986" xr:uid="{00000000-0005-0000-0000-0000BB030000}"/>
    <cellStyle name="Normal 9 2 6 2" xfId="1818" xr:uid="{095CEE0E-F47D-4C8C-AD93-A42B2F492FE6}"/>
    <cellStyle name="Normal 9 2 6 2 2" xfId="3476" xr:uid="{5A809C64-8BA7-40E9-93BA-F81FD29F50B5}"/>
    <cellStyle name="Normal 9 2 6 3" xfId="2647" xr:uid="{C0E0F44C-0C3A-4C81-924E-DA9497C22F64}"/>
    <cellStyle name="Normal 9 2 7" xfId="1402" xr:uid="{4EEC4C11-CF96-44B1-86AC-442A5F01B367}"/>
    <cellStyle name="Normal 9 2 7 2" xfId="3060" xr:uid="{4E636F4F-C420-457D-88BF-57506C5E4097}"/>
    <cellStyle name="Normal 9 2 8" xfId="2231" xr:uid="{A1255E9D-92CA-4178-8BF0-60ACAC2D46D8}"/>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994921E9-7274-438A-B9A9-7857DF57D403}"/>
    <cellStyle name="Normal 9 3 2 2 2 2 2 2" xfId="3495" xr:uid="{2029302F-7F70-49B3-981B-F1D78A7D2012}"/>
    <cellStyle name="Normal 9 3 2 2 2 2 3" xfId="2666" xr:uid="{C348DE96-24A5-4F25-8AD7-E3DF671EE31B}"/>
    <cellStyle name="Normal 9 3 2 2 2 3" xfId="1421" xr:uid="{233255AF-7BC2-4BA3-BDD2-FC9A3DC9CAE7}"/>
    <cellStyle name="Normal 9 3 2 2 2 3 2" xfId="3079" xr:uid="{A8BE19C8-514D-4B79-868B-00F689FEA91F}"/>
    <cellStyle name="Normal 9 3 2 2 2 4" xfId="2250" xr:uid="{7032340D-854D-4724-B239-EED4E00E83DB}"/>
    <cellStyle name="Normal 9 3 2 2 3" xfId="1004" xr:uid="{00000000-0005-0000-0000-0000C1030000}"/>
    <cellStyle name="Normal 9 3 2 2 3 2" xfId="1836" xr:uid="{E1278F7E-5AC9-49CB-998C-627085B1725A}"/>
    <cellStyle name="Normal 9 3 2 2 3 2 2" xfId="3494" xr:uid="{EC543776-368D-4CAE-BD15-EE8876BF5A1B}"/>
    <cellStyle name="Normal 9 3 2 2 3 3" xfId="2665" xr:uid="{6BF98223-94C0-4179-B414-2D7A94E6E0A0}"/>
    <cellStyle name="Normal 9 3 2 2 4" xfId="1420" xr:uid="{66B933B3-7EF6-41C4-8A9D-191459618C37}"/>
    <cellStyle name="Normal 9 3 2 2 4 2" xfId="3078" xr:uid="{F26E923D-A8E7-41D6-B2D5-D438E0AF3A49}"/>
    <cellStyle name="Normal 9 3 2 2 5" xfId="2249" xr:uid="{7D0A1D31-90EA-4142-85DD-2A4F3F8F5E05}"/>
    <cellStyle name="Normal 9 3 2 3" xfId="534" xr:uid="{00000000-0005-0000-0000-0000C2030000}"/>
    <cellStyle name="Normal 9 3 2 3 2" xfId="1006" xr:uid="{00000000-0005-0000-0000-0000C3030000}"/>
    <cellStyle name="Normal 9 3 2 3 2 2" xfId="1838" xr:uid="{90C159D8-3882-40FB-AED5-BBDBDEE5E676}"/>
    <cellStyle name="Normal 9 3 2 3 2 2 2" xfId="3496" xr:uid="{400B65B3-3480-444A-89B0-60DC912799FD}"/>
    <cellStyle name="Normal 9 3 2 3 2 3" xfId="2667" xr:uid="{5F2FA9E3-5571-4E71-8037-9CB30B6FDA33}"/>
    <cellStyle name="Normal 9 3 2 3 3" xfId="1422" xr:uid="{D63A4C8B-A795-4D86-A7BA-3723E57E2957}"/>
    <cellStyle name="Normal 9 3 2 3 3 2" xfId="3080" xr:uid="{5CD56FB9-C2DF-44D6-A3AD-1092BAD1CD46}"/>
    <cellStyle name="Normal 9 3 2 3 4" xfId="2251" xr:uid="{F667E24B-8CB1-465F-926E-CC673A36D36F}"/>
    <cellStyle name="Normal 9 3 2 4" xfId="1003" xr:uid="{00000000-0005-0000-0000-0000C4030000}"/>
    <cellStyle name="Normal 9 3 2 4 2" xfId="1835" xr:uid="{D3A2E376-C5C8-4D90-A2BD-A7F580A78E0A}"/>
    <cellStyle name="Normal 9 3 2 4 2 2" xfId="3493" xr:uid="{764A91B9-591F-438F-AC0A-CD92E06A08CA}"/>
    <cellStyle name="Normal 9 3 2 4 3" xfId="2664" xr:uid="{0032F684-957C-4A9B-B149-9ABDF44D41F3}"/>
    <cellStyle name="Normal 9 3 2 5" xfId="1419" xr:uid="{412579D2-D02F-4516-A2CA-3668ED0DD592}"/>
    <cellStyle name="Normal 9 3 2 5 2" xfId="3077" xr:uid="{37F6482E-C6DF-4131-B876-6D031F56044A}"/>
    <cellStyle name="Normal 9 3 2 6" xfId="2248" xr:uid="{87E881EA-49DC-407B-AA89-5D99289BD529}"/>
    <cellStyle name="Normal 9 3 3" xfId="535" xr:uid="{00000000-0005-0000-0000-0000C5030000}"/>
    <cellStyle name="Normal 9 3 3 2" xfId="536" xr:uid="{00000000-0005-0000-0000-0000C6030000}"/>
    <cellStyle name="Normal 9 3 3 2 2" xfId="1008" xr:uid="{00000000-0005-0000-0000-0000C7030000}"/>
    <cellStyle name="Normal 9 3 3 2 2 2" xfId="1840" xr:uid="{E1CC4185-886F-44F0-9D5A-55ACEFFEBAB2}"/>
    <cellStyle name="Normal 9 3 3 2 2 2 2" xfId="3498" xr:uid="{DA54E019-A5D2-4926-BEE9-44DC0AAA4E77}"/>
    <cellStyle name="Normal 9 3 3 2 2 3" xfId="2669" xr:uid="{4A1198EA-A303-4D00-8832-CDC2FF22CA34}"/>
    <cellStyle name="Normal 9 3 3 2 3" xfId="1424" xr:uid="{94CEE90B-B305-46E2-AC3E-F1AEEAAACD86}"/>
    <cellStyle name="Normal 9 3 3 2 3 2" xfId="3082" xr:uid="{47400852-B816-4190-80AF-B50797A74E6F}"/>
    <cellStyle name="Normal 9 3 3 2 4" xfId="2253" xr:uid="{F421B029-AA99-4033-AFB3-CAA11A98DC80}"/>
    <cellStyle name="Normal 9 3 3 3" xfId="1007" xr:uid="{00000000-0005-0000-0000-0000C8030000}"/>
    <cellStyle name="Normal 9 3 3 3 2" xfId="1839" xr:uid="{CFB076E0-1E0F-421D-828F-50899D60557A}"/>
    <cellStyle name="Normal 9 3 3 3 2 2" xfId="3497" xr:uid="{73EB9480-ADE2-469A-9CDC-BE8FD20AEFCD}"/>
    <cellStyle name="Normal 9 3 3 3 3" xfId="2668" xr:uid="{B8816748-D88C-497D-8559-EC30F906C63E}"/>
    <cellStyle name="Normal 9 3 3 4" xfId="1423" xr:uid="{95AA776E-140D-4E82-BAFE-D2FC92D0843E}"/>
    <cellStyle name="Normal 9 3 3 4 2" xfId="3081" xr:uid="{52E215BD-ABE4-4037-8D11-F878FB77408B}"/>
    <cellStyle name="Normal 9 3 3 5" xfId="2252" xr:uid="{E40158D9-0B81-4EF8-B7C4-88983AD90E41}"/>
    <cellStyle name="Normal 9 3 4" xfId="537" xr:uid="{00000000-0005-0000-0000-0000C9030000}"/>
    <cellStyle name="Normal 9 3 4 2" xfId="1009" xr:uid="{00000000-0005-0000-0000-0000CA030000}"/>
    <cellStyle name="Normal 9 3 4 2 2" xfId="1841" xr:uid="{905577F2-B32F-41DA-BF01-89010CA078C2}"/>
    <cellStyle name="Normal 9 3 4 2 2 2" xfId="3499" xr:uid="{0361E6C4-C2D9-4426-9D76-B839821B73DD}"/>
    <cellStyle name="Normal 9 3 4 2 3" xfId="2670" xr:uid="{64508753-43F5-44FA-9E15-C0287C61B29F}"/>
    <cellStyle name="Normal 9 3 4 3" xfId="1425" xr:uid="{DE99E9BD-ED2B-4FC1-B9C4-C26981DE9988}"/>
    <cellStyle name="Normal 9 3 4 3 2" xfId="3083" xr:uid="{23089E60-91D6-49CE-9AB6-3C53AABA35CB}"/>
    <cellStyle name="Normal 9 3 4 4" xfId="2254" xr:uid="{910ED568-5915-4791-AD31-A75CC10A9E66}"/>
    <cellStyle name="Normal 9 3 5" xfId="1002" xr:uid="{00000000-0005-0000-0000-0000CB030000}"/>
    <cellStyle name="Normal 9 3 5 2" xfId="1834" xr:uid="{7F2E3A08-F356-4D24-B8B9-C4061BDF1CDD}"/>
    <cellStyle name="Normal 9 3 5 2 2" xfId="3492" xr:uid="{173F52CC-4302-49FE-8338-E00848E492CE}"/>
    <cellStyle name="Normal 9 3 5 3" xfId="2663" xr:uid="{BF537F12-8C3A-4041-A59F-B3C48BA9DD77}"/>
    <cellStyle name="Normal 9 3 6" xfId="1418" xr:uid="{218A5A0E-DD45-4BDE-98AD-5AEAAEE95FE6}"/>
    <cellStyle name="Normal 9 3 6 2" xfId="3076" xr:uid="{B28D8BCA-1304-4FF0-A3E2-1C84BB7E7F73}"/>
    <cellStyle name="Normal 9 3 7" xfId="2247" xr:uid="{2E6DE834-A16C-4A35-8D32-A80FD7275E4B}"/>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55FBEBDE-153C-4716-8766-14F9CADC7698}"/>
    <cellStyle name="Normal 9 5 2 2 2 2" xfId="3501" xr:uid="{1A0C1C0F-3A9F-48B1-A8A3-8A45191F0775}"/>
    <cellStyle name="Normal 9 5 2 2 3" xfId="2672" xr:uid="{199E5F69-8BD2-4B9A-BA2E-6201A43990B4}"/>
    <cellStyle name="Normal 9 5 2 3" xfId="1427" xr:uid="{3369580E-E75C-45B7-B033-46FE7D980B1C}"/>
    <cellStyle name="Normal 9 5 2 3 2" xfId="3085" xr:uid="{112A0067-164B-4BD9-A80B-C1543E01D09E}"/>
    <cellStyle name="Normal 9 5 2 4" xfId="2256" xr:uid="{0DB205D6-EAB0-4EDA-B431-5A9FCD69B25D}"/>
    <cellStyle name="Normal 9 5 3" xfId="1011" xr:uid="{00000000-0005-0000-0000-0000D1030000}"/>
    <cellStyle name="Normal 9 5 3 2" xfId="1842" xr:uid="{07EED603-534F-431A-B6F1-6A171D0DF20C}"/>
    <cellStyle name="Normal 9 5 3 2 2" xfId="3500" xr:uid="{1F2C77AF-51AC-46B6-A2B7-7E97F95AC354}"/>
    <cellStyle name="Normal 9 5 3 3" xfId="2671" xr:uid="{223CF7B2-93CC-4B8B-9C1B-407464EA9D74}"/>
    <cellStyle name="Normal 9 5 4" xfId="1426" xr:uid="{DB9889B4-0F5D-447D-B1AF-B42B65B0FE35}"/>
    <cellStyle name="Normal 9 5 4 2" xfId="3084" xr:uid="{92D4C480-82BD-4CB8-9BC2-9E4404DC1CF4}"/>
    <cellStyle name="Normal 9 5 5" xfId="2255" xr:uid="{5F207067-A57E-492F-8C0F-3A509E993975}"/>
    <cellStyle name="Normal 9 6" xfId="541" xr:uid="{00000000-0005-0000-0000-0000D2030000}"/>
    <cellStyle name="Normal 9 6 2" xfId="1013" xr:uid="{00000000-0005-0000-0000-0000D3030000}"/>
    <cellStyle name="Normal 9 6 2 2" xfId="1844" xr:uid="{C835876B-54C6-44D4-9303-9EBCC1D4F8B0}"/>
    <cellStyle name="Normal 9 6 2 2 2" xfId="3502" xr:uid="{0131A6EE-EFD8-49E8-84D5-66DAA9098F4A}"/>
    <cellStyle name="Normal 9 6 2 3" xfId="2673" xr:uid="{CCD15F36-F4A2-49E2-9801-32913D3CDBC8}"/>
    <cellStyle name="Normal 9 6 3" xfId="1428" xr:uid="{93ED9091-CD71-4E26-BE6A-F5B7080FF336}"/>
    <cellStyle name="Normal 9 6 3 2" xfId="3086" xr:uid="{020E5C09-2733-49C9-BE90-EFF48F7ECFC3}"/>
    <cellStyle name="Normal 9 6 4" xfId="2257" xr:uid="{124F4D82-3B69-41D7-A70F-2EC4CD56F33A}"/>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58B5BD45-CC28-45FA-834D-B47420C81C7D}"/>
    <cellStyle name="Note 2 2 2 2 2 2 2" xfId="3505" xr:uid="{476A29AE-F094-4586-A877-EF1D0C17F8F6}"/>
    <cellStyle name="Note 2 2 2 2 2 3" xfId="2676" xr:uid="{E5869C21-D481-488F-8E0D-6EE4AF44681C}"/>
    <cellStyle name="Note 2 2 2 2 3" xfId="1431" xr:uid="{47AFB50C-13C8-4527-8D8B-9B6C80539F98}"/>
    <cellStyle name="Note 2 2 2 2 3 2" xfId="3089" xr:uid="{D416259D-CE64-4506-A2B7-66FEBD499886}"/>
    <cellStyle name="Note 2 2 2 2 4" xfId="2260" xr:uid="{08015D4D-DD38-438B-A659-895AC09AE39D}"/>
    <cellStyle name="Note 2 2 2 3" xfId="1015" xr:uid="{00000000-0005-0000-0000-0000E0030000}"/>
    <cellStyle name="Note 2 2 2 3 2" xfId="1846" xr:uid="{BA83D693-4D43-4B3A-9A7D-0E2A4F7BE61D}"/>
    <cellStyle name="Note 2 2 2 3 2 2" xfId="3504" xr:uid="{47A537C1-5069-4C43-BB6D-06568F114B89}"/>
    <cellStyle name="Note 2 2 2 3 3" xfId="2675" xr:uid="{1BAD7F71-DD5B-463C-97EE-40E4FC244AEB}"/>
    <cellStyle name="Note 2 2 2 4" xfId="1430" xr:uid="{AF7D9ECA-8639-4ED3-A161-37A0B323A04B}"/>
    <cellStyle name="Note 2 2 2 4 2" xfId="3088" xr:uid="{95F649EB-5D02-4955-814D-52029EE95503}"/>
    <cellStyle name="Note 2 2 2 5" xfId="2259" xr:uid="{5919FB7A-F977-4043-A7AF-DDD398EB86BE}"/>
    <cellStyle name="Note 2 2 3" xfId="552" xr:uid="{00000000-0005-0000-0000-0000E1030000}"/>
    <cellStyle name="Note 2 2 3 2" xfId="1017" xr:uid="{00000000-0005-0000-0000-0000E2030000}"/>
    <cellStyle name="Note 2 2 3 2 2" xfId="1848" xr:uid="{C8C66005-843F-4FDE-8D75-E4CC3949060B}"/>
    <cellStyle name="Note 2 2 3 2 2 2" xfId="3506" xr:uid="{A246BDF1-821E-4973-9014-2DF38865781D}"/>
    <cellStyle name="Note 2 2 3 2 3" xfId="2677" xr:uid="{96DC6862-3366-4B02-BC62-E4E398C61337}"/>
    <cellStyle name="Note 2 2 3 3" xfId="1432" xr:uid="{B0161E7A-D5A1-427F-88D4-17523B181A97}"/>
    <cellStyle name="Note 2 2 3 3 2" xfId="3090" xr:uid="{9B167F1F-8152-455E-A95D-3103D0117C03}"/>
    <cellStyle name="Note 2 2 3 4" xfId="2261" xr:uid="{571230F8-7F20-4F72-86FB-184459B0E47A}"/>
    <cellStyle name="Note 2 2 4" xfId="1014" xr:uid="{00000000-0005-0000-0000-0000E3030000}"/>
    <cellStyle name="Note 2 2 4 2" xfId="1845" xr:uid="{2B544DA1-D7A4-413D-A694-E639E314937E}"/>
    <cellStyle name="Note 2 2 4 2 2" xfId="3503" xr:uid="{8232DC58-59C4-45AA-AC3F-8C821305B163}"/>
    <cellStyle name="Note 2 2 4 3" xfId="2674" xr:uid="{3090D385-E645-4ED4-92C8-BAD60723E60F}"/>
    <cellStyle name="Note 2 2 5" xfId="1429" xr:uid="{696CDBC3-B434-4421-997D-90618E0C49B4}"/>
    <cellStyle name="Note 2 2 5 2" xfId="3087" xr:uid="{B6BCF726-C000-460B-AB36-0AE5CAB31DD5}"/>
    <cellStyle name="Note 2 2 6" xfId="2258" xr:uid="{A8C5F560-D2E8-42E3-8565-CAF485B1D316}"/>
    <cellStyle name="Note 2 3" xfId="553" xr:uid="{00000000-0005-0000-0000-0000E4030000}"/>
    <cellStyle name="Note 2 3 2" xfId="554" xr:uid="{00000000-0005-0000-0000-0000E5030000}"/>
    <cellStyle name="Note 2 3 2 2" xfId="1019" xr:uid="{00000000-0005-0000-0000-0000E6030000}"/>
    <cellStyle name="Note 2 3 2 2 2" xfId="1850" xr:uid="{833AFF53-F264-4E43-AF27-B6B401282829}"/>
    <cellStyle name="Note 2 3 2 2 2 2" xfId="3508" xr:uid="{6A39E5B3-20D6-4A46-9A9C-94287743356D}"/>
    <cellStyle name="Note 2 3 2 2 3" xfId="2679" xr:uid="{7AE98014-8881-4776-BF19-9B60383B9495}"/>
    <cellStyle name="Note 2 3 2 3" xfId="1434" xr:uid="{C07A6F9A-BD13-466D-96E4-472812BA9949}"/>
    <cellStyle name="Note 2 3 2 3 2" xfId="3092" xr:uid="{2C9E7D30-6F33-4EFD-A06C-38564DC94861}"/>
    <cellStyle name="Note 2 3 2 4" xfId="2263" xr:uid="{30D9C899-82DD-41F9-BAB5-3D2D276FFF21}"/>
    <cellStyle name="Note 2 3 3" xfId="1018" xr:uid="{00000000-0005-0000-0000-0000E7030000}"/>
    <cellStyle name="Note 2 3 3 2" xfId="1849" xr:uid="{F38107A7-5642-43CF-A71F-3AE9E1A12191}"/>
    <cellStyle name="Note 2 3 3 2 2" xfId="3507" xr:uid="{96E59148-5C11-4AC5-8AC0-DE5E4458133C}"/>
    <cellStyle name="Note 2 3 3 3" xfId="2678" xr:uid="{8019224C-8462-426E-A2D3-818E055C9BA6}"/>
    <cellStyle name="Note 2 3 4" xfId="1433" xr:uid="{3A56B715-B7E9-43F4-BC9E-E70D06CA54E1}"/>
    <cellStyle name="Note 2 3 4 2" xfId="3091" xr:uid="{19049A60-9BD5-4AC6-AD53-E0DCD55BB3E1}"/>
    <cellStyle name="Note 2 3 5" xfId="2262" xr:uid="{F3716E8B-722A-4DA6-9C59-1BB0E84F58CC}"/>
    <cellStyle name="Note 2 4" xfId="555" xr:uid="{00000000-0005-0000-0000-0000E8030000}"/>
    <cellStyle name="Note 2 4 2" xfId="1020" xr:uid="{00000000-0005-0000-0000-0000E9030000}"/>
    <cellStyle name="Note 2 4 2 2" xfId="1851" xr:uid="{5A73C5B6-7326-421C-A9E6-B37FDA6AF109}"/>
    <cellStyle name="Note 2 4 2 2 2" xfId="3509" xr:uid="{165AE70F-BE04-4223-BE9C-6DC0961968D3}"/>
    <cellStyle name="Note 2 4 2 3" xfId="2680" xr:uid="{C39C68AE-8C0A-4C22-99BA-BB816A3A09B1}"/>
    <cellStyle name="Note 2 4 3" xfId="1435" xr:uid="{0201FB0E-B90F-4E13-A44D-06F5E2B848DD}"/>
    <cellStyle name="Note 2 4 3 2" xfId="3093" xr:uid="{238EAB12-7F17-4310-BE19-195CB2FCD5F0}"/>
    <cellStyle name="Note 2 4 4" xfId="2264" xr:uid="{82D474E5-BB7D-4CA9-983D-7F3924918305}"/>
    <cellStyle name="Note 2 5" xfId="556" xr:uid="{00000000-0005-0000-0000-0000EA030000}"/>
    <cellStyle name="Note 2 5 2" xfId="1021" xr:uid="{00000000-0005-0000-0000-0000EB030000}"/>
    <cellStyle name="Note 2 5 2 2" xfId="1852" xr:uid="{F4F3A137-7770-4101-9562-C3749ED0109E}"/>
    <cellStyle name="Note 2 5 2 2 2" xfId="3510" xr:uid="{55E592B3-E20D-4FB1-80E6-461123A8F5DC}"/>
    <cellStyle name="Note 2 5 2 3" xfId="2681" xr:uid="{E35E3DF8-7238-40A0-BE42-D6E9547C9B76}"/>
    <cellStyle name="Note 2 5 3" xfId="1436" xr:uid="{1E03A5C5-FB4C-4D8A-8AE4-5C0CA718F53E}"/>
    <cellStyle name="Note 2 5 3 2" xfId="3094" xr:uid="{7D161CE7-8B61-4383-B03A-89B6F6E42EF3}"/>
    <cellStyle name="Note 2 5 4" xfId="2265" xr:uid="{22B9B7AD-081C-46BA-ABB5-3EA3CE5DE2F9}"/>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E21ED5CF-9E4D-4991-8A2A-B56469D0FB1E}"/>
    <cellStyle name="Note 3 2 2 2 2 2 2" xfId="3513" xr:uid="{4CDF013F-92EC-4F48-BFB6-2B1B0554366B}"/>
    <cellStyle name="Note 3 2 2 2 2 3" xfId="2684" xr:uid="{CCFEB377-547A-4C0D-A900-017962231F91}"/>
    <cellStyle name="Note 3 2 2 2 3" xfId="1439" xr:uid="{C765F8C0-D232-402B-A868-7670E0DC231C}"/>
    <cellStyle name="Note 3 2 2 2 3 2" xfId="3097" xr:uid="{DEA36E15-B1E3-4047-BA92-12C70754FF34}"/>
    <cellStyle name="Note 3 2 2 2 4" xfId="2268" xr:uid="{A731F533-5B93-4504-9794-57004B3FC122}"/>
    <cellStyle name="Note 3 2 2 3" xfId="1023" xr:uid="{00000000-0005-0000-0000-0000F1030000}"/>
    <cellStyle name="Note 3 2 2 3 2" xfId="1854" xr:uid="{939CA359-9AC8-4E95-B995-B8E0F9B431AD}"/>
    <cellStyle name="Note 3 2 2 3 2 2" xfId="3512" xr:uid="{88C9C524-ABB5-4493-8169-2420299C61F9}"/>
    <cellStyle name="Note 3 2 2 3 3" xfId="2683" xr:uid="{330F0050-12C0-4CEE-9855-94DB11530AC2}"/>
    <cellStyle name="Note 3 2 2 4" xfId="1438" xr:uid="{DD58EF62-0E50-4005-AB34-BF58310B03CA}"/>
    <cellStyle name="Note 3 2 2 4 2" xfId="3096" xr:uid="{58F2D00C-3860-4AC3-8908-369507B4D0ED}"/>
    <cellStyle name="Note 3 2 2 5" xfId="2267" xr:uid="{35EEFCDD-F64E-4B30-AB2F-6B59CA1A2CEB}"/>
    <cellStyle name="Note 3 2 3" xfId="561" xr:uid="{00000000-0005-0000-0000-0000F2030000}"/>
    <cellStyle name="Note 3 2 3 2" xfId="1025" xr:uid="{00000000-0005-0000-0000-0000F3030000}"/>
    <cellStyle name="Note 3 2 3 2 2" xfId="1856" xr:uid="{F33B0D7D-B950-430A-8E79-EB6F98AD6D85}"/>
    <cellStyle name="Note 3 2 3 2 2 2" xfId="3514" xr:uid="{0F8CF8D3-5574-408F-AD5A-4D73264C09C4}"/>
    <cellStyle name="Note 3 2 3 2 3" xfId="2685" xr:uid="{FFB6D71B-CAEF-43B8-8810-39656FA38D1E}"/>
    <cellStyle name="Note 3 2 3 3" xfId="1440" xr:uid="{8C3E303A-466B-4242-9F03-DBE1F3B06C84}"/>
    <cellStyle name="Note 3 2 3 3 2" xfId="3098" xr:uid="{F0816C39-0797-4EBE-824E-FBD29015BD7E}"/>
    <cellStyle name="Note 3 2 3 4" xfId="2269" xr:uid="{BDECCC61-45BB-4EFE-8527-41C78A3E3156}"/>
    <cellStyle name="Note 3 2 4" xfId="1022" xr:uid="{00000000-0005-0000-0000-0000F4030000}"/>
    <cellStyle name="Note 3 2 4 2" xfId="1853" xr:uid="{1C7A3BF4-256B-4DD7-8355-DB9DAA8F0D67}"/>
    <cellStyle name="Note 3 2 4 2 2" xfId="3511" xr:uid="{E95AAF96-D739-4186-88F8-6A7117A9B832}"/>
    <cellStyle name="Note 3 2 4 3" xfId="2682" xr:uid="{ED31CCD0-5904-4EFC-AF80-CE0F171BC376}"/>
    <cellStyle name="Note 3 2 5" xfId="1437" xr:uid="{D46FA183-C302-44A1-A4FA-3D0A0E495A8C}"/>
    <cellStyle name="Note 3 2 5 2" xfId="3095" xr:uid="{7A47E989-180A-4973-A357-57A600AA9EA2}"/>
    <cellStyle name="Note 3 2 6" xfId="2266" xr:uid="{60FFA3A3-F708-402F-951E-FB909C4C32F4}"/>
    <cellStyle name="Note 3 3" xfId="562" xr:uid="{00000000-0005-0000-0000-0000F5030000}"/>
    <cellStyle name="Note 3 3 2" xfId="563" xr:uid="{00000000-0005-0000-0000-0000F6030000}"/>
    <cellStyle name="Note 3 3 2 2" xfId="1027" xr:uid="{00000000-0005-0000-0000-0000F7030000}"/>
    <cellStyle name="Note 3 3 2 2 2" xfId="1858" xr:uid="{443929A8-CC28-4428-A21E-1A3D41173F0E}"/>
    <cellStyle name="Note 3 3 2 2 2 2" xfId="3516" xr:uid="{43142867-80A3-476A-BA9A-013B83ABD6C9}"/>
    <cellStyle name="Note 3 3 2 2 3" xfId="2687" xr:uid="{C301458D-142B-44C5-94FF-0C2F42BE36C5}"/>
    <cellStyle name="Note 3 3 2 3" xfId="1442" xr:uid="{0DF9D528-0A1F-42FC-97A1-A340D79B1F51}"/>
    <cellStyle name="Note 3 3 2 3 2" xfId="3100" xr:uid="{DADBC0E4-E22B-42A9-BCC4-CE7FD76A2E56}"/>
    <cellStyle name="Note 3 3 2 4" xfId="2271" xr:uid="{FF292255-8EB1-4CA5-A597-7E221F77333B}"/>
    <cellStyle name="Note 3 3 3" xfId="1026" xr:uid="{00000000-0005-0000-0000-0000F8030000}"/>
    <cellStyle name="Note 3 3 3 2" xfId="1857" xr:uid="{6F156F19-75DA-46EA-A8E5-3BBE0EC93C10}"/>
    <cellStyle name="Note 3 3 3 2 2" xfId="3515" xr:uid="{BA699C04-E1A9-4E08-92DA-B82F30691185}"/>
    <cellStyle name="Note 3 3 3 3" xfId="2686" xr:uid="{91C03D87-8D05-44D2-96AC-CDBFBE866118}"/>
    <cellStyle name="Note 3 3 4" xfId="1441" xr:uid="{2B5C2CD3-F434-495A-9EB9-393EAABF8C0C}"/>
    <cellStyle name="Note 3 3 4 2" xfId="3099" xr:uid="{66772314-94B6-4F64-BE36-3517FEFE7E30}"/>
    <cellStyle name="Note 3 3 5" xfId="2270" xr:uid="{BB0A8371-DE68-44F7-A9DD-B8C96588889E}"/>
    <cellStyle name="Note 3 4" xfId="564" xr:uid="{00000000-0005-0000-0000-0000F9030000}"/>
    <cellStyle name="Note 3 4 2" xfId="1028" xr:uid="{00000000-0005-0000-0000-0000FA030000}"/>
    <cellStyle name="Note 3 4 2 2" xfId="1859" xr:uid="{5B82EFE9-9F28-4258-8B62-169DBF837E1E}"/>
    <cellStyle name="Note 3 4 2 2 2" xfId="3517" xr:uid="{463DEF0A-2DD0-44D0-B548-23A223017B1B}"/>
    <cellStyle name="Note 3 4 2 3" xfId="2688" xr:uid="{627D18F8-9B28-47D0-8374-5C04308969C7}"/>
    <cellStyle name="Note 3 4 3" xfId="1443" xr:uid="{31460815-D982-4CFC-864C-E102B6F53E2A}"/>
    <cellStyle name="Note 3 4 3 2" xfId="3101" xr:uid="{18FE4812-5C52-4525-A56A-80CFB279A158}"/>
    <cellStyle name="Note 3 4 4" xfId="2272" xr:uid="{9B4A8803-1CCF-4AF5-8237-5E1CE9F50706}"/>
    <cellStyle name="Note 3 5" xfId="565" xr:uid="{00000000-0005-0000-0000-0000FB030000}"/>
    <cellStyle name="Note 3 5 2" xfId="1029" xr:uid="{00000000-0005-0000-0000-0000FC030000}"/>
    <cellStyle name="Note 3 5 2 2" xfId="1860" xr:uid="{E07E8192-27B3-464C-B905-68D31EADC98A}"/>
    <cellStyle name="Note 3 5 2 2 2" xfId="3518" xr:uid="{8FDA9830-176D-492B-9FB2-92A9199B6C96}"/>
    <cellStyle name="Note 3 5 2 3" xfId="2689" xr:uid="{9B3851DC-64D4-4912-BFE1-6461FD7E2365}"/>
    <cellStyle name="Note 3 5 3" xfId="1444" xr:uid="{E88F8A81-E8CD-476E-B3E2-9269B58C4C82}"/>
    <cellStyle name="Note 3 5 3 2" xfId="3102" xr:uid="{17F3A2F5-25F2-4A6B-B83E-3E2CD6CF18DA}"/>
    <cellStyle name="Note 3 5 4" xfId="2273" xr:uid="{89199D35-B9A4-4CA5-ADAD-CDD9EF1A19C5}"/>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B207AC53-5A52-4278-845B-A8F8A11BE6CF}"/>
    <cellStyle name="Percent 3 2 2" xfId="3105" xr:uid="{C81152BE-BEFD-4BCE-965B-A27A7ACB7497}"/>
    <cellStyle name="Percent 3 3" xfId="2276" xr:uid="{7DF83674-909E-4FCF-A3C6-31F59DAB692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Housing%20Development%20Share\Projects\02PotentialProjects\Merced\I%20Street\Financing\TCAC\Draft\0-E%20App%20&amp;%20Exhibits\old\2025-9-percent-E-App%20-%20V2.xlsm" TargetMode="External"/><Relationship Id="rId1" Type="http://schemas.openxmlformats.org/officeDocument/2006/relationships/externalLinkPath" Target="0-E%20App%20&amp;%20Exhibits/old/2025-9-percent-E-App%20-%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32">
          <cell r="C632" t="str">
            <v>City of Merced PLHA</v>
          </cell>
        </row>
        <row r="634">
          <cell r="C634" t="str">
            <v>City of Merced-Value of Donated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9" t="s">
        <v>1858</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3" t="s">
        <v>2138</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65" customHeight="1">
      <c r="A19" s="5"/>
      <c r="C19" s="3"/>
      <c r="D19" s="986" t="s">
        <v>2323</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987" t="s">
        <v>2317</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c r="A26" s="5"/>
      <c r="C26" s="3"/>
      <c r="E26" s="987" t="s">
        <v>2318</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c r="A27" s="5"/>
      <c r="C27" s="3"/>
      <c r="E27" s="988" t="s">
        <v>2324</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2002</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c r="A31" s="5"/>
      <c r="D31" s="156"/>
      <c r="E31" s="995" t="s">
        <v>1285</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c r="A32" s="5"/>
      <c r="D32" s="156"/>
      <c r="E32" s="995" t="s">
        <v>1142</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3" t="s">
        <v>1680</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3" t="s">
        <v>2140</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5" t="s">
        <v>2141</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c r="A51" s="5"/>
      <c r="B51" s="3"/>
      <c r="C51" s="3"/>
      <c r="D51" s="3"/>
      <c r="E51" s="5"/>
      <c r="F51" s="12" t="s">
        <v>196</v>
      </c>
      <c r="G51" s="985" t="s">
        <v>2142</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3" t="s">
        <v>1683</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196</v>
      </c>
      <c r="G61" s="983" t="s">
        <v>1682</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3" t="s">
        <v>1684</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196</v>
      </c>
      <c r="G67" s="983" t="s">
        <v>1685</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1698</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1699</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3" t="s">
        <v>1686</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1687</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3" t="s">
        <v>1691</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4" t="s">
        <v>1692</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1693</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1694</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3" t="s">
        <v>1695</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3" t="s">
        <v>1696</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3" t="s">
        <v>1697</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3" t="s">
        <v>1700</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3" t="s">
        <v>1701</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3" t="s">
        <v>1702</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3" t="s">
        <v>2287</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900</v>
      </c>
      <c r="F235" s="5" t="s">
        <v>244</v>
      </c>
      <c r="G235" s="5"/>
      <c r="H235" s="5"/>
      <c r="I235" s="5"/>
      <c r="M235" s="5"/>
      <c r="N235" s="5"/>
      <c r="O235" s="5"/>
      <c r="P235" s="5"/>
      <c r="Q235" s="5"/>
      <c r="R235" s="5"/>
      <c r="S235" s="5"/>
    </row>
    <row r="236" spans="1:38">
      <c r="B236" s="5"/>
      <c r="C236" s="5"/>
      <c r="F236" s="5" t="s">
        <v>820</v>
      </c>
      <c r="G236" s="983" t="s">
        <v>1703</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65" customHeight="1">
      <c r="B343" s="3"/>
      <c r="E343" s="985" t="s">
        <v>1808</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c r="B348" s="3"/>
      <c r="E348" s="5" t="s">
        <v>899</v>
      </c>
      <c r="F348" s="983" t="s">
        <v>1809</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c r="B352" s="3"/>
      <c r="E352" s="5" t="s">
        <v>900</v>
      </c>
      <c r="F352" s="983" t="s">
        <v>1810</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1" customFormat="1">
      <c r="A365"/>
      <c r="B365" s="3"/>
      <c r="C365"/>
      <c r="D365"/>
      <c r="E365" s="991" t="s">
        <v>1805</v>
      </c>
    </row>
    <row r="366" spans="1:38" s="991" customFormat="1">
      <c r="A366"/>
      <c r="B366" s="3"/>
      <c r="C366"/>
      <c r="D366"/>
    </row>
    <row r="367" spans="1:38">
      <c r="B367" s="3"/>
      <c r="F367" s="989" t="s">
        <v>1806</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G39" activeCellId="1" sqref="E42:E44 G39:G40"/>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58" t="s">
        <v>1850</v>
      </c>
      <c r="B1" s="1958"/>
      <c r="C1" s="1958"/>
      <c r="D1" s="1958"/>
      <c r="E1" s="1958"/>
      <c r="F1" s="1958"/>
      <c r="G1" s="1958"/>
      <c r="H1" s="1958"/>
      <c r="I1" s="1958"/>
      <c r="J1" s="1958"/>
      <c r="K1" s="1958"/>
      <c r="L1" s="1958"/>
      <c r="M1" s="1958"/>
      <c r="N1" s="1958"/>
      <c r="O1" s="1958"/>
      <c r="P1" s="1958"/>
      <c r="Q1" s="1958"/>
      <c r="R1" s="1958"/>
      <c r="S1" s="1958"/>
    </row>
    <row r="2" spans="1:19" ht="15" customHeight="1">
      <c r="A2" s="1958"/>
      <c r="B2" s="1958"/>
      <c r="C2" s="1958"/>
      <c r="D2" s="1958"/>
      <c r="E2" s="1958"/>
      <c r="F2" s="1958"/>
      <c r="G2" s="1958"/>
      <c r="H2" s="1958"/>
      <c r="I2" s="1958"/>
      <c r="J2" s="1958"/>
      <c r="K2" s="1958"/>
      <c r="L2" s="1958"/>
      <c r="M2" s="1958"/>
      <c r="N2" s="1958"/>
      <c r="O2" s="1958"/>
      <c r="P2" s="1958"/>
      <c r="Q2" s="1958"/>
      <c r="R2" s="1958"/>
      <c r="S2" s="195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3" t="s">
        <v>2104</v>
      </c>
      <c r="C4" s="1943"/>
      <c r="D4" s="1943"/>
      <c r="E4" s="1943"/>
      <c r="F4" s="1943"/>
      <c r="G4" s="1943"/>
      <c r="H4" s="1943"/>
      <c r="I4" s="1943"/>
      <c r="J4" s="1943"/>
      <c r="K4" s="1943"/>
      <c r="L4" s="1943"/>
      <c r="M4" s="1943"/>
      <c r="N4" s="1943"/>
      <c r="O4" s="1943"/>
      <c r="P4" s="1943"/>
      <c r="Q4" s="1943"/>
      <c r="R4" s="1943"/>
    </row>
    <row r="5" spans="1:19" ht="15" customHeight="1">
      <c r="A5" s="504"/>
      <c r="B5" s="1943"/>
      <c r="C5" s="1943"/>
      <c r="D5" s="1943"/>
      <c r="E5" s="1943"/>
      <c r="F5" s="1943"/>
      <c r="G5" s="1943"/>
      <c r="H5" s="1943"/>
      <c r="I5" s="1943"/>
      <c r="J5" s="1943"/>
      <c r="K5" s="1943"/>
      <c r="L5" s="1943"/>
      <c r="M5" s="1943"/>
      <c r="N5" s="1943"/>
      <c r="O5" s="1943"/>
      <c r="P5" s="1943"/>
      <c r="Q5" s="1943"/>
      <c r="R5" s="1943"/>
    </row>
    <row r="6" spans="1:19" ht="15" customHeight="1">
      <c r="A6" s="504"/>
      <c r="B6" s="1943"/>
      <c r="C6" s="1943"/>
      <c r="D6" s="1943"/>
      <c r="E6" s="1943"/>
      <c r="F6" s="1943"/>
      <c r="G6" s="1943"/>
      <c r="H6" s="1943"/>
      <c r="I6" s="1943"/>
      <c r="J6" s="1943"/>
      <c r="K6" s="1943"/>
      <c r="L6" s="1943"/>
      <c r="M6" s="1943"/>
      <c r="N6" s="1943"/>
      <c r="O6" s="1943"/>
      <c r="P6" s="1943"/>
      <c r="Q6" s="1943"/>
      <c r="R6" s="194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3" t="s">
        <v>2209</v>
      </c>
      <c r="C8" s="1943"/>
      <c r="D8" s="1943"/>
      <c r="E8" s="1943"/>
      <c r="F8" s="1943"/>
      <c r="G8" s="1943"/>
      <c r="H8" s="1943"/>
      <c r="I8" s="1943"/>
      <c r="J8" s="1943"/>
      <c r="K8" s="1943"/>
      <c r="L8" s="1943"/>
      <c r="M8" s="1943"/>
      <c r="N8" s="1943"/>
      <c r="O8" s="1943"/>
      <c r="P8" s="1943"/>
      <c r="Q8" s="1943"/>
      <c r="R8" s="194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3" t="s">
        <v>2189</v>
      </c>
      <c r="C10" s="1943"/>
      <c r="D10" s="1943"/>
      <c r="E10" s="1943"/>
      <c r="F10" s="1943"/>
      <c r="G10" s="1943"/>
      <c r="H10" s="1943"/>
      <c r="I10" s="1943"/>
      <c r="J10" s="1943"/>
      <c r="K10" s="1943"/>
      <c r="L10" s="1943"/>
      <c r="M10" s="1943"/>
      <c r="N10" s="1943"/>
      <c r="O10" s="1943"/>
      <c r="P10" s="1943"/>
      <c r="Q10" s="1943"/>
      <c r="R10" s="1943"/>
    </row>
    <row r="11" spans="1:19" ht="29.25" customHeight="1">
      <c r="A11" s="504"/>
      <c r="B11" s="1943"/>
      <c r="C11" s="1943"/>
      <c r="D11" s="1943"/>
      <c r="E11" s="1943"/>
      <c r="F11" s="1943"/>
      <c r="G11" s="1943"/>
      <c r="H11" s="1943"/>
      <c r="I11" s="1943"/>
      <c r="J11" s="1943"/>
      <c r="K11" s="1943"/>
      <c r="L11" s="1943"/>
      <c r="M11" s="1943"/>
      <c r="N11" s="1943"/>
      <c r="O11" s="1943"/>
      <c r="P11" s="1943"/>
      <c r="Q11" s="1943"/>
      <c r="R11" s="194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3" t="s">
        <v>2105</v>
      </c>
      <c r="C13" s="1943"/>
      <c r="D13" s="1943"/>
      <c r="E13" s="1943"/>
      <c r="F13" s="1943"/>
      <c r="G13" s="1943"/>
      <c r="H13" s="1943"/>
      <c r="I13" s="1943"/>
      <c r="J13" s="1943"/>
      <c r="K13" s="1943"/>
      <c r="L13" s="1943"/>
      <c r="M13" s="1943"/>
      <c r="N13" s="1943"/>
      <c r="O13" s="1943"/>
      <c r="P13" s="1943"/>
      <c r="Q13" s="1943"/>
      <c r="R13" s="1943"/>
    </row>
    <row r="14" spans="1:19" ht="15" customHeight="1">
      <c r="A14" s="504"/>
      <c r="B14" s="1943"/>
      <c r="C14" s="1943"/>
      <c r="D14" s="1943"/>
      <c r="E14" s="1943"/>
      <c r="F14" s="1943"/>
      <c r="G14" s="1943"/>
      <c r="H14" s="1943"/>
      <c r="I14" s="1943"/>
      <c r="J14" s="1943"/>
      <c r="K14" s="1943"/>
      <c r="L14" s="1943"/>
      <c r="M14" s="1943"/>
      <c r="N14" s="1943"/>
      <c r="O14" s="1943"/>
      <c r="P14" s="1943"/>
      <c r="Q14" s="1943"/>
      <c r="R14" s="1943"/>
    </row>
    <row r="15" spans="1:19" ht="15" customHeight="1">
      <c r="A15" s="504"/>
      <c r="B15" s="1943"/>
      <c r="C15" s="1943"/>
      <c r="D15" s="1943"/>
      <c r="E15" s="1943"/>
      <c r="F15" s="1943"/>
      <c r="G15" s="1943"/>
      <c r="H15" s="1943"/>
      <c r="I15" s="1943"/>
      <c r="J15" s="1943"/>
      <c r="K15" s="1943"/>
      <c r="L15" s="1943"/>
      <c r="M15" s="1943"/>
      <c r="N15" s="1943"/>
      <c r="O15" s="1943"/>
      <c r="P15" s="1943"/>
      <c r="Q15" s="1943"/>
      <c r="R15" s="1943"/>
    </row>
    <row r="16" spans="1:19" ht="15" customHeight="1">
      <c r="A16" s="504"/>
      <c r="B16" s="1943"/>
      <c r="C16" s="1943"/>
      <c r="D16" s="1943"/>
      <c r="E16" s="1943"/>
      <c r="F16" s="1943"/>
      <c r="G16" s="1943"/>
      <c r="H16" s="1943"/>
      <c r="I16" s="1943"/>
      <c r="J16" s="1943"/>
      <c r="K16" s="1943"/>
      <c r="L16" s="1943"/>
      <c r="M16" s="1943"/>
      <c r="N16" s="1943"/>
      <c r="O16" s="1943"/>
      <c r="P16" s="1943"/>
      <c r="Q16" s="1943"/>
      <c r="R16" s="1943"/>
    </row>
    <row r="17" spans="1:18" ht="15" customHeight="1">
      <c r="A17" s="504"/>
      <c r="B17" s="1943"/>
      <c r="C17" s="1943"/>
      <c r="D17" s="1943"/>
      <c r="E17" s="1943"/>
      <c r="F17" s="1943"/>
      <c r="G17" s="1943"/>
      <c r="H17" s="1943"/>
      <c r="I17" s="1943"/>
      <c r="J17" s="1943"/>
      <c r="K17" s="1943"/>
      <c r="L17" s="1943"/>
      <c r="M17" s="1943"/>
      <c r="N17" s="1943"/>
      <c r="O17" s="1943"/>
      <c r="P17" s="1943"/>
      <c r="Q17" s="1943"/>
      <c r="R17" s="194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3" t="s">
        <v>1789</v>
      </c>
      <c r="C19" s="1943"/>
      <c r="D19" s="1943"/>
      <c r="E19" s="1943"/>
      <c r="F19" s="1943"/>
      <c r="G19" s="1943"/>
      <c r="H19" s="1943"/>
      <c r="I19" s="1943"/>
      <c r="J19" s="1943"/>
      <c r="K19" s="1943"/>
      <c r="L19" s="1943"/>
      <c r="M19" s="1943"/>
      <c r="N19" s="1943"/>
      <c r="O19" s="1943"/>
      <c r="P19" s="1943"/>
      <c r="Q19" s="1943"/>
      <c r="R19" s="1943"/>
    </row>
    <row r="20" spans="1:18" ht="15" customHeight="1">
      <c r="A20" s="504"/>
      <c r="B20" s="1943"/>
      <c r="C20" s="1943"/>
      <c r="D20" s="1943"/>
      <c r="E20" s="1943"/>
      <c r="F20" s="1943"/>
      <c r="G20" s="1943"/>
      <c r="H20" s="1943"/>
      <c r="I20" s="1943"/>
      <c r="J20" s="1943"/>
      <c r="K20" s="1943"/>
      <c r="L20" s="1943"/>
      <c r="M20" s="1943"/>
      <c r="N20" s="1943"/>
      <c r="O20" s="1943"/>
      <c r="P20" s="1943"/>
      <c r="Q20" s="1943"/>
      <c r="R20" s="1943"/>
    </row>
    <row r="21" spans="1:18" ht="15" customHeight="1">
      <c r="A21" s="504"/>
      <c r="B21" s="1943"/>
      <c r="C21" s="1943"/>
      <c r="D21" s="1943"/>
      <c r="E21" s="1943"/>
      <c r="F21" s="1943"/>
      <c r="G21" s="1943"/>
      <c r="H21" s="1943"/>
      <c r="I21" s="1943"/>
      <c r="J21" s="1943"/>
      <c r="K21" s="1943"/>
      <c r="L21" s="1943"/>
      <c r="M21" s="1943"/>
      <c r="N21" s="1943"/>
      <c r="O21" s="1943"/>
      <c r="P21" s="1943"/>
      <c r="Q21" s="1943"/>
      <c r="R21" s="194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3" t="s">
        <v>1790</v>
      </c>
      <c r="C23" s="1943"/>
      <c r="D23" s="1943"/>
      <c r="E23" s="1943"/>
      <c r="F23" s="1943"/>
      <c r="G23" s="1943"/>
      <c r="H23" s="1943"/>
      <c r="I23" s="1943"/>
      <c r="J23" s="1943"/>
      <c r="K23" s="1943"/>
      <c r="L23" s="1943"/>
      <c r="M23" s="1943"/>
      <c r="N23" s="1943"/>
      <c r="O23" s="1943"/>
      <c r="P23" s="1943"/>
      <c r="Q23" s="1943"/>
      <c r="R23" s="1943"/>
    </row>
    <row r="24" spans="1:18" ht="15" customHeight="1">
      <c r="B24" s="1943"/>
      <c r="C24" s="1943"/>
      <c r="D24" s="1943"/>
      <c r="E24" s="1943"/>
      <c r="F24" s="1943"/>
      <c r="G24" s="1943"/>
      <c r="H24" s="1943"/>
      <c r="I24" s="1943"/>
      <c r="J24" s="1943"/>
      <c r="K24" s="1943"/>
      <c r="L24" s="1943"/>
      <c r="M24" s="1943"/>
      <c r="N24" s="1943"/>
      <c r="O24" s="1943"/>
      <c r="P24" s="1943"/>
      <c r="Q24" s="1943"/>
      <c r="R24" s="194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3" t="s">
        <v>1688</v>
      </c>
      <c r="C26" s="1943"/>
      <c r="D26" s="1943"/>
      <c r="E26" s="1943"/>
      <c r="F26" s="1943"/>
      <c r="G26" s="1943"/>
      <c r="H26" s="1943"/>
      <c r="I26" s="1943"/>
      <c r="J26" s="1943"/>
      <c r="K26" s="1943"/>
      <c r="L26" s="1943"/>
      <c r="M26" s="1943"/>
      <c r="N26" s="1943"/>
      <c r="O26" s="1943"/>
      <c r="P26" s="1943"/>
      <c r="Q26" s="1943"/>
      <c r="R26" s="194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69" t="s">
        <v>1602</v>
      </c>
      <c r="C29" s="1969"/>
      <c r="D29" s="1969"/>
      <c r="E29" s="1969"/>
      <c r="F29" s="1969"/>
      <c r="G29" s="1969"/>
      <c r="H29" s="373"/>
      <c r="I29" s="373"/>
      <c r="J29" s="373"/>
      <c r="K29" s="373"/>
      <c r="L29" s="373"/>
      <c r="M29" s="373"/>
      <c r="N29" s="373"/>
      <c r="O29" s="1967" t="s">
        <v>1611</v>
      </c>
    </row>
    <row r="30" spans="1:18" ht="15" customHeight="1">
      <c r="B30" s="1969"/>
      <c r="C30" s="1969"/>
      <c r="D30" s="1969"/>
      <c r="E30" s="1969"/>
      <c r="F30" s="1969"/>
      <c r="G30" s="1969"/>
      <c r="H30" s="373"/>
      <c r="I30" s="373"/>
      <c r="J30" s="373"/>
      <c r="K30" s="373"/>
      <c r="L30" s="373"/>
      <c r="M30" s="373"/>
      <c r="N30" s="373"/>
      <c r="O30" s="1967"/>
    </row>
    <row r="31" spans="1:18" ht="15" customHeight="1">
      <c r="B31" s="1969"/>
      <c r="C31" s="1969"/>
      <c r="D31" s="1969"/>
      <c r="E31" s="1969"/>
      <c r="F31" s="1969"/>
      <c r="G31" s="1969"/>
      <c r="H31" s="373"/>
      <c r="I31" s="373"/>
      <c r="J31" s="373"/>
      <c r="K31" s="373"/>
      <c r="L31" s="373"/>
      <c r="M31" s="373"/>
      <c r="N31" s="373"/>
      <c r="O31" s="1967"/>
    </row>
    <row r="32" spans="1:18" ht="15" customHeight="1">
      <c r="B32" s="1970"/>
      <c r="C32" s="1970"/>
      <c r="D32" s="1970"/>
      <c r="E32" s="1970"/>
      <c r="F32" s="1970"/>
      <c r="G32" s="1970"/>
      <c r="I32" s="1936" t="s">
        <v>138</v>
      </c>
      <c r="J32" s="1937" t="s">
        <v>991</v>
      </c>
      <c r="K32" s="1971">
        <v>1</v>
      </c>
      <c r="M32" s="506"/>
      <c r="O32" s="1968"/>
      <c r="P32" s="1937" t="s">
        <v>1928</v>
      </c>
    </row>
    <row r="33" spans="1:21" ht="15" customHeight="1">
      <c r="B33" s="1972" t="s">
        <v>1606</v>
      </c>
      <c r="C33" s="1972"/>
      <c r="D33" s="1972"/>
      <c r="E33" s="1972"/>
      <c r="F33" s="1972"/>
      <c r="G33" s="1972"/>
      <c r="I33" s="1936"/>
      <c r="J33" s="1937"/>
      <c r="K33" s="1971"/>
      <c r="M33" s="507"/>
      <c r="O33" s="1972"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9" t="s">
        <v>1596</v>
      </c>
      <c r="C37" s="1959"/>
      <c r="D37" s="1959"/>
      <c r="E37" s="1959"/>
      <c r="F37" s="513"/>
      <c r="G37" s="513"/>
      <c r="H37" s="514"/>
      <c r="I37" s="373"/>
      <c r="J37" s="373"/>
      <c r="L37" s="526"/>
      <c r="M37" s="526"/>
      <c r="N37" s="526"/>
      <c r="O37" s="526"/>
      <c r="P37" s="526"/>
      <c r="Q37" s="526"/>
      <c r="R37" s="526"/>
      <c r="S37" s="526"/>
    </row>
    <row r="38" spans="1:21" ht="15" customHeight="1">
      <c r="B38" s="1946" t="s">
        <v>1612</v>
      </c>
      <c r="C38" s="1946"/>
      <c r="D38" s="1946"/>
      <c r="E38" s="1946"/>
      <c r="F38" s="647"/>
      <c r="G38" s="515">
        <f>D110</f>
        <v>4001622.9431824675</v>
      </c>
      <c r="H38" s="381"/>
      <c r="I38" s="516"/>
      <c r="J38" s="381"/>
      <c r="K38" s="1955" t="s">
        <v>2206</v>
      </c>
      <c r="L38" s="1955"/>
      <c r="M38" s="1955"/>
      <c r="N38" s="1955"/>
      <c r="O38" s="1955"/>
      <c r="P38" s="1955"/>
      <c r="Q38" s="1955"/>
      <c r="R38" s="1955"/>
      <c r="S38" s="1955"/>
    </row>
    <row r="39" spans="1:21" ht="15" customHeight="1">
      <c r="B39" s="1954" t="s">
        <v>1282</v>
      </c>
      <c r="C39" s="1954"/>
      <c r="D39" s="1954"/>
      <c r="E39" s="1954"/>
      <c r="F39" s="647"/>
      <c r="G39" s="629">
        <f>Application!AO634</f>
        <v>400000</v>
      </c>
      <c r="H39" s="381"/>
      <c r="I39" s="516"/>
      <c r="J39" s="381"/>
      <c r="K39" s="1955"/>
      <c r="L39" s="1955"/>
      <c r="M39" s="1955"/>
      <c r="N39" s="1955"/>
      <c r="O39" s="1955"/>
      <c r="P39" s="1955"/>
      <c r="Q39" s="1955"/>
      <c r="R39" s="1955"/>
      <c r="S39" s="1955"/>
    </row>
    <row r="40" spans="1:21" ht="15" customHeight="1">
      <c r="B40" s="1954" t="s">
        <v>1283</v>
      </c>
      <c r="C40" s="1954"/>
      <c r="D40" s="1954"/>
      <c r="E40" s="1954"/>
      <c r="F40" s="647"/>
      <c r="G40" s="629">
        <f>Application!AO635</f>
        <v>416034</v>
      </c>
      <c r="H40" s="381"/>
      <c r="I40" s="516"/>
      <c r="J40" s="381"/>
      <c r="K40" s="1955"/>
      <c r="L40" s="1955"/>
      <c r="M40" s="1955"/>
      <c r="N40" s="1955"/>
      <c r="O40" s="1955"/>
      <c r="P40" s="1955"/>
      <c r="Q40" s="1955"/>
      <c r="R40" s="1955"/>
      <c r="S40" s="1955"/>
    </row>
    <row r="41" spans="1:21" ht="15" customHeight="1">
      <c r="B41" s="1964" t="s">
        <v>1607</v>
      </c>
      <c r="C41" s="1964"/>
      <c r="D41" s="1964"/>
      <c r="E41" s="1964"/>
      <c r="F41" s="647"/>
      <c r="G41" s="381"/>
      <c r="H41" s="381"/>
      <c r="I41" s="516"/>
      <c r="J41" s="381"/>
      <c r="K41" s="1948" t="s">
        <v>123</v>
      </c>
      <c r="L41" s="1948"/>
      <c r="M41" s="1948"/>
      <c r="N41" s="1948"/>
      <c r="O41" s="1948"/>
      <c r="P41" s="1948"/>
      <c r="Q41" s="1948"/>
      <c r="R41" s="1948"/>
      <c r="S41" s="1948"/>
    </row>
    <row r="42" spans="1:21" ht="15" customHeight="1">
      <c r="B42" s="631" t="str">
        <f>Application!C630</f>
        <v>Alliance Housing Fund</v>
      </c>
      <c r="C42" s="631"/>
      <c r="D42" s="625"/>
      <c r="E42" s="649">
        <f>Application!AO630</f>
        <v>3392621</v>
      </c>
      <c r="F42" s="647"/>
      <c r="G42" s="381"/>
      <c r="H42" s="381"/>
      <c r="I42" s="516"/>
      <c r="J42" s="381"/>
      <c r="K42" s="1953"/>
      <c r="L42" s="1953"/>
      <c r="M42" s="1953"/>
      <c r="N42" s="1953"/>
      <c r="O42" s="1953"/>
      <c r="Q42" s="1933"/>
      <c r="R42" s="1933"/>
      <c r="U42" s="751" t="s">
        <v>123</v>
      </c>
    </row>
    <row r="43" spans="1:21" ht="15" customHeight="1">
      <c r="B43" s="631" t="str">
        <f>Application!C631</f>
        <v>REAP: Regional Competitiveness Grant</v>
      </c>
      <c r="C43" s="631"/>
      <c r="D43" s="501"/>
      <c r="E43" s="649">
        <f>Application!AO631</f>
        <v>2497538</v>
      </c>
      <c r="F43" s="647"/>
      <c r="G43" s="381"/>
      <c r="H43" s="381"/>
      <c r="I43" s="516"/>
      <c r="J43" s="381"/>
      <c r="L43" s="381"/>
      <c r="M43" s="373"/>
      <c r="N43" s="373"/>
      <c r="O43" s="373"/>
      <c r="Q43" s="517"/>
      <c r="R43" s="517"/>
      <c r="U43" s="751" t="s">
        <v>2205</v>
      </c>
    </row>
    <row r="44" spans="1:21" ht="15" customHeight="1">
      <c r="B44" s="631" t="str">
        <f>Application!C632</f>
        <v>City of Merced PLHA</v>
      </c>
      <c r="C44" s="631"/>
      <c r="D44" s="501"/>
      <c r="E44" s="649">
        <f>Application!AO632</f>
        <v>1608830</v>
      </c>
      <c r="F44" s="647"/>
      <c r="G44" s="381"/>
      <c r="H44" s="381"/>
      <c r="I44" s="516"/>
      <c r="K44" s="380" t="s">
        <v>1841</v>
      </c>
      <c r="Q44" s="1933"/>
      <c r="R44" s="1933"/>
    </row>
    <row r="45" spans="1:21" ht="15" customHeight="1">
      <c r="B45" s="631" t="str">
        <f>Application!C633</f>
        <v>FHLB AHP</v>
      </c>
      <c r="C45" s="631"/>
      <c r="D45" s="501"/>
      <c r="E45" s="649">
        <f>Application!AO633</f>
        <v>795000</v>
      </c>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8"/>
      <c r="R46" s="1928"/>
    </row>
    <row r="47" spans="1:21" ht="15" customHeight="1">
      <c r="B47" s="631"/>
      <c r="C47" s="631"/>
      <c r="D47" s="501"/>
      <c r="E47" s="649"/>
      <c r="F47" s="647"/>
      <c r="G47" s="381"/>
      <c r="H47" s="381"/>
      <c r="I47" s="516"/>
      <c r="J47" s="381"/>
      <c r="K47" s="1929" t="s">
        <v>1838</v>
      </c>
      <c r="L47" s="1929"/>
      <c r="M47" s="1929"/>
      <c r="N47" s="1929"/>
      <c r="O47" s="1929"/>
      <c r="Q47" s="1966"/>
      <c r="R47" s="1966"/>
    </row>
    <row r="48" spans="1:21" ht="15" customHeight="1">
      <c r="B48" s="631"/>
      <c r="C48" s="631"/>
      <c r="D48" s="501"/>
      <c r="E48" s="649"/>
      <c r="F48" s="647"/>
      <c r="G48" s="381"/>
      <c r="H48" s="381"/>
      <c r="I48" s="516"/>
      <c r="J48" s="381"/>
      <c r="K48" s="1965" t="s">
        <v>1839</v>
      </c>
      <c r="L48" s="1965"/>
      <c r="M48" s="1965"/>
      <c r="N48" s="1965"/>
      <c r="O48" s="1965"/>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6" t="s">
        <v>1603</v>
      </c>
      <c r="C52" s="1946"/>
      <c r="D52" s="1946"/>
      <c r="E52" s="1946"/>
      <c r="F52" s="647"/>
      <c r="G52" s="515">
        <f>SUM(E42:E49)-ABS(E50)-ABS(E51)</f>
        <v>8293989</v>
      </c>
      <c r="H52" s="381"/>
      <c r="I52" s="516"/>
      <c r="J52" s="381"/>
    </row>
    <row r="53" spans="1:29" ht="15" customHeight="1">
      <c r="C53" s="520"/>
      <c r="D53" s="520" t="s">
        <v>874</v>
      </c>
      <c r="E53" s="520"/>
      <c r="F53" s="520"/>
      <c r="G53" s="521">
        <f>SUM(G38:G40)+G52</f>
        <v>13111645.943182468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5" t="s">
        <v>1263</v>
      </c>
      <c r="C56" s="1945"/>
      <c r="D56" s="647"/>
      <c r="E56" s="647"/>
      <c r="F56" s="647"/>
      <c r="G56" s="647"/>
      <c r="H56" s="647"/>
      <c r="I56" s="647"/>
      <c r="J56" s="647"/>
      <c r="K56" s="647"/>
      <c r="L56" s="647"/>
      <c r="M56" s="647"/>
      <c r="N56" s="647"/>
      <c r="O56" s="647"/>
      <c r="P56" s="647"/>
      <c r="U56" s="947" t="s">
        <v>1784</v>
      </c>
      <c r="AC56" s="948">
        <v>0.2</v>
      </c>
    </row>
    <row r="57" spans="1:29" ht="15" customHeight="1">
      <c r="A57" s="518"/>
      <c r="B57" s="1944" t="s">
        <v>1598</v>
      </c>
      <c r="C57" s="1944"/>
      <c r="D57" s="1944"/>
      <c r="E57" s="1944"/>
      <c r="F57" s="1944"/>
      <c r="G57" s="1944"/>
      <c r="H57" s="1944"/>
      <c r="I57" s="1944"/>
      <c r="J57" s="1944"/>
      <c r="K57" s="1944"/>
      <c r="L57" s="1944"/>
      <c r="M57" s="1944"/>
      <c r="N57" s="1944"/>
      <c r="O57" s="1944"/>
      <c r="P57" s="647"/>
      <c r="U57" s="947" t="s">
        <v>1785</v>
      </c>
      <c r="AC57" s="948">
        <v>0.1</v>
      </c>
    </row>
    <row r="58" spans="1:29" ht="15" customHeight="1">
      <c r="B58" s="1959" t="s">
        <v>2204</v>
      </c>
      <c r="C58" s="1960"/>
      <c r="D58" s="1960"/>
      <c r="E58" s="1960"/>
      <c r="F58" s="523"/>
      <c r="G58" s="523"/>
      <c r="H58" s="513"/>
      <c r="I58" s="513"/>
      <c r="J58" s="1961">
        <f>('Sources and Uses Budget'!D104+Q47)/('Sources and Uses Budget'!B104+Q48)</f>
        <v>0</v>
      </c>
      <c r="K58" s="1962"/>
      <c r="L58" s="1962"/>
      <c r="M58" s="1962"/>
      <c r="N58" s="1963"/>
      <c r="O58" s="513"/>
      <c r="P58" s="513"/>
      <c r="U58" s="947" t="s">
        <v>1786</v>
      </c>
      <c r="AC58" s="948">
        <v>0.1</v>
      </c>
    </row>
    <row r="59" spans="1:29" ht="15" customHeight="1">
      <c r="B59" s="1943" t="s">
        <v>2106</v>
      </c>
      <c r="C59" s="1943"/>
      <c r="D59" s="1943"/>
      <c r="E59" s="1943"/>
      <c r="F59" s="1943"/>
      <c r="G59" s="1943"/>
      <c r="H59" s="1943"/>
      <c r="I59" s="1943"/>
      <c r="J59" s="1943"/>
      <c r="K59" s="1943"/>
      <c r="L59" s="1943"/>
      <c r="M59" s="1943"/>
      <c r="N59" s="1943"/>
      <c r="O59" s="1943"/>
      <c r="P59" s="513"/>
      <c r="U59" s="947" t="s">
        <v>1787</v>
      </c>
      <c r="AC59" s="948">
        <v>0.05</v>
      </c>
    </row>
    <row r="60" spans="1:29" ht="15" customHeight="1">
      <c r="B60" s="1943"/>
      <c r="C60" s="1943"/>
      <c r="D60" s="1943"/>
      <c r="E60" s="1943"/>
      <c r="F60" s="1943"/>
      <c r="G60" s="1943"/>
      <c r="H60" s="1943"/>
      <c r="I60" s="1943"/>
      <c r="J60" s="1943"/>
      <c r="K60" s="1943"/>
      <c r="L60" s="1943"/>
      <c r="M60" s="1943"/>
      <c r="N60" s="1943"/>
      <c r="O60" s="1943"/>
      <c r="P60" s="513"/>
      <c r="AC60" s="949"/>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9" t="s">
        <v>2207</v>
      </c>
      <c r="K63" s="1950"/>
      <c r="L63" s="1950"/>
      <c r="M63" s="1950"/>
      <c r="N63" s="1950"/>
      <c r="O63" s="1950"/>
      <c r="P63" s="1950"/>
      <c r="Q63" s="1950"/>
      <c r="R63" s="1950"/>
    </row>
    <row r="64" spans="1:29" ht="15" customHeight="1" thickBot="1">
      <c r="B64" s="1945" t="s">
        <v>1608</v>
      </c>
      <c r="C64" s="1945"/>
      <c r="D64" s="373"/>
      <c r="F64" s="373"/>
      <c r="G64" s="520" t="s">
        <v>1840</v>
      </c>
      <c r="H64" s="373"/>
      <c r="I64" s="755"/>
      <c r="J64" s="1951"/>
      <c r="K64" s="1952"/>
      <c r="L64" s="1952"/>
      <c r="M64" s="1952"/>
      <c r="N64" s="1952"/>
      <c r="O64" s="1952"/>
      <c r="P64" s="1952"/>
      <c r="Q64" s="1952"/>
      <c r="R64" s="1952"/>
      <c r="U64" s="946">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1"/>
      <c r="K65" s="1952"/>
      <c r="L65" s="1952"/>
      <c r="M65" s="1952"/>
      <c r="N65" s="1952"/>
      <c r="O65" s="1952"/>
      <c r="P65" s="1952"/>
      <c r="Q65" s="1952"/>
      <c r="R65" s="1952"/>
      <c r="U65" s="946">
        <f>IF(J67="Non-rural project, Census Tract is Highest Resource (20 percentage points)",AC56,0)</f>
        <v>0</v>
      </c>
    </row>
    <row r="66" spans="1:22" ht="15" customHeight="1" thickBot="1">
      <c r="B66" s="525" t="s">
        <v>1676</v>
      </c>
      <c r="C66" s="635">
        <f>Application!AG438-Application!AG439</f>
        <v>54</v>
      </c>
      <c r="D66" s="785"/>
      <c r="E66" s="525" t="s">
        <v>1843</v>
      </c>
      <c r="F66" s="785"/>
      <c r="G66" s="652">
        <v>0</v>
      </c>
      <c r="H66" s="526"/>
      <c r="I66" s="756"/>
      <c r="J66" s="1951"/>
      <c r="K66" s="1952"/>
      <c r="L66" s="1952"/>
      <c r="M66" s="1952"/>
      <c r="N66" s="1952"/>
      <c r="O66" s="1952"/>
      <c r="P66" s="1952"/>
      <c r="Q66" s="1952"/>
      <c r="R66" s="1952"/>
      <c r="U66" s="946">
        <f>IF(J67="Non-rural project, Census Tract is High Resource (10 percentage points)",AC57,0)</f>
        <v>0</v>
      </c>
    </row>
    <row r="67" spans="1:22" ht="15" customHeight="1" thickBot="1">
      <c r="B67" s="525" t="s">
        <v>1597</v>
      </c>
      <c r="C67" s="636">
        <f>MIN(IF(AND(C65="Yes",G67&gt;=50),(0.75+(G67/200)),1),1.5)</f>
        <v>1.02</v>
      </c>
      <c r="D67" s="526"/>
      <c r="E67" s="525" t="s">
        <v>1677</v>
      </c>
      <c r="G67" s="635">
        <f>C66+G66</f>
        <v>54</v>
      </c>
      <c r="H67" s="526"/>
      <c r="I67" s="756"/>
      <c r="J67" s="1947" t="s">
        <v>123</v>
      </c>
      <c r="K67" s="1948"/>
      <c r="L67" s="1948"/>
      <c r="M67" s="1948"/>
      <c r="N67" s="1948"/>
      <c r="O67" s="1948"/>
      <c r="P67" s="1948"/>
      <c r="Q67" s="1948"/>
      <c r="R67" s="1948"/>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56">
        <f>SUM(U62:U68)</f>
        <v>0</v>
      </c>
    </row>
    <row r="70" spans="1:22" ht="15" customHeight="1" thickBot="1">
      <c r="B70" s="505" t="s">
        <v>1605</v>
      </c>
      <c r="C70" s="505"/>
      <c r="D70" s="505"/>
      <c r="E70" s="505"/>
      <c r="F70" s="505"/>
      <c r="G70" s="505"/>
      <c r="U70" s="1957"/>
      <c r="V70" s="370" t="s">
        <v>1788</v>
      </c>
    </row>
    <row r="71" spans="1:22" ht="15" customHeight="1">
      <c r="B71" s="1946" t="s">
        <v>1609</v>
      </c>
      <c r="C71" s="1946"/>
      <c r="D71" s="1946"/>
      <c r="E71" s="505"/>
      <c r="F71" s="505"/>
      <c r="G71" s="515">
        <f>G53*(1-J58)</f>
        <v>13111645.943182468</v>
      </c>
      <c r="J71" s="527"/>
      <c r="K71" s="684" t="s">
        <v>1611</v>
      </c>
      <c r="L71" s="684"/>
      <c r="M71" s="684"/>
      <c r="N71" s="684"/>
      <c r="O71" s="684"/>
      <c r="Q71" s="1930">
        <f>'Basis &amp; Credits'!T23+'Basis &amp; Credits'!Y23+'Basis &amp; Credits'!AD23+'Basis &amp; Credits'!AI23</f>
        <v>21367521</v>
      </c>
      <c r="R71" s="1930"/>
    </row>
    <row r="72" spans="1:22" ht="15" customHeight="1">
      <c r="B72" s="1932" t="s">
        <v>1610</v>
      </c>
      <c r="C72" s="1932"/>
      <c r="D72" s="1932"/>
      <c r="E72" s="505"/>
      <c r="F72" s="505"/>
      <c r="G72" s="515">
        <f>G71*C67</f>
        <v>13373878.862046119</v>
      </c>
      <c r="J72" s="527"/>
      <c r="K72" s="647"/>
      <c r="L72" s="647"/>
      <c r="M72" s="647"/>
      <c r="N72" s="647"/>
      <c r="O72" s="647"/>
      <c r="Q72" s="1933"/>
      <c r="R72" s="193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4">
        <f>$G$72</f>
        <v>13373878.862046119</v>
      </c>
      <c r="C75" s="1935"/>
      <c r="D75" s="1935"/>
      <c r="E75" s="1935"/>
      <c r="F75" s="1935"/>
      <c r="G75" s="1935"/>
      <c r="H75" s="528"/>
      <c r="I75" s="1936" t="s">
        <v>138</v>
      </c>
      <c r="J75" s="1937" t="s">
        <v>991</v>
      </c>
      <c r="K75" s="1936">
        <v>1</v>
      </c>
      <c r="M75" s="392"/>
      <c r="N75" s="507"/>
      <c r="O75" s="654">
        <f>$Q$71</f>
        <v>21367521</v>
      </c>
      <c r="P75" s="1937" t="s">
        <v>1928</v>
      </c>
      <c r="Q75" s="1938" t="s">
        <v>137</v>
      </c>
      <c r="R75" s="1941">
        <f>((B75/B76)+((1-(O75/O76))/2))+U69</f>
        <v>0.57369807697702468</v>
      </c>
    </row>
    <row r="76" spans="1:22" ht="15" customHeight="1" thickBot="1">
      <c r="B76" s="1939">
        <f>'Sources and Uses Budget'!$C$104+$Q$46-($E$50+$E$51)*(1-$J$58)</f>
        <v>36501880</v>
      </c>
      <c r="C76" s="1940"/>
      <c r="D76" s="1940"/>
      <c r="E76" s="1940"/>
      <c r="F76" s="1940"/>
      <c r="G76" s="1939"/>
      <c r="I76" s="1936"/>
      <c r="J76" s="1937"/>
      <c r="K76" s="1936"/>
      <c r="M76" s="645"/>
      <c r="O76" s="653">
        <f>B76</f>
        <v>36501880</v>
      </c>
      <c r="P76" s="1937"/>
      <c r="Q76" s="1938"/>
      <c r="R76" s="194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8"/>
      <c r="R84" s="1928"/>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8"/>
      <c r="R89" s="1928"/>
    </row>
    <row r="90" spans="2:18" ht="15" customHeight="1">
      <c r="B90" s="494" t="s">
        <v>2489</v>
      </c>
      <c r="C90" s="495">
        <v>26</v>
      </c>
      <c r="D90" s="496">
        <f>660-Application!Y703</f>
        <v>550</v>
      </c>
      <c r="E90" s="496">
        <v>1142</v>
      </c>
      <c r="F90" s="537"/>
      <c r="G90" s="381">
        <f>MAX(($E90-$D90)*$C90*12,0)</f>
        <v>184704</v>
      </c>
      <c r="I90" s="516"/>
      <c r="K90" s="753" t="s">
        <v>1620</v>
      </c>
      <c r="L90" s="681"/>
      <c r="M90" s="681"/>
      <c r="N90" s="681"/>
      <c r="O90" s="681"/>
      <c r="P90" s="681"/>
      <c r="Q90" s="1931"/>
      <c r="R90" s="1931"/>
    </row>
    <row r="91" spans="2:18" ht="15" customHeight="1">
      <c r="B91" s="494" t="s">
        <v>2489</v>
      </c>
      <c r="C91" s="495">
        <v>27</v>
      </c>
      <c r="D91" s="496">
        <v>385</v>
      </c>
      <c r="E91" s="496">
        <v>1142</v>
      </c>
      <c r="F91" s="537"/>
      <c r="G91" s="381">
        <f t="shared" ref="G91:G97" si="0">MAX(($E91-$D91)*$C91*12,0)</f>
        <v>245268</v>
      </c>
      <c r="I91" s="516"/>
      <c r="K91" s="753" t="s">
        <v>1623</v>
      </c>
      <c r="L91" s="681"/>
      <c r="M91" s="681"/>
      <c r="N91" s="681"/>
      <c r="O91" s="681"/>
      <c r="P91" s="681"/>
      <c r="Q91" s="1929">
        <f>IFERROR(Q89/Q90,0)</f>
        <v>0</v>
      </c>
      <c r="R91" s="1929"/>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0">
        <f>MAX(Q84,Q91)</f>
        <v>0</v>
      </c>
      <c r="R93" s="1930"/>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429972</v>
      </c>
      <c r="I98" s="516"/>
    </row>
    <row r="99" spans="2:9" ht="15" customHeight="1">
      <c r="I99" s="516"/>
    </row>
    <row r="100" spans="2:9" ht="15" customHeight="1">
      <c r="B100" s="373" t="s">
        <v>1621</v>
      </c>
      <c r="D100" s="517">
        <f>G98+Q93</f>
        <v>429972</v>
      </c>
      <c r="I100" s="516"/>
    </row>
    <row r="101" spans="2:9" ht="15" customHeight="1">
      <c r="B101" s="373" t="s">
        <v>987</v>
      </c>
      <c r="D101" s="533">
        <v>0.05</v>
      </c>
      <c r="I101" s="516"/>
    </row>
    <row r="102" spans="2:9" ht="15" customHeight="1">
      <c r="B102" s="373" t="s">
        <v>1016</v>
      </c>
      <c r="D102" s="517">
        <f>D100-(D100*D101)</f>
        <v>408473.4</v>
      </c>
    </row>
    <row r="103" spans="2:9" ht="15" customHeight="1">
      <c r="B103" s="373" t="s">
        <v>1613</v>
      </c>
      <c r="D103" s="534"/>
    </row>
    <row r="104" spans="2:9" ht="15" customHeight="1">
      <c r="B104" s="373" t="s">
        <v>1622</v>
      </c>
      <c r="D104" s="517">
        <f>D102/D108</f>
        <v>355194.26086956525</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4001622.9431824675</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62" sqref="I6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244860</v>
      </c>
      <c r="F4" s="381"/>
      <c r="G4" s="381">
        <f>E4*$C$4</f>
        <v>250981.49999999997</v>
      </c>
      <c r="H4" s="381"/>
      <c r="I4" s="381">
        <f>G4*$C$4</f>
        <v>257256.03749999995</v>
      </c>
      <c r="J4" s="381"/>
      <c r="K4" s="381">
        <f>I4*$C$4</f>
        <v>263687.43843749992</v>
      </c>
      <c r="L4" s="381"/>
      <c r="M4" s="381">
        <f>K4*$C$4</f>
        <v>270279.62439843739</v>
      </c>
      <c r="N4" s="381"/>
      <c r="O4" s="381">
        <f>M4*$C$4</f>
        <v>277036.61500839831</v>
      </c>
      <c r="P4" s="381"/>
      <c r="Q4" s="381">
        <f>O4*$C$4</f>
        <v>283962.53038360825</v>
      </c>
      <c r="R4" s="381"/>
      <c r="S4" s="381">
        <f>Q4*$C$4</f>
        <v>291061.59364319843</v>
      </c>
      <c r="T4" s="381"/>
      <c r="U4" s="381">
        <f>S4*$C$4</f>
        <v>298338.13348427834</v>
      </c>
      <c r="V4" s="381"/>
      <c r="W4" s="381">
        <f>U4*$C$4</f>
        <v>305796.58682138525</v>
      </c>
      <c r="X4" s="381"/>
      <c r="Y4" s="381">
        <f>W4*$C$4</f>
        <v>313441.50149191986</v>
      </c>
      <c r="Z4" s="381"/>
      <c r="AA4" s="381">
        <f>Y4*$C$4</f>
        <v>321277.53902921785</v>
      </c>
      <c r="AB4" s="381"/>
      <c r="AC4" s="381">
        <f>AA4*$C$4</f>
        <v>329309.47750494827</v>
      </c>
      <c r="AD4" s="381"/>
      <c r="AE4" s="381">
        <f>AC4*$C$4</f>
        <v>337542.21444257197</v>
      </c>
      <c r="AF4" s="381"/>
      <c r="AG4" s="381">
        <f>AE4*$C$4</f>
        <v>345980.76980363624</v>
      </c>
      <c r="AH4" s="381"/>
    </row>
    <row r="5" spans="1:34" ht="13.8">
      <c r="A5" s="373"/>
      <c r="B5" s="373" t="s">
        <v>987</v>
      </c>
      <c r="C5" s="405">
        <f>IF(Application!$D$214="Special Needs",(((0.1*Application!$V$215)+(0.05*(1-Application!$V$215)))),0.05)</f>
        <v>7.5471698113207558E-2</v>
      </c>
      <c r="D5" s="373"/>
      <c r="E5" s="383">
        <f>-E4*$C$5</f>
        <v>-18480.000000000004</v>
      </c>
      <c r="F5" s="383"/>
      <c r="G5" s="383">
        <f>-G4*$C$5</f>
        <v>-18942</v>
      </c>
      <c r="H5" s="383"/>
      <c r="I5" s="383">
        <f>-I4*$C$5</f>
        <v>-19415.55</v>
      </c>
      <c r="J5" s="383"/>
      <c r="K5" s="383">
        <f>-K4*$C$5</f>
        <v>-19900.938749999998</v>
      </c>
      <c r="L5" s="383"/>
      <c r="M5" s="383">
        <f>-M4*$C$5</f>
        <v>-20398.462218749995</v>
      </c>
      <c r="N5" s="383"/>
      <c r="O5" s="383">
        <f>-O4*$C$5</f>
        <v>-20908.423774218743</v>
      </c>
      <c r="P5" s="383"/>
      <c r="Q5" s="383">
        <f>-Q4*$C$5</f>
        <v>-21431.13436857421</v>
      </c>
      <c r="R5" s="383"/>
      <c r="S5" s="383">
        <f>-S4*$C$5</f>
        <v>-21966.912727788564</v>
      </c>
      <c r="T5" s="383"/>
      <c r="U5" s="383">
        <f>-U4*$C$5</f>
        <v>-22516.085545983275</v>
      </c>
      <c r="V5" s="383"/>
      <c r="W5" s="383">
        <f>-W4*$C$5</f>
        <v>-23078.987684632852</v>
      </c>
      <c r="X5" s="383"/>
      <c r="Y5" s="383">
        <f>-Y4*$C$5</f>
        <v>-23655.962376748674</v>
      </c>
      <c r="Z5" s="383"/>
      <c r="AA5" s="383">
        <f>-AA4*$C$5</f>
        <v>-24247.36143616739</v>
      </c>
      <c r="AB5" s="383"/>
      <c r="AC5" s="383">
        <f>-AC4*$C$5</f>
        <v>-24853.545472071572</v>
      </c>
      <c r="AD5" s="383"/>
      <c r="AE5" s="383">
        <f>-AE4*$C$5</f>
        <v>-25474.884108873361</v>
      </c>
      <c r="AF5" s="383"/>
      <c r="AG5" s="383">
        <f>-AG4*$C$5</f>
        <v>-26111.756211595191</v>
      </c>
      <c r="AH5" s="373"/>
    </row>
    <row r="6" spans="1:34" ht="13.8">
      <c r="A6" s="373" t="s">
        <v>1073</v>
      </c>
      <c r="B6" s="373"/>
      <c r="C6" s="404">
        <v>1.0249999999999999</v>
      </c>
      <c r="D6" s="373"/>
      <c r="E6" s="384">
        <f>Application!Z796</f>
        <v>481452</v>
      </c>
      <c r="F6" s="384"/>
      <c r="G6" s="384">
        <f>E6*$C$6</f>
        <v>493488.29999999993</v>
      </c>
      <c r="H6" s="384"/>
      <c r="I6" s="384">
        <f>G6*$C$6</f>
        <v>505825.50749999989</v>
      </c>
      <c r="J6" s="384"/>
      <c r="K6" s="384">
        <f>I6*$C$6</f>
        <v>518471.14518749982</v>
      </c>
      <c r="L6" s="384"/>
      <c r="M6" s="384">
        <f>K6*$C$6</f>
        <v>531432.92381718731</v>
      </c>
      <c r="N6" s="384"/>
      <c r="O6" s="384">
        <f>M6*$C$6</f>
        <v>544718.746912617</v>
      </c>
      <c r="P6" s="384"/>
      <c r="Q6" s="384">
        <f>O6*$C$6</f>
        <v>558336.71558543236</v>
      </c>
      <c r="R6" s="384"/>
      <c r="S6" s="384">
        <f>Q6*$C$6</f>
        <v>572295.13347506814</v>
      </c>
      <c r="T6" s="384"/>
      <c r="U6" s="384">
        <f>S6*$C$6</f>
        <v>586602.51181194477</v>
      </c>
      <c r="V6" s="384"/>
      <c r="W6" s="384">
        <f>U6*$C$6</f>
        <v>601267.5746072433</v>
      </c>
      <c r="X6" s="384"/>
      <c r="Y6" s="384">
        <f>W6*$C$6</f>
        <v>616299.26397242432</v>
      </c>
      <c r="Z6" s="384"/>
      <c r="AA6" s="384">
        <f>Y6*$C$6</f>
        <v>631706.74557173485</v>
      </c>
      <c r="AB6" s="384"/>
      <c r="AC6" s="384">
        <f>AA6*$C$6</f>
        <v>647499.41421102814</v>
      </c>
      <c r="AD6" s="384"/>
      <c r="AE6" s="384">
        <f>AC6*$C$6</f>
        <v>663686.89956630382</v>
      </c>
      <c r="AF6" s="384"/>
      <c r="AG6" s="384">
        <f>AE6*$C$6</f>
        <v>680279.07205546135</v>
      </c>
      <c r="AH6" s="373"/>
    </row>
    <row r="7" spans="1:34" ht="13.8">
      <c r="A7" s="373"/>
      <c r="B7" s="373" t="s">
        <v>987</v>
      </c>
      <c r="C7" s="405">
        <f>IF(Application!$D$214="Special Needs",(((0.1*Application!$V$215)+(0.05*(1-Application!$V$215)))),0.05)</f>
        <v>7.5471698113207558E-2</v>
      </c>
      <c r="D7" s="373"/>
      <c r="E7" s="383">
        <f>-E6*$C$7</f>
        <v>-36336.000000000007</v>
      </c>
      <c r="F7" s="383"/>
      <c r="G7" s="383">
        <f>-G6*$C$7</f>
        <v>-37244.400000000001</v>
      </c>
      <c r="H7" s="383"/>
      <c r="I7" s="383">
        <f>-I6*$C$7</f>
        <v>-38175.509999999995</v>
      </c>
      <c r="J7" s="383"/>
      <c r="K7" s="383">
        <f>-K6*$C$7</f>
        <v>-39129.897749999989</v>
      </c>
      <c r="L7" s="383"/>
      <c r="M7" s="383">
        <f>-M6*$C$7</f>
        <v>-40108.145193749995</v>
      </c>
      <c r="N7" s="383"/>
      <c r="O7" s="383">
        <f>-O6*$C$7</f>
        <v>-41110.84882359374</v>
      </c>
      <c r="P7" s="383"/>
      <c r="Q7" s="383">
        <f>-Q6*$C$7</f>
        <v>-42138.620044183583</v>
      </c>
      <c r="R7" s="383"/>
      <c r="S7" s="383">
        <f>-S6*$C$7</f>
        <v>-43192.085545288166</v>
      </c>
      <c r="T7" s="383"/>
      <c r="U7" s="383">
        <f>-U6*$C$7</f>
        <v>-44271.887683920366</v>
      </c>
      <c r="V7" s="383"/>
      <c r="W7" s="383">
        <f>-W6*$C$7</f>
        <v>-45378.684876018371</v>
      </c>
      <c r="X7" s="383"/>
      <c r="Y7" s="383">
        <f>-Y6*$C$7</f>
        <v>-46513.151997918823</v>
      </c>
      <c r="Z7" s="383"/>
      <c r="AA7" s="383">
        <f>-AA6*$C$7</f>
        <v>-47675.980797866789</v>
      </c>
      <c r="AB7" s="383"/>
      <c r="AC7" s="383">
        <f>-AC6*$C$7</f>
        <v>-48867.880317813455</v>
      </c>
      <c r="AD7" s="383"/>
      <c r="AE7" s="383">
        <f>-AE6*$C$7</f>
        <v>-50089.577325758786</v>
      </c>
      <c r="AF7" s="383"/>
      <c r="AG7" s="383">
        <f>-AG6*$C$7</f>
        <v>-51341.816758902751</v>
      </c>
      <c r="AH7" s="373"/>
    </row>
    <row r="8" spans="1:34" ht="13.8">
      <c r="A8" s="373" t="s">
        <v>260</v>
      </c>
      <c r="B8" s="373"/>
      <c r="C8" s="404">
        <v>1.0249999999999999</v>
      </c>
      <c r="D8" s="373"/>
      <c r="E8" s="384">
        <f>Application!Z804</f>
        <v>3240</v>
      </c>
      <c r="F8" s="384"/>
      <c r="G8" s="384">
        <f>E8*$C$8</f>
        <v>3320.9999999999995</v>
      </c>
      <c r="H8" s="384"/>
      <c r="I8" s="384">
        <f>G8*$C$8</f>
        <v>3404.0249999999992</v>
      </c>
      <c r="J8" s="384"/>
      <c r="K8" s="384">
        <f>I8*$C$8</f>
        <v>3489.1256249999988</v>
      </c>
      <c r="L8" s="384"/>
      <c r="M8" s="384">
        <f>K8*$C$8</f>
        <v>3576.3537656249982</v>
      </c>
      <c r="N8" s="384"/>
      <c r="O8" s="384">
        <f>M8*$C$8</f>
        <v>3665.762609765623</v>
      </c>
      <c r="P8" s="384"/>
      <c r="Q8" s="384">
        <f>O8*$C$8</f>
        <v>3757.4066750097631</v>
      </c>
      <c r="R8" s="384"/>
      <c r="S8" s="384">
        <f>Q8*$C$8</f>
        <v>3851.3418418850069</v>
      </c>
      <c r="T8" s="384"/>
      <c r="U8" s="384">
        <f>S8*$C$8</f>
        <v>3947.6253879321316</v>
      </c>
      <c r="V8" s="384"/>
      <c r="W8" s="384">
        <f>U8*$C$8</f>
        <v>4046.3160226304344</v>
      </c>
      <c r="X8" s="384"/>
      <c r="Y8" s="384">
        <f>W8*$C$8</f>
        <v>4147.4739231961948</v>
      </c>
      <c r="Z8" s="384"/>
      <c r="AA8" s="384">
        <f>Y8*$C$8</f>
        <v>4251.1607712760997</v>
      </c>
      <c r="AB8" s="384"/>
      <c r="AC8" s="384">
        <f>AA8*$C$8</f>
        <v>4357.4397905580017</v>
      </c>
      <c r="AD8" s="384"/>
      <c r="AE8" s="384">
        <f>AC8*$C$8</f>
        <v>4466.3757853219513</v>
      </c>
      <c r="AF8" s="384"/>
      <c r="AG8" s="384">
        <f>AE8*$C$8</f>
        <v>4578.0351799549999</v>
      </c>
      <c r="AH8" s="373"/>
    </row>
    <row r="9" spans="1:34" ht="13.8">
      <c r="A9" s="373"/>
      <c r="B9" s="373" t="s">
        <v>987</v>
      </c>
      <c r="C9" s="405">
        <f>IF(Application!$D$214="Special Needs",(((0.1*Application!$V$215)+(0.05*(1-Application!$V$215)))),0.05)</f>
        <v>7.5471698113207558E-2</v>
      </c>
      <c r="D9" s="373"/>
      <c r="E9" s="383">
        <f>-E8*$C$9</f>
        <v>-244.52830188679249</v>
      </c>
      <c r="F9" s="383"/>
      <c r="G9" s="383">
        <f>-G8*$C$9</f>
        <v>-250.64150943396226</v>
      </c>
      <c r="H9" s="383"/>
      <c r="I9" s="383">
        <f>-I8*$C$9</f>
        <v>-256.90754716981132</v>
      </c>
      <c r="J9" s="383"/>
      <c r="K9" s="383">
        <f>-K8*$C$9</f>
        <v>-263.33023584905652</v>
      </c>
      <c r="L9" s="383"/>
      <c r="M9" s="383">
        <f>-M8*$C$9</f>
        <v>-269.9134917452829</v>
      </c>
      <c r="N9" s="383"/>
      <c r="O9" s="383">
        <f>-O8*$C$9</f>
        <v>-276.66132903891497</v>
      </c>
      <c r="P9" s="383"/>
      <c r="Q9" s="383">
        <f>-Q8*$C$9</f>
        <v>-283.57786226488781</v>
      </c>
      <c r="R9" s="383"/>
      <c r="S9" s="383">
        <f>-S8*$C$9</f>
        <v>-290.66730882151001</v>
      </c>
      <c r="T9" s="383"/>
      <c r="U9" s="383">
        <f>-U8*$C$9</f>
        <v>-297.93399154204769</v>
      </c>
      <c r="V9" s="383"/>
      <c r="W9" s="383">
        <f>-W8*$C$9</f>
        <v>-305.38234133059888</v>
      </c>
      <c r="X9" s="383"/>
      <c r="Y9" s="383">
        <f>-Y8*$C$9</f>
        <v>-313.01689986386378</v>
      </c>
      <c r="Z9" s="383"/>
      <c r="AA9" s="383">
        <f>-AA8*$C$9</f>
        <v>-320.8423223604604</v>
      </c>
      <c r="AB9" s="383"/>
      <c r="AC9" s="383">
        <f>-AC8*$C$9</f>
        <v>-328.86338041947187</v>
      </c>
      <c r="AD9" s="383"/>
      <c r="AE9" s="383">
        <f>-AE8*$C$9</f>
        <v>-337.08496492995863</v>
      </c>
      <c r="AF9" s="383"/>
      <c r="AG9" s="383">
        <f>-AG8*$C$9</f>
        <v>-345.5120890532076</v>
      </c>
      <c r="AH9" s="373"/>
    </row>
    <row r="10" spans="1:34" ht="13.8">
      <c r="A10" s="930" t="s">
        <v>2284</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3.8">
      <c r="A11" s="385" t="s">
        <v>1074</v>
      </c>
      <c r="B11" s="385"/>
      <c r="C11" s="378"/>
      <c r="D11" s="385"/>
      <c r="E11" s="385">
        <f>SUM(E4:E10)</f>
        <v>674491.47169811325</v>
      </c>
      <c r="F11" s="385"/>
      <c r="G11" s="385">
        <f>SUM(G4:G10)</f>
        <v>691353.75849056593</v>
      </c>
      <c r="H11" s="385"/>
      <c r="I11" s="385">
        <f>SUM(I4:I10)</f>
        <v>708637.60245283006</v>
      </c>
      <c r="J11" s="385"/>
      <c r="K11" s="385">
        <f>SUM(K4:K10)</f>
        <v>726353.54251415073</v>
      </c>
      <c r="L11" s="385"/>
      <c r="M11" s="385">
        <f>SUM(M4:M10)</f>
        <v>744512.38107700448</v>
      </c>
      <c r="N11" s="385"/>
      <c r="O11" s="385">
        <f>SUM(O4:O10)</f>
        <v>763125.19060392957</v>
      </c>
      <c r="P11" s="385"/>
      <c r="Q11" s="385">
        <f>SUM(Q4:Q10)</f>
        <v>782203.32036902767</v>
      </c>
      <c r="R11" s="385"/>
      <c r="S11" s="385">
        <f>SUM(S4:S10)</f>
        <v>801758.40337825334</v>
      </c>
      <c r="T11" s="385"/>
      <c r="U11" s="385">
        <f>SUM(U4:U10)</f>
        <v>821802.36346270959</v>
      </c>
      <c r="V11" s="385"/>
      <c r="W11" s="385">
        <f>SUM(W4:W10)</f>
        <v>842347.42254927719</v>
      </c>
      <c r="X11" s="385"/>
      <c r="Y11" s="385">
        <f>SUM(Y4:Y10)</f>
        <v>863406.10811300902</v>
      </c>
      <c r="Z11" s="385"/>
      <c r="AA11" s="385">
        <f>SUM(AA4:AA10)</f>
        <v>884991.26081583416</v>
      </c>
      <c r="AB11" s="385"/>
      <c r="AC11" s="385">
        <f>SUM(AC4:AC10)</f>
        <v>907116.04233622993</v>
      </c>
      <c r="AD11" s="385"/>
      <c r="AE11" s="385">
        <f>SUM(AE4:AE10)</f>
        <v>929793.94339463569</v>
      </c>
      <c r="AF11" s="385"/>
      <c r="AG11" s="385">
        <f>SUM(AG4:AG10)</f>
        <v>953038.79197950149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42440</v>
      </c>
      <c r="F15" s="381"/>
      <c r="G15" s="381">
        <f t="shared" ref="G15:G21" si="0">E15*$C$14</f>
        <v>43925.399999999994</v>
      </c>
      <c r="H15" s="381"/>
      <c r="I15" s="381">
        <f t="shared" ref="I15:I21" si="1">G15*$C$14</f>
        <v>45462.78899999999</v>
      </c>
      <c r="J15" s="381"/>
      <c r="K15" s="381">
        <f t="shared" ref="K15:K21" si="2">I15*$C$14</f>
        <v>47053.986614999987</v>
      </c>
      <c r="L15" s="381"/>
      <c r="M15" s="381">
        <f t="shared" ref="M15:M21" si="3">K15*$C$14</f>
        <v>48700.876146524985</v>
      </c>
      <c r="N15" s="381"/>
      <c r="O15" s="381">
        <f t="shared" ref="O15:O21" si="4">M15*$C$14</f>
        <v>50405.406811653353</v>
      </c>
      <c r="P15" s="381"/>
      <c r="Q15" s="381">
        <f t="shared" ref="Q15:Q21" si="5">O15*$C$14</f>
        <v>52169.596050061213</v>
      </c>
      <c r="R15" s="381"/>
      <c r="S15" s="381">
        <f t="shared" ref="S15:S21" si="6">Q15*$C$14</f>
        <v>53995.531911813348</v>
      </c>
      <c r="T15" s="381"/>
      <c r="U15" s="381">
        <f t="shared" ref="U15:U21" si="7">S15*$C$14</f>
        <v>55885.375528726814</v>
      </c>
      <c r="V15" s="381"/>
      <c r="W15" s="381">
        <f t="shared" ref="W15:W21" si="8">U15*$C$14</f>
        <v>57841.363672232248</v>
      </c>
      <c r="X15" s="381"/>
      <c r="Y15" s="381">
        <f t="shared" ref="Y15:Y21" si="9">W15*$C$14</f>
        <v>59865.811400760373</v>
      </c>
      <c r="Z15" s="381"/>
      <c r="AA15" s="381">
        <f t="shared" ref="AA15:AA21" si="10">Y15*$C$14</f>
        <v>61961.114799786978</v>
      </c>
      <c r="AB15" s="381"/>
      <c r="AC15" s="381">
        <f t="shared" ref="AC15:AC21" si="11">AA15*$C$14</f>
        <v>64129.753817779514</v>
      </c>
      <c r="AD15" s="381"/>
      <c r="AE15" s="381">
        <f t="shared" ref="AE15:AE21" si="12">AC15*$C$14</f>
        <v>66374.295201401794</v>
      </c>
      <c r="AF15" s="381"/>
      <c r="AG15" s="381">
        <f t="shared" ref="AG15:AG21" si="13">AE15*$C$14</f>
        <v>68697.39553345085</v>
      </c>
      <c r="AH15" s="381"/>
    </row>
    <row r="16" spans="1:34" ht="13.8">
      <c r="A16" s="373" t="s">
        <v>467</v>
      </c>
      <c r="B16" s="373"/>
      <c r="C16" s="395"/>
      <c r="D16" s="373"/>
      <c r="E16" s="384">
        <f>Application!W836</f>
        <v>47304</v>
      </c>
      <c r="F16" s="384"/>
      <c r="G16" s="384">
        <f t="shared" si="0"/>
        <v>48959.64</v>
      </c>
      <c r="H16" s="384"/>
      <c r="I16" s="384">
        <f t="shared" si="1"/>
        <v>50673.227399999996</v>
      </c>
      <c r="J16" s="384"/>
      <c r="K16" s="384">
        <f t="shared" si="2"/>
        <v>52446.790358999991</v>
      </c>
      <c r="L16" s="384"/>
      <c r="M16" s="384">
        <f t="shared" si="3"/>
        <v>54282.428021564985</v>
      </c>
      <c r="N16" s="384"/>
      <c r="O16" s="384">
        <f t="shared" si="4"/>
        <v>56182.313002319752</v>
      </c>
      <c r="P16" s="384"/>
      <c r="Q16" s="384">
        <f t="shared" si="5"/>
        <v>58148.693957400938</v>
      </c>
      <c r="R16" s="384"/>
      <c r="S16" s="384">
        <f t="shared" si="6"/>
        <v>60183.898245909964</v>
      </c>
      <c r="T16" s="384"/>
      <c r="U16" s="384">
        <f t="shared" si="7"/>
        <v>62290.334684516805</v>
      </c>
      <c r="V16" s="384"/>
      <c r="W16" s="384">
        <f t="shared" si="8"/>
        <v>64470.49639847489</v>
      </c>
      <c r="X16" s="384"/>
      <c r="Y16" s="384">
        <f t="shared" si="9"/>
        <v>66726.963772421499</v>
      </c>
      <c r="Z16" s="384"/>
      <c r="AA16" s="384">
        <f t="shared" si="10"/>
        <v>69062.407504456249</v>
      </c>
      <c r="AB16" s="384"/>
      <c r="AC16" s="384">
        <f t="shared" si="11"/>
        <v>71479.591767112215</v>
      </c>
      <c r="AD16" s="384"/>
      <c r="AE16" s="384">
        <f t="shared" si="12"/>
        <v>73981.377478961134</v>
      </c>
      <c r="AF16" s="384"/>
      <c r="AG16" s="384">
        <f t="shared" si="13"/>
        <v>76570.725690724765</v>
      </c>
      <c r="AH16" s="373"/>
    </row>
    <row r="17" spans="1:34" ht="13.8">
      <c r="A17" s="373" t="s">
        <v>733</v>
      </c>
      <c r="B17" s="373"/>
      <c r="C17" s="395"/>
      <c r="D17" s="373"/>
      <c r="E17" s="384">
        <f>Application!W842</f>
        <v>66267</v>
      </c>
      <c r="F17" s="384"/>
      <c r="G17" s="384">
        <f t="shared" si="0"/>
        <v>68586.345000000001</v>
      </c>
      <c r="H17" s="384"/>
      <c r="I17" s="384">
        <f t="shared" si="1"/>
        <v>70986.867075000002</v>
      </c>
      <c r="J17" s="384"/>
      <c r="K17" s="384">
        <f t="shared" si="2"/>
        <v>73471.407422624994</v>
      </c>
      <c r="L17" s="384"/>
      <c r="M17" s="384">
        <f t="shared" si="3"/>
        <v>76042.906682416869</v>
      </c>
      <c r="N17" s="384"/>
      <c r="O17" s="384">
        <f t="shared" si="4"/>
        <v>78704.408416301449</v>
      </c>
      <c r="P17" s="384"/>
      <c r="Q17" s="384">
        <f t="shared" si="5"/>
        <v>81459.062710871993</v>
      </c>
      <c r="R17" s="384"/>
      <c r="S17" s="384">
        <f t="shared" si="6"/>
        <v>84310.129905752503</v>
      </c>
      <c r="T17" s="384"/>
      <c r="U17" s="384">
        <f t="shared" si="7"/>
        <v>87260.984452453835</v>
      </c>
      <c r="V17" s="384"/>
      <c r="W17" s="384">
        <f t="shared" si="8"/>
        <v>90315.118908289718</v>
      </c>
      <c r="X17" s="384"/>
      <c r="Y17" s="384">
        <f t="shared" si="9"/>
        <v>93476.148070079857</v>
      </c>
      <c r="Z17" s="384"/>
      <c r="AA17" s="384">
        <f t="shared" si="10"/>
        <v>96747.813252532651</v>
      </c>
      <c r="AB17" s="384"/>
      <c r="AC17" s="384">
        <f t="shared" si="11"/>
        <v>100133.98671637129</v>
      </c>
      <c r="AD17" s="384"/>
      <c r="AE17" s="384">
        <f t="shared" si="12"/>
        <v>103638.67625144428</v>
      </c>
      <c r="AF17" s="384"/>
      <c r="AG17" s="384">
        <f t="shared" si="13"/>
        <v>107266.02992024482</v>
      </c>
      <c r="AH17" s="373"/>
    </row>
    <row r="18" spans="1:34" ht="13.8">
      <c r="A18" s="373" t="s">
        <v>1078</v>
      </c>
      <c r="B18" s="373"/>
      <c r="C18" s="395"/>
      <c r="D18" s="373"/>
      <c r="E18" s="384">
        <f>Application!W849</f>
        <v>138813</v>
      </c>
      <c r="F18" s="384"/>
      <c r="G18" s="384">
        <f t="shared" si="0"/>
        <v>143671.45499999999</v>
      </c>
      <c r="H18" s="384"/>
      <c r="I18" s="384">
        <f t="shared" si="1"/>
        <v>148699.95592499999</v>
      </c>
      <c r="J18" s="384"/>
      <c r="K18" s="384">
        <f t="shared" si="2"/>
        <v>153904.45438237497</v>
      </c>
      <c r="L18" s="384"/>
      <c r="M18" s="384">
        <f t="shared" si="3"/>
        <v>159291.11028575807</v>
      </c>
      <c r="N18" s="384"/>
      <c r="O18" s="384">
        <f t="shared" si="4"/>
        <v>164866.29914575958</v>
      </c>
      <c r="P18" s="384"/>
      <c r="Q18" s="384">
        <f t="shared" si="5"/>
        <v>170636.61961586116</v>
      </c>
      <c r="R18" s="384"/>
      <c r="S18" s="384">
        <f t="shared" si="6"/>
        <v>176608.90130241629</v>
      </c>
      <c r="T18" s="384"/>
      <c r="U18" s="384">
        <f t="shared" si="7"/>
        <v>182790.21284800084</v>
      </c>
      <c r="V18" s="384"/>
      <c r="W18" s="384">
        <f t="shared" si="8"/>
        <v>189187.87029768084</v>
      </c>
      <c r="X18" s="384"/>
      <c r="Y18" s="384">
        <f t="shared" si="9"/>
        <v>195809.44575809967</v>
      </c>
      <c r="Z18" s="384"/>
      <c r="AA18" s="384">
        <f t="shared" si="10"/>
        <v>202662.77635963314</v>
      </c>
      <c r="AB18" s="384"/>
      <c r="AC18" s="384">
        <f t="shared" si="11"/>
        <v>209755.97353222029</v>
      </c>
      <c r="AD18" s="384"/>
      <c r="AE18" s="384">
        <f t="shared" si="12"/>
        <v>217097.43260584798</v>
      </c>
      <c r="AF18" s="384"/>
      <c r="AG18" s="384">
        <f t="shared" si="13"/>
        <v>224695.84274705264</v>
      </c>
    </row>
    <row r="19" spans="1:34" ht="13.8">
      <c r="A19" s="373" t="s">
        <v>930</v>
      </c>
      <c r="B19" s="373"/>
      <c r="C19" s="395"/>
      <c r="D19" s="373"/>
      <c r="E19" s="384">
        <f>Application!W850</f>
        <v>0</v>
      </c>
      <c r="F19" s="384"/>
      <c r="G19" s="384">
        <f t="shared" si="0"/>
        <v>0</v>
      </c>
      <c r="H19" s="384"/>
      <c r="I19" s="384">
        <f t="shared" si="1"/>
        <v>0</v>
      </c>
      <c r="J19" s="384"/>
      <c r="K19" s="384">
        <f t="shared" si="2"/>
        <v>0</v>
      </c>
      <c r="L19" s="384"/>
      <c r="M19" s="384">
        <f t="shared" si="3"/>
        <v>0</v>
      </c>
      <c r="N19" s="384"/>
      <c r="O19" s="384">
        <f t="shared" si="4"/>
        <v>0</v>
      </c>
      <c r="P19" s="384"/>
      <c r="Q19" s="384">
        <f t="shared" si="5"/>
        <v>0</v>
      </c>
      <c r="R19" s="384"/>
      <c r="S19" s="384">
        <f t="shared" si="6"/>
        <v>0</v>
      </c>
      <c r="T19" s="384"/>
      <c r="U19" s="384">
        <f t="shared" si="7"/>
        <v>0</v>
      </c>
      <c r="V19" s="384"/>
      <c r="W19" s="384">
        <f t="shared" si="8"/>
        <v>0</v>
      </c>
      <c r="X19" s="384"/>
      <c r="Y19" s="384">
        <f t="shared" si="9"/>
        <v>0</v>
      </c>
      <c r="Z19" s="384"/>
      <c r="AA19" s="384">
        <f t="shared" si="10"/>
        <v>0</v>
      </c>
      <c r="AB19" s="384"/>
      <c r="AC19" s="384">
        <f t="shared" si="11"/>
        <v>0</v>
      </c>
      <c r="AD19" s="384"/>
      <c r="AE19" s="384">
        <f t="shared" si="12"/>
        <v>0</v>
      </c>
      <c r="AF19" s="384"/>
      <c r="AG19" s="384">
        <f t="shared" si="13"/>
        <v>0</v>
      </c>
    </row>
    <row r="20" spans="1:34" ht="13.8">
      <c r="A20" s="373" t="s">
        <v>54</v>
      </c>
      <c r="B20" s="373"/>
      <c r="C20" s="395"/>
      <c r="D20" s="373"/>
      <c r="E20" s="384">
        <f>Application!W859</f>
        <v>75386</v>
      </c>
      <c r="F20" s="384"/>
      <c r="G20" s="384">
        <f t="shared" si="0"/>
        <v>78024.509999999995</v>
      </c>
      <c r="H20" s="384"/>
      <c r="I20" s="384">
        <f t="shared" si="1"/>
        <v>80755.367849999995</v>
      </c>
      <c r="J20" s="384"/>
      <c r="K20" s="384">
        <f t="shared" si="2"/>
        <v>83581.805724749982</v>
      </c>
      <c r="L20" s="384"/>
      <c r="M20" s="384">
        <f t="shared" si="3"/>
        <v>86507.168925116232</v>
      </c>
      <c r="N20" s="384"/>
      <c r="O20" s="384">
        <f t="shared" si="4"/>
        <v>89534.919837495298</v>
      </c>
      <c r="P20" s="384"/>
      <c r="Q20" s="384">
        <f t="shared" si="5"/>
        <v>92668.642031807627</v>
      </c>
      <c r="R20" s="384"/>
      <c r="S20" s="384">
        <f t="shared" si="6"/>
        <v>95912.044502920893</v>
      </c>
      <c r="T20" s="384"/>
      <c r="U20" s="384">
        <f t="shared" si="7"/>
        <v>99268.966060523118</v>
      </c>
      <c r="V20" s="384"/>
      <c r="W20" s="384">
        <f t="shared" si="8"/>
        <v>102743.37987264142</v>
      </c>
      <c r="X20" s="384"/>
      <c r="Y20" s="384">
        <f t="shared" si="9"/>
        <v>106339.39816818386</v>
      </c>
      <c r="Z20" s="384"/>
      <c r="AA20" s="384">
        <f t="shared" si="10"/>
        <v>110061.27710407029</v>
      </c>
      <c r="AB20" s="384"/>
      <c r="AC20" s="384">
        <f t="shared" si="11"/>
        <v>113913.42180271275</v>
      </c>
      <c r="AD20" s="384"/>
      <c r="AE20" s="384">
        <f t="shared" si="12"/>
        <v>117900.39156580769</v>
      </c>
      <c r="AF20" s="384"/>
      <c r="AG20" s="384">
        <f t="shared" si="13"/>
        <v>122026.90527061095</v>
      </c>
    </row>
    <row r="21" spans="1:34" ht="13.8">
      <c r="A21" s="596" t="s">
        <v>1218</v>
      </c>
      <c r="B21" s="596"/>
      <c r="C21" s="395"/>
      <c r="D21" s="373"/>
      <c r="E21" s="394">
        <f>Application!W866</f>
        <v>26648</v>
      </c>
      <c r="F21" s="384"/>
      <c r="G21" s="394">
        <f t="shared" si="0"/>
        <v>27580.679999999997</v>
      </c>
      <c r="H21" s="384"/>
      <c r="I21" s="394">
        <f t="shared" si="1"/>
        <v>28546.003799999995</v>
      </c>
      <c r="J21" s="384"/>
      <c r="K21" s="394">
        <f t="shared" si="2"/>
        <v>29545.113932999993</v>
      </c>
      <c r="L21" s="384"/>
      <c r="M21" s="394">
        <f t="shared" si="3"/>
        <v>30579.19292065499</v>
      </c>
      <c r="N21" s="384"/>
      <c r="O21" s="394">
        <f t="shared" si="4"/>
        <v>31649.464672877912</v>
      </c>
      <c r="P21" s="384"/>
      <c r="Q21" s="394">
        <f t="shared" si="5"/>
        <v>32757.195936428638</v>
      </c>
      <c r="R21" s="384"/>
      <c r="S21" s="394">
        <f t="shared" si="6"/>
        <v>33903.697794203639</v>
      </c>
      <c r="T21" s="384"/>
      <c r="U21" s="394">
        <f t="shared" si="7"/>
        <v>35090.327217000762</v>
      </c>
      <c r="V21" s="384"/>
      <c r="W21" s="394">
        <f t="shared" si="8"/>
        <v>36318.488669595783</v>
      </c>
      <c r="X21" s="384"/>
      <c r="Y21" s="394">
        <f t="shared" si="9"/>
        <v>37589.63577303163</v>
      </c>
      <c r="Z21" s="384"/>
      <c r="AA21" s="394">
        <f t="shared" si="10"/>
        <v>38905.273025087736</v>
      </c>
      <c r="AB21" s="384"/>
      <c r="AC21" s="394">
        <f t="shared" si="11"/>
        <v>40266.957580965805</v>
      </c>
      <c r="AD21" s="384"/>
      <c r="AE21" s="394">
        <f t="shared" si="12"/>
        <v>41676.301096299605</v>
      </c>
      <c r="AF21" s="384"/>
      <c r="AG21" s="394">
        <f t="shared" si="13"/>
        <v>43134.971634670088</v>
      </c>
    </row>
    <row r="22" spans="1:34" ht="13.8">
      <c r="A22" s="385" t="s">
        <v>1079</v>
      </c>
      <c r="B22" s="385"/>
      <c r="C22" s="395"/>
      <c r="D22" s="385"/>
      <c r="E22" s="385">
        <f>SUM(E15:E21)</f>
        <v>396858</v>
      </c>
      <c r="F22" s="385"/>
      <c r="G22" s="385">
        <f>SUM(G15:G21)</f>
        <v>410748.02999999997</v>
      </c>
      <c r="H22" s="385"/>
      <c r="I22" s="385">
        <f>SUM(I15:I21)</f>
        <v>425124.21104999993</v>
      </c>
      <c r="J22" s="385"/>
      <c r="K22" s="385">
        <f>SUM(K15:K21)</f>
        <v>440003.55843674991</v>
      </c>
      <c r="L22" s="385"/>
      <c r="M22" s="385">
        <f>SUM(M15:M21)</f>
        <v>455403.6829820362</v>
      </c>
      <c r="N22" s="385"/>
      <c r="O22" s="385">
        <f>SUM(O15:O21)</f>
        <v>471342.81188640732</v>
      </c>
      <c r="P22" s="385"/>
      <c r="Q22" s="385">
        <f>SUM(Q15:Q21)</f>
        <v>487839.81030243152</v>
      </c>
      <c r="R22" s="385"/>
      <c r="S22" s="385">
        <f>SUM(S15:S21)</f>
        <v>504914.20366301661</v>
      </c>
      <c r="T22" s="385"/>
      <c r="U22" s="385">
        <f>SUM(U15:U21)</f>
        <v>522586.20079122222</v>
      </c>
      <c r="V22" s="385"/>
      <c r="W22" s="385">
        <f>SUM(W15:W21)</f>
        <v>540876.71781891491</v>
      </c>
      <c r="X22" s="385"/>
      <c r="Y22" s="385">
        <f>SUM(Y15:Y21)</f>
        <v>559807.40294257691</v>
      </c>
      <c r="Z22" s="385"/>
      <c r="AA22" s="385">
        <f>SUM(AA15:AA21)</f>
        <v>579400.66204556706</v>
      </c>
      <c r="AB22" s="385"/>
      <c r="AC22" s="385">
        <f>SUM(AC15:AC21)</f>
        <v>599679.6852171619</v>
      </c>
      <c r="AD22" s="385"/>
      <c r="AE22" s="385">
        <f>SUM(AE15:AE21)</f>
        <v>620668.47419976257</v>
      </c>
      <c r="AF22" s="385"/>
      <c r="AG22" s="385">
        <f>SUM(AG15:AG21)</f>
        <v>642391.87079675402</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Application!AC875</f>
        <v>45000</v>
      </c>
      <c r="F27" s="384"/>
      <c r="G27" s="384">
        <f>E27*$C$27</f>
        <v>46575</v>
      </c>
      <c r="H27" s="384"/>
      <c r="I27" s="384">
        <f>G27*$C$27</f>
        <v>48205.124999999993</v>
      </c>
      <c r="J27" s="384"/>
      <c r="K27" s="384">
        <f>I27*$C$27</f>
        <v>49892.304374999985</v>
      </c>
      <c r="L27" s="384"/>
      <c r="M27" s="384">
        <f>K27*$C$27</f>
        <v>51638.535028124978</v>
      </c>
      <c r="N27" s="384"/>
      <c r="O27" s="384">
        <f>M27*$C$27</f>
        <v>53445.883754109345</v>
      </c>
      <c r="P27" s="384"/>
      <c r="Q27" s="384">
        <f>O27*$C$27</f>
        <v>55316.489685503169</v>
      </c>
      <c r="R27" s="384"/>
      <c r="S27" s="384">
        <f>Q27*$C$27</f>
        <v>57252.566824495778</v>
      </c>
      <c r="T27" s="384"/>
      <c r="U27" s="384">
        <f>S27*$C$27</f>
        <v>59256.406663353126</v>
      </c>
      <c r="V27" s="384"/>
      <c r="W27" s="384">
        <f>U27*$C$27</f>
        <v>61330.380896570481</v>
      </c>
      <c r="X27" s="384"/>
      <c r="Y27" s="384">
        <f>W27*$C$27</f>
        <v>63476.944227950444</v>
      </c>
      <c r="Z27" s="384"/>
      <c r="AA27" s="384">
        <f>Y27*$C$27</f>
        <v>65698.637275928704</v>
      </c>
      <c r="AB27" s="384"/>
      <c r="AC27" s="384">
        <f>AA27*$C$27</f>
        <v>67998.089580586209</v>
      </c>
      <c r="AD27" s="384"/>
      <c r="AE27" s="384">
        <f>AC27*$C$27</f>
        <v>70378.022715906714</v>
      </c>
      <c r="AF27" s="384"/>
      <c r="AG27" s="384">
        <f>AE27*$C$27</f>
        <v>72841.253510963448</v>
      </c>
    </row>
    <row r="28" spans="1:34" ht="13.8">
      <c r="A28" s="596" t="s">
        <v>1081</v>
      </c>
      <c r="B28" s="373"/>
      <c r="C28" s="404"/>
      <c r="D28" s="373"/>
      <c r="E28" s="384">
        <f>Application!AC876</f>
        <v>27000</v>
      </c>
      <c r="F28" s="384"/>
      <c r="G28" s="384">
        <f>$E$28</f>
        <v>27000</v>
      </c>
      <c r="H28" s="384"/>
      <c r="I28" s="384">
        <f>$E$28</f>
        <v>27000</v>
      </c>
      <c r="J28" s="384"/>
      <c r="K28" s="384">
        <f>$E$28</f>
        <v>27000</v>
      </c>
      <c r="L28" s="384"/>
      <c r="M28" s="384">
        <f>$E$28</f>
        <v>27000</v>
      </c>
      <c r="N28" s="384"/>
      <c r="O28" s="384">
        <f>$E$28</f>
        <v>27000</v>
      </c>
      <c r="P28" s="384"/>
      <c r="Q28" s="384">
        <f>$E$28</f>
        <v>27000</v>
      </c>
      <c r="R28" s="384"/>
      <c r="S28" s="384">
        <f>$E$28</f>
        <v>27000</v>
      </c>
      <c r="T28" s="384"/>
      <c r="U28" s="384">
        <f>$E$28</f>
        <v>27000</v>
      </c>
      <c r="V28" s="384"/>
      <c r="W28" s="384">
        <f>$E$28</f>
        <v>27000</v>
      </c>
      <c r="X28" s="384"/>
      <c r="Y28" s="384">
        <f>$E$28</f>
        <v>27000</v>
      </c>
      <c r="Z28" s="384"/>
      <c r="AA28" s="384">
        <f>$E$28</f>
        <v>27000</v>
      </c>
      <c r="AB28" s="384"/>
      <c r="AC28" s="384">
        <f>$E$28</f>
        <v>27000</v>
      </c>
      <c r="AD28" s="384"/>
      <c r="AE28" s="384">
        <f>$E$28</f>
        <v>27000</v>
      </c>
      <c r="AF28" s="384"/>
      <c r="AG28" s="384">
        <f>$E$28</f>
        <v>27000</v>
      </c>
    </row>
    <row r="29" spans="1:34" ht="13.8">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1082</v>
      </c>
      <c r="B30" s="373"/>
      <c r="C30" s="404">
        <v>1.02</v>
      </c>
      <c r="D30" s="373"/>
      <c r="E30" s="384">
        <f>Application!AC878</f>
        <v>19791</v>
      </c>
      <c r="F30" s="384"/>
      <c r="G30" s="384">
        <f>E30*$C$30</f>
        <v>20186.82</v>
      </c>
      <c r="H30" s="384"/>
      <c r="I30" s="384">
        <f>G30*$C$30</f>
        <v>20590.556400000001</v>
      </c>
      <c r="J30" s="384"/>
      <c r="K30" s="384">
        <f>I30*$C$30</f>
        <v>21002.367528000002</v>
      </c>
      <c r="L30" s="384"/>
      <c r="M30" s="384">
        <f>K30*$C$30</f>
        <v>21422.414878560005</v>
      </c>
      <c r="N30" s="384"/>
      <c r="O30" s="384">
        <f>M30*$C$30</f>
        <v>21850.863176131206</v>
      </c>
      <c r="P30" s="384"/>
      <c r="Q30" s="384">
        <f>O30*$C$30</f>
        <v>22287.880439653833</v>
      </c>
      <c r="R30" s="384"/>
      <c r="S30" s="384">
        <f>Q30*$C$30</f>
        <v>22733.638048446908</v>
      </c>
      <c r="T30" s="384"/>
      <c r="U30" s="384">
        <f>S30*$C$30</f>
        <v>23188.310809415845</v>
      </c>
      <c r="V30" s="384"/>
      <c r="W30" s="384">
        <f>U30*$C$30</f>
        <v>23652.077025604161</v>
      </c>
      <c r="X30" s="384"/>
      <c r="Y30" s="384">
        <f>W30*$C$30</f>
        <v>24125.118566116245</v>
      </c>
      <c r="Z30" s="384"/>
      <c r="AA30" s="384">
        <f>Y30*$C$30</f>
        <v>24607.620937438569</v>
      </c>
      <c r="AB30" s="384"/>
      <c r="AC30" s="384">
        <f>AA30*$C$30</f>
        <v>25099.773356187339</v>
      </c>
      <c r="AD30" s="384"/>
      <c r="AE30" s="384">
        <f>AC30*$C$30</f>
        <v>25601.768823311086</v>
      </c>
      <c r="AF30" s="384"/>
      <c r="AG30" s="384">
        <f>AE30*$C$30</f>
        <v>26113.804199777307</v>
      </c>
    </row>
    <row r="31" spans="1:34" ht="13.8">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488649</v>
      </c>
      <c r="F35" s="385"/>
      <c r="G35" s="385">
        <f>SUM(G22:G33)</f>
        <v>504509.85</v>
      </c>
      <c r="H35" s="385"/>
      <c r="I35" s="385">
        <f>SUM(I22:I33)</f>
        <v>520919.89244999993</v>
      </c>
      <c r="J35" s="385"/>
      <c r="K35" s="385">
        <f>SUM(K22:K33)</f>
        <v>537898.23033974995</v>
      </c>
      <c r="L35" s="385"/>
      <c r="M35" s="385">
        <f>SUM(M22:M33)</f>
        <v>555464.63288872119</v>
      </c>
      <c r="N35" s="385"/>
      <c r="O35" s="385">
        <f>SUM(O22:O33)</f>
        <v>573639.55881664786</v>
      </c>
      <c r="P35" s="385"/>
      <c r="Q35" s="385">
        <f>SUM(Q22:Q33)</f>
        <v>592444.18042758852</v>
      </c>
      <c r="R35" s="385"/>
      <c r="S35" s="385">
        <f>SUM(S22:S33)</f>
        <v>611900.4085359592</v>
      </c>
      <c r="T35" s="385"/>
      <c r="U35" s="385">
        <f>SUM(U22:U33)</f>
        <v>632030.91826399125</v>
      </c>
      <c r="V35" s="385"/>
      <c r="W35" s="385">
        <f>SUM(W22:W33)</f>
        <v>652859.17574108962</v>
      </c>
      <c r="X35" s="385"/>
      <c r="Y35" s="385">
        <f>SUM(Y22:Y33)</f>
        <v>674409.46573664353</v>
      </c>
      <c r="Z35" s="385"/>
      <c r="AA35" s="385">
        <f>SUM(AA22:AA33)</f>
        <v>696706.92025893438</v>
      </c>
      <c r="AB35" s="385"/>
      <c r="AC35" s="385">
        <f>SUM(AC22:AC33)</f>
        <v>719777.54815393547</v>
      </c>
      <c r="AD35" s="385"/>
      <c r="AE35" s="385">
        <f>SUM(AE22:AE33)</f>
        <v>743648.26573898038</v>
      </c>
      <c r="AF35" s="385"/>
      <c r="AG35" s="385">
        <f>SUM(AG22:AG33)</f>
        <v>768346.92850749474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185842.47169811325</v>
      </c>
      <c r="F37" s="385"/>
      <c r="G37" s="385">
        <f>G11-G35</f>
        <v>186843.90849056595</v>
      </c>
      <c r="H37" s="385"/>
      <c r="I37" s="385">
        <f>I11-I35</f>
        <v>187717.71000283014</v>
      </c>
      <c r="J37" s="385"/>
      <c r="K37" s="385">
        <f>K11-K35</f>
        <v>188455.31217440078</v>
      </c>
      <c r="L37" s="385"/>
      <c r="M37" s="385">
        <f>M11-M35</f>
        <v>189047.74818828329</v>
      </c>
      <c r="N37" s="385"/>
      <c r="O37" s="385">
        <f>O11-O35</f>
        <v>189485.63178728172</v>
      </c>
      <c r="P37" s="385"/>
      <c r="Q37" s="385">
        <f>Q11-Q35</f>
        <v>189759.13994143915</v>
      </c>
      <c r="R37" s="385"/>
      <c r="S37" s="385">
        <f>S11-S35</f>
        <v>189857.99484229414</v>
      </c>
      <c r="T37" s="385"/>
      <c r="U37" s="385">
        <f>U11-U35</f>
        <v>189771.44519871834</v>
      </c>
      <c r="V37" s="385"/>
      <c r="W37" s="385">
        <f>W11-W35</f>
        <v>189488.24680818757</v>
      </c>
      <c r="X37" s="385"/>
      <c r="Y37" s="385">
        <f>Y11-Y35</f>
        <v>188996.64237636549</v>
      </c>
      <c r="Z37" s="385"/>
      <c r="AA37" s="385">
        <f>AA11-AA35</f>
        <v>188284.34055689978</v>
      </c>
      <c r="AB37" s="385"/>
      <c r="AC37" s="385">
        <f>AC11-AC35</f>
        <v>187338.49418229447</v>
      </c>
      <c r="AD37" s="385"/>
      <c r="AE37" s="385">
        <f>AE11-AE35</f>
        <v>186145.67765565531</v>
      </c>
      <c r="AF37" s="385"/>
      <c r="AG37" s="385">
        <f>AG11-AG35</f>
        <v>184691.86347200675</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Permanent Loan</v>
      </c>
      <c r="B40" s="388"/>
      <c r="C40" s="382"/>
      <c r="D40" s="373"/>
      <c r="E40" s="381">
        <f>Application!AF629</f>
        <v>161495</v>
      </c>
      <c r="F40" s="381"/>
      <c r="G40" s="381">
        <f>$E$40</f>
        <v>161495</v>
      </c>
      <c r="H40" s="381"/>
      <c r="I40" s="381">
        <f>$E$40</f>
        <v>161495</v>
      </c>
      <c r="J40" s="381"/>
      <c r="K40" s="381">
        <f>$E$40</f>
        <v>161495</v>
      </c>
      <c r="L40" s="381"/>
      <c r="M40" s="381">
        <f>$E$40</f>
        <v>161495</v>
      </c>
      <c r="N40" s="381"/>
      <c r="O40" s="381">
        <f>$E$40</f>
        <v>161495</v>
      </c>
      <c r="P40" s="381"/>
      <c r="Q40" s="381">
        <f>$E$40</f>
        <v>161495</v>
      </c>
      <c r="R40" s="381"/>
      <c r="S40" s="381">
        <f>$E$40</f>
        <v>161495</v>
      </c>
      <c r="T40" s="381"/>
      <c r="U40" s="381">
        <f>$E$40</f>
        <v>161495</v>
      </c>
      <c r="V40" s="381"/>
      <c r="W40" s="381">
        <f>$E$40</f>
        <v>161495</v>
      </c>
      <c r="X40" s="381"/>
      <c r="Y40" s="381">
        <f>$E$40</f>
        <v>161495</v>
      </c>
      <c r="Z40" s="381"/>
      <c r="AA40" s="381">
        <f>$E$40</f>
        <v>161495</v>
      </c>
      <c r="AB40" s="381"/>
      <c r="AC40" s="381">
        <f>$E$40</f>
        <v>161495</v>
      </c>
      <c r="AD40" s="381"/>
      <c r="AE40" s="381">
        <f>$E$40</f>
        <v>161495</v>
      </c>
      <c r="AF40" s="381"/>
      <c r="AG40" s="381">
        <f>$E$40</f>
        <v>161495</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161495</v>
      </c>
      <c r="F43" s="385"/>
      <c r="G43" s="385">
        <f>SUM(G40:G42)</f>
        <v>161495</v>
      </c>
      <c r="H43" s="385"/>
      <c r="I43" s="385">
        <f>SUM(I40:I42)</f>
        <v>161495</v>
      </c>
      <c r="J43" s="385"/>
      <c r="K43" s="385">
        <f>SUM(K40:K42)</f>
        <v>161495</v>
      </c>
      <c r="L43" s="385"/>
      <c r="M43" s="385">
        <f>SUM(M40:M42)</f>
        <v>161495</v>
      </c>
      <c r="N43" s="385"/>
      <c r="O43" s="385">
        <f>SUM(O40:O42)</f>
        <v>161495</v>
      </c>
      <c r="P43" s="385"/>
      <c r="Q43" s="385">
        <f>SUM(Q40:Q42)</f>
        <v>161495</v>
      </c>
      <c r="R43" s="385"/>
      <c r="S43" s="385">
        <f>SUM(S40:S42)</f>
        <v>161495</v>
      </c>
      <c r="T43" s="385"/>
      <c r="U43" s="385">
        <f>SUM(U40:U42)</f>
        <v>161495</v>
      </c>
      <c r="V43" s="385"/>
      <c r="W43" s="385">
        <f>SUM(W40:W42)</f>
        <v>161495</v>
      </c>
      <c r="X43" s="385"/>
      <c r="Y43" s="385">
        <f>SUM(Y40:Y42)</f>
        <v>161495</v>
      </c>
      <c r="Z43" s="385"/>
      <c r="AA43" s="385">
        <f>SUM(AA40:AA42)</f>
        <v>161495</v>
      </c>
      <c r="AB43" s="385"/>
      <c r="AC43" s="385">
        <f>SUM(AC40:AC42)</f>
        <v>161495</v>
      </c>
      <c r="AD43" s="385"/>
      <c r="AE43" s="385">
        <f>SUM(AE40:AE42)</f>
        <v>161495</v>
      </c>
      <c r="AF43" s="385"/>
      <c r="AG43" s="385">
        <f>SUM(AG40:AG42)</f>
        <v>161495</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24347.471698113251</v>
      </c>
      <c r="F45" s="385"/>
      <c r="G45" s="385">
        <f>G37-G43</f>
        <v>25348.908490565955</v>
      </c>
      <c r="H45" s="385"/>
      <c r="I45" s="385">
        <f>I37-I43</f>
        <v>26222.710002830136</v>
      </c>
      <c r="J45" s="385"/>
      <c r="K45" s="385">
        <f>K37-K43</f>
        <v>26960.31217440078</v>
      </c>
      <c r="L45" s="385"/>
      <c r="M45" s="385">
        <f>M37-M43</f>
        <v>27552.748188283294</v>
      </c>
      <c r="N45" s="385"/>
      <c r="O45" s="385">
        <f>O37-O43</f>
        <v>27990.631787281716</v>
      </c>
      <c r="P45" s="385"/>
      <c r="Q45" s="385">
        <f>Q37-Q43</f>
        <v>28264.139941439149</v>
      </c>
      <c r="R45" s="385"/>
      <c r="S45" s="385">
        <f>S37-S43</f>
        <v>28362.994842294138</v>
      </c>
      <c r="T45" s="385"/>
      <c r="U45" s="385">
        <f>U37-U43</f>
        <v>28276.445198718342</v>
      </c>
      <c r="V45" s="385"/>
      <c r="W45" s="385">
        <f>W37-W43</f>
        <v>27993.24680818757</v>
      </c>
      <c r="X45" s="385"/>
      <c r="Y45" s="385">
        <f>Y37-Y43</f>
        <v>27501.642376365489</v>
      </c>
      <c r="Z45" s="385"/>
      <c r="AA45" s="385">
        <f>AA37-AA43</f>
        <v>26789.340556899784</v>
      </c>
      <c r="AB45" s="385"/>
      <c r="AC45" s="385">
        <f>AC37-AC43</f>
        <v>25843.494182294467</v>
      </c>
      <c r="AD45" s="385"/>
      <c r="AE45" s="385">
        <f>AE37-AE43</f>
        <v>24650.677655655309</v>
      </c>
      <c r="AF45" s="385"/>
      <c r="AG45" s="385">
        <f>AG37-AG43</f>
        <v>23196.863472006749</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3.3373182032416127E-2</v>
      </c>
      <c r="F47" s="389"/>
      <c r="G47" s="389">
        <f>G45/(G4+G6+G8)</f>
        <v>3.3898395768664123E-2</v>
      </c>
      <c r="H47" s="389"/>
      <c r="I47" s="389">
        <f>I45/(I4+I6+I8)</f>
        <v>3.4211616016241689E-2</v>
      </c>
      <c r="J47" s="389"/>
      <c r="K47" s="389">
        <f>K45/(K4+K6+K8)</f>
        <v>3.4316032309363968E-2</v>
      </c>
      <c r="L47" s="389"/>
      <c r="M47" s="389">
        <f>M45/(M4+M6+M8)</f>
        <v>3.4214737245844763E-2</v>
      </c>
      <c r="N47" s="389"/>
      <c r="O47" s="389">
        <f>O45/(O4+O6+O8)</f>
        <v>3.3910728663739099E-2</v>
      </c>
      <c r="P47" s="389"/>
      <c r="Q47" s="389">
        <f>Q45/(Q4+Q6+Q8)</f>
        <v>3.340691176307118E-2</v>
      </c>
      <c r="R47" s="389"/>
      <c r="S47" s="389">
        <f>S45/(S4+S6+S8)</f>
        <v>3.2706101173970312E-2</v>
      </c>
      <c r="T47" s="389"/>
      <c r="U47" s="389">
        <f>U45/(U4+U6+U8)</f>
        <v>3.1811022972498743E-2</v>
      </c>
      <c r="V47" s="389"/>
      <c r="W47" s="389">
        <f>W45/(W4+W6+W8)</f>
        <v>3.0724316645436785E-2</v>
      </c>
      <c r="X47" s="389"/>
      <c r="Y47" s="389">
        <f>Y45/(Y4+Y6+Y8)</f>
        <v>2.9448537005243292E-2</v>
      </c>
      <c r="Z47" s="389"/>
      <c r="AA47" s="389">
        <f>AA45/(AA4+AA6+AA8)</f>
        <v>2.7986156056394811E-2</v>
      </c>
      <c r="AB47" s="389"/>
      <c r="AC47" s="389">
        <f>AC45/(AC4+AC6+AC8)</f>
        <v>2.6339564814268555E-2</v>
      </c>
      <c r="AD47" s="389"/>
      <c r="AE47" s="389">
        <f>AE45/(AE4+AE6+AE8)</f>
        <v>2.4511075077705422E-2</v>
      </c>
      <c r="AF47" s="389"/>
      <c r="AG47" s="389">
        <f>AG45/(AG4+AG6+AG8)</f>
        <v>2.2502921156367203E-2</v>
      </c>
      <c r="AH47" s="389"/>
      <c r="AI47" s="389"/>
    </row>
    <row r="48" spans="1:35" ht="13.8">
      <c r="A48" s="389" t="s">
        <v>1088</v>
      </c>
      <c r="B48" s="389"/>
      <c r="C48" s="382"/>
      <c r="D48" s="389"/>
      <c r="E48" s="389">
        <f>E45/E43</f>
        <v>0.1507630062733413</v>
      </c>
      <c r="F48" s="389"/>
      <c r="G48" s="389">
        <f>G45/G43</f>
        <v>0.15696404526806373</v>
      </c>
      <c r="H48" s="389"/>
      <c r="I48" s="389">
        <f>I45/I43</f>
        <v>0.16237474846174887</v>
      </c>
      <c r="J48" s="389"/>
      <c r="K48" s="389">
        <f>K45/K43</f>
        <v>0.16694208597418361</v>
      </c>
      <c r="L48" s="389"/>
      <c r="M48" s="389">
        <f>M45/M43</f>
        <v>0.1706105339997108</v>
      </c>
      <c r="N48" s="389"/>
      <c r="O48" s="389">
        <f>O45/O43</f>
        <v>0.173321971499314</v>
      </c>
      <c r="P48" s="389"/>
      <c r="Q48" s="389">
        <f>Q45/Q43</f>
        <v>0.17501557287494443</v>
      </c>
      <c r="R48" s="389"/>
      <c r="S48" s="389">
        <f>S45/S43</f>
        <v>0.17562769647539639</v>
      </c>
      <c r="T48" s="389"/>
      <c r="U48" s="389">
        <f>U45/U43</f>
        <v>0.17509176877747509</v>
      </c>
      <c r="V48" s="389"/>
      <c r="W48" s="389">
        <f>W45/W43</f>
        <v>0.17333816408054473</v>
      </c>
      <c r="X48" s="389"/>
      <c r="Y48" s="389">
        <f>Y45/Y43</f>
        <v>0.17029407954652151</v>
      </c>
      <c r="Z48" s="389"/>
      <c r="AA48" s="389">
        <f>AA45/AA43</f>
        <v>0.16588340541131172</v>
      </c>
      <c r="AB48" s="389"/>
      <c r="AC48" s="389">
        <f>AC45/AC43</f>
        <v>0.16002659018727805</v>
      </c>
      <c r="AD48" s="389"/>
      <c r="AE48" s="389">
        <f>AE45/AE43</f>
        <v>0.15264050066971305</v>
      </c>
      <c r="AF48" s="389"/>
      <c r="AG48" s="389">
        <f>AG45/AG43</f>
        <v>0.14363827655349545</v>
      </c>
      <c r="AH48" s="389"/>
      <c r="AI48" s="389"/>
    </row>
    <row r="49" spans="1:35" ht="13.8">
      <c r="A49" s="390" t="s">
        <v>1089</v>
      </c>
      <c r="B49" s="390"/>
      <c r="C49" s="391"/>
      <c r="D49" s="390"/>
      <c r="E49" s="390">
        <f>E37/E43</f>
        <v>1.1507630062733414</v>
      </c>
      <c r="F49" s="390"/>
      <c r="G49" s="390">
        <f>G37/G43</f>
        <v>1.1569640452680638</v>
      </c>
      <c r="H49" s="390"/>
      <c r="I49" s="390">
        <f>I37/I43</f>
        <v>1.1623747484617488</v>
      </c>
      <c r="J49" s="390"/>
      <c r="K49" s="390">
        <f>K37/K43</f>
        <v>1.1669420859741837</v>
      </c>
      <c r="L49" s="390"/>
      <c r="M49" s="390">
        <f>M37/M43</f>
        <v>1.1706105339997108</v>
      </c>
      <c r="N49" s="390"/>
      <c r="O49" s="390">
        <f>O37/O43</f>
        <v>1.1733219714993139</v>
      </c>
      <c r="P49" s="390"/>
      <c r="Q49" s="390">
        <f>Q37/Q43</f>
        <v>1.1750155728749445</v>
      </c>
      <c r="R49" s="390"/>
      <c r="S49" s="390">
        <f>S37/S43</f>
        <v>1.1756276964753964</v>
      </c>
      <c r="T49" s="390"/>
      <c r="U49" s="390">
        <f>U37/U43</f>
        <v>1.1750917687774751</v>
      </c>
      <c r="V49" s="390"/>
      <c r="W49" s="390">
        <f>W37/W43</f>
        <v>1.1733381640805447</v>
      </c>
      <c r="X49" s="390"/>
      <c r="Y49" s="390">
        <f>Y37/Y43</f>
        <v>1.1702940795465215</v>
      </c>
      <c r="Z49" s="390"/>
      <c r="AA49" s="390">
        <f>AA37/AA43</f>
        <v>1.1658834054113116</v>
      </c>
      <c r="AB49" s="390"/>
      <c r="AC49" s="390">
        <f>AC37/AC43</f>
        <v>1.1600265901872779</v>
      </c>
      <c r="AD49" s="390"/>
      <c r="AE49" s="390">
        <f>AE37/AE43</f>
        <v>1.1526405006697131</v>
      </c>
      <c r="AF49" s="390"/>
      <c r="AG49" s="390">
        <f>AG37/AG43</f>
        <v>1.1436382765534954</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1980">
        <v>1.0349999999999999</v>
      </c>
      <c r="D53" s="371"/>
      <c r="E53" s="977">
        <v>19347.471698113251</v>
      </c>
      <c r="F53" s="371"/>
      <c r="G53" s="975">
        <f>G45-G54</f>
        <v>20173.908490565955</v>
      </c>
      <c r="H53" s="815"/>
      <c r="I53" s="975">
        <f>I45-I54</f>
        <v>20866.585002830136</v>
      </c>
      <c r="J53" s="815"/>
      <c r="K53" s="975">
        <f>K45-K54</f>
        <v>21416.722799400781</v>
      </c>
      <c r="L53" s="815"/>
      <c r="M53" s="975">
        <f>M45-M54</f>
        <v>21815.133185158295</v>
      </c>
      <c r="N53" s="815"/>
      <c r="O53" s="975">
        <f>O45-O54</f>
        <v>22052.200259047342</v>
      </c>
      <c r="P53" s="815"/>
      <c r="Q53" s="975">
        <f>Q45-Q54</f>
        <v>22117.863309716573</v>
      </c>
      <c r="R53" s="815"/>
      <c r="S53" s="975">
        <f>S45-S54</f>
        <v>22001.598528461273</v>
      </c>
      <c r="T53" s="815"/>
      <c r="U53" s="975">
        <f>U45-U54</f>
        <v>21692.400013901326</v>
      </c>
      <c r="V53" s="815"/>
      <c r="W53" s="975">
        <f>W45-W54</f>
        <v>21178.760041901958</v>
      </c>
      <c r="X53" s="815"/>
      <c r="Y53" s="975">
        <f>Y45-Y54</f>
        <v>20448.648573259881</v>
      </c>
      <c r="Z53" s="815"/>
      <c r="AA53" s="975">
        <f>AA45-AA54</f>
        <v>19489.491970685482</v>
      </c>
      <c r="AB53" s="815"/>
      <c r="AC53" s="975">
        <f>AC45-AC54</f>
        <v>18288.150895562667</v>
      </c>
      <c r="AD53" s="815"/>
      <c r="AE53" s="975">
        <f>AE45-AE54</f>
        <v>16830.897353887893</v>
      </c>
      <c r="AF53" s="815"/>
      <c r="AG53" s="975">
        <f>AG45-AG54</f>
        <v>15103.390859677476</v>
      </c>
      <c r="AH53" s="371"/>
      <c r="AI53" s="371"/>
    </row>
    <row r="54" spans="1:35">
      <c r="A54" s="358" t="s">
        <v>1092</v>
      </c>
      <c r="B54" s="358"/>
      <c r="C54" s="406"/>
      <c r="D54" s="358"/>
      <c r="E54" s="978">
        <v>5000</v>
      </c>
      <c r="F54" s="377"/>
      <c r="G54" s="976">
        <f t="shared" ref="G54" si="14">E54*$C$53</f>
        <v>5175</v>
      </c>
      <c r="H54" s="814"/>
      <c r="I54" s="814">
        <f t="shared" ref="G54:AG57" si="15">G54*$C$53</f>
        <v>5356.125</v>
      </c>
      <c r="J54" s="814"/>
      <c r="K54" s="814">
        <f t="shared" si="15"/>
        <v>5543.5893749999996</v>
      </c>
      <c r="L54" s="814"/>
      <c r="M54" s="814">
        <f t="shared" si="15"/>
        <v>5737.615003124999</v>
      </c>
      <c r="N54" s="814"/>
      <c r="O54" s="814">
        <f t="shared" si="15"/>
        <v>5938.4315282343732</v>
      </c>
      <c r="P54" s="814"/>
      <c r="Q54" s="814">
        <f t="shared" si="15"/>
        <v>6146.276631722576</v>
      </c>
      <c r="R54" s="814"/>
      <c r="S54" s="814">
        <f t="shared" si="15"/>
        <v>6361.3963138328654</v>
      </c>
      <c r="T54" s="814"/>
      <c r="U54" s="814">
        <f t="shared" si="15"/>
        <v>6584.0451848170151</v>
      </c>
      <c r="V54" s="814"/>
      <c r="W54" s="814">
        <f t="shared" si="15"/>
        <v>6814.4867662856104</v>
      </c>
      <c r="X54" s="814"/>
      <c r="Y54" s="814">
        <f t="shared" si="15"/>
        <v>7052.9938031056063</v>
      </c>
      <c r="Z54" s="814"/>
      <c r="AA54" s="814">
        <f t="shared" si="15"/>
        <v>7299.8485862143016</v>
      </c>
      <c r="AB54" s="814"/>
      <c r="AC54" s="814">
        <f t="shared" si="15"/>
        <v>7555.3432867318015</v>
      </c>
      <c r="AD54" s="814"/>
      <c r="AE54" s="814">
        <f t="shared" si="15"/>
        <v>7819.7803017674141</v>
      </c>
      <c r="AF54" s="814"/>
      <c r="AG54" s="814">
        <f t="shared" si="15"/>
        <v>8093.472612329273</v>
      </c>
      <c r="AH54" s="377"/>
      <c r="AI54" s="377"/>
    </row>
    <row r="55" spans="1:35">
      <c r="A55" s="358" t="s">
        <v>1093</v>
      </c>
      <c r="B55" s="358"/>
      <c r="C55" s="406"/>
      <c r="D55" s="358"/>
      <c r="E55" s="399">
        <v>0</v>
      </c>
      <c r="F55" s="377"/>
      <c r="G55" s="814">
        <f t="shared" si="15"/>
        <v>0</v>
      </c>
      <c r="H55" s="814"/>
      <c r="I55" s="814">
        <f t="shared" si="15"/>
        <v>0</v>
      </c>
      <c r="J55" s="814"/>
      <c r="K55" s="814">
        <f t="shared" si="15"/>
        <v>0</v>
      </c>
      <c r="L55" s="814"/>
      <c r="M55" s="814">
        <f t="shared" si="15"/>
        <v>0</v>
      </c>
      <c r="N55" s="814"/>
      <c r="O55" s="814">
        <f t="shared" si="15"/>
        <v>0</v>
      </c>
      <c r="P55" s="814"/>
      <c r="Q55" s="814">
        <f t="shared" si="15"/>
        <v>0</v>
      </c>
      <c r="R55" s="814"/>
      <c r="S55" s="814">
        <f t="shared" si="15"/>
        <v>0</v>
      </c>
      <c r="T55" s="814"/>
      <c r="U55" s="814">
        <f t="shared" si="15"/>
        <v>0</v>
      </c>
      <c r="V55" s="814"/>
      <c r="W55" s="814">
        <f t="shared" si="15"/>
        <v>0</v>
      </c>
      <c r="X55" s="814"/>
      <c r="Y55" s="814">
        <f t="shared" si="15"/>
        <v>0</v>
      </c>
      <c r="Z55" s="814"/>
      <c r="AA55" s="814">
        <f t="shared" si="15"/>
        <v>0</v>
      </c>
      <c r="AB55" s="814"/>
      <c r="AC55" s="814">
        <f t="shared" si="15"/>
        <v>0</v>
      </c>
      <c r="AD55" s="814"/>
      <c r="AE55" s="814">
        <f t="shared" si="15"/>
        <v>0</v>
      </c>
      <c r="AF55" s="814"/>
      <c r="AG55" s="814">
        <f t="shared" si="15"/>
        <v>0</v>
      </c>
      <c r="AH55" s="377"/>
      <c r="AI55" s="377"/>
    </row>
    <row r="56" spans="1:35">
      <c r="A56" s="397"/>
      <c r="B56" s="397"/>
      <c r="C56" s="406"/>
      <c r="D56" s="358"/>
      <c r="E56" s="399">
        <v>0</v>
      </c>
      <c r="F56" s="377"/>
      <c r="G56" s="814">
        <f t="shared" si="15"/>
        <v>0</v>
      </c>
      <c r="H56" s="814"/>
      <c r="I56" s="814">
        <f t="shared" si="15"/>
        <v>0</v>
      </c>
      <c r="J56" s="814"/>
      <c r="K56" s="814">
        <f t="shared" si="15"/>
        <v>0</v>
      </c>
      <c r="L56" s="814"/>
      <c r="M56" s="814">
        <f t="shared" si="15"/>
        <v>0</v>
      </c>
      <c r="N56" s="814"/>
      <c r="O56" s="814">
        <f t="shared" si="15"/>
        <v>0</v>
      </c>
      <c r="P56" s="814"/>
      <c r="Q56" s="814">
        <f t="shared" si="15"/>
        <v>0</v>
      </c>
      <c r="R56" s="814"/>
      <c r="S56" s="814">
        <f t="shared" si="15"/>
        <v>0</v>
      </c>
      <c r="T56" s="814"/>
      <c r="U56" s="814">
        <f t="shared" si="15"/>
        <v>0</v>
      </c>
      <c r="V56" s="814"/>
      <c r="W56" s="814">
        <f t="shared" si="15"/>
        <v>0</v>
      </c>
      <c r="X56" s="814"/>
      <c r="Y56" s="814">
        <f t="shared" si="15"/>
        <v>0</v>
      </c>
      <c r="Z56" s="814"/>
      <c r="AA56" s="814">
        <f t="shared" si="15"/>
        <v>0</v>
      </c>
      <c r="AB56" s="814"/>
      <c r="AC56" s="814">
        <f t="shared" si="15"/>
        <v>0</v>
      </c>
      <c r="AD56" s="814"/>
      <c r="AE56" s="814">
        <f t="shared" si="15"/>
        <v>0</v>
      </c>
      <c r="AF56" s="814"/>
      <c r="AG56" s="814">
        <f t="shared" si="15"/>
        <v>0</v>
      </c>
      <c r="AH56" s="377"/>
      <c r="AI56" s="377"/>
    </row>
    <row r="57" spans="1:35">
      <c r="A57" s="397"/>
      <c r="B57" s="397"/>
      <c r="C57" s="406"/>
      <c r="D57" s="358"/>
      <c r="E57" s="403">
        <v>0</v>
      </c>
      <c r="F57" s="377"/>
      <c r="G57" s="816">
        <f t="shared" si="15"/>
        <v>0</v>
      </c>
      <c r="H57" s="814"/>
      <c r="I57" s="816">
        <f t="shared" si="15"/>
        <v>0</v>
      </c>
      <c r="J57" s="814"/>
      <c r="K57" s="816">
        <f t="shared" si="15"/>
        <v>0</v>
      </c>
      <c r="L57" s="814"/>
      <c r="M57" s="816">
        <f t="shared" si="15"/>
        <v>0</v>
      </c>
      <c r="N57" s="814"/>
      <c r="O57" s="816">
        <f t="shared" si="15"/>
        <v>0</v>
      </c>
      <c r="P57" s="814"/>
      <c r="Q57" s="816">
        <f t="shared" si="15"/>
        <v>0</v>
      </c>
      <c r="R57" s="814"/>
      <c r="S57" s="816">
        <f t="shared" si="15"/>
        <v>0</v>
      </c>
      <c r="T57" s="814"/>
      <c r="U57" s="816">
        <f t="shared" si="15"/>
        <v>0</v>
      </c>
      <c r="V57" s="814"/>
      <c r="W57" s="816">
        <f t="shared" si="15"/>
        <v>0</v>
      </c>
      <c r="X57" s="814"/>
      <c r="Y57" s="816">
        <f t="shared" si="15"/>
        <v>0</v>
      </c>
      <c r="Z57" s="814"/>
      <c r="AA57" s="816">
        <f t="shared" si="15"/>
        <v>0</v>
      </c>
      <c r="AB57" s="814"/>
      <c r="AC57" s="816">
        <f t="shared" si="15"/>
        <v>0</v>
      </c>
      <c r="AD57" s="814"/>
      <c r="AE57" s="816">
        <f t="shared" si="15"/>
        <v>0</v>
      </c>
      <c r="AF57" s="814"/>
      <c r="AG57" s="816">
        <f t="shared" si="15"/>
        <v>0</v>
      </c>
      <c r="AH57" s="377"/>
      <c r="AI57" s="377"/>
    </row>
    <row r="58" spans="1:35">
      <c r="A58" s="371" t="s">
        <v>1094</v>
      </c>
      <c r="B58" s="358"/>
      <c r="C58" s="395"/>
      <c r="D58" s="358"/>
      <c r="E58" s="377">
        <f>SUM(E53:E57)</f>
        <v>24347.471698113251</v>
      </c>
      <c r="F58" s="377"/>
      <c r="G58" s="377">
        <f>SUM(G53:G57)</f>
        <v>25348.908490565955</v>
      </c>
      <c r="H58" s="377"/>
      <c r="I58" s="377">
        <f>SUM(I53:I57)</f>
        <v>26222.710002830136</v>
      </c>
      <c r="J58" s="377"/>
      <c r="K58" s="377">
        <f>SUM(K53:K57)</f>
        <v>26960.31217440078</v>
      </c>
      <c r="L58" s="377"/>
      <c r="M58" s="377">
        <f>SUM(M53:M57)</f>
        <v>27552.748188283294</v>
      </c>
      <c r="N58" s="377"/>
      <c r="O58" s="377">
        <f>SUM(O53:O57)</f>
        <v>27990.631787281716</v>
      </c>
      <c r="P58" s="377"/>
      <c r="Q58" s="377">
        <f>SUM(Q53:Q57)</f>
        <v>28264.139941439149</v>
      </c>
      <c r="R58" s="377"/>
      <c r="S58" s="377">
        <f>SUM(S53:S57)</f>
        <v>28362.994842294138</v>
      </c>
      <c r="T58" s="377"/>
      <c r="U58" s="377">
        <f>SUM(U53:U57)</f>
        <v>28276.445198718342</v>
      </c>
      <c r="V58" s="377"/>
      <c r="W58" s="377">
        <f>SUM(W53:W57)</f>
        <v>27993.24680818757</v>
      </c>
      <c r="X58" s="377"/>
      <c r="Y58" s="377">
        <f>SUM(Y53:Y57)</f>
        <v>27501.642376365489</v>
      </c>
      <c r="Z58" s="377"/>
      <c r="AA58" s="377">
        <f>SUM(AA53:AA57)</f>
        <v>26789.340556899784</v>
      </c>
      <c r="AB58" s="377"/>
      <c r="AC58" s="377">
        <f>SUM(AC53:AC57)</f>
        <v>25843.494182294467</v>
      </c>
      <c r="AD58" s="377"/>
      <c r="AE58" s="377">
        <f>SUM(AE53:AE57)</f>
        <v>24650.677655655309</v>
      </c>
      <c r="AF58" s="377"/>
      <c r="AG58" s="377">
        <f>SUM(AG53:AG57)</f>
        <v>23196.863472006749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0</v>
      </c>
      <c r="F60" s="371"/>
      <c r="G60" s="371">
        <f>G45-G58</f>
        <v>0</v>
      </c>
      <c r="H60" s="371"/>
      <c r="I60" s="371">
        <f>I45-I58</f>
        <v>0</v>
      </c>
      <c r="J60" s="371"/>
      <c r="K60" s="371">
        <f>K45-K58</f>
        <v>0</v>
      </c>
      <c r="L60" s="371"/>
      <c r="M60" s="371">
        <f>M45-M58</f>
        <v>0</v>
      </c>
      <c r="N60" s="371"/>
      <c r="O60" s="371">
        <f>O45-O58</f>
        <v>0</v>
      </c>
      <c r="P60" s="371"/>
      <c r="Q60" s="371">
        <f>Q45-Q58</f>
        <v>0</v>
      </c>
      <c r="R60" s="371"/>
      <c r="S60" s="371">
        <f>S45-S58</f>
        <v>0</v>
      </c>
      <c r="T60" s="371"/>
      <c r="U60" s="371">
        <f>U45-U58</f>
        <v>0</v>
      </c>
      <c r="V60" s="371"/>
      <c r="W60" s="371">
        <f>W45-W58</f>
        <v>0</v>
      </c>
      <c r="X60" s="371"/>
      <c r="Y60" s="371">
        <f>Y45-Y58</f>
        <v>0</v>
      </c>
      <c r="Z60" s="371"/>
      <c r="AA60" s="371">
        <f>AA45-AA58</f>
        <v>0</v>
      </c>
      <c r="AB60" s="371"/>
      <c r="AC60" s="371">
        <f>AC45-AC58</f>
        <v>0</v>
      </c>
      <c r="AD60" s="371"/>
      <c r="AE60" s="371">
        <f>AE45-AE58</f>
        <v>0</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8"/>
      <c r="D62" s="371"/>
      <c r="E62" s="398">
        <v>0</v>
      </c>
      <c r="F62" s="371"/>
      <c r="G62" s="817">
        <f>G60*$C$62</f>
        <v>0</v>
      </c>
      <c r="H62" s="371"/>
      <c r="I62" s="817">
        <f>I60*$C$62</f>
        <v>0</v>
      </c>
      <c r="J62" s="371"/>
      <c r="K62" s="817">
        <f>K60*$C$62</f>
        <v>0</v>
      </c>
      <c r="L62" s="371"/>
      <c r="M62" s="817">
        <f>M60*$C$62</f>
        <v>0</v>
      </c>
      <c r="N62" s="371"/>
      <c r="O62" s="817">
        <f>O60*$C$62</f>
        <v>0</v>
      </c>
      <c r="P62" s="371"/>
      <c r="Q62" s="817">
        <f>Q60*$C$62</f>
        <v>0</v>
      </c>
      <c r="R62" s="371"/>
      <c r="S62" s="817">
        <f>S60*$C$62</f>
        <v>0</v>
      </c>
      <c r="T62" s="371"/>
      <c r="U62" s="817">
        <f>U60*$C$62</f>
        <v>0</v>
      </c>
      <c r="V62" s="371"/>
      <c r="W62" s="817">
        <f>W60*$C$62</f>
        <v>0</v>
      </c>
      <c r="X62" s="371"/>
      <c r="Y62" s="817">
        <f>Y60*$C$62</f>
        <v>0</v>
      </c>
      <c r="Z62" s="371"/>
      <c r="AA62" s="817">
        <f>AA60*$C$62</f>
        <v>0</v>
      </c>
      <c r="AB62" s="371"/>
      <c r="AC62" s="817">
        <f>AC60*$C$62</f>
        <v>0</v>
      </c>
      <c r="AD62" s="371"/>
      <c r="AE62" s="817">
        <f>AE60*$C$62</f>
        <v>0</v>
      </c>
      <c r="AF62" s="371"/>
      <c r="AG62" s="817">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9"/>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t="str">
        <f>[1]Application!C632</f>
        <v>City of Merced PLHA</v>
      </c>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978" t="str">
        <f>[1]Application!C634</f>
        <v>City of Merced-Value of Donated Land</v>
      </c>
      <c r="B67" s="399"/>
      <c r="C67" s="379"/>
      <c r="D67" s="377"/>
      <c r="E67" s="399">
        <f>$E60*$C$65</f>
        <v>0</v>
      </c>
      <c r="F67" s="377"/>
      <c r="G67" s="820">
        <f>G60*$C$65</f>
        <v>0</v>
      </c>
      <c r="H67" s="377"/>
      <c r="I67" s="820">
        <f>I60*$C$65</f>
        <v>0</v>
      </c>
      <c r="J67" s="377"/>
      <c r="K67" s="820">
        <f>K60*$C$65</f>
        <v>0</v>
      </c>
      <c r="L67" s="377"/>
      <c r="M67" s="820">
        <f>M60*$C$65</f>
        <v>0</v>
      </c>
      <c r="N67" s="377"/>
      <c r="O67" s="820">
        <f>O60*$C$65</f>
        <v>0</v>
      </c>
      <c r="P67" s="377"/>
      <c r="Q67" s="820">
        <f>Q60*$C$65</f>
        <v>0</v>
      </c>
      <c r="R67" s="377"/>
      <c r="S67" s="820">
        <f>S60*$C$65</f>
        <v>0</v>
      </c>
      <c r="T67" s="377"/>
      <c r="U67" s="820">
        <f>U60*$C$65</f>
        <v>0</v>
      </c>
      <c r="V67" s="377"/>
      <c r="W67" s="820">
        <f>W60*$C$65</f>
        <v>0</v>
      </c>
      <c r="X67" s="377"/>
      <c r="Y67" s="820">
        <f>Y60*$C$65</f>
        <v>0</v>
      </c>
      <c r="Z67" s="377"/>
      <c r="AA67" s="820">
        <f>AA60*$C$65</f>
        <v>0</v>
      </c>
      <c r="AB67" s="377"/>
      <c r="AC67" s="820">
        <f>AC60*$C$65</f>
        <v>0</v>
      </c>
      <c r="AD67" s="377"/>
      <c r="AE67" s="820">
        <f>AE60*$C$65</f>
        <v>0</v>
      </c>
      <c r="AF67" s="377"/>
      <c r="AG67" s="820">
        <f>AG60*$C$65</f>
        <v>0</v>
      </c>
      <c r="AH67" s="377"/>
      <c r="AI67" s="377"/>
    </row>
    <row r="68" spans="1:35">
      <c r="A68" s="398"/>
      <c r="B68" s="398"/>
      <c r="C68" s="396"/>
      <c r="D68" s="371"/>
      <c r="E68" s="398">
        <v>0</v>
      </c>
      <c r="F68" s="371"/>
      <c r="G68" s="820">
        <f>G60*$C$65</f>
        <v>0</v>
      </c>
      <c r="H68" s="371"/>
      <c r="I68" s="820">
        <f>I60*$C$65</f>
        <v>0</v>
      </c>
      <c r="J68" s="371"/>
      <c r="K68" s="820">
        <f>K60*$C$65</f>
        <v>0</v>
      </c>
      <c r="L68" s="371"/>
      <c r="M68" s="820">
        <f>M60*$C$65</f>
        <v>0</v>
      </c>
      <c r="N68" s="371"/>
      <c r="O68" s="820">
        <f>O60*$C$65</f>
        <v>0</v>
      </c>
      <c r="P68" s="371"/>
      <c r="Q68" s="820">
        <f>Q60*$C$65</f>
        <v>0</v>
      </c>
      <c r="R68" s="371"/>
      <c r="S68" s="820">
        <f>S60*$C$65</f>
        <v>0</v>
      </c>
      <c r="T68" s="371"/>
      <c r="U68" s="820">
        <f>U60*$C$65</f>
        <v>0</v>
      </c>
      <c r="V68" s="371"/>
      <c r="W68" s="820">
        <f>W60*$C$65</f>
        <v>0</v>
      </c>
      <c r="X68" s="371"/>
      <c r="Y68" s="820">
        <f>Y60*$C$65</f>
        <v>0</v>
      </c>
      <c r="Z68" s="371"/>
      <c r="AA68" s="820">
        <f>AA60*$C$65</f>
        <v>0</v>
      </c>
      <c r="AB68" s="371"/>
      <c r="AC68" s="820">
        <f>AC60*$C$65</f>
        <v>0</v>
      </c>
      <c r="AD68" s="371"/>
      <c r="AE68" s="820">
        <f>AE60*$C$65</f>
        <v>0</v>
      </c>
      <c r="AF68" s="371"/>
      <c r="AG68" s="820">
        <f>AG60*$C$65</f>
        <v>0</v>
      </c>
      <c r="AH68" s="371"/>
      <c r="AI68" s="371"/>
    </row>
    <row r="69" spans="1:35">
      <c r="A69" s="399"/>
      <c r="B69" s="399"/>
      <c r="C69" s="379"/>
      <c r="D69" s="377"/>
      <c r="E69" s="403">
        <v>0</v>
      </c>
      <c r="F69" s="377"/>
      <c r="G69" s="821">
        <f>G60*$C$65</f>
        <v>0</v>
      </c>
      <c r="H69" s="377"/>
      <c r="I69" s="821">
        <f>I60*$C$65</f>
        <v>0</v>
      </c>
      <c r="J69" s="377"/>
      <c r="K69" s="821">
        <f>K60*$C$65</f>
        <v>0</v>
      </c>
      <c r="L69" s="377"/>
      <c r="M69" s="821">
        <f>M60*$C$65</f>
        <v>0</v>
      </c>
      <c r="N69" s="377"/>
      <c r="O69" s="821">
        <f>O60*$C$65</f>
        <v>0</v>
      </c>
      <c r="P69" s="377"/>
      <c r="Q69" s="821">
        <f>Q60*$C$65</f>
        <v>0</v>
      </c>
      <c r="R69" s="377"/>
      <c r="S69" s="821">
        <f>S60*$C$65</f>
        <v>0</v>
      </c>
      <c r="T69" s="377"/>
      <c r="U69" s="821">
        <f>U60*$C$65</f>
        <v>0</v>
      </c>
      <c r="V69" s="377"/>
      <c r="W69" s="821">
        <f>W60*$C$65</f>
        <v>0</v>
      </c>
      <c r="X69" s="377"/>
      <c r="Y69" s="821">
        <f>Y60*$C$65</f>
        <v>0</v>
      </c>
      <c r="Z69" s="377"/>
      <c r="AA69" s="821">
        <f>AA60*$C$65</f>
        <v>0</v>
      </c>
      <c r="AB69" s="377"/>
      <c r="AC69" s="821">
        <f>AC60*$C$65</f>
        <v>0</v>
      </c>
      <c r="AD69" s="377"/>
      <c r="AE69" s="821">
        <f>AE60*$C$65</f>
        <v>0</v>
      </c>
      <c r="AF69" s="377"/>
      <c r="AG69" s="821">
        <f>AG60*$C$65</f>
        <v>0</v>
      </c>
      <c r="AH69" s="377"/>
      <c r="AI69" s="377"/>
    </row>
    <row r="70" spans="1:35">
      <c r="A70" s="817"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7" t="s">
        <v>1927</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1098</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5" sqref="E5"/>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4" t="s">
        <v>1169</v>
      </c>
      <c r="B1" s="1974"/>
      <c r="C1" s="1974"/>
      <c r="D1" s="1974"/>
      <c r="E1" s="1974"/>
      <c r="F1" s="1974"/>
      <c r="G1" s="1974"/>
      <c r="H1" s="1974"/>
      <c r="I1" s="197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39">
        <f>Application!$G703</f>
        <v>53</v>
      </c>
      <c r="C4" s="599">
        <f>Application!$O703</f>
        <v>385</v>
      </c>
      <c r="D4" s="600"/>
      <c r="E4" s="937">
        <v>1142</v>
      </c>
      <c r="F4" s="599">
        <f>$E4*$B4</f>
        <v>60526</v>
      </c>
      <c r="G4" s="600"/>
      <c r="H4" s="599">
        <f>IF($E4=0,0,MAX($E4-$C4,0))</f>
        <v>757</v>
      </c>
      <c r="I4" s="599">
        <f>IF($H4=0,0,($H4*$B4))</f>
        <v>40121</v>
      </c>
    </row>
    <row r="5" spans="1:9">
      <c r="A5" s="599">
        <f>Application!$B704</f>
        <v>0</v>
      </c>
      <c r="B5" s="938">
        <f>Application!$G704</f>
        <v>0</v>
      </c>
      <c r="C5" s="599">
        <f>Application!$O704</f>
        <v>0</v>
      </c>
      <c r="D5" s="600"/>
      <c r="E5" s="937"/>
      <c r="F5" s="599">
        <f t="shared" ref="F5:F38" si="0">$E5*$B5</f>
        <v>0</v>
      </c>
      <c r="G5" s="600"/>
      <c r="H5" s="599">
        <f t="shared" ref="H5:H38" si="1">IF($E5=0,0,MAX($E5-$C5,0))</f>
        <v>0</v>
      </c>
      <c r="I5" s="599">
        <f t="shared" ref="I5:I38" si="2">IF($H5=0,0,($H5*$B5))</f>
        <v>0</v>
      </c>
    </row>
    <row r="6" spans="1:9">
      <c r="A6" s="599">
        <f>Application!$B705</f>
        <v>0</v>
      </c>
      <c r="B6" s="938">
        <f>Application!$G705</f>
        <v>0</v>
      </c>
      <c r="C6" s="599">
        <f>Application!$O705</f>
        <v>0</v>
      </c>
      <c r="D6" s="600"/>
      <c r="E6" s="937"/>
      <c r="F6" s="599">
        <f t="shared" si="0"/>
        <v>0</v>
      </c>
      <c r="G6" s="600"/>
      <c r="H6" s="599">
        <f t="shared" si="1"/>
        <v>0</v>
      </c>
      <c r="I6" s="599">
        <f t="shared" si="2"/>
        <v>0</v>
      </c>
    </row>
    <row r="7" spans="1:9">
      <c r="A7" s="599">
        <f>Application!$B706</f>
        <v>0</v>
      </c>
      <c r="B7" s="938">
        <f>Application!$G706</f>
        <v>0</v>
      </c>
      <c r="C7" s="599">
        <f>Application!$O706</f>
        <v>0</v>
      </c>
      <c r="D7" s="600"/>
      <c r="E7" s="937"/>
      <c r="F7" s="599">
        <f t="shared" si="0"/>
        <v>0</v>
      </c>
      <c r="G7" s="600"/>
      <c r="H7" s="599">
        <f t="shared" si="1"/>
        <v>0</v>
      </c>
      <c r="I7" s="599">
        <f t="shared" si="2"/>
        <v>0</v>
      </c>
    </row>
    <row r="8" spans="1:9">
      <c r="A8" s="599">
        <f>Application!$B707</f>
        <v>0</v>
      </c>
      <c r="B8" s="938">
        <f>Application!$G707</f>
        <v>0</v>
      </c>
      <c r="C8" s="599">
        <f>Application!$O707</f>
        <v>0</v>
      </c>
      <c r="D8" s="600"/>
      <c r="E8" s="937"/>
      <c r="F8" s="599">
        <f t="shared" si="0"/>
        <v>0</v>
      </c>
      <c r="G8" s="600"/>
      <c r="H8" s="599">
        <f t="shared" si="1"/>
        <v>0</v>
      </c>
      <c r="I8" s="599">
        <f t="shared" si="2"/>
        <v>0</v>
      </c>
    </row>
    <row r="9" spans="1:9">
      <c r="A9" s="599">
        <f>Application!$B708</f>
        <v>0</v>
      </c>
      <c r="B9" s="938">
        <f>Application!$G708</f>
        <v>0</v>
      </c>
      <c r="C9" s="599">
        <f>Application!$O708</f>
        <v>0</v>
      </c>
      <c r="D9" s="600"/>
      <c r="E9" s="937"/>
      <c r="F9" s="599">
        <f t="shared" si="0"/>
        <v>0</v>
      </c>
      <c r="G9" s="600"/>
      <c r="H9" s="599">
        <f t="shared" si="1"/>
        <v>0</v>
      </c>
      <c r="I9" s="599">
        <f t="shared" si="2"/>
        <v>0</v>
      </c>
    </row>
    <row r="10" spans="1:9">
      <c r="A10" s="599">
        <f>Application!$B709</f>
        <v>0</v>
      </c>
      <c r="B10" s="938">
        <f>Application!$G709</f>
        <v>0</v>
      </c>
      <c r="C10" s="599">
        <f>Application!$O709</f>
        <v>0</v>
      </c>
      <c r="D10" s="600"/>
      <c r="E10" s="937"/>
      <c r="F10" s="599">
        <f t="shared" si="0"/>
        <v>0</v>
      </c>
      <c r="G10" s="600"/>
      <c r="H10" s="599">
        <f t="shared" si="1"/>
        <v>0</v>
      </c>
      <c r="I10" s="599">
        <f t="shared" si="2"/>
        <v>0</v>
      </c>
    </row>
    <row r="11" spans="1:9">
      <c r="A11" s="599">
        <f>Application!$B710</f>
        <v>0</v>
      </c>
      <c r="B11" s="938">
        <f>Application!$G710</f>
        <v>0</v>
      </c>
      <c r="C11" s="599">
        <f>Application!$O710</f>
        <v>0</v>
      </c>
      <c r="D11" s="600"/>
      <c r="E11" s="937"/>
      <c r="F11" s="599">
        <f t="shared" si="0"/>
        <v>0</v>
      </c>
      <c r="G11" s="600"/>
      <c r="H11" s="599">
        <f t="shared" si="1"/>
        <v>0</v>
      </c>
      <c r="I11" s="599">
        <f t="shared" si="2"/>
        <v>0</v>
      </c>
    </row>
    <row r="12" spans="1:9">
      <c r="A12" s="599">
        <f>Application!$B711</f>
        <v>0</v>
      </c>
      <c r="B12" s="938">
        <f>Application!$G711</f>
        <v>0</v>
      </c>
      <c r="C12" s="599">
        <f>Application!$O711</f>
        <v>0</v>
      </c>
      <c r="D12" s="600"/>
      <c r="E12" s="937"/>
      <c r="F12" s="599">
        <f t="shared" si="0"/>
        <v>0</v>
      </c>
      <c r="G12" s="600"/>
      <c r="H12" s="599">
        <f t="shared" si="1"/>
        <v>0</v>
      </c>
      <c r="I12" s="599">
        <f t="shared" si="2"/>
        <v>0</v>
      </c>
    </row>
    <row r="13" spans="1:9">
      <c r="A13" s="599">
        <f>Application!$B712</f>
        <v>0</v>
      </c>
      <c r="B13" s="938">
        <f>Application!$G712</f>
        <v>0</v>
      </c>
      <c r="C13" s="599">
        <f>Application!$O712</f>
        <v>0</v>
      </c>
      <c r="D13" s="600"/>
      <c r="E13" s="937"/>
      <c r="F13" s="599">
        <f t="shared" si="0"/>
        <v>0</v>
      </c>
      <c r="G13" s="600"/>
      <c r="H13" s="599">
        <f t="shared" si="1"/>
        <v>0</v>
      </c>
      <c r="I13" s="599">
        <f t="shared" si="2"/>
        <v>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244860</v>
      </c>
      <c r="D40" s="600"/>
      <c r="E40" s="600"/>
      <c r="F40" s="603">
        <f>SUM(F4:F38)*12</f>
        <v>726312</v>
      </c>
      <c r="G40" s="604"/>
      <c r="H40" s="602"/>
      <c r="I40" s="603">
        <f>SUM(I4:I38)*12</f>
        <v>481452</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1228</v>
      </c>
    </row>
    <row r="2" spans="1:1" ht="15.6">
      <c r="A2" s="482"/>
    </row>
    <row r="3" spans="1:1" ht="15.6">
      <c r="A3" s="483" t="s">
        <v>1223</v>
      </c>
    </row>
    <row r="4" spans="1:1" ht="15.6">
      <c r="A4" s="483" t="s">
        <v>1224</v>
      </c>
    </row>
    <row r="5" spans="1:1" ht="15.6">
      <c r="A5" s="483" t="s">
        <v>1225</v>
      </c>
    </row>
    <row r="6" spans="1:1" ht="15.6">
      <c r="A6" s="483" t="s">
        <v>1226</v>
      </c>
    </row>
    <row r="7" spans="1:1" ht="15.6">
      <c r="A7" s="483" t="s">
        <v>1227</v>
      </c>
    </row>
    <row r="8" spans="1:1" ht="15.6">
      <c r="A8" s="561" t="s">
        <v>1342</v>
      </c>
    </row>
    <row r="9" spans="1:1" ht="15.6">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1" t="s">
        <v>1099</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9" t="s">
        <v>507</v>
      </c>
      <c r="C11" s="1120"/>
      <c r="D11" s="1120"/>
      <c r="E11" s="1120"/>
      <c r="F11" s="1120"/>
      <c r="G11" s="1120"/>
      <c r="H11" s="1120"/>
      <c r="I11" s="1120"/>
      <c r="J11" s="1120"/>
      <c r="K11" s="1120"/>
      <c r="L11" s="1120"/>
      <c r="M11" s="1120"/>
      <c r="N11" s="1120"/>
      <c r="O11" s="1120"/>
      <c r="P11" s="1120"/>
      <c r="Q11" s="1120"/>
      <c r="R11" s="1120"/>
      <c r="S11" s="1122"/>
      <c r="T11" s="1639">
        <f>IF('Sources and Basis Breakdown'!F105=0,'Sources and Basis Breakdown'!E105,'Sources and Basis Breakdown'!F105)</f>
        <v>34274148</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33" t="s">
        <v>446</v>
      </c>
      <c r="C12" s="1015"/>
      <c r="D12" s="1015"/>
      <c r="E12" s="1015"/>
      <c r="F12" s="1015"/>
      <c r="G12" s="1015"/>
      <c r="H12" s="1015"/>
      <c r="I12" s="1015"/>
      <c r="J12" s="1015"/>
      <c r="K12" s="1015"/>
      <c r="L12" s="1015"/>
      <c r="M12" s="1015"/>
      <c r="N12" s="1015"/>
      <c r="O12" s="1015"/>
      <c r="P12" s="1015"/>
      <c r="Q12" s="1015"/>
      <c r="R12" s="1015"/>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4">
        <f>'Basis &amp; Credits'!T14</f>
        <v>0</v>
      </c>
      <c r="U14" s="1209"/>
      <c r="V14" s="1209"/>
      <c r="W14" s="1209"/>
      <c r="X14" s="1209"/>
      <c r="Y14" s="1194">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4">
        <f>'Basis &amp; Credits'!T15</f>
        <v>0</v>
      </c>
      <c r="U15" s="1209"/>
      <c r="V15" s="1209"/>
      <c r="W15" s="1209"/>
      <c r="X15" s="1209"/>
      <c r="Y15" s="1194">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4">
        <f>'Basis &amp; Credits'!T16</f>
        <v>0</v>
      </c>
      <c r="U16" s="1209"/>
      <c r="V16" s="1209"/>
      <c r="W16" s="1209"/>
      <c r="X16" s="1209"/>
      <c r="Y16" s="1194">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4">
        <f>'Basis &amp; Credits'!T17</f>
        <v>0</v>
      </c>
      <c r="U17" s="1209"/>
      <c r="V17" s="1209"/>
      <c r="W17" s="1209"/>
      <c r="X17" s="1209"/>
      <c r="Y17" s="1194">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2.9" customHeight="1">
      <c r="B18" s="590"/>
      <c r="C18" s="1635" t="s">
        <v>1362</v>
      </c>
      <c r="D18" s="1636"/>
      <c r="E18" s="1636"/>
      <c r="F18" s="1636"/>
      <c r="G18" s="1636"/>
      <c r="H18" s="1636"/>
      <c r="I18" s="1636"/>
      <c r="J18" s="1636"/>
      <c r="K18" s="1636"/>
      <c r="L18" s="1636"/>
      <c r="M18" s="1636"/>
      <c r="N18" s="1636"/>
      <c r="O18" s="1636"/>
      <c r="P18" s="1636"/>
      <c r="Q18" s="1636"/>
      <c r="R18" s="1636"/>
      <c r="S18" s="1637"/>
      <c r="T18" s="1192">
        <f>'Basis &amp; Credits'!T18</f>
        <v>0</v>
      </c>
      <c r="U18" s="1193"/>
      <c r="V18" s="1193"/>
      <c r="W18" s="1193"/>
      <c r="X18" s="1194"/>
      <c r="Y18" s="1194">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2.9"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4">
        <f>'Basis &amp; Credits'!T19</f>
        <v>0</v>
      </c>
      <c r="U19" s="1209"/>
      <c r="V19" s="1209"/>
      <c r="W19" s="1209"/>
      <c r="X19" s="1209"/>
      <c r="Y19" s="1194">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2.9" customHeight="1">
      <c r="B20" s="1119" t="s">
        <v>770</v>
      </c>
      <c r="C20" s="1120"/>
      <c r="D20" s="1120"/>
      <c r="E20" s="1120"/>
      <c r="F20" s="1120"/>
      <c r="G20" s="1120"/>
      <c r="H20" s="1120"/>
      <c r="I20" s="1120"/>
      <c r="J20" s="1120"/>
      <c r="K20" s="1120"/>
      <c r="L20" s="1120"/>
      <c r="M20" s="1120"/>
      <c r="N20" s="1120"/>
      <c r="O20" s="1120"/>
      <c r="P20" s="1120"/>
      <c r="Q20" s="1120"/>
      <c r="R20" s="1120"/>
      <c r="S20" s="1122"/>
      <c r="T20" s="1606">
        <f>SUM(T13:X19)</f>
        <v>0</v>
      </c>
      <c r="U20" s="1231"/>
      <c r="V20" s="1231"/>
      <c r="W20" s="1231"/>
      <c r="X20" s="1231"/>
      <c r="Y20" s="1606">
        <f>SUM(Y13:AC19)</f>
        <v>0</v>
      </c>
      <c r="Z20" s="1231"/>
      <c r="AA20" s="1231"/>
      <c r="AB20" s="1231"/>
      <c r="AC20" s="1231"/>
      <c r="AD20" s="1231">
        <f>SUM(AD13:AH19)</f>
        <v>0</v>
      </c>
      <c r="AE20" s="1231"/>
      <c r="AF20" s="1231"/>
      <c r="AG20" s="1231"/>
      <c r="AH20" s="1231"/>
      <c r="AI20" s="1231">
        <f>SUM(AI13:AM19)</f>
        <v>0</v>
      </c>
      <c r="AJ20" s="1231"/>
      <c r="AK20" s="1231"/>
      <c r="AL20" s="1231"/>
      <c r="AM20" s="1231"/>
    </row>
    <row r="21" spans="1:39" ht="12.9" customHeight="1">
      <c r="B21" s="1119" t="s">
        <v>1704</v>
      </c>
      <c r="C21" s="1120"/>
      <c r="D21" s="1120"/>
      <c r="E21" s="1120"/>
      <c r="F21" s="1120"/>
      <c r="G21" s="1120"/>
      <c r="H21" s="1120"/>
      <c r="I21" s="1120"/>
      <c r="J21" s="1120"/>
      <c r="K21" s="1120"/>
      <c r="L21" s="1120"/>
      <c r="M21" s="1120"/>
      <c r="N21" s="1120"/>
      <c r="O21" s="1120"/>
      <c r="P21" s="1120"/>
      <c r="Q21" s="1120"/>
      <c r="R21" s="1120"/>
      <c r="S21" s="1122"/>
      <c r="T21" s="1194">
        <f>'Basis &amp; Credits'!E21</f>
        <v>0</v>
      </c>
      <c r="U21" s="1209"/>
      <c r="V21" s="1209"/>
      <c r="W21" s="1209"/>
      <c r="X21" s="1209"/>
      <c r="Y21" s="1194">
        <f>'Basis &amp; Credits'!J21</f>
        <v>0</v>
      </c>
      <c r="Z21" s="1209"/>
      <c r="AA21" s="1209"/>
      <c r="AB21" s="1209"/>
      <c r="AC21" s="1209"/>
      <c r="AD21" s="1209">
        <f>'Basis &amp; Credits'!O21</f>
        <v>0</v>
      </c>
      <c r="AE21" s="1209"/>
      <c r="AF21" s="1209"/>
      <c r="AG21" s="1209"/>
      <c r="AH21" s="1209"/>
      <c r="AI21" s="1209">
        <f>'Basis &amp; Credits'!T21</f>
        <v>12906627</v>
      </c>
      <c r="AJ21" s="1209"/>
      <c r="AK21" s="1209"/>
      <c r="AL21" s="1209"/>
      <c r="AM21" s="1209"/>
    </row>
    <row r="22" spans="1:39" ht="12.9" customHeight="1">
      <c r="B22" s="1119" t="s">
        <v>771</v>
      </c>
      <c r="C22" s="1120"/>
      <c r="D22" s="1120"/>
      <c r="E22" s="1120"/>
      <c r="F22" s="1120"/>
      <c r="G22" s="1120"/>
      <c r="H22" s="1120"/>
      <c r="I22" s="1120"/>
      <c r="J22" s="1120"/>
      <c r="K22" s="1120"/>
      <c r="L22" s="1120"/>
      <c r="M22" s="1120"/>
      <c r="N22" s="1120"/>
      <c r="O22" s="1120"/>
      <c r="P22" s="1120"/>
      <c r="Q22" s="1120"/>
      <c r="R22" s="1120"/>
      <c r="S22" s="1122"/>
      <c r="T22" s="1640">
        <f>(T20+T21)*-1</f>
        <v>0</v>
      </c>
      <c r="U22" s="1641"/>
      <c r="V22" s="1641"/>
      <c r="W22" s="1641"/>
      <c r="X22" s="1641"/>
      <c r="Y22" s="1640">
        <f>(Y20+Y21)*-1</f>
        <v>0</v>
      </c>
      <c r="Z22" s="1641"/>
      <c r="AA22" s="1641"/>
      <c r="AB22" s="1641"/>
      <c r="AC22" s="1641"/>
      <c r="AD22" s="1640">
        <f>(AD20+AD21)*-1</f>
        <v>0</v>
      </c>
      <c r="AE22" s="1641"/>
      <c r="AF22" s="1641"/>
      <c r="AG22" s="1641"/>
      <c r="AH22" s="1641"/>
      <c r="AI22" s="1640">
        <f>(AI20+AI21)*-1</f>
        <v>-12906627</v>
      </c>
      <c r="AJ22" s="1641"/>
      <c r="AK22" s="1641"/>
      <c r="AL22" s="1641"/>
      <c r="AM22" s="1641"/>
    </row>
    <row r="23" spans="1:39" ht="12.9" customHeight="1">
      <c r="B23" s="1119" t="s">
        <v>772</v>
      </c>
      <c r="C23" s="1120"/>
      <c r="D23" s="1120"/>
      <c r="E23" s="1120"/>
      <c r="F23" s="1120"/>
      <c r="G23" s="1120"/>
      <c r="H23" s="1120"/>
      <c r="I23" s="1120"/>
      <c r="J23" s="1120"/>
      <c r="K23" s="1120"/>
      <c r="L23" s="1120"/>
      <c r="M23" s="1120"/>
      <c r="N23" s="1120"/>
      <c r="O23" s="1120"/>
      <c r="P23" s="1120"/>
      <c r="Q23" s="1120"/>
      <c r="R23" s="1120"/>
      <c r="S23" s="1122"/>
      <c r="T23" s="1606">
        <f>T11+T22</f>
        <v>34274148</v>
      </c>
      <c r="U23" s="1231"/>
      <c r="V23" s="1231"/>
      <c r="W23" s="1231"/>
      <c r="X23" s="1231"/>
      <c r="Y23" s="1606">
        <f>Y11+Y22</f>
        <v>0</v>
      </c>
      <c r="Z23" s="1231"/>
      <c r="AA23" s="1231"/>
      <c r="AB23" s="1231"/>
      <c r="AC23" s="1231"/>
      <c r="AD23" s="1606">
        <f>AD11+AD22</f>
        <v>0</v>
      </c>
      <c r="AE23" s="1231"/>
      <c r="AF23" s="1231"/>
      <c r="AG23" s="1231"/>
      <c r="AH23" s="1231"/>
      <c r="AI23" s="1606">
        <f>AI11+AI22</f>
        <v>-12906627</v>
      </c>
      <c r="AJ23" s="1231"/>
      <c r="AK23" s="1231"/>
      <c r="AL23" s="1231"/>
      <c r="AM23" s="1231"/>
    </row>
    <row r="24" spans="1:39" ht="12.9" customHeight="1">
      <c r="B24" s="1119" t="s">
        <v>1217</v>
      </c>
      <c r="C24" s="1120"/>
      <c r="D24" s="1120"/>
      <c r="E24" s="1120"/>
      <c r="F24" s="1120"/>
      <c r="G24" s="1120"/>
      <c r="H24" s="1120"/>
      <c r="I24" s="1120"/>
      <c r="J24" s="1120"/>
      <c r="K24" s="1120"/>
      <c r="L24" s="1120"/>
      <c r="M24" s="1120"/>
      <c r="N24" s="1120"/>
      <c r="O24" s="1120"/>
      <c r="P24" s="1120"/>
      <c r="Q24" s="1120"/>
      <c r="R24" s="1120"/>
      <c r="S24" s="1122"/>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6"/>
      <c r="Y25" s="1642">
        <v>1</v>
      </c>
      <c r="Z25" s="1643"/>
      <c r="AA25" s="1643"/>
      <c r="AB25" s="1643"/>
      <c r="AC25" s="1646"/>
      <c r="AD25" s="1642">
        <v>1</v>
      </c>
      <c r="AE25" s="1643"/>
      <c r="AF25" s="1643"/>
      <c r="AG25" s="1643"/>
      <c r="AH25" s="1646"/>
      <c r="AI25" s="1642">
        <v>1</v>
      </c>
      <c r="AJ25" s="1643"/>
      <c r="AK25" s="1643"/>
      <c r="AL25" s="1643"/>
      <c r="AM25" s="1646"/>
    </row>
    <row r="26" spans="1:39" ht="12.9" customHeight="1">
      <c r="B26" s="1119" t="s">
        <v>773</v>
      </c>
      <c r="C26" s="1120"/>
      <c r="D26" s="1120"/>
      <c r="E26" s="1120"/>
      <c r="F26" s="1120"/>
      <c r="G26" s="1120"/>
      <c r="H26" s="1120"/>
      <c r="I26" s="1120"/>
      <c r="J26" s="1120"/>
      <c r="K26" s="1120"/>
      <c r="L26" s="1120"/>
      <c r="M26" s="1120"/>
      <c r="N26" s="1120"/>
      <c r="O26" s="1120"/>
      <c r="P26" s="1120"/>
      <c r="Q26" s="1120"/>
      <c r="R26" s="1120"/>
      <c r="S26" s="1122"/>
      <c r="T26" s="1085">
        <f>T23*T25</f>
        <v>34274148</v>
      </c>
      <c r="U26" s="1618"/>
      <c r="V26" s="1618"/>
      <c r="W26" s="1618"/>
      <c r="X26" s="1618"/>
      <c r="Y26" s="1085">
        <f>Y23*Y25</f>
        <v>0</v>
      </c>
      <c r="Z26" s="1618"/>
      <c r="AA26" s="1618"/>
      <c r="AB26" s="1618"/>
      <c r="AC26" s="1618"/>
      <c r="AD26" s="1085">
        <f>AD23*AD25</f>
        <v>0</v>
      </c>
      <c r="AE26" s="1618"/>
      <c r="AF26" s="1618"/>
      <c r="AG26" s="1618"/>
      <c r="AH26" s="1618"/>
      <c r="AI26" s="1085">
        <f>AI23*AI25</f>
        <v>-12906627</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9" t="s">
        <v>842</v>
      </c>
      <c r="C28" s="1120"/>
      <c r="D28" s="1120"/>
      <c r="E28" s="1120"/>
      <c r="F28" s="1120"/>
      <c r="G28" s="1120"/>
      <c r="H28" s="1120"/>
      <c r="I28" s="1120"/>
      <c r="J28" s="1120"/>
      <c r="K28" s="1120"/>
      <c r="L28" s="1120"/>
      <c r="M28" s="1120"/>
      <c r="N28" s="1120"/>
      <c r="O28" s="1120"/>
      <c r="P28" s="1120"/>
      <c r="Q28" s="1120"/>
      <c r="R28" s="1120"/>
      <c r="S28" s="1122"/>
      <c r="T28" s="1085">
        <f>IF(ISERROR((T26*T27)),0,(T26*T27))</f>
        <v>34274148</v>
      </c>
      <c r="U28" s="1618"/>
      <c r="V28" s="1618"/>
      <c r="W28" s="1618"/>
      <c r="X28" s="1618"/>
      <c r="Y28" s="1085">
        <f>IF(ISERROR((Y26*Y27)),0,(Y26*Y27))</f>
        <v>0</v>
      </c>
      <c r="Z28" s="1618"/>
      <c r="AA28" s="1618"/>
      <c r="AB28" s="1618"/>
      <c r="AC28" s="1618"/>
      <c r="AD28" s="1085">
        <f>IF(ISERROR((AD26*AD27)),0,(AD26*AD27))</f>
        <v>0</v>
      </c>
      <c r="AE28" s="1618"/>
      <c r="AF28" s="1618"/>
      <c r="AG28" s="1618"/>
      <c r="AH28" s="1618"/>
      <c r="AI28" s="1085">
        <f>IF(ISERROR((AI26*AI27)),0,(AI26*AI27))</f>
        <v>-12906627</v>
      </c>
      <c r="AJ28" s="1618"/>
      <c r="AK28" s="1618"/>
      <c r="AL28" s="1618"/>
      <c r="AM28" s="1618"/>
    </row>
    <row r="29" spans="1:39" ht="12.9" customHeight="1">
      <c r="B29" s="1119" t="s">
        <v>622</v>
      </c>
      <c r="C29" s="1120"/>
      <c r="D29" s="1120"/>
      <c r="E29" s="1120"/>
      <c r="F29" s="1120"/>
      <c r="G29" s="1120"/>
      <c r="H29" s="1120"/>
      <c r="I29" s="1120"/>
      <c r="J29" s="1120"/>
      <c r="K29" s="1120"/>
      <c r="L29" s="1120"/>
      <c r="M29" s="1120"/>
      <c r="N29" s="1120"/>
      <c r="O29" s="1120"/>
      <c r="P29" s="1120"/>
      <c r="Q29" s="1120"/>
      <c r="R29" s="1120"/>
      <c r="S29" s="1122"/>
      <c r="T29" s="1607">
        <f>T28+Y28+AD28+AI28</f>
        <v>21367521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6" t="s">
        <v>41</v>
      </c>
      <c r="AE35" s="1236"/>
      <c r="AF35" s="1236"/>
      <c r="AG35" s="1236"/>
      <c r="AH35" s="1236"/>
    </row>
    <row r="36" spans="1:40" ht="12.9" customHeight="1">
      <c r="B36" s="202"/>
      <c r="X36" s="71"/>
      <c r="Y36" s="1609"/>
      <c r="Z36" s="1609"/>
      <c r="AA36" s="1609"/>
      <c r="AB36" s="1609"/>
      <c r="AC36" s="1609"/>
      <c r="AD36" s="1236"/>
      <c r="AE36" s="1236"/>
      <c r="AF36" s="1236"/>
      <c r="AG36" s="1236"/>
      <c r="AH36" s="123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6"/>
      <c r="AE37" s="1236"/>
      <c r="AF37" s="1236"/>
      <c r="AG37" s="1236"/>
      <c r="AH37" s="1236"/>
    </row>
    <row r="38" spans="1:40" ht="12.9" customHeight="1">
      <c r="A38" s="3"/>
      <c r="B38" s="1119" t="s">
        <v>842</v>
      </c>
      <c r="C38" s="1120"/>
      <c r="D38" s="1120"/>
      <c r="E38" s="1120"/>
      <c r="F38" s="1120"/>
      <c r="G38" s="1120"/>
      <c r="H38" s="1120"/>
      <c r="I38" s="1120"/>
      <c r="J38" s="1120"/>
      <c r="K38" s="1120"/>
      <c r="L38" s="1120"/>
      <c r="M38" s="1120"/>
      <c r="N38" s="1120"/>
      <c r="O38" s="1120"/>
      <c r="P38" s="1120"/>
      <c r="Q38" s="1120"/>
      <c r="R38" s="1120"/>
      <c r="S38" s="1120"/>
      <c r="T38" s="1120"/>
      <c r="U38" s="1120"/>
      <c r="V38" s="1120"/>
      <c r="W38" s="1120"/>
      <c r="X38" s="1122"/>
      <c r="Y38" s="1231">
        <f>IF(T24&gt;=(T23+Y23+AD23+AI23),T28+Y28,0)</f>
        <v>0</v>
      </c>
      <c r="Z38" s="1231"/>
      <c r="AA38" s="1231"/>
      <c r="AB38" s="1231"/>
      <c r="AC38" s="1231"/>
      <c r="AD38" s="1231">
        <f>IF(T24&gt;=(T23+Y23+AD23+AI23),AD28+AI28,0)</f>
        <v>0</v>
      </c>
      <c r="AE38" s="1231"/>
      <c r="AF38" s="1231"/>
      <c r="AG38" s="1231"/>
      <c r="AH38" s="1231"/>
    </row>
    <row r="39" spans="1:40" ht="12.9" customHeight="1">
      <c r="B39" s="1119" t="s">
        <v>764</v>
      </c>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1122"/>
      <c r="Y39" s="1976">
        <v>0.09</v>
      </c>
      <c r="Z39" s="1976"/>
      <c r="AA39" s="1976"/>
      <c r="AB39" s="1976"/>
      <c r="AC39" s="1976"/>
      <c r="AD39" s="1605">
        <v>0.04</v>
      </c>
      <c r="AE39" s="1605"/>
      <c r="AF39" s="1605"/>
      <c r="AG39" s="1605"/>
      <c r="AH39" s="1605"/>
    </row>
    <row r="40" spans="1:40" ht="12.9" customHeight="1">
      <c r="A40" s="3"/>
      <c r="B40" s="1119" t="s">
        <v>23</v>
      </c>
      <c r="C40" s="1120"/>
      <c r="D40" s="1120"/>
      <c r="E40" s="1120"/>
      <c r="F40" s="1120"/>
      <c r="G40" s="1120"/>
      <c r="H40" s="1120"/>
      <c r="I40" s="1120"/>
      <c r="J40" s="1120"/>
      <c r="K40" s="1120"/>
      <c r="L40" s="1120"/>
      <c r="M40" s="1120"/>
      <c r="N40" s="1120"/>
      <c r="O40" s="1120"/>
      <c r="P40" s="1120"/>
      <c r="Q40" s="1120"/>
      <c r="R40" s="1120"/>
      <c r="S40" s="1120"/>
      <c r="T40" s="1120"/>
      <c r="U40" s="1120"/>
      <c r="V40" s="1120"/>
      <c r="W40" s="1120"/>
      <c r="X40" s="1122"/>
      <c r="Y40" s="1231">
        <f>ROUND(Y38*Y39,0)</f>
        <v>0</v>
      </c>
      <c r="Z40" s="1231"/>
      <c r="AA40" s="1231"/>
      <c r="AB40" s="1231"/>
      <c r="AC40" s="1231"/>
      <c r="AD40" s="1606">
        <f>ROUND(AD38*AD39,0)</f>
        <v>0</v>
      </c>
      <c r="AE40" s="1231"/>
      <c r="AF40" s="1231"/>
      <c r="AG40" s="1231"/>
      <c r="AH40" s="1231"/>
    </row>
    <row r="41" spans="1:40" ht="12.9" customHeight="1">
      <c r="B41" s="1119" t="s">
        <v>616</v>
      </c>
      <c r="C41" s="1120"/>
      <c r="D41" s="1120"/>
      <c r="E41" s="1120"/>
      <c r="F41" s="1120"/>
      <c r="G41" s="1120"/>
      <c r="H41" s="1120"/>
      <c r="I41" s="1120"/>
      <c r="J41" s="1120"/>
      <c r="K41" s="1120"/>
      <c r="L41" s="1120"/>
      <c r="M41" s="1120"/>
      <c r="N41" s="1120"/>
      <c r="O41" s="1120"/>
      <c r="P41" s="1120"/>
      <c r="Q41" s="1120"/>
      <c r="R41" s="1120"/>
      <c r="S41" s="1120"/>
      <c r="T41" s="1120"/>
      <c r="U41" s="1120"/>
      <c r="V41" s="1120"/>
      <c r="W41" s="1120"/>
      <c r="X41" s="1122"/>
      <c r="Y41" s="1607">
        <f>IF((Y40+AD40)&gt;2500000,2500000,Y40+AD40)</f>
        <v>0</v>
      </c>
      <c r="Z41" s="1608"/>
      <c r="AA41" s="1608"/>
      <c r="AB41" s="1608"/>
      <c r="AC41" s="1608"/>
      <c r="AD41" s="1608"/>
      <c r="AE41" s="1608"/>
      <c r="AF41" s="1608"/>
      <c r="AG41" s="1608"/>
      <c r="AH41" s="1606"/>
    </row>
    <row r="42" spans="1:40" ht="12.9"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40">
        <f>'Sources and Uses Budget'!B104-'Sources and Uses Budget'!$B$15</f>
        <v>36501880</v>
      </c>
      <c r="AC46" s="1241"/>
      <c r="AD46" s="1241"/>
      <c r="AE46" s="1241"/>
      <c r="AF46" s="1242"/>
    </row>
    <row r="47" spans="1:40" ht="12.9" customHeight="1">
      <c r="D47" s="3" t="s">
        <v>836</v>
      </c>
      <c r="AB47" s="1240">
        <f>Application!AG641-MIN('Sources and Uses Budget'!B15,Application!AG393)</f>
        <v>0</v>
      </c>
      <c r="AC47" s="1241"/>
      <c r="AD47" s="1241"/>
      <c r="AE47" s="1241"/>
      <c r="AF47" s="1242"/>
    </row>
    <row r="48" spans="1:40" ht="12.9" customHeight="1">
      <c r="D48" s="3" t="s">
        <v>377</v>
      </c>
      <c r="AB48" s="1240">
        <f>AB46-AB47</f>
        <v>36501880</v>
      </c>
      <c r="AC48" s="1241"/>
      <c r="AD48" s="1241"/>
      <c r="AE48" s="1241"/>
      <c r="AF48" s="1242"/>
    </row>
    <row r="49" spans="1:40" ht="12.9" customHeight="1">
      <c r="D49" s="3" t="s">
        <v>871</v>
      </c>
      <c r="AA49" s="34"/>
      <c r="AB49" s="1612"/>
      <c r="AC49" s="1613"/>
      <c r="AD49" s="1613"/>
      <c r="AE49" s="1613"/>
      <c r="AF49" s="1614"/>
    </row>
    <row r="50" spans="1:40" s="321" customFormat="1" ht="12.9"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0</v>
      </c>
      <c r="AC53" s="1241"/>
      <c r="AD53" s="1241"/>
      <c r="AE53" s="1241"/>
      <c r="AF53" s="1242"/>
    </row>
    <row r="54" spans="1:40" ht="12.9" customHeight="1">
      <c r="D54" s="3" t="s">
        <v>560</v>
      </c>
      <c r="AB54" s="1240">
        <f>(AB53/10)</f>
        <v>0</v>
      </c>
      <c r="AC54" s="1241"/>
      <c r="AD54" s="1241"/>
      <c r="AE54" s="1241"/>
      <c r="AF54" s="1242"/>
    </row>
    <row r="55" spans="1:40" ht="12.9" customHeight="1">
      <c r="D55" s="3" t="s">
        <v>340</v>
      </c>
      <c r="AB55" s="1240">
        <f>(IF((Y41&lt;AB54),Y41,AB54))</f>
        <v>0</v>
      </c>
      <c r="AC55" s="1241"/>
      <c r="AD55" s="1241"/>
      <c r="AE55" s="1241"/>
      <c r="AF55" s="1242"/>
    </row>
    <row r="56" spans="1:40" ht="12.9" customHeight="1">
      <c r="D56" s="3" t="s">
        <v>106</v>
      </c>
      <c r="AB56" s="1240">
        <f>ROUND((10*AB55*AB49),0)</f>
        <v>0</v>
      </c>
      <c r="AC56" s="1241"/>
      <c r="AD56" s="1241"/>
      <c r="AE56" s="1241"/>
      <c r="AF56" s="1242"/>
    </row>
    <row r="57" spans="1:40" ht="12.9" customHeight="1">
      <c r="D57" s="3"/>
      <c r="AB57" s="274"/>
      <c r="AC57" s="274"/>
      <c r="AD57" s="274"/>
      <c r="AE57" s="274"/>
      <c r="AF57" s="274"/>
    </row>
    <row r="58" spans="1:40" ht="12.9" customHeight="1">
      <c r="D58" s="3" t="s">
        <v>105</v>
      </c>
      <c r="AB58" s="1235">
        <f>AB48-AB56</f>
        <v>36501880</v>
      </c>
      <c r="AC58" s="1235"/>
      <c r="AD58" s="1235"/>
      <c r="AE58" s="1235"/>
      <c r="AF58" s="123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198"/>
      <c r="B61" s="1198"/>
      <c r="C61" s="1198"/>
      <c r="D61" s="1198"/>
      <c r="E61" s="1198"/>
      <c r="F61" s="1198"/>
      <c r="G61" s="1198"/>
      <c r="H61" s="1198"/>
      <c r="I61" s="1198"/>
      <c r="J61" s="1198"/>
      <c r="K61" s="1198"/>
      <c r="L61" s="1198"/>
      <c r="M61" s="1198"/>
      <c r="N61" s="1198"/>
      <c r="O61" s="1198"/>
      <c r="P61" s="1198"/>
      <c r="Q61" s="1198"/>
      <c r="R61" s="1198"/>
      <c r="S61" s="1198"/>
      <c r="T61" s="1198"/>
      <c r="U61" s="1198"/>
      <c r="V61" s="1198"/>
      <c r="W61" s="1198"/>
      <c r="X61" s="1198"/>
      <c r="Y61" s="1198"/>
      <c r="Z61" s="1198"/>
      <c r="AA61" s="1198"/>
      <c r="AB61" s="1198"/>
      <c r="AC61" s="1198"/>
      <c r="AD61" s="1198"/>
      <c r="AE61" s="1198"/>
      <c r="AF61" s="1198"/>
      <c r="AG61" s="1198"/>
      <c r="AH61" s="1198"/>
      <c r="AI61" s="1198"/>
      <c r="AJ61" s="1198"/>
      <c r="AK61" s="1198"/>
      <c r="AL61" s="1198"/>
      <c r="AM61" s="1198"/>
      <c r="AN61" s="1198"/>
    </row>
    <row r="62" spans="1:40" ht="12.9" customHeight="1">
      <c r="A62" s="3" t="s">
        <v>121</v>
      </c>
      <c r="C62" s="3" t="s">
        <v>508</v>
      </c>
      <c r="Y62" s="1559" t="s">
        <v>297</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1">
        <f>Y28</f>
        <v>0</v>
      </c>
      <c r="Z63" s="1615"/>
      <c r="AA63" s="1615"/>
      <c r="AB63" s="1615"/>
      <c r="AC63" s="1615"/>
      <c r="AD63" s="1231">
        <f>AI28</f>
        <v>-12906627</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2.2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 customHeight="1">
      <c r="C67" s="3"/>
      <c r="D67" s="3" t="s">
        <v>940</v>
      </c>
      <c r="Y67" s="1231">
        <f>ROUND(Y63*Y66,0)</f>
        <v>0</v>
      </c>
      <c r="Z67" s="1615"/>
      <c r="AA67" s="1615"/>
      <c r="AB67" s="1615"/>
      <c r="AC67" s="1615"/>
      <c r="AD67" s="1231" t="str">
        <f>IF(OR(Application!D211="At-Risk",Application!D211="At-Risk/Located in Rural Census Tract",Application!D214="At-Risk"),ROUND(AD63*AD66,0),"$0")</f>
        <v>$0</v>
      </c>
      <c r="AE67" s="1231"/>
      <c r="AF67" s="1231"/>
      <c r="AG67" s="1231"/>
      <c r="AH67" s="1231"/>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12"/>
      <c r="AC70" s="1613"/>
      <c r="AD70" s="1613"/>
      <c r="AE70" s="1613"/>
      <c r="AF70" s="1614"/>
    </row>
    <row r="71" spans="1:34" ht="12.9"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81">
        <f>ROUND(IF(ISERROR((AB58/AB70)),0,(AB58/AB70)),0)</f>
        <v>0</v>
      </c>
      <c r="AC75" s="1281"/>
      <c r="AD75" s="1281"/>
      <c r="AE75" s="1281"/>
      <c r="AF75" s="1281"/>
    </row>
    <row r="76" spans="1:34" ht="12.9" customHeight="1">
      <c r="C76" s="3"/>
      <c r="D76" s="3" t="s">
        <v>104</v>
      </c>
      <c r="AB76" s="1204">
        <f>IF((Y67+AD67&lt;AB75),Y67+AD67,AB75)</f>
        <v>0</v>
      </c>
      <c r="AC76" s="1205"/>
      <c r="AD76" s="1205"/>
      <c r="AE76" s="1205"/>
      <c r="AF76" s="1206"/>
    </row>
    <row r="77" spans="1:34" ht="12.9" customHeight="1">
      <c r="C77" s="3"/>
      <c r="D77" s="3" t="s">
        <v>941</v>
      </c>
      <c r="AB77" s="1610">
        <f>AB76*AB70</f>
        <v>0</v>
      </c>
      <c r="AC77" s="1610"/>
      <c r="AD77" s="1610"/>
      <c r="AE77" s="1610"/>
      <c r="AF77" s="1610"/>
    </row>
    <row r="78" spans="1:34" ht="12.9" customHeight="1">
      <c r="C78" s="3"/>
      <c r="D78" s="3"/>
      <c r="AB78" s="595"/>
      <c r="AC78" s="595"/>
      <c r="AD78" s="595"/>
      <c r="AE78" s="595"/>
      <c r="AF78" s="595"/>
    </row>
    <row r="79" spans="1:34" ht="12.9" customHeight="1">
      <c r="D79" s="3" t="s">
        <v>105</v>
      </c>
      <c r="AB79" s="1235">
        <f>AB48-(AB56+AB77)</f>
        <v>36501880</v>
      </c>
      <c r="AC79" s="1235"/>
      <c r="AD79" s="1235"/>
      <c r="AE79" s="1235"/>
      <c r="AF79" s="1235"/>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1" t="s">
        <v>1352</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09" t="s">
        <v>1600</v>
      </c>
      <c r="U7" s="1609"/>
      <c r="V7" s="1609"/>
      <c r="W7" s="1609"/>
      <c r="X7" s="1609"/>
      <c r="Y7" s="1609" t="s">
        <v>1739</v>
      </c>
      <c r="Z7" s="1609"/>
      <c r="AA7" s="1609"/>
      <c r="AB7" s="1609"/>
      <c r="AC7" s="1609"/>
      <c r="AD7" s="1609" t="s">
        <v>1358</v>
      </c>
      <c r="AE7" s="1609"/>
      <c r="AF7" s="1609"/>
      <c r="AG7" s="1609"/>
      <c r="AH7" s="1609"/>
      <c r="AI7" s="1609" t="s">
        <v>1740</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9" t="s">
        <v>507</v>
      </c>
      <c r="C11" s="1120"/>
      <c r="D11" s="1120"/>
      <c r="E11" s="1120"/>
      <c r="F11" s="1120"/>
      <c r="G11" s="1120"/>
      <c r="H11" s="1120"/>
      <c r="I11" s="1120"/>
      <c r="J11" s="1120"/>
      <c r="K11" s="1120"/>
      <c r="L11" s="1120"/>
      <c r="M11" s="1120"/>
      <c r="N11" s="1120"/>
      <c r="O11" s="1120"/>
      <c r="P11" s="1120"/>
      <c r="Q11" s="1120"/>
      <c r="R11" s="1120"/>
      <c r="S11" s="1122"/>
      <c r="T11" s="1639">
        <f>IF('Sources and Basis Breakdown'!F105=0,'Sources and Basis Breakdown'!E105,'Sources and Basis Breakdown'!F105)</f>
        <v>34274148</v>
      </c>
      <c r="U11" s="1626"/>
      <c r="V11" s="1626"/>
      <c r="W11" s="1626"/>
      <c r="X11" s="1626"/>
      <c r="Y11" s="1625">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33" t="s">
        <v>446</v>
      </c>
      <c r="C12" s="1015"/>
      <c r="D12" s="1015"/>
      <c r="E12" s="1015"/>
      <c r="F12" s="1015"/>
      <c r="G12" s="1015"/>
      <c r="H12" s="1015"/>
      <c r="I12" s="1015"/>
      <c r="J12" s="1015"/>
      <c r="K12" s="1015"/>
      <c r="L12" s="1015"/>
      <c r="M12" s="1015"/>
      <c r="N12" s="1015"/>
      <c r="O12" s="1015"/>
      <c r="P12" s="1015"/>
      <c r="Q12" s="1015"/>
      <c r="R12" s="1015"/>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f>'Basis &amp; Credits'!T13</f>
        <v>0</v>
      </c>
      <c r="U13" s="1624"/>
      <c r="V13" s="1624"/>
      <c r="W13" s="1624"/>
      <c r="X13" s="1624"/>
      <c r="Y13" s="1627">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4">
        <f>'Basis &amp; Credits'!T14</f>
        <v>0</v>
      </c>
      <c r="U14" s="1209"/>
      <c r="V14" s="1209"/>
      <c r="W14" s="1209"/>
      <c r="X14" s="1209"/>
      <c r="Y14" s="1194">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4">
        <f>'Basis &amp; Credits'!T15</f>
        <v>0</v>
      </c>
      <c r="U15" s="1209"/>
      <c r="V15" s="1209"/>
      <c r="W15" s="1209"/>
      <c r="X15" s="1209"/>
      <c r="Y15" s="1194">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4">
        <f>'Basis &amp; Credits'!T16</f>
        <v>0</v>
      </c>
      <c r="U16" s="1209"/>
      <c r="V16" s="1209"/>
      <c r="W16" s="1209"/>
      <c r="X16" s="1209"/>
      <c r="Y16" s="1194">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4">
        <f>'Basis &amp; Credits'!T17</f>
        <v>0</v>
      </c>
      <c r="U17" s="1209"/>
      <c r="V17" s="1209"/>
      <c r="W17" s="1209"/>
      <c r="X17" s="1209"/>
      <c r="Y17" s="1194">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2.9" customHeight="1">
      <c r="B18" s="590"/>
      <c r="C18" s="1635" t="s">
        <v>1362</v>
      </c>
      <c r="D18" s="1636"/>
      <c r="E18" s="1636"/>
      <c r="F18" s="1636"/>
      <c r="G18" s="1636"/>
      <c r="H18" s="1636"/>
      <c r="I18" s="1636"/>
      <c r="J18" s="1636"/>
      <c r="K18" s="1636"/>
      <c r="L18" s="1636"/>
      <c r="M18" s="1636"/>
      <c r="N18" s="1636"/>
      <c r="O18" s="1636"/>
      <c r="P18" s="1636"/>
      <c r="Q18" s="1636"/>
      <c r="R18" s="1636"/>
      <c r="S18" s="1637"/>
      <c r="T18" s="1192">
        <f>'Basis &amp; Credits'!T18</f>
        <v>0</v>
      </c>
      <c r="U18" s="1193"/>
      <c r="V18" s="1193"/>
      <c r="W18" s="1193"/>
      <c r="X18" s="1194"/>
      <c r="Y18" s="1194">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2.9" customHeight="1">
      <c r="B19" s="481"/>
      <c r="C19" s="1631" t="str">
        <f>'Basis &amp; Credits'!C19:S19</f>
        <v>Subtract (specify other ineligible amounts):</v>
      </c>
      <c r="D19" s="1631"/>
      <c r="E19" s="1631"/>
      <c r="F19" s="1631"/>
      <c r="G19" s="1631"/>
      <c r="H19" s="1631"/>
      <c r="I19" s="1631"/>
      <c r="J19" s="1631"/>
      <c r="K19" s="1631"/>
      <c r="L19" s="1631"/>
      <c r="M19" s="1631"/>
      <c r="N19" s="1631"/>
      <c r="O19" s="1631"/>
      <c r="P19" s="1631"/>
      <c r="Q19" s="1631"/>
      <c r="R19" s="1631"/>
      <c r="S19" s="1632"/>
      <c r="T19" s="1194">
        <f>'Basis &amp; Credits'!T19</f>
        <v>0</v>
      </c>
      <c r="U19" s="1209"/>
      <c r="V19" s="1209"/>
      <c r="W19" s="1209"/>
      <c r="X19" s="1209"/>
      <c r="Y19" s="1194">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2.9" customHeight="1">
      <c r="B20" s="1119" t="s">
        <v>770</v>
      </c>
      <c r="C20" s="1120"/>
      <c r="D20" s="1120"/>
      <c r="E20" s="1120"/>
      <c r="F20" s="1120"/>
      <c r="G20" s="1120"/>
      <c r="H20" s="1120"/>
      <c r="I20" s="1120"/>
      <c r="J20" s="1120"/>
      <c r="K20" s="1120"/>
      <c r="L20" s="1120"/>
      <c r="M20" s="1120"/>
      <c r="N20" s="1120"/>
      <c r="O20" s="1120"/>
      <c r="P20" s="1120"/>
      <c r="Q20" s="1120"/>
      <c r="R20" s="1120"/>
      <c r="S20" s="1122"/>
      <c r="T20" s="1606">
        <f>SUM(T13:X19)</f>
        <v>0</v>
      </c>
      <c r="U20" s="1231"/>
      <c r="V20" s="1231"/>
      <c r="W20" s="1231"/>
      <c r="X20" s="1231"/>
      <c r="Y20" s="1606">
        <f>SUM(Y13:AC19)</f>
        <v>0</v>
      </c>
      <c r="Z20" s="1231"/>
      <c r="AA20" s="1231"/>
      <c r="AB20" s="1231"/>
      <c r="AC20" s="1231"/>
      <c r="AD20" s="1231">
        <f>SUM(AD13:AH19)</f>
        <v>0</v>
      </c>
      <c r="AE20" s="1231"/>
      <c r="AF20" s="1231"/>
      <c r="AG20" s="1231"/>
      <c r="AH20" s="1231"/>
      <c r="AI20" s="1231">
        <f>SUM(AI13:AM19)</f>
        <v>0</v>
      </c>
      <c r="AJ20" s="1231"/>
      <c r="AK20" s="1231"/>
      <c r="AL20" s="1231"/>
      <c r="AM20" s="1231"/>
    </row>
    <row r="21" spans="1:39" ht="12.9" customHeight="1">
      <c r="B21" s="1119" t="s">
        <v>1704</v>
      </c>
      <c r="C21" s="1120"/>
      <c r="D21" s="1120"/>
      <c r="E21" s="1120"/>
      <c r="F21" s="1120"/>
      <c r="G21" s="1120"/>
      <c r="H21" s="1120"/>
      <c r="I21" s="1120"/>
      <c r="J21" s="1120"/>
      <c r="K21" s="1120"/>
      <c r="L21" s="1120"/>
      <c r="M21" s="1120"/>
      <c r="N21" s="1120"/>
      <c r="O21" s="1120"/>
      <c r="P21" s="1120"/>
      <c r="Q21" s="1120"/>
      <c r="R21" s="1120"/>
      <c r="S21" s="1122"/>
      <c r="T21" s="1194">
        <f>'Basis &amp; Credits'!T21</f>
        <v>12906627</v>
      </c>
      <c r="U21" s="1209"/>
      <c r="V21" s="1209"/>
      <c r="W21" s="1209"/>
      <c r="X21" s="1209"/>
      <c r="Y21" s="1194">
        <f>'Basis &amp; Credits'!Y21</f>
        <v>0</v>
      </c>
      <c r="Z21" s="1209"/>
      <c r="AA21" s="1209"/>
      <c r="AB21" s="1209"/>
      <c r="AC21" s="1209"/>
      <c r="AD21" s="1209">
        <f>'Basis &amp; Credits'!AD21</f>
        <v>0</v>
      </c>
      <c r="AE21" s="1209"/>
      <c r="AF21" s="1209"/>
      <c r="AG21" s="1209"/>
      <c r="AH21" s="1209"/>
      <c r="AI21" s="1209">
        <f>'Basis &amp; Credits'!AI21</f>
        <v>0</v>
      </c>
      <c r="AJ21" s="1209"/>
      <c r="AK21" s="1209"/>
      <c r="AL21" s="1209"/>
      <c r="AM21" s="1209"/>
    </row>
    <row r="22" spans="1:39" ht="12.9" customHeight="1">
      <c r="B22" s="1119" t="s">
        <v>771</v>
      </c>
      <c r="C22" s="1120"/>
      <c r="D22" s="1120"/>
      <c r="E22" s="1120"/>
      <c r="F22" s="1120"/>
      <c r="G22" s="1120"/>
      <c r="H22" s="1120"/>
      <c r="I22" s="1120"/>
      <c r="J22" s="1120"/>
      <c r="K22" s="1120"/>
      <c r="L22" s="1120"/>
      <c r="M22" s="1120"/>
      <c r="N22" s="1120"/>
      <c r="O22" s="1120"/>
      <c r="P22" s="1120"/>
      <c r="Q22" s="1120"/>
      <c r="R22" s="1120"/>
      <c r="S22" s="1122"/>
      <c r="T22" s="1640">
        <f>(T20+T21)*-1</f>
        <v>-12906627</v>
      </c>
      <c r="U22" s="1641"/>
      <c r="V22" s="1641"/>
      <c r="W22" s="1641"/>
      <c r="X22" s="1641"/>
      <c r="Y22" s="1640">
        <f>(Y20+Y21)*-1</f>
        <v>0</v>
      </c>
      <c r="Z22" s="1641"/>
      <c r="AA22" s="1641"/>
      <c r="AB22" s="1641"/>
      <c r="AC22" s="1641"/>
      <c r="AD22" s="1640">
        <f>(AD20+AD21)*-1</f>
        <v>0</v>
      </c>
      <c r="AE22" s="1641"/>
      <c r="AF22" s="1641"/>
      <c r="AG22" s="1641"/>
      <c r="AH22" s="1641"/>
      <c r="AI22" s="1640">
        <f>(AI20+AI21)*-1</f>
        <v>0</v>
      </c>
      <c r="AJ22" s="1641"/>
      <c r="AK22" s="1641"/>
      <c r="AL22" s="1641"/>
      <c r="AM22" s="1641"/>
    </row>
    <row r="23" spans="1:39" ht="12.9" customHeight="1">
      <c r="B23" s="1119" t="s">
        <v>772</v>
      </c>
      <c r="C23" s="1120"/>
      <c r="D23" s="1120"/>
      <c r="E23" s="1120"/>
      <c r="F23" s="1120"/>
      <c r="G23" s="1120"/>
      <c r="H23" s="1120"/>
      <c r="I23" s="1120"/>
      <c r="J23" s="1120"/>
      <c r="K23" s="1120"/>
      <c r="L23" s="1120"/>
      <c r="M23" s="1120"/>
      <c r="N23" s="1120"/>
      <c r="O23" s="1120"/>
      <c r="P23" s="1120"/>
      <c r="Q23" s="1120"/>
      <c r="R23" s="1120"/>
      <c r="S23" s="1122"/>
      <c r="T23" s="1606">
        <f>T11+T22</f>
        <v>21367521</v>
      </c>
      <c r="U23" s="1231"/>
      <c r="V23" s="1231"/>
      <c r="W23" s="1231"/>
      <c r="X23" s="1231"/>
      <c r="Y23" s="1606">
        <f>Y11+Y22</f>
        <v>0</v>
      </c>
      <c r="Z23" s="1231"/>
      <c r="AA23" s="1231"/>
      <c r="AB23" s="1231"/>
      <c r="AC23" s="1231"/>
      <c r="AD23" s="1606">
        <f>AD11+AD22</f>
        <v>0</v>
      </c>
      <c r="AE23" s="1231"/>
      <c r="AF23" s="1231"/>
      <c r="AG23" s="1231"/>
      <c r="AH23" s="1231"/>
      <c r="AI23" s="1606">
        <f>AI11+AI22</f>
        <v>0</v>
      </c>
      <c r="AJ23" s="1231"/>
      <c r="AK23" s="1231"/>
      <c r="AL23" s="1231"/>
      <c r="AM23" s="1231"/>
    </row>
    <row r="24" spans="1:39" ht="12.9" customHeight="1">
      <c r="B24" s="1119" t="s">
        <v>1217</v>
      </c>
      <c r="C24" s="1120"/>
      <c r="D24" s="1120"/>
      <c r="E24" s="1120"/>
      <c r="F24" s="1120"/>
      <c r="G24" s="1120"/>
      <c r="H24" s="1120"/>
      <c r="I24" s="1120"/>
      <c r="J24" s="1120"/>
      <c r="K24" s="1120"/>
      <c r="L24" s="1120"/>
      <c r="M24" s="1120"/>
      <c r="N24" s="1120"/>
      <c r="O24" s="1120"/>
      <c r="P24" s="1120"/>
      <c r="Q24" s="1120"/>
      <c r="R24" s="1120"/>
      <c r="S24" s="1122"/>
      <c r="T24" s="1607">
        <f>Application!AD1019</f>
        <v>0</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1738</v>
      </c>
      <c r="C25" s="1648"/>
      <c r="D25" s="1648"/>
      <c r="E25" s="1648"/>
      <c r="F25" s="1648"/>
      <c r="G25" s="1648"/>
      <c r="H25" s="1648"/>
      <c r="I25" s="1648"/>
      <c r="J25" s="1648"/>
      <c r="K25" s="1648"/>
      <c r="L25" s="1648"/>
      <c r="M25" s="1648"/>
      <c r="N25" s="1648"/>
      <c r="O25" s="1648"/>
      <c r="P25" s="1648"/>
      <c r="Q25" s="1648"/>
      <c r="R25" s="1648"/>
      <c r="S25" s="1649"/>
      <c r="T25" s="1642">
        <v>1</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 customHeight="1">
      <c r="B26" s="1119" t="s">
        <v>773</v>
      </c>
      <c r="C26" s="1120"/>
      <c r="D26" s="1120"/>
      <c r="E26" s="1120"/>
      <c r="F26" s="1120"/>
      <c r="G26" s="1120"/>
      <c r="H26" s="1120"/>
      <c r="I26" s="1120"/>
      <c r="J26" s="1120"/>
      <c r="K26" s="1120"/>
      <c r="L26" s="1120"/>
      <c r="M26" s="1120"/>
      <c r="N26" s="1120"/>
      <c r="O26" s="1120"/>
      <c r="P26" s="1120"/>
      <c r="Q26" s="1120"/>
      <c r="R26" s="1120"/>
      <c r="S26" s="1122"/>
      <c r="T26" s="1085">
        <f>T23*T25</f>
        <v>21367521</v>
      </c>
      <c r="U26" s="1618"/>
      <c r="V26" s="1618"/>
      <c r="W26" s="1618"/>
      <c r="X26" s="1618"/>
      <c r="Y26" s="1085">
        <f>Y23*Y25</f>
        <v>0</v>
      </c>
      <c r="Z26" s="1618"/>
      <c r="AA26" s="1618"/>
      <c r="AB26" s="1618"/>
      <c r="AC26" s="1618"/>
      <c r="AD26" s="1085">
        <f>AD23*AD25</f>
        <v>0</v>
      </c>
      <c r="AE26" s="1618"/>
      <c r="AF26" s="1618"/>
      <c r="AG26" s="1618"/>
      <c r="AH26" s="1618"/>
      <c r="AI26" s="1085">
        <f>AI23*AI25</f>
        <v>0</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9" t="s">
        <v>842</v>
      </c>
      <c r="C28" s="1120"/>
      <c r="D28" s="1120"/>
      <c r="E28" s="1120"/>
      <c r="F28" s="1120"/>
      <c r="G28" s="1120"/>
      <c r="H28" s="1120"/>
      <c r="I28" s="1120"/>
      <c r="J28" s="1120"/>
      <c r="K28" s="1120"/>
      <c r="L28" s="1120"/>
      <c r="M28" s="1120"/>
      <c r="N28" s="1120"/>
      <c r="O28" s="1120"/>
      <c r="P28" s="1120"/>
      <c r="Q28" s="1120"/>
      <c r="R28" s="1120"/>
      <c r="S28" s="1122"/>
      <c r="T28" s="1085">
        <f>IF(ISERROR((T26*T27)),0,(T26*T27))</f>
        <v>21367521</v>
      </c>
      <c r="U28" s="1618"/>
      <c r="V28" s="1618"/>
      <c r="W28" s="1618"/>
      <c r="X28" s="1618"/>
      <c r="Y28" s="1085">
        <f>IF(ISERROR((Y26*Y27)),0,(Y26*Y27))</f>
        <v>0</v>
      </c>
      <c r="Z28" s="1618"/>
      <c r="AA28" s="1618"/>
      <c r="AB28" s="1618"/>
      <c r="AC28" s="1618"/>
      <c r="AD28" s="1085">
        <f>IF(ISERROR((AD26*AD27)),0,(AD26*AD27))</f>
        <v>0</v>
      </c>
      <c r="AE28" s="1618"/>
      <c r="AF28" s="1618"/>
      <c r="AG28" s="1618"/>
      <c r="AH28" s="1618"/>
      <c r="AI28" s="1085">
        <f>IF(ISERROR((AI26*AI27)),0,(AI26*AI27))</f>
        <v>0</v>
      </c>
      <c r="AJ28" s="1618"/>
      <c r="AK28" s="1618"/>
      <c r="AL28" s="1618"/>
      <c r="AM28" s="1618"/>
    </row>
    <row r="29" spans="1:39" ht="12.9" customHeight="1">
      <c r="B29" s="1119" t="s">
        <v>622</v>
      </c>
      <c r="C29" s="1120"/>
      <c r="D29" s="1120"/>
      <c r="E29" s="1120"/>
      <c r="F29" s="1120"/>
      <c r="G29" s="1120"/>
      <c r="H29" s="1120"/>
      <c r="I29" s="1120"/>
      <c r="J29" s="1120"/>
      <c r="K29" s="1120"/>
      <c r="L29" s="1120"/>
      <c r="M29" s="1120"/>
      <c r="N29" s="1120"/>
      <c r="O29" s="1120"/>
      <c r="P29" s="1120"/>
      <c r="Q29" s="1120"/>
      <c r="R29" s="1120"/>
      <c r="S29" s="1122"/>
      <c r="T29" s="1607">
        <f>T28+Y28+AD28+AI28</f>
        <v>21367521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6" t="s">
        <v>41</v>
      </c>
      <c r="AE35" s="1236"/>
      <c r="AF35" s="1236"/>
      <c r="AG35" s="1236"/>
      <c r="AH35" s="1236"/>
    </row>
    <row r="36" spans="1:40" ht="12.9" customHeight="1">
      <c r="B36" s="202"/>
      <c r="X36" s="71"/>
      <c r="Y36" s="1609"/>
      <c r="Z36" s="1609"/>
      <c r="AA36" s="1609"/>
      <c r="AB36" s="1609"/>
      <c r="AC36" s="1609"/>
      <c r="AD36" s="1236"/>
      <c r="AE36" s="1236"/>
      <c r="AF36" s="1236"/>
      <c r="AG36" s="1236"/>
      <c r="AH36" s="123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6"/>
      <c r="AE37" s="1236"/>
      <c r="AF37" s="1236"/>
      <c r="AG37" s="1236"/>
      <c r="AH37" s="1236"/>
    </row>
    <row r="38" spans="1:40" ht="12.9" customHeight="1">
      <c r="A38" s="3"/>
      <c r="B38" s="1119" t="s">
        <v>842</v>
      </c>
      <c r="C38" s="1120"/>
      <c r="D38" s="1120"/>
      <c r="E38" s="1120"/>
      <c r="F38" s="1120"/>
      <c r="G38" s="1120"/>
      <c r="H38" s="1120"/>
      <c r="I38" s="1120"/>
      <c r="J38" s="1120"/>
      <c r="K38" s="1120"/>
      <c r="L38" s="1120"/>
      <c r="M38" s="1120"/>
      <c r="N38" s="1120"/>
      <c r="O38" s="1120"/>
      <c r="P38" s="1120"/>
      <c r="Q38" s="1120"/>
      <c r="R38" s="1120"/>
      <c r="S38" s="1120"/>
      <c r="T38" s="1120"/>
      <c r="U38" s="1120"/>
      <c r="V38" s="1120"/>
      <c r="W38" s="1120"/>
      <c r="X38" s="1122"/>
      <c r="Y38" s="1231">
        <f>IF(T24&gt;=(T23+Y23+AD23+AI23),T28+Y28,0)</f>
        <v>0</v>
      </c>
      <c r="Z38" s="1231"/>
      <c r="AA38" s="1231"/>
      <c r="AB38" s="1231"/>
      <c r="AC38" s="1231"/>
      <c r="AD38" s="1231">
        <f>IF(T24&gt;=(T23+Y23+AD23+AI23),AD28+AI28,0)</f>
        <v>0</v>
      </c>
      <c r="AE38" s="1231"/>
      <c r="AF38" s="1231"/>
      <c r="AG38" s="1231"/>
      <c r="AH38" s="1231"/>
    </row>
    <row r="39" spans="1:40" ht="12.9" customHeight="1">
      <c r="B39" s="1119" t="s">
        <v>764</v>
      </c>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1122"/>
      <c r="Y39" s="1976">
        <v>0.09</v>
      </c>
      <c r="Z39" s="1976"/>
      <c r="AA39" s="1976"/>
      <c r="AB39" s="1976"/>
      <c r="AC39" s="1976"/>
      <c r="AD39" s="1976">
        <f>'Basis &amp; Credits'!AD39:AH39</f>
        <v>0.04</v>
      </c>
      <c r="AE39" s="1976"/>
      <c r="AF39" s="1976"/>
      <c r="AG39" s="1976"/>
      <c r="AH39" s="1976"/>
    </row>
    <row r="40" spans="1:40" ht="12.9" customHeight="1">
      <c r="A40" s="3"/>
      <c r="B40" s="1119" t="s">
        <v>23</v>
      </c>
      <c r="C40" s="1120"/>
      <c r="D40" s="1120"/>
      <c r="E40" s="1120"/>
      <c r="F40" s="1120"/>
      <c r="G40" s="1120"/>
      <c r="H40" s="1120"/>
      <c r="I40" s="1120"/>
      <c r="J40" s="1120"/>
      <c r="K40" s="1120"/>
      <c r="L40" s="1120"/>
      <c r="M40" s="1120"/>
      <c r="N40" s="1120"/>
      <c r="O40" s="1120"/>
      <c r="P40" s="1120"/>
      <c r="Q40" s="1120"/>
      <c r="R40" s="1120"/>
      <c r="S40" s="1120"/>
      <c r="T40" s="1120"/>
      <c r="U40" s="1120"/>
      <c r="V40" s="1120"/>
      <c r="W40" s="1120"/>
      <c r="X40" s="1122"/>
      <c r="Y40" s="1231">
        <f>ROUND(Y38*Y39,0)</f>
        <v>0</v>
      </c>
      <c r="Z40" s="1231"/>
      <c r="AA40" s="1231"/>
      <c r="AB40" s="1231"/>
      <c r="AC40" s="1231"/>
      <c r="AD40" s="1606">
        <f>ROUND(AD38*AD39,0)</f>
        <v>0</v>
      </c>
      <c r="AE40" s="1231"/>
      <c r="AF40" s="1231"/>
      <c r="AG40" s="1231"/>
      <c r="AH40" s="1231"/>
    </row>
    <row r="41" spans="1:40" ht="12.9" customHeight="1">
      <c r="B41" s="1119" t="s">
        <v>616</v>
      </c>
      <c r="C41" s="1120"/>
      <c r="D41" s="1120"/>
      <c r="E41" s="1120"/>
      <c r="F41" s="1120"/>
      <c r="G41" s="1120"/>
      <c r="H41" s="1120"/>
      <c r="I41" s="1120"/>
      <c r="J41" s="1120"/>
      <c r="K41" s="1120"/>
      <c r="L41" s="1120"/>
      <c r="M41" s="1120"/>
      <c r="N41" s="1120"/>
      <c r="O41" s="1120"/>
      <c r="P41" s="1120"/>
      <c r="Q41" s="1120"/>
      <c r="R41" s="1120"/>
      <c r="S41" s="1120"/>
      <c r="T41" s="1120"/>
      <c r="U41" s="1120"/>
      <c r="V41" s="1120"/>
      <c r="W41" s="1120"/>
      <c r="X41" s="1122"/>
      <c r="Y41" s="1607">
        <f>IF((Y40+AD40)&gt;2500000,2500000,Y40+AD40)</f>
        <v>0</v>
      </c>
      <c r="Z41" s="1608"/>
      <c r="AA41" s="1608"/>
      <c r="AB41" s="1608"/>
      <c r="AC41" s="1608"/>
      <c r="AD41" s="1608"/>
      <c r="AE41" s="1608"/>
      <c r="AF41" s="1608"/>
      <c r="AG41" s="1608"/>
      <c r="AH41" s="1606"/>
    </row>
    <row r="42" spans="1:40" ht="12.9" customHeight="1">
      <c r="A42" s="3"/>
      <c r="B42" s="1617" t="s">
        <v>1161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40">
        <f>'Sources and Uses Budget'!B104-'Sources and Uses Budget'!$B$15</f>
        <v>36501880</v>
      </c>
      <c r="AC46" s="1241"/>
      <c r="AD46" s="1241"/>
      <c r="AE46" s="1241"/>
      <c r="AF46" s="1242"/>
    </row>
    <row r="47" spans="1:40" ht="12.9" customHeight="1">
      <c r="D47" s="3" t="s">
        <v>836</v>
      </c>
      <c r="AB47" s="1240">
        <f>Application!AG641-MIN('Sources and Uses Budget'!B15,Application!AG393)</f>
        <v>0</v>
      </c>
      <c r="AC47" s="1241"/>
      <c r="AD47" s="1241"/>
      <c r="AE47" s="1241"/>
      <c r="AF47" s="1242"/>
    </row>
    <row r="48" spans="1:40" ht="12.9" customHeight="1">
      <c r="D48" s="3" t="s">
        <v>377</v>
      </c>
      <c r="AB48" s="1240">
        <f>AB46-AB47</f>
        <v>36501880</v>
      </c>
      <c r="AC48" s="1241"/>
      <c r="AD48" s="1241"/>
      <c r="AE48" s="1241"/>
      <c r="AF48" s="1242"/>
    </row>
    <row r="49" spans="1:40" ht="12.9" customHeight="1">
      <c r="D49" s="3" t="s">
        <v>871</v>
      </c>
      <c r="AA49" s="34"/>
      <c r="AB49" s="1612"/>
      <c r="AC49" s="1613"/>
      <c r="AD49" s="1613"/>
      <c r="AE49" s="1613"/>
      <c r="AF49" s="1614"/>
    </row>
    <row r="50" spans="1:40" s="321" customFormat="1" ht="12.9" customHeight="1">
      <c r="A50"/>
      <c r="B50"/>
      <c r="C50"/>
      <c r="D50"/>
      <c r="E50" s="1619" t="s">
        <v>1351</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0</v>
      </c>
      <c r="AC53" s="1241"/>
      <c r="AD53" s="1241"/>
      <c r="AE53" s="1241"/>
      <c r="AF53" s="1242"/>
    </row>
    <row r="54" spans="1:40" ht="12.9" customHeight="1">
      <c r="D54" s="3" t="s">
        <v>560</v>
      </c>
      <c r="AB54" s="1240">
        <f>(AB53/10)</f>
        <v>0</v>
      </c>
      <c r="AC54" s="1241"/>
      <c r="AD54" s="1241"/>
      <c r="AE54" s="1241"/>
      <c r="AF54" s="1242"/>
    </row>
    <row r="55" spans="1:40" ht="12.9" customHeight="1">
      <c r="D55" s="3" t="s">
        <v>340</v>
      </c>
      <c r="AB55" s="1977">
        <f>(IF((Y41&lt;AB54),Y41,AB54))</f>
        <v>0</v>
      </c>
      <c r="AC55" s="1978"/>
      <c r="AD55" s="1978"/>
      <c r="AE55" s="1978"/>
      <c r="AF55" s="1979"/>
    </row>
    <row r="56" spans="1:40" ht="12.9" customHeight="1">
      <c r="D56" s="3" t="s">
        <v>106</v>
      </c>
      <c r="AB56" s="1240">
        <f>ROUND((10*AB55*AB49),0)</f>
        <v>0</v>
      </c>
      <c r="AC56" s="1241"/>
      <c r="AD56" s="1241"/>
      <c r="AE56" s="1241"/>
      <c r="AF56" s="1242"/>
    </row>
    <row r="57" spans="1:40" ht="12.9" customHeight="1">
      <c r="D57" s="3"/>
      <c r="AB57" s="274"/>
      <c r="AC57" s="274"/>
      <c r="AD57" s="274"/>
      <c r="AE57" s="274"/>
      <c r="AF57" s="274"/>
    </row>
    <row r="58" spans="1:40" ht="12.9" customHeight="1">
      <c r="D58" s="3" t="s">
        <v>105</v>
      </c>
      <c r="AB58" s="1235">
        <f>AB48-AB56</f>
        <v>36501880</v>
      </c>
      <c r="AC58" s="1235"/>
      <c r="AD58" s="1235"/>
      <c r="AE58" s="1235"/>
      <c r="AF58" s="123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198"/>
      <c r="B61" s="1198"/>
      <c r="C61" s="1198"/>
      <c r="D61" s="1198"/>
      <c r="E61" s="1198"/>
      <c r="F61" s="1198"/>
      <c r="G61" s="1198"/>
      <c r="H61" s="1198"/>
      <c r="I61" s="1198"/>
      <c r="J61" s="1198"/>
      <c r="K61" s="1198"/>
      <c r="L61" s="1198"/>
      <c r="M61" s="1198"/>
      <c r="N61" s="1198"/>
      <c r="O61" s="1198"/>
      <c r="P61" s="1198"/>
      <c r="Q61" s="1198"/>
      <c r="R61" s="1198"/>
      <c r="S61" s="1198"/>
      <c r="T61" s="1198"/>
      <c r="U61" s="1198"/>
      <c r="V61" s="1198"/>
      <c r="W61" s="1198"/>
      <c r="X61" s="1198"/>
      <c r="Y61" s="1198"/>
      <c r="Z61" s="1198"/>
      <c r="AA61" s="1198"/>
      <c r="AB61" s="1198"/>
      <c r="AC61" s="1198"/>
      <c r="AD61" s="1198"/>
      <c r="AE61" s="1198"/>
      <c r="AF61" s="1198"/>
      <c r="AG61" s="1198"/>
      <c r="AH61" s="1198"/>
      <c r="AI61" s="1198"/>
      <c r="AJ61" s="1198"/>
      <c r="AK61" s="1198"/>
      <c r="AL61" s="1198"/>
      <c r="AM61" s="1198"/>
      <c r="AN61" s="1198"/>
    </row>
    <row r="62" spans="1:40" ht="12.9" customHeight="1">
      <c r="A62" s="3" t="s">
        <v>121</v>
      </c>
      <c r="C62" s="3" t="s">
        <v>508</v>
      </c>
      <c r="Y62" s="1559" t="s">
        <v>297</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31">
        <f>Y28</f>
        <v>0</v>
      </c>
      <c r="Z63" s="1615"/>
      <c r="AA63" s="1615"/>
      <c r="AB63" s="1615"/>
      <c r="AC63" s="1615"/>
      <c r="AD63" s="1231">
        <f>AI28</f>
        <v>0</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30.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v>0.3</v>
      </c>
      <c r="Z66" s="1611"/>
      <c r="AA66" s="1611"/>
      <c r="AB66" s="1611"/>
      <c r="AC66" s="1611"/>
      <c r="AD66" s="1611">
        <v>0.13</v>
      </c>
      <c r="AE66" s="1611"/>
      <c r="AF66" s="1611"/>
      <c r="AG66" s="1611"/>
      <c r="AH66" s="1611"/>
    </row>
    <row r="67" spans="1:34" ht="12.9" customHeight="1">
      <c r="C67" s="3"/>
      <c r="D67" s="3" t="s">
        <v>940</v>
      </c>
      <c r="Y67" s="1231">
        <f>ROUND(Y63*Y66,0)</f>
        <v>0</v>
      </c>
      <c r="Z67" s="1615"/>
      <c r="AA67" s="1615"/>
      <c r="AB67" s="1615"/>
      <c r="AC67" s="1615"/>
      <c r="AD67" s="1231" t="str">
        <f>IF(OR(Application!D211="At-Risk",Application!D211="At-Risk/Located in Rural Census Tract",Application!D214="At-Risk"),ROUND(AD63*AD66,0),"$0")</f>
        <v>$0</v>
      </c>
      <c r="AE67" s="1231"/>
      <c r="AF67" s="1231"/>
      <c r="AG67" s="1231"/>
      <c r="AH67" s="1231"/>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12"/>
      <c r="AC70" s="1613"/>
      <c r="AD70" s="1613"/>
      <c r="AE70" s="1613"/>
      <c r="AF70" s="1614"/>
    </row>
    <row r="71" spans="1:34" ht="12.9" customHeight="1">
      <c r="A71" s="3"/>
      <c r="C71" s="3"/>
      <c r="D71" s="3"/>
      <c r="E71" s="1616" t="s">
        <v>1736</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81">
        <f>ROUND(IF(ISERROR((AB58/AB70)),0,(AB58/AB70)),0)</f>
        <v>0</v>
      </c>
      <c r="AC75" s="1281"/>
      <c r="AD75" s="1281"/>
      <c r="AE75" s="1281"/>
      <c r="AF75" s="1281"/>
    </row>
    <row r="76" spans="1:34" ht="12.9" customHeight="1">
      <c r="C76" s="3"/>
      <c r="D76" s="3" t="s">
        <v>104</v>
      </c>
      <c r="AB76" s="1204">
        <f>IF((Y67+AD67&lt;AB75),Y67+AD67,AB75)</f>
        <v>0</v>
      </c>
      <c r="AC76" s="1205"/>
      <c r="AD76" s="1205"/>
      <c r="AE76" s="1205"/>
      <c r="AF76" s="1206"/>
    </row>
    <row r="77" spans="1:34" ht="12.9" customHeight="1">
      <c r="C77" s="3"/>
      <c r="D77" s="3" t="s">
        <v>941</v>
      </c>
      <c r="AB77" s="1610">
        <f>AB76*AB70</f>
        <v>0</v>
      </c>
      <c r="AC77" s="1610"/>
      <c r="AD77" s="1610"/>
      <c r="AE77" s="1610"/>
      <c r="AF77" s="1610"/>
    </row>
    <row r="78" spans="1:34" ht="12.9" customHeight="1">
      <c r="C78" s="3"/>
      <c r="D78" s="3"/>
      <c r="AB78" s="595"/>
      <c r="AC78" s="595"/>
      <c r="AD78" s="595"/>
      <c r="AE78" s="595"/>
      <c r="AF78" s="595"/>
    </row>
    <row r="79" spans="1:34" ht="12.9" customHeight="1">
      <c r="D79" s="3" t="s">
        <v>105</v>
      </c>
      <c r="AB79" s="1235">
        <f>AB48-(AB56+AB77)</f>
        <v>36501880</v>
      </c>
      <c r="AC79" s="1235"/>
      <c r="AD79" s="1235"/>
      <c r="AE79" s="1235"/>
      <c r="AF79" s="1235"/>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1229</v>
      </c>
      <c r="G1" s="563"/>
    </row>
    <row r="2" spans="1:7" ht="13.2">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2">
      <c r="A4" s="879" t="s">
        <v>341</v>
      </c>
      <c r="B4" s="325"/>
      <c r="C4" s="325"/>
      <c r="D4" s="325"/>
      <c r="E4" s="325"/>
      <c r="F4" s="325"/>
      <c r="G4" s="325"/>
    </row>
    <row r="5" spans="1:7" s="565" customFormat="1" ht="13.2">
      <c r="A5" s="880" t="s">
        <v>955</v>
      </c>
      <c r="B5" s="327">
        <f>'Sources and Uses Budget'!C4</f>
        <v>400000</v>
      </c>
      <c r="C5" s="327">
        <f>'Sources and Uses Budget'!C4</f>
        <v>400000</v>
      </c>
      <c r="D5" s="327">
        <f>'Sources and Uses Budget'!C4</f>
        <v>400000</v>
      </c>
      <c r="E5" s="329">
        <f>C5-B5</f>
        <v>0</v>
      </c>
      <c r="F5" s="328"/>
      <c r="G5" s="328"/>
    </row>
    <row r="6" spans="1:7" s="565" customFormat="1" ht="13.2">
      <c r="A6" s="880" t="s">
        <v>956</v>
      </c>
      <c r="B6" s="327">
        <f>'Sources and Uses Budget'!C5</f>
        <v>0</v>
      </c>
      <c r="C6" s="327">
        <f>'Sources and Uses Budget'!C5</f>
        <v>0</v>
      </c>
      <c r="D6" s="327">
        <f>'Sources and Uses Budget'!C5</f>
        <v>0</v>
      </c>
      <c r="E6" s="329">
        <f t="shared" ref="E6:E73" si="0">C6-B6</f>
        <v>0</v>
      </c>
      <c r="F6" s="328"/>
      <c r="G6" s="328"/>
    </row>
    <row r="7" spans="1:7" s="565" customFormat="1" ht="13.2">
      <c r="A7" s="880" t="s">
        <v>342</v>
      </c>
      <c r="B7" s="327">
        <f>'Sources and Uses Budget'!C6</f>
        <v>15000</v>
      </c>
      <c r="C7" s="327">
        <f>'Sources and Uses Budget'!C6</f>
        <v>15000</v>
      </c>
      <c r="D7" s="327">
        <f>'Sources and Uses Budget'!C6</f>
        <v>15000</v>
      </c>
      <c r="E7" s="329">
        <f t="shared" si="0"/>
        <v>0</v>
      </c>
      <c r="F7" s="328"/>
      <c r="G7" s="328"/>
    </row>
    <row r="8" spans="1:7" s="565" customFormat="1" ht="13.2">
      <c r="A8" s="880" t="s">
        <v>281</v>
      </c>
      <c r="B8" s="327">
        <f>'Sources and Uses Budget'!C7</f>
        <v>0</v>
      </c>
      <c r="C8" s="327">
        <f>'Sources and Uses Budget'!C7</f>
        <v>0</v>
      </c>
      <c r="D8" s="327">
        <f>'Sources and Uses Budget'!C7</f>
        <v>0</v>
      </c>
      <c r="E8" s="329">
        <f t="shared" si="0"/>
        <v>0</v>
      </c>
      <c r="F8" s="328"/>
      <c r="G8" s="328"/>
    </row>
    <row r="9" spans="1:7" s="565" customFormat="1" ht="13.2">
      <c r="A9" s="881" t="s">
        <v>957</v>
      </c>
      <c r="B9" s="329">
        <f>SUM(B5:B8)</f>
        <v>415000</v>
      </c>
      <c r="C9" s="329">
        <f>SUM(C5:C8)</f>
        <v>415000</v>
      </c>
      <c r="D9" s="329">
        <f>SUM(D5:D8)</f>
        <v>415000</v>
      </c>
      <c r="E9" s="329">
        <f t="shared" si="0"/>
        <v>0</v>
      </c>
      <c r="F9" s="328"/>
      <c r="G9" s="328"/>
    </row>
    <row r="10" spans="1:7" s="565" customFormat="1" ht="13.2">
      <c r="A10" s="880" t="s">
        <v>584</v>
      </c>
      <c r="B10" s="327">
        <f>'Sources and Uses Budget'!C9</f>
        <v>0</v>
      </c>
      <c r="C10" s="327">
        <f>'Sources and Uses Budget'!C9</f>
        <v>0</v>
      </c>
      <c r="D10" s="327">
        <f>'Sources and Uses Budget'!C9</f>
        <v>0</v>
      </c>
      <c r="E10" s="329">
        <f t="shared" si="0"/>
        <v>0</v>
      </c>
      <c r="F10" s="328"/>
      <c r="G10" s="328"/>
    </row>
    <row r="11" spans="1:7" s="565" customFormat="1" ht="13.2">
      <c r="A11" s="880" t="s">
        <v>958</v>
      </c>
      <c r="B11" s="327">
        <f>'Sources and Uses Budget'!C10</f>
        <v>0</v>
      </c>
      <c r="C11" s="327">
        <f>'Sources and Uses Budget'!C10</f>
        <v>0</v>
      </c>
      <c r="D11" s="327">
        <f>'Sources and Uses Budget'!C10</f>
        <v>0</v>
      </c>
      <c r="E11" s="329">
        <f t="shared" si="0"/>
        <v>0</v>
      </c>
      <c r="F11" s="328"/>
      <c r="G11" s="328"/>
    </row>
    <row r="12" spans="1:7" s="565" customFormat="1" ht="13.2">
      <c r="A12" s="881" t="s">
        <v>585</v>
      </c>
      <c r="B12" s="329">
        <f>SUM(B10:B11)</f>
        <v>0</v>
      </c>
      <c r="C12" s="329">
        <f>SUM(C10:C11)</f>
        <v>0</v>
      </c>
      <c r="D12" s="329">
        <f>SUM(D10:D11)</f>
        <v>0</v>
      </c>
      <c r="E12" s="329">
        <f t="shared" si="0"/>
        <v>0</v>
      </c>
      <c r="F12" s="328"/>
      <c r="G12" s="328"/>
    </row>
    <row r="13" spans="1:7" s="565" customFormat="1" ht="13.2">
      <c r="A13" s="881" t="s">
        <v>710</v>
      </c>
      <c r="B13" s="329">
        <f>SUM(B9+B12)</f>
        <v>415000</v>
      </c>
      <c r="C13" s="329">
        <f>SUM(C9+C12)</f>
        <v>415000</v>
      </c>
      <c r="D13" s="329">
        <f>SUM(D9+D12)</f>
        <v>415000</v>
      </c>
      <c r="E13" s="329">
        <f t="shared" si="0"/>
        <v>0</v>
      </c>
      <c r="F13" s="328"/>
      <c r="G13" s="328"/>
    </row>
    <row r="14" spans="1:7" s="565" customFormat="1" ht="13.2">
      <c r="A14" s="882" t="s">
        <v>1109</v>
      </c>
      <c r="B14" s="327">
        <f>'Sources and Uses Budget'!C13</f>
        <v>35000</v>
      </c>
      <c r="C14" s="327">
        <f>'Sources and Uses Budget'!C13</f>
        <v>35000</v>
      </c>
      <c r="D14" s="327">
        <f>'Sources and Uses Budget'!C13</f>
        <v>35000</v>
      </c>
      <c r="E14" s="329">
        <f t="shared" si="0"/>
        <v>0</v>
      </c>
      <c r="F14" s="328"/>
      <c r="G14" s="328"/>
    </row>
    <row r="15" spans="1:7" s="565" customFormat="1" ht="22.8">
      <c r="A15" s="880" t="s">
        <v>1140</v>
      </c>
      <c r="B15" s="327">
        <f>'Sources and Uses Budget'!C14</f>
        <v>0</v>
      </c>
      <c r="C15" s="327">
        <f>'Sources and Uses Budget'!C14</f>
        <v>0</v>
      </c>
      <c r="D15" s="327">
        <f>'Sources and Uses Budget'!C14</f>
        <v>0</v>
      </c>
      <c r="E15" s="329">
        <f t="shared" si="0"/>
        <v>0</v>
      </c>
      <c r="F15" s="328"/>
      <c r="G15" s="328"/>
    </row>
    <row r="16" spans="1:7" s="565" customFormat="1" ht="13.2">
      <c r="A16" s="880" t="s">
        <v>1674</v>
      </c>
      <c r="B16" s="327">
        <f>'Sources and Uses Budget'!C15</f>
        <v>0</v>
      </c>
      <c r="C16" s="327">
        <f>'Sources and Uses Budget'!C15</f>
        <v>0</v>
      </c>
      <c r="D16" s="327">
        <f>'Sources and Uses Budget'!C15</f>
        <v>0</v>
      </c>
      <c r="E16" s="329">
        <f t="shared" si="0"/>
        <v>0</v>
      </c>
      <c r="F16" s="328"/>
      <c r="G16" s="328"/>
    </row>
    <row r="17" spans="1:7" s="565" customFormat="1" ht="13.2">
      <c r="A17" s="879" t="s">
        <v>908</v>
      </c>
      <c r="B17" s="325"/>
      <c r="C17" s="325"/>
      <c r="D17" s="325"/>
      <c r="E17" s="325"/>
      <c r="F17" s="325"/>
      <c r="G17" s="325"/>
    </row>
    <row r="18" spans="1:7" s="565" customFormat="1" ht="13.2">
      <c r="A18" s="237" t="s">
        <v>909</v>
      </c>
      <c r="B18" s="327">
        <f>'Sources and Uses Budget'!C17</f>
        <v>0</v>
      </c>
      <c r="C18" s="327">
        <f>'Sources and Uses Budget'!C17</f>
        <v>0</v>
      </c>
      <c r="D18" s="327">
        <f>'Sources and Uses Budget'!C17</f>
        <v>0</v>
      </c>
      <c r="E18" s="329">
        <f t="shared" si="0"/>
        <v>0</v>
      </c>
      <c r="F18" s="328"/>
      <c r="G18" s="328"/>
    </row>
    <row r="19" spans="1:7" s="565"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911</v>
      </c>
      <c r="B20" s="327">
        <f>'Sources and Uses Budget'!C19</f>
        <v>0</v>
      </c>
      <c r="C20" s="327">
        <f>'Sources and Uses Budget'!C19</f>
        <v>0</v>
      </c>
      <c r="D20" s="327">
        <f>'Sources and Uses Budget'!C19</f>
        <v>0</v>
      </c>
      <c r="E20" s="329">
        <f t="shared" si="1"/>
        <v>0</v>
      </c>
      <c r="F20" s="328"/>
      <c r="G20" s="328"/>
    </row>
    <row r="21" spans="1:7" s="565" customFormat="1" ht="13.2">
      <c r="A21" s="237" t="s">
        <v>912</v>
      </c>
      <c r="B21" s="327">
        <f>'Sources and Uses Budget'!C20</f>
        <v>0</v>
      </c>
      <c r="C21" s="327">
        <f>'Sources and Uses Budget'!C20</f>
        <v>0</v>
      </c>
      <c r="D21" s="327">
        <f>'Sources and Uses Budget'!C20</f>
        <v>0</v>
      </c>
      <c r="E21" s="329">
        <f t="shared" si="1"/>
        <v>0</v>
      </c>
      <c r="F21" s="328"/>
      <c r="G21" s="328"/>
    </row>
    <row r="22" spans="1:7" s="565" customFormat="1" ht="13.2">
      <c r="A22" s="237" t="s">
        <v>913</v>
      </c>
      <c r="B22" s="327">
        <f>'Sources and Uses Budget'!C21</f>
        <v>0</v>
      </c>
      <c r="C22" s="327">
        <f>'Sources and Uses Budget'!C21</f>
        <v>0</v>
      </c>
      <c r="D22" s="327">
        <f>'Sources and Uses Budget'!C21</f>
        <v>0</v>
      </c>
      <c r="E22" s="329">
        <f t="shared" si="1"/>
        <v>0</v>
      </c>
      <c r="F22" s="328"/>
      <c r="G22" s="328"/>
    </row>
    <row r="23" spans="1:7" s="565" customFormat="1" ht="13.2">
      <c r="A23" s="237" t="s">
        <v>914</v>
      </c>
      <c r="B23" s="327">
        <f>'Sources and Uses Budget'!C22</f>
        <v>0</v>
      </c>
      <c r="C23" s="327">
        <f>'Sources and Uses Budget'!C22</f>
        <v>0</v>
      </c>
      <c r="D23" s="327">
        <f>'Sources and Uses Budget'!C22</f>
        <v>0</v>
      </c>
      <c r="E23" s="329">
        <f t="shared" si="1"/>
        <v>0</v>
      </c>
      <c r="F23" s="328"/>
      <c r="G23" s="328"/>
    </row>
    <row r="24" spans="1:7" s="565" customFormat="1" ht="13.2">
      <c r="A24" s="237" t="s">
        <v>915</v>
      </c>
      <c r="B24" s="327">
        <f>'Sources and Uses Budget'!C23</f>
        <v>0</v>
      </c>
      <c r="C24" s="327">
        <f>'Sources and Uses Budget'!C23</f>
        <v>0</v>
      </c>
      <c r="D24" s="327">
        <f>'Sources and Uses Budget'!C23</f>
        <v>0</v>
      </c>
      <c r="E24" s="329">
        <f t="shared" si="1"/>
        <v>0</v>
      </c>
      <c r="F24" s="328"/>
      <c r="G24" s="328"/>
    </row>
    <row r="25" spans="1:7" s="565" customFormat="1" ht="13.2">
      <c r="A25" s="248" t="s">
        <v>1939</v>
      </c>
      <c r="B25" s="327">
        <f>'Sources and Uses Budget'!C24</f>
        <v>0</v>
      </c>
      <c r="C25" s="327">
        <f>'Sources and Uses Budget'!C24</f>
        <v>0</v>
      </c>
      <c r="D25" s="327">
        <f>'Sources and Uses Budget'!C24</f>
        <v>0</v>
      </c>
      <c r="E25" s="329">
        <f t="shared" si="1"/>
        <v>0</v>
      </c>
      <c r="F25" s="328"/>
      <c r="G25" s="328"/>
    </row>
    <row r="26" spans="1:7" s="565" customFormat="1" ht="13.2">
      <c r="A26" s="248" t="s">
        <v>532</v>
      </c>
      <c r="B26" s="327">
        <f>'Sources and Uses Budget'!C25</f>
        <v>0</v>
      </c>
      <c r="C26" s="327">
        <f>'Sources and Uses Budget'!C25</f>
        <v>0</v>
      </c>
      <c r="D26" s="327">
        <f>'Sources and Uses Budget'!C25</f>
        <v>0</v>
      </c>
      <c r="E26" s="329">
        <f t="shared" si="1"/>
        <v>0</v>
      </c>
      <c r="F26" s="328"/>
      <c r="G26" s="328"/>
    </row>
    <row r="27" spans="1:7" s="565" customFormat="1" ht="13.2">
      <c r="A27" s="330" t="s">
        <v>221</v>
      </c>
      <c r="B27" s="890">
        <f>'Sources and Uses Budget'!C26</f>
        <v>0</v>
      </c>
      <c r="C27" s="890">
        <f>'Sources and Uses Budget'!C26</f>
        <v>0</v>
      </c>
      <c r="D27" s="890">
        <f>'Sources and Uses Budget'!C26</f>
        <v>0</v>
      </c>
      <c r="E27" s="329">
        <f>C27-B27</f>
        <v>0</v>
      </c>
      <c r="F27" s="328"/>
      <c r="G27" s="328"/>
    </row>
    <row r="28" spans="1:7" s="565" customFormat="1" ht="13.2">
      <c r="A28" s="883" t="s">
        <v>916</v>
      </c>
      <c r="B28" s="327">
        <f>'Sources and Uses Budget'!C27</f>
        <v>0</v>
      </c>
      <c r="C28" s="327">
        <f>'Sources and Uses Budget'!C27</f>
        <v>0</v>
      </c>
      <c r="D28" s="327">
        <f>'Sources and Uses Budget'!C27</f>
        <v>0</v>
      </c>
      <c r="E28" s="329">
        <f>C28-B28</f>
        <v>0</v>
      </c>
      <c r="F28" s="328"/>
      <c r="G28" s="328"/>
    </row>
    <row r="29" spans="1:7" s="565" customFormat="1" ht="13.2">
      <c r="A29" s="879" t="s">
        <v>917</v>
      </c>
      <c r="B29" s="325"/>
      <c r="C29" s="325"/>
      <c r="D29" s="325"/>
      <c r="E29" s="325"/>
      <c r="F29" s="325"/>
      <c r="G29" s="325"/>
    </row>
    <row r="30" spans="1:7" s="565" customFormat="1" ht="13.2">
      <c r="A30" s="237" t="s">
        <v>909</v>
      </c>
      <c r="B30" s="327">
        <f>'Sources and Uses Budget'!C29</f>
        <v>1187124</v>
      </c>
      <c r="C30" s="327">
        <f>'Sources and Uses Budget'!C29</f>
        <v>1187124</v>
      </c>
      <c r="D30" s="327">
        <f>'Sources and Uses Budget'!C29</f>
        <v>1187124</v>
      </c>
      <c r="E30" s="329">
        <f t="shared" si="0"/>
        <v>0</v>
      </c>
      <c r="F30" s="328"/>
      <c r="G30" s="328"/>
    </row>
    <row r="31" spans="1:7" s="565" customFormat="1" ht="13.2">
      <c r="A31" s="237" t="s">
        <v>910</v>
      </c>
      <c r="B31" s="327">
        <f>'Sources and Uses Budget'!C30</f>
        <v>19174485</v>
      </c>
      <c r="C31" s="327">
        <f>'Sources and Uses Budget'!C30</f>
        <v>19174485</v>
      </c>
      <c r="D31" s="327">
        <f>'Sources and Uses Budget'!C30</f>
        <v>19174485</v>
      </c>
      <c r="E31" s="329">
        <f t="shared" si="0"/>
        <v>0</v>
      </c>
      <c r="F31" s="328"/>
      <c r="G31" s="328"/>
    </row>
    <row r="32" spans="1:7" s="565" customFormat="1" ht="13.2">
      <c r="A32" s="237" t="s">
        <v>911</v>
      </c>
      <c r="B32" s="327">
        <f>'Sources and Uses Budget'!C31</f>
        <v>1425313</v>
      </c>
      <c r="C32" s="327">
        <f>'Sources and Uses Budget'!C31</f>
        <v>1425313</v>
      </c>
      <c r="D32" s="327">
        <f>'Sources and Uses Budget'!C31</f>
        <v>1425313</v>
      </c>
      <c r="E32" s="329">
        <f t="shared" si="0"/>
        <v>0</v>
      </c>
      <c r="F32" s="328"/>
      <c r="G32" s="328"/>
    </row>
    <row r="33" spans="1:7" s="565" customFormat="1" ht="13.2">
      <c r="A33" s="237" t="s">
        <v>912</v>
      </c>
      <c r="B33" s="327">
        <f>'Sources and Uses Budget'!C32</f>
        <v>610849</v>
      </c>
      <c r="C33" s="327">
        <f>'Sources and Uses Budget'!C32</f>
        <v>610849</v>
      </c>
      <c r="D33" s="327">
        <f>'Sources and Uses Budget'!C32</f>
        <v>610849</v>
      </c>
      <c r="E33" s="329">
        <f t="shared" si="0"/>
        <v>0</v>
      </c>
      <c r="F33" s="328"/>
      <c r="G33" s="328"/>
    </row>
    <row r="34" spans="1:7" s="565" customFormat="1" ht="13.2">
      <c r="A34" s="237" t="s">
        <v>913</v>
      </c>
      <c r="B34" s="327">
        <f>'Sources and Uses Budget'!C33</f>
        <v>814465</v>
      </c>
      <c r="C34" s="327">
        <f>'Sources and Uses Budget'!C33</f>
        <v>814465</v>
      </c>
      <c r="D34" s="327">
        <f>'Sources and Uses Budget'!C33</f>
        <v>814465</v>
      </c>
      <c r="E34" s="329">
        <f t="shared" si="0"/>
        <v>0</v>
      </c>
      <c r="F34" s="328"/>
      <c r="G34" s="328"/>
    </row>
    <row r="35" spans="1:7" s="565" customFormat="1" ht="13.2">
      <c r="A35" s="237" t="s">
        <v>914</v>
      </c>
      <c r="B35" s="327">
        <f>'Sources and Uses Budget'!C34</f>
        <v>0</v>
      </c>
      <c r="C35" s="327">
        <f>'Sources and Uses Budget'!C34</f>
        <v>0</v>
      </c>
      <c r="D35" s="327">
        <f>'Sources and Uses Budget'!C34</f>
        <v>0</v>
      </c>
      <c r="E35" s="329">
        <f t="shared" si="0"/>
        <v>0</v>
      </c>
      <c r="F35" s="328"/>
      <c r="G35" s="328"/>
    </row>
    <row r="36" spans="1:7" s="565" customFormat="1" ht="13.2">
      <c r="A36" s="237" t="s">
        <v>915</v>
      </c>
      <c r="B36" s="327">
        <f>'Sources and Uses Budget'!C35</f>
        <v>281890</v>
      </c>
      <c r="C36" s="327">
        <f>'Sources and Uses Budget'!C35</f>
        <v>281890</v>
      </c>
      <c r="D36" s="327">
        <f>'Sources and Uses Budget'!C35</f>
        <v>281890</v>
      </c>
      <c r="E36" s="329">
        <f t="shared" si="0"/>
        <v>0</v>
      </c>
      <c r="F36" s="328"/>
      <c r="G36" s="328"/>
    </row>
    <row r="37" spans="1:7" s="565" customFormat="1" ht="13.2">
      <c r="A37" s="237" t="s">
        <v>1939</v>
      </c>
      <c r="B37" s="327">
        <f>'Sources and Uses Budget'!C36</f>
        <v>108000</v>
      </c>
      <c r="C37" s="327">
        <f>'Sources and Uses Budget'!C36</f>
        <v>108000</v>
      </c>
      <c r="D37" s="327">
        <f>'Sources and Uses Budget'!C36</f>
        <v>108000</v>
      </c>
      <c r="E37" s="329">
        <f t="shared" si="0"/>
        <v>0</v>
      </c>
      <c r="F37" s="328"/>
      <c r="G37" s="328"/>
    </row>
    <row r="38" spans="1:7" s="565" customFormat="1" ht="13.2">
      <c r="A38" s="248" t="s">
        <v>532</v>
      </c>
      <c r="B38" s="327">
        <f>'Sources and Uses Budget'!C37</f>
        <v>0</v>
      </c>
      <c r="C38" s="327">
        <f>'Sources and Uses Budget'!C37</f>
        <v>0</v>
      </c>
      <c r="D38" s="327">
        <f>'Sources and Uses Budget'!C37</f>
        <v>0</v>
      </c>
      <c r="E38" s="329">
        <f>C38-B38</f>
        <v>0</v>
      </c>
      <c r="F38" s="328"/>
      <c r="G38" s="328"/>
    </row>
    <row r="39" spans="1:7" s="565" customFormat="1" ht="13.2">
      <c r="A39" s="883" t="s">
        <v>918</v>
      </c>
      <c r="B39" s="890">
        <f>'Sources and Uses Budget'!C38</f>
        <v>23602126</v>
      </c>
      <c r="C39" s="890">
        <f>'Sources and Uses Budget'!C38</f>
        <v>23602126</v>
      </c>
      <c r="D39" s="890">
        <f>'Sources and Uses Budget'!C38</f>
        <v>23602126</v>
      </c>
      <c r="E39" s="329">
        <f>C39-B39</f>
        <v>0</v>
      </c>
      <c r="F39" s="328"/>
      <c r="G39" s="328"/>
    </row>
    <row r="40" spans="1:7" s="565" customFormat="1" ht="13.2">
      <c r="A40" s="879" t="s">
        <v>919</v>
      </c>
      <c r="B40" s="325"/>
      <c r="C40" s="325"/>
      <c r="D40" s="325"/>
      <c r="E40" s="325"/>
      <c r="F40" s="325"/>
      <c r="G40" s="325"/>
    </row>
    <row r="41" spans="1:7" s="565" customFormat="1" ht="13.2">
      <c r="A41" s="884" t="s">
        <v>920</v>
      </c>
      <c r="B41" s="327">
        <f>'Sources and Uses Budget'!C40</f>
        <v>600000</v>
      </c>
      <c r="C41" s="327">
        <f>'Sources and Uses Budget'!C40</f>
        <v>600000</v>
      </c>
      <c r="D41" s="327">
        <f>'Sources and Uses Budget'!C40</f>
        <v>600000</v>
      </c>
      <c r="E41" s="329">
        <f>C41-B41</f>
        <v>0</v>
      </c>
      <c r="F41" s="328"/>
      <c r="G41" s="328"/>
    </row>
    <row r="42" spans="1:7" s="565" customFormat="1" ht="13.2">
      <c r="A42" s="884" t="s">
        <v>921</v>
      </c>
      <c r="B42" s="327">
        <f>'Sources and Uses Budget'!C41</f>
        <v>200000</v>
      </c>
      <c r="C42" s="327">
        <f>'Sources and Uses Budget'!C41</f>
        <v>200000</v>
      </c>
      <c r="D42" s="327">
        <f>'Sources and Uses Budget'!C41</f>
        <v>200000</v>
      </c>
      <c r="E42" s="329">
        <f>C42-B42</f>
        <v>0</v>
      </c>
      <c r="F42" s="328"/>
      <c r="G42" s="328"/>
    </row>
    <row r="43" spans="1:7" s="565" customFormat="1" ht="12" customHeight="1">
      <c r="A43" s="883" t="s">
        <v>922</v>
      </c>
      <c r="B43" s="890">
        <f>'Sources and Uses Budget'!C42</f>
        <v>800000</v>
      </c>
      <c r="C43" s="890">
        <f>'Sources and Uses Budget'!C42</f>
        <v>800000</v>
      </c>
      <c r="D43" s="890">
        <f>'Sources and Uses Budget'!C42</f>
        <v>800000</v>
      </c>
      <c r="E43" s="329">
        <f>C43-B43</f>
        <v>0</v>
      </c>
      <c r="F43" s="328"/>
      <c r="G43" s="328"/>
    </row>
    <row r="44" spans="1:7" s="565" customFormat="1" ht="13.2">
      <c r="A44" s="883" t="s">
        <v>923</v>
      </c>
      <c r="B44" s="327">
        <f>'Sources and Uses Budget'!C43</f>
        <v>200000</v>
      </c>
      <c r="C44" s="327">
        <f>'Sources and Uses Budget'!C43</f>
        <v>200000</v>
      </c>
      <c r="D44" s="327">
        <f>'Sources and Uses Budget'!C43</f>
        <v>200000</v>
      </c>
      <c r="E44" s="329">
        <f>C44-B44</f>
        <v>0</v>
      </c>
      <c r="F44" s="328"/>
      <c r="G44" s="328"/>
    </row>
    <row r="45" spans="1:7" s="565" customFormat="1" ht="13.2">
      <c r="A45" s="233" t="s">
        <v>924</v>
      </c>
      <c r="B45" s="325"/>
      <c r="C45" s="325"/>
      <c r="D45" s="325"/>
      <c r="E45" s="325"/>
      <c r="F45" s="325"/>
      <c r="G45" s="325"/>
    </row>
    <row r="46" spans="1:7" s="565" customFormat="1" ht="12" customHeight="1">
      <c r="A46" s="237" t="s">
        <v>925</v>
      </c>
      <c r="B46" s="327">
        <f>'Sources and Uses Budget'!C45</f>
        <v>2178173</v>
      </c>
      <c r="C46" s="327">
        <f>'Sources and Uses Budget'!C45</f>
        <v>2178173</v>
      </c>
      <c r="D46" s="327">
        <f>'Sources and Uses Budget'!C45</f>
        <v>2178173</v>
      </c>
      <c r="E46" s="329">
        <f t="shared" si="0"/>
        <v>0</v>
      </c>
      <c r="F46" s="328"/>
      <c r="G46" s="328"/>
    </row>
    <row r="47" spans="1:7" s="565" customFormat="1" ht="13.2">
      <c r="A47" s="237" t="s">
        <v>926</v>
      </c>
      <c r="B47" s="327">
        <f>'Sources and Uses Budget'!C46</f>
        <v>204716</v>
      </c>
      <c r="C47" s="327">
        <f>'Sources and Uses Budget'!C46</f>
        <v>204716</v>
      </c>
      <c r="D47" s="327">
        <f>'Sources and Uses Budget'!C46</f>
        <v>204716</v>
      </c>
      <c r="E47" s="329">
        <f t="shared" si="0"/>
        <v>0</v>
      </c>
      <c r="F47" s="328"/>
      <c r="G47" s="328"/>
    </row>
    <row r="48" spans="1:7" s="565" customFormat="1" ht="13.2">
      <c r="A48" s="237" t="s">
        <v>927</v>
      </c>
      <c r="B48" s="327">
        <f>'Sources and Uses Budget'!C47</f>
        <v>0</v>
      </c>
      <c r="C48" s="327">
        <f>'Sources and Uses Budget'!C47</f>
        <v>0</v>
      </c>
      <c r="D48" s="327">
        <f>'Sources and Uses Budget'!C47</f>
        <v>0</v>
      </c>
      <c r="E48" s="329">
        <f t="shared" si="0"/>
        <v>0</v>
      </c>
      <c r="F48" s="328"/>
      <c r="G48" s="328"/>
    </row>
    <row r="49" spans="1:7" s="565" customFormat="1" ht="13.2">
      <c r="A49" s="237" t="s">
        <v>928</v>
      </c>
      <c r="B49" s="327">
        <f>'Sources and Uses Budget'!C48</f>
        <v>278547</v>
      </c>
      <c r="C49" s="327">
        <f>'Sources and Uses Budget'!C48</f>
        <v>278547</v>
      </c>
      <c r="D49" s="327">
        <f>'Sources and Uses Budget'!C48</f>
        <v>278547</v>
      </c>
      <c r="E49" s="329">
        <f t="shared" si="0"/>
        <v>0</v>
      </c>
      <c r="F49" s="328"/>
      <c r="G49" s="328"/>
    </row>
    <row r="50" spans="1:7" s="565" customFormat="1" ht="13.2">
      <c r="A50" s="237" t="s">
        <v>931</v>
      </c>
      <c r="B50" s="327">
        <f>'Sources and Uses Budget'!C49</f>
        <v>100000</v>
      </c>
      <c r="C50" s="327">
        <f>'Sources and Uses Budget'!C49</f>
        <v>100000</v>
      </c>
      <c r="D50" s="327">
        <f>'Sources and Uses Budget'!C49</f>
        <v>100000</v>
      </c>
      <c r="E50" s="329">
        <f t="shared" si="0"/>
        <v>0</v>
      </c>
      <c r="F50" s="328"/>
      <c r="G50" s="328"/>
    </row>
    <row r="51" spans="1:7" s="565" customFormat="1" ht="13.2">
      <c r="A51" s="237" t="s">
        <v>929</v>
      </c>
      <c r="B51" s="327">
        <f>'Sources and Uses Budget'!C50</f>
        <v>8000</v>
      </c>
      <c r="C51" s="327">
        <f>'Sources and Uses Budget'!C50</f>
        <v>8000</v>
      </c>
      <c r="D51" s="327">
        <f>'Sources and Uses Budget'!C50</f>
        <v>8000</v>
      </c>
      <c r="E51" s="329">
        <f t="shared" si="0"/>
        <v>0</v>
      </c>
      <c r="F51" s="328"/>
      <c r="G51" s="328"/>
    </row>
    <row r="52" spans="1:7" s="566" customFormat="1" ht="13.2">
      <c r="A52" s="237" t="s">
        <v>930</v>
      </c>
      <c r="B52" s="327">
        <f>'Sources and Uses Budget'!C51</f>
        <v>297000</v>
      </c>
      <c r="C52" s="327">
        <f>'Sources and Uses Budget'!C51</f>
        <v>297000</v>
      </c>
      <c r="D52" s="327">
        <f>'Sources and Uses Budget'!C51</f>
        <v>297000</v>
      </c>
      <c r="E52" s="329">
        <f t="shared" si="0"/>
        <v>0</v>
      </c>
      <c r="F52" s="328"/>
      <c r="G52" s="328"/>
    </row>
    <row r="53" spans="1:7" s="565" customFormat="1" ht="13.2">
      <c r="A53" s="244" t="s">
        <v>532</v>
      </c>
      <c r="B53" s="327">
        <f>'Sources and Uses Budget'!C52</f>
        <v>0</v>
      </c>
      <c r="C53" s="327">
        <f>'Sources and Uses Budget'!C52</f>
        <v>0</v>
      </c>
      <c r="D53" s="327">
        <f>'Sources and Uses Budget'!C52</f>
        <v>0</v>
      </c>
      <c r="E53" s="329">
        <f t="shared" si="0"/>
        <v>0</v>
      </c>
      <c r="F53" s="328"/>
      <c r="G53" s="328"/>
    </row>
    <row r="54" spans="1:7" s="565" customFormat="1" ht="13.2">
      <c r="A54" s="241" t="s">
        <v>932</v>
      </c>
      <c r="B54" s="890">
        <f>'Sources and Uses Budget'!C53</f>
        <v>3066436</v>
      </c>
      <c r="C54" s="890">
        <f>'Sources and Uses Budget'!C53</f>
        <v>3066436</v>
      </c>
      <c r="D54" s="890">
        <f>'Sources and Uses Budget'!C53</f>
        <v>3066436</v>
      </c>
      <c r="E54" s="329">
        <f t="shared" si="0"/>
        <v>0</v>
      </c>
      <c r="F54" s="328"/>
      <c r="G54" s="328"/>
    </row>
    <row r="55" spans="1:7" s="565" customFormat="1" ht="12" customHeight="1">
      <c r="A55" s="879" t="s">
        <v>682</v>
      </c>
      <c r="B55" s="325"/>
      <c r="C55" s="325"/>
      <c r="D55" s="325"/>
      <c r="E55" s="325"/>
      <c r="F55" s="325"/>
      <c r="G55" s="325"/>
    </row>
    <row r="56" spans="1:7" s="565" customFormat="1" ht="13.2">
      <c r="A56" s="884" t="s">
        <v>933</v>
      </c>
      <c r="B56" s="327">
        <f>'Sources and Uses Budget'!C55</f>
        <v>14580</v>
      </c>
      <c r="C56" s="327">
        <f>'Sources and Uses Budget'!C55</f>
        <v>14580</v>
      </c>
      <c r="D56" s="327">
        <f>'Sources and Uses Budget'!C55</f>
        <v>14580</v>
      </c>
      <c r="E56" s="329">
        <f t="shared" si="0"/>
        <v>0</v>
      </c>
      <c r="F56" s="328"/>
      <c r="G56" s="328"/>
    </row>
    <row r="57" spans="1:7" s="565" customFormat="1" ht="13.2">
      <c r="A57" s="884" t="s">
        <v>927</v>
      </c>
      <c r="B57" s="327">
        <f>'Sources and Uses Budget'!C56</f>
        <v>0</v>
      </c>
      <c r="C57" s="327">
        <f>'Sources and Uses Budget'!C56</f>
        <v>0</v>
      </c>
      <c r="D57" s="327">
        <f>'Sources and Uses Budget'!C56</f>
        <v>0</v>
      </c>
      <c r="E57" s="329">
        <f t="shared" si="0"/>
        <v>0</v>
      </c>
      <c r="F57" s="328"/>
      <c r="G57" s="328"/>
    </row>
    <row r="58" spans="1:7" s="565" customFormat="1" ht="13.2">
      <c r="A58" s="884" t="s">
        <v>931</v>
      </c>
      <c r="B58" s="327">
        <f>'Sources and Uses Budget'!C57</f>
        <v>15000</v>
      </c>
      <c r="C58" s="327">
        <f>'Sources and Uses Budget'!C57</f>
        <v>15000</v>
      </c>
      <c r="D58" s="327">
        <f>'Sources and Uses Budget'!C57</f>
        <v>15000</v>
      </c>
      <c r="E58" s="329">
        <f t="shared" si="0"/>
        <v>0</v>
      </c>
      <c r="F58" s="328"/>
      <c r="G58" s="328"/>
    </row>
    <row r="59" spans="1:7" s="565" customFormat="1" ht="13.2">
      <c r="A59" s="884" t="s">
        <v>929</v>
      </c>
      <c r="B59" s="327">
        <f>'Sources and Uses Budget'!C58</f>
        <v>0</v>
      </c>
      <c r="C59" s="327">
        <f>'Sources and Uses Budget'!C58</f>
        <v>0</v>
      </c>
      <c r="D59" s="327">
        <f>'Sources and Uses Budget'!C58</f>
        <v>0</v>
      </c>
      <c r="E59" s="329">
        <f t="shared" si="0"/>
        <v>0</v>
      </c>
      <c r="F59" s="328"/>
      <c r="G59" s="328"/>
    </row>
    <row r="60" spans="1:7" s="565" customFormat="1" ht="13.2">
      <c r="A60" s="884" t="s">
        <v>930</v>
      </c>
      <c r="B60" s="327">
        <f>'Sources and Uses Budget'!C59</f>
        <v>0</v>
      </c>
      <c r="C60" s="327">
        <f>'Sources and Uses Budget'!C59</f>
        <v>0</v>
      </c>
      <c r="D60" s="327">
        <f>'Sources and Uses Budget'!C59</f>
        <v>0</v>
      </c>
      <c r="E60" s="329">
        <f t="shared" si="0"/>
        <v>0</v>
      </c>
      <c r="F60" s="328"/>
      <c r="G60" s="328"/>
    </row>
    <row r="61" spans="1:7" s="565" customFormat="1" ht="13.95" customHeight="1">
      <c r="A61" s="885" t="s">
        <v>532</v>
      </c>
      <c r="B61" s="327">
        <f>'Sources and Uses Budget'!C60</f>
        <v>0</v>
      </c>
      <c r="C61" s="327">
        <f>'Sources and Uses Budget'!C60</f>
        <v>0</v>
      </c>
      <c r="D61" s="327">
        <f>'Sources and Uses Budget'!C60</f>
        <v>0</v>
      </c>
      <c r="E61" s="329">
        <f t="shared" si="0"/>
        <v>0</v>
      </c>
      <c r="F61" s="328"/>
      <c r="G61" s="328"/>
    </row>
    <row r="62" spans="1:7" s="565" customFormat="1" ht="13.2">
      <c r="A62" s="883" t="s">
        <v>499</v>
      </c>
      <c r="B62" s="890">
        <f>'Sources and Uses Budget'!C61</f>
        <v>29580</v>
      </c>
      <c r="C62" s="890">
        <f>'Sources and Uses Budget'!C61</f>
        <v>29580</v>
      </c>
      <c r="D62" s="890">
        <f>'Sources and Uses Budget'!C61</f>
        <v>29580</v>
      </c>
      <c r="E62" s="329">
        <f t="shared" si="0"/>
        <v>0</v>
      </c>
      <c r="F62" s="328"/>
      <c r="G62" s="328"/>
    </row>
    <row r="63" spans="1:7" s="565" customFormat="1" ht="13.2">
      <c r="A63" s="886" t="s">
        <v>500</v>
      </c>
      <c r="B63" s="890">
        <f>'Sources and Uses Budget'!C62</f>
        <v>28148142</v>
      </c>
      <c r="C63" s="890">
        <f>'Sources and Uses Budget'!C62</f>
        <v>28148142</v>
      </c>
      <c r="D63" s="890">
        <f>'Sources and Uses Budget'!C62</f>
        <v>28148142</v>
      </c>
      <c r="E63" s="329">
        <f t="shared" si="0"/>
        <v>0</v>
      </c>
      <c r="F63" s="328"/>
      <c r="G63" s="328"/>
    </row>
    <row r="64" spans="1:7" s="565" customFormat="1" ht="22.8">
      <c r="A64" s="233" t="s">
        <v>1940</v>
      </c>
      <c r="B64" s="325"/>
      <c r="C64" s="325"/>
      <c r="D64" s="325"/>
      <c r="E64" s="325"/>
      <c r="F64" s="325"/>
      <c r="G64" s="325"/>
    </row>
    <row r="65" spans="1:7" s="565" customFormat="1" ht="13.2">
      <c r="A65" s="237" t="s">
        <v>283</v>
      </c>
      <c r="B65" s="327">
        <f>'Sources and Uses Budget'!C64</f>
        <v>320000</v>
      </c>
      <c r="C65" s="327">
        <f>'Sources and Uses Budget'!C64</f>
        <v>320000</v>
      </c>
      <c r="D65" s="327">
        <f>'Sources and Uses Budget'!C64</f>
        <v>320000</v>
      </c>
      <c r="E65" s="329">
        <f t="shared" si="0"/>
        <v>0</v>
      </c>
      <c r="F65" s="328"/>
      <c r="G65" s="328"/>
    </row>
    <row r="66" spans="1:7" s="565" customFormat="1" ht="22.8">
      <c r="A66" s="237" t="s">
        <v>1941</v>
      </c>
      <c r="B66" s="327">
        <f>'Sources and Uses Budget'!C65</f>
        <v>0</v>
      </c>
      <c r="C66" s="327">
        <f>'Sources and Uses Budget'!C65</f>
        <v>0</v>
      </c>
      <c r="D66" s="327">
        <f>'Sources and Uses Budget'!C65</f>
        <v>0</v>
      </c>
      <c r="E66" s="329">
        <f t="shared" si="0"/>
        <v>0</v>
      </c>
      <c r="F66" s="328"/>
      <c r="G66" s="328"/>
    </row>
    <row r="67" spans="1:7" s="565" customFormat="1" ht="22.8">
      <c r="A67" s="237" t="s">
        <v>1942</v>
      </c>
      <c r="B67" s="327">
        <f>'Sources and Uses Budget'!C66</f>
        <v>0</v>
      </c>
      <c r="C67" s="327">
        <f>'Sources and Uses Budget'!C66</f>
        <v>0</v>
      </c>
      <c r="D67" s="327">
        <f>'Sources and Uses Budget'!C66</f>
        <v>0</v>
      </c>
      <c r="E67" s="329">
        <f t="shared" si="0"/>
        <v>0</v>
      </c>
      <c r="F67" s="328"/>
      <c r="G67" s="328"/>
    </row>
    <row r="68" spans="1:7" s="565" customFormat="1" ht="13.2">
      <c r="A68" s="237" t="s">
        <v>1943</v>
      </c>
      <c r="B68" s="327">
        <f>'Sources and Uses Budget'!C67</f>
        <v>0</v>
      </c>
      <c r="C68" s="327">
        <f>'Sources and Uses Budget'!C67</f>
        <v>0</v>
      </c>
      <c r="D68" s="327">
        <f>'Sources and Uses Budget'!C67</f>
        <v>0</v>
      </c>
      <c r="E68" s="329">
        <f t="shared" si="0"/>
        <v>0</v>
      </c>
      <c r="F68" s="328"/>
      <c r="G68" s="328"/>
    </row>
    <row r="69" spans="1:7" s="565" customFormat="1" ht="13.2">
      <c r="A69" s="248" t="s">
        <v>2001</v>
      </c>
      <c r="B69" s="327">
        <f>'Sources and Uses Budget'!C68</f>
        <v>0</v>
      </c>
      <c r="C69" s="327">
        <f>'Sources and Uses Budget'!C68</f>
        <v>0</v>
      </c>
      <c r="D69" s="327">
        <f>'Sources and Uses Budget'!C68</f>
        <v>0</v>
      </c>
      <c r="E69" s="329">
        <f t="shared" si="0"/>
        <v>0</v>
      </c>
      <c r="F69" s="328"/>
      <c r="G69" s="328"/>
    </row>
    <row r="70" spans="1:7" s="565" customFormat="1" ht="13.2">
      <c r="A70" s="241" t="s">
        <v>1944</v>
      </c>
      <c r="B70" s="890">
        <f>'Sources and Uses Budget'!C69</f>
        <v>320000</v>
      </c>
      <c r="C70" s="890">
        <f>'Sources and Uses Budget'!C69</f>
        <v>320000</v>
      </c>
      <c r="D70" s="890">
        <f>'Sources and Uses Budget'!C69</f>
        <v>320000</v>
      </c>
      <c r="E70" s="329">
        <f t="shared" si="0"/>
        <v>0</v>
      </c>
      <c r="F70" s="328"/>
      <c r="G70" s="328"/>
    </row>
    <row r="71" spans="1:7" s="565" customFormat="1" ht="13.2">
      <c r="A71" s="879" t="s">
        <v>284</v>
      </c>
      <c r="B71" s="325"/>
      <c r="C71" s="325"/>
      <c r="D71" s="325"/>
      <c r="E71" s="325"/>
      <c r="F71" s="325"/>
      <c r="G71" s="325"/>
    </row>
    <row r="72" spans="1:7" s="565" customFormat="1" ht="13.2">
      <c r="A72" s="884" t="s">
        <v>285</v>
      </c>
      <c r="B72" s="327">
        <f>'Sources and Uses Budget'!C71</f>
        <v>0</v>
      </c>
      <c r="C72" s="327">
        <f>'Sources and Uses Budget'!C71</f>
        <v>0</v>
      </c>
      <c r="D72" s="327">
        <f>'Sources and Uses Budget'!C71</f>
        <v>0</v>
      </c>
      <c r="E72" s="329">
        <f t="shared" si="0"/>
        <v>0</v>
      </c>
      <c r="F72" s="328"/>
      <c r="G72" s="328"/>
    </row>
    <row r="73" spans="1:7" s="565" customFormat="1" ht="13.2">
      <c r="A73" s="884" t="s">
        <v>286</v>
      </c>
      <c r="B73" s="327">
        <f>'Sources and Uses Budget'!C72</f>
        <v>0</v>
      </c>
      <c r="C73" s="327">
        <f>'Sources and Uses Budget'!C72</f>
        <v>0</v>
      </c>
      <c r="D73" s="327">
        <f>'Sources and Uses Budget'!C72</f>
        <v>0</v>
      </c>
      <c r="E73" s="329">
        <f t="shared" si="0"/>
        <v>0</v>
      </c>
      <c r="F73" s="328"/>
      <c r="G73" s="328"/>
    </row>
    <row r="74" spans="1:7" s="565" customFormat="1" ht="13.2">
      <c r="A74" s="887" t="s">
        <v>1238</v>
      </c>
      <c r="B74" s="327">
        <f>'Sources and Uses Budget'!C73</f>
        <v>0</v>
      </c>
      <c r="C74" s="327">
        <f>'Sources and Uses Budget'!C73</f>
        <v>0</v>
      </c>
      <c r="D74" s="327">
        <f>'Sources and Uses Budget'!C73</f>
        <v>0</v>
      </c>
      <c r="E74" s="329">
        <f>C74-B74</f>
        <v>0</v>
      </c>
      <c r="F74" s="328"/>
      <c r="G74" s="328"/>
    </row>
    <row r="75" spans="1:7" s="565" customFormat="1" ht="13.2">
      <c r="A75" s="884" t="s">
        <v>287</v>
      </c>
      <c r="B75" s="327">
        <f>'Sources and Uses Budget'!C74</f>
        <v>162536</v>
      </c>
      <c r="C75" s="327">
        <f>'Sources and Uses Budget'!C74</f>
        <v>162536</v>
      </c>
      <c r="D75" s="327">
        <f>'Sources and Uses Budget'!C74</f>
        <v>162536</v>
      </c>
      <c r="E75" s="329">
        <f>C75-B75</f>
        <v>0</v>
      </c>
      <c r="F75" s="328"/>
      <c r="G75" s="328"/>
    </row>
    <row r="76" spans="1:7" s="565" customFormat="1" ht="13.2">
      <c r="A76" s="888" t="s">
        <v>532</v>
      </c>
      <c r="B76" s="327">
        <f>'Sources and Uses Budget'!C75</f>
        <v>0</v>
      </c>
      <c r="C76" s="327">
        <f>'Sources and Uses Budget'!C75</f>
        <v>0</v>
      </c>
      <c r="D76" s="327">
        <f>'Sources and Uses Budget'!C75</f>
        <v>0</v>
      </c>
      <c r="E76" s="329">
        <f>C76-B76</f>
        <v>0</v>
      </c>
      <c r="F76" s="328"/>
      <c r="G76" s="328"/>
    </row>
    <row r="77" spans="1:7" s="565" customFormat="1" ht="13.2">
      <c r="A77" s="883" t="s">
        <v>288</v>
      </c>
      <c r="B77" s="890">
        <f>'Sources and Uses Budget'!C76</f>
        <v>162536</v>
      </c>
      <c r="C77" s="890">
        <f>'Sources and Uses Budget'!C76</f>
        <v>162536</v>
      </c>
      <c r="D77" s="890">
        <f>'Sources and Uses Budget'!C76</f>
        <v>162536</v>
      </c>
      <c r="E77" s="329">
        <f>C77-B77</f>
        <v>0</v>
      </c>
      <c r="F77" s="328"/>
      <c r="G77" s="328"/>
    </row>
    <row r="78" spans="1:7" s="565" customFormat="1" ht="13.2">
      <c r="A78" s="879" t="s">
        <v>1734</v>
      </c>
      <c r="B78" s="325"/>
      <c r="C78" s="325"/>
      <c r="D78" s="325"/>
      <c r="E78" s="325"/>
      <c r="F78" s="325"/>
      <c r="G78" s="325"/>
    </row>
    <row r="79" spans="1:7" s="565" customFormat="1" ht="13.95" customHeight="1">
      <c r="A79" s="884" t="s">
        <v>1732</v>
      </c>
      <c r="B79" s="327">
        <f>'Sources and Uses Budget'!C78</f>
        <v>1782951</v>
      </c>
      <c r="C79" s="327">
        <f>'Sources and Uses Budget'!C78</f>
        <v>1782951</v>
      </c>
      <c r="D79" s="327">
        <f>'Sources and Uses Budget'!C78</f>
        <v>1782951</v>
      </c>
      <c r="E79" s="329">
        <f t="shared" ref="E79:E105" si="2">C79-B79</f>
        <v>0</v>
      </c>
      <c r="F79" s="328"/>
      <c r="G79" s="328"/>
    </row>
    <row r="80" spans="1:7" s="565" customFormat="1" ht="13.2">
      <c r="A80" s="884" t="s">
        <v>537</v>
      </c>
      <c r="B80" s="327">
        <f>'Sources and Uses Budget'!C79</f>
        <v>316818</v>
      </c>
      <c r="C80" s="327">
        <f>'Sources and Uses Budget'!C79</f>
        <v>316818</v>
      </c>
      <c r="D80" s="327">
        <f>'Sources and Uses Budget'!C79</f>
        <v>316818</v>
      </c>
      <c r="E80" s="329">
        <f t="shared" si="2"/>
        <v>0</v>
      </c>
      <c r="F80" s="328"/>
      <c r="G80" s="328"/>
    </row>
    <row r="81" spans="1:7" s="565" customFormat="1" ht="13.2">
      <c r="A81" s="883" t="s">
        <v>1733</v>
      </c>
      <c r="B81" s="890">
        <f>'Sources and Uses Budget'!C80</f>
        <v>2099769</v>
      </c>
      <c r="C81" s="890">
        <f>'Sources and Uses Budget'!C80</f>
        <v>2099769</v>
      </c>
      <c r="D81" s="890">
        <f>'Sources and Uses Budget'!C80</f>
        <v>2099769</v>
      </c>
      <c r="E81" s="329">
        <f t="shared" si="2"/>
        <v>0</v>
      </c>
      <c r="F81" s="328"/>
      <c r="G81" s="328"/>
    </row>
    <row r="82" spans="1:7" s="565" customFormat="1" ht="13.2">
      <c r="A82" s="879" t="s">
        <v>514</v>
      </c>
      <c r="B82" s="325"/>
      <c r="C82" s="325"/>
      <c r="D82" s="325"/>
      <c r="E82" s="325"/>
      <c r="F82" s="325"/>
      <c r="G82" s="325"/>
    </row>
    <row r="83" spans="1:7" s="565" customFormat="1" ht="13.2">
      <c r="A83" s="237" t="s">
        <v>2098</v>
      </c>
      <c r="B83" s="327">
        <f>'Sources and Uses Budget'!C82</f>
        <v>140300</v>
      </c>
      <c r="C83" s="327">
        <f>'Sources and Uses Budget'!C82</f>
        <v>140300</v>
      </c>
      <c r="D83" s="327">
        <f>'Sources and Uses Budget'!C82</f>
        <v>140300</v>
      </c>
      <c r="E83" s="329">
        <f t="shared" si="2"/>
        <v>0</v>
      </c>
      <c r="F83" s="328"/>
      <c r="G83" s="328"/>
    </row>
    <row r="84" spans="1:7" s="565" customFormat="1" ht="13.2">
      <c r="A84" s="237" t="s">
        <v>515</v>
      </c>
      <c r="B84" s="327">
        <f>'Sources and Uses Budget'!C83</f>
        <v>150000</v>
      </c>
      <c r="C84" s="327">
        <f>'Sources and Uses Budget'!C83</f>
        <v>150000</v>
      </c>
      <c r="D84" s="327">
        <f>'Sources and Uses Budget'!C83</f>
        <v>150000</v>
      </c>
      <c r="E84" s="329">
        <f t="shared" si="2"/>
        <v>0</v>
      </c>
      <c r="F84" s="328"/>
      <c r="G84" s="328"/>
    </row>
    <row r="85" spans="1:7" s="565" customFormat="1" ht="13.2">
      <c r="A85" s="237" t="s">
        <v>516</v>
      </c>
      <c r="B85" s="327">
        <f>'Sources and Uses Budget'!C84</f>
        <v>1619383</v>
      </c>
      <c r="C85" s="327">
        <f>'Sources and Uses Budget'!C84</f>
        <v>1619383</v>
      </c>
      <c r="D85" s="327">
        <f>'Sources and Uses Budget'!C84</f>
        <v>1619383</v>
      </c>
      <c r="E85" s="329">
        <f t="shared" si="2"/>
        <v>0</v>
      </c>
      <c r="F85" s="328"/>
      <c r="G85" s="328"/>
    </row>
    <row r="86" spans="1:7" s="565" customFormat="1" ht="13.2">
      <c r="A86" s="237" t="s">
        <v>517</v>
      </c>
      <c r="B86" s="327">
        <f>'Sources and Uses Budget'!C85</f>
        <v>540000</v>
      </c>
      <c r="C86" s="327">
        <f>'Sources and Uses Budget'!C85</f>
        <v>540000</v>
      </c>
      <c r="D86" s="327">
        <f>'Sources and Uses Budget'!C85</f>
        <v>540000</v>
      </c>
      <c r="E86" s="329">
        <f t="shared" si="2"/>
        <v>0</v>
      </c>
      <c r="F86" s="328"/>
      <c r="G86" s="328"/>
    </row>
    <row r="87" spans="1:7" s="565" customFormat="1" ht="13.2">
      <c r="A87" s="237" t="s">
        <v>518</v>
      </c>
      <c r="B87" s="327">
        <f>'Sources and Uses Budget'!C86</f>
        <v>0</v>
      </c>
      <c r="C87" s="327">
        <f>'Sources and Uses Budget'!C86</f>
        <v>0</v>
      </c>
      <c r="D87" s="327">
        <f>'Sources and Uses Budget'!C86</f>
        <v>0</v>
      </c>
      <c r="E87" s="329">
        <f t="shared" si="2"/>
        <v>0</v>
      </c>
      <c r="F87" s="328"/>
      <c r="G87" s="328"/>
    </row>
    <row r="88" spans="1:7" s="565" customFormat="1" ht="13.2">
      <c r="A88" s="237" t="s">
        <v>519</v>
      </c>
      <c r="B88" s="327">
        <f>'Sources and Uses Budget'!C87</f>
        <v>63250</v>
      </c>
      <c r="C88" s="327">
        <f>'Sources and Uses Budget'!C87</f>
        <v>63250</v>
      </c>
      <c r="D88" s="327">
        <f>'Sources and Uses Budget'!C87</f>
        <v>63250</v>
      </c>
      <c r="E88" s="329">
        <f t="shared" si="2"/>
        <v>0</v>
      </c>
      <c r="F88" s="328"/>
      <c r="G88" s="328"/>
    </row>
    <row r="89" spans="1:7" s="565" customFormat="1" ht="13.2">
      <c r="A89" s="237" t="s">
        <v>520</v>
      </c>
      <c r="B89" s="327">
        <f>'Sources and Uses Budget'!C88</f>
        <v>135000</v>
      </c>
      <c r="C89" s="327">
        <f>'Sources and Uses Budget'!C88</f>
        <v>135000</v>
      </c>
      <c r="D89" s="327">
        <f>'Sources and Uses Budget'!C88</f>
        <v>135000</v>
      </c>
      <c r="E89" s="329">
        <f t="shared" si="2"/>
        <v>0</v>
      </c>
      <c r="F89" s="328"/>
      <c r="G89" s="328"/>
    </row>
    <row r="90" spans="1:7" s="565" customFormat="1" ht="13.2">
      <c r="A90" s="237" t="s">
        <v>521</v>
      </c>
      <c r="B90" s="327">
        <f>'Sources and Uses Budget'!C89</f>
        <v>15000</v>
      </c>
      <c r="C90" s="327">
        <f>'Sources and Uses Budget'!C89</f>
        <v>15000</v>
      </c>
      <c r="D90" s="327">
        <f>'Sources and Uses Budget'!C89</f>
        <v>15000</v>
      </c>
      <c r="E90" s="329">
        <f t="shared" si="2"/>
        <v>0</v>
      </c>
      <c r="F90" s="328"/>
      <c r="G90" s="328"/>
    </row>
    <row r="91" spans="1:7" s="565" customFormat="1" ht="13.2">
      <c r="A91" s="248" t="s">
        <v>1314</v>
      </c>
      <c r="B91" s="327">
        <f>'Sources and Uses Budget'!C90</f>
        <v>0</v>
      </c>
      <c r="C91" s="327">
        <f>'Sources and Uses Budget'!C90</f>
        <v>0</v>
      </c>
      <c r="D91" s="327">
        <f>'Sources and Uses Budget'!C90</f>
        <v>0</v>
      </c>
      <c r="E91" s="329">
        <f t="shared" si="2"/>
        <v>0</v>
      </c>
      <c r="F91" s="328"/>
      <c r="G91" s="328"/>
    </row>
    <row r="92" spans="1:7" s="565" customFormat="1" ht="13.2">
      <c r="A92" s="248" t="s">
        <v>1731</v>
      </c>
      <c r="B92" s="327">
        <f>'Sources and Uses Budget'!C91</f>
        <v>15000</v>
      </c>
      <c r="C92" s="327">
        <f>'Sources and Uses Budget'!C91</f>
        <v>15000</v>
      </c>
      <c r="D92" s="327">
        <f>'Sources and Uses Budget'!C91</f>
        <v>15000</v>
      </c>
      <c r="E92" s="329">
        <f t="shared" si="2"/>
        <v>0</v>
      </c>
      <c r="F92" s="328"/>
      <c r="G92" s="328"/>
    </row>
    <row r="93" spans="1:7" s="565" customFormat="1" ht="13.2">
      <c r="A93" s="244" t="s">
        <v>532</v>
      </c>
      <c r="B93" s="327">
        <f>'Sources and Uses Budget'!C92</f>
        <v>100000</v>
      </c>
      <c r="C93" s="327">
        <f>'Sources and Uses Budget'!C92</f>
        <v>100000</v>
      </c>
      <c r="D93" s="327">
        <f>'Sources and Uses Budget'!C92</f>
        <v>100000</v>
      </c>
      <c r="E93" s="329">
        <f t="shared" si="2"/>
        <v>0</v>
      </c>
      <c r="F93" s="328"/>
      <c r="G93" s="328"/>
    </row>
    <row r="94" spans="1:7" s="565" customFormat="1" ht="13.2">
      <c r="A94" s="244" t="s">
        <v>532</v>
      </c>
      <c r="B94" s="327">
        <f>'Sources and Uses Budget'!C93</f>
        <v>135000</v>
      </c>
      <c r="C94" s="327">
        <f>'Sources and Uses Budget'!C93</f>
        <v>135000</v>
      </c>
      <c r="D94" s="327">
        <f>'Sources and Uses Budget'!C93</f>
        <v>135000</v>
      </c>
      <c r="E94" s="329">
        <f t="shared" si="2"/>
        <v>0</v>
      </c>
      <c r="F94" s="328"/>
      <c r="G94" s="328"/>
    </row>
    <row r="95" spans="1:7" s="565" customFormat="1" ht="13.2">
      <c r="A95" s="244" t="s">
        <v>532</v>
      </c>
      <c r="B95" s="327">
        <f>'Sources and Uses Budget'!C94</f>
        <v>58500</v>
      </c>
      <c r="C95" s="327">
        <f>'Sources and Uses Budget'!C94</f>
        <v>58500</v>
      </c>
      <c r="D95" s="327">
        <f>'Sources and Uses Budget'!C94</f>
        <v>58500</v>
      </c>
      <c r="E95" s="329">
        <f t="shared" si="2"/>
        <v>0</v>
      </c>
      <c r="F95" s="328"/>
      <c r="G95" s="328"/>
    </row>
    <row r="96" spans="1:7" s="565" customFormat="1" ht="13.2">
      <c r="A96" s="241" t="s">
        <v>522</v>
      </c>
      <c r="B96" s="890">
        <f>'Sources and Uses Budget'!C95</f>
        <v>2971433</v>
      </c>
      <c r="C96" s="890">
        <f>'Sources and Uses Budget'!C95</f>
        <v>2971433</v>
      </c>
      <c r="D96" s="890">
        <f>'Sources and Uses Budget'!C95</f>
        <v>2971433</v>
      </c>
      <c r="E96" s="329">
        <f t="shared" si="2"/>
        <v>0</v>
      </c>
      <c r="F96" s="328"/>
      <c r="G96" s="328"/>
    </row>
    <row r="97" spans="1:7" s="565" customFormat="1" ht="13.2">
      <c r="A97" s="241" t="s">
        <v>523</v>
      </c>
      <c r="B97" s="890">
        <f>'Sources and Uses Budget'!C96</f>
        <v>33701880</v>
      </c>
      <c r="C97" s="890">
        <f>'Sources and Uses Budget'!C96</f>
        <v>33701880</v>
      </c>
      <c r="D97" s="890">
        <f>'Sources and Uses Budget'!C96</f>
        <v>33701880</v>
      </c>
      <c r="E97" s="329">
        <f t="shared" si="2"/>
        <v>0</v>
      </c>
      <c r="F97" s="328"/>
      <c r="G97" s="328"/>
    </row>
    <row r="98" spans="1:7" s="565" customFormat="1" ht="13.2">
      <c r="A98" s="879" t="s">
        <v>524</v>
      </c>
      <c r="B98" s="325"/>
      <c r="C98" s="325"/>
      <c r="D98" s="325"/>
      <c r="E98" s="325"/>
      <c r="F98" s="325"/>
      <c r="G98" s="325"/>
    </row>
    <row r="99" spans="1:7" s="565"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3.2">
      <c r="A101" s="237" t="s">
        <v>526</v>
      </c>
      <c r="B101" s="327">
        <f>'Sources and Uses Budget'!C100</f>
        <v>0</v>
      </c>
      <c r="C101" s="327">
        <f>'Sources and Uses Budget'!C100</f>
        <v>0</v>
      </c>
      <c r="D101" s="327">
        <f>'Sources and Uses Budget'!C100</f>
        <v>0</v>
      </c>
      <c r="E101" s="329">
        <f t="shared" si="2"/>
        <v>0</v>
      </c>
      <c r="F101" s="328"/>
      <c r="G101" s="328"/>
    </row>
    <row r="102" spans="1:7" s="565" customFormat="1" ht="13.2">
      <c r="A102" s="237" t="s">
        <v>2000</v>
      </c>
      <c r="B102" s="327">
        <f>'Sources and Uses Budget'!C101</f>
        <v>0</v>
      </c>
      <c r="C102" s="327">
        <f>'Sources and Uses Budget'!C101</f>
        <v>0</v>
      </c>
      <c r="D102" s="327">
        <f>'Sources and Uses Budget'!C101</f>
        <v>0</v>
      </c>
      <c r="E102" s="329">
        <f t="shared" si="2"/>
        <v>0</v>
      </c>
      <c r="F102" s="328"/>
      <c r="G102" s="328"/>
    </row>
    <row r="103" spans="1:7" s="565" customFormat="1" ht="13.2">
      <c r="A103" s="885" t="s">
        <v>532</v>
      </c>
      <c r="B103" s="327">
        <f>'Sources and Uses Budget'!C102</f>
        <v>0</v>
      </c>
      <c r="C103" s="327">
        <f>'Sources and Uses Budget'!C102</f>
        <v>0</v>
      </c>
      <c r="D103" s="327">
        <f>'Sources and Uses Budget'!C102</f>
        <v>0</v>
      </c>
      <c r="E103" s="329">
        <f t="shared" si="2"/>
        <v>0</v>
      </c>
      <c r="F103" s="328"/>
      <c r="G103" s="328"/>
    </row>
    <row r="104" spans="1:7" s="565" customFormat="1" ht="13.2">
      <c r="A104" s="883" t="s">
        <v>527</v>
      </c>
      <c r="B104" s="890">
        <f>'Sources and Uses Budget'!C103</f>
        <v>2800000</v>
      </c>
      <c r="C104" s="890">
        <f>'Sources and Uses Budget'!C103</f>
        <v>2800000</v>
      </c>
      <c r="D104" s="890">
        <f>'Sources and Uses Budget'!C103</f>
        <v>2800000</v>
      </c>
      <c r="E104" s="329">
        <f t="shared" si="2"/>
        <v>0</v>
      </c>
      <c r="F104" s="328"/>
      <c r="G104" s="328"/>
    </row>
    <row r="105" spans="1:7" s="565" customFormat="1" ht="13.2">
      <c r="A105" s="883" t="s">
        <v>528</v>
      </c>
      <c r="B105" s="890">
        <f>'Sources and Uses Budget'!C104</f>
        <v>36501880</v>
      </c>
      <c r="C105" s="890">
        <f>'Sources and Uses Budget'!C104</f>
        <v>36501880</v>
      </c>
      <c r="D105" s="890">
        <f>'Sources and Uses Budget'!C104</f>
        <v>36501880</v>
      </c>
      <c r="E105" s="329">
        <f t="shared" si="2"/>
        <v>0</v>
      </c>
      <c r="F105" s="328"/>
      <c r="G105" s="889"/>
    </row>
    <row r="106" spans="1:7" s="565"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3.2" zeroHeight="1"/>
  <cols>
    <col min="1" max="10" width="9.109375" customWidth="1"/>
    <col min="11" max="16384" width="8.88671875" hidden="1"/>
  </cols>
  <sheetData>
    <row r="1" spans="1:10" ht="14.25" customHeight="1"/>
    <row r="2" spans="1:10" ht="15.6">
      <c r="A2" s="998" t="s">
        <v>299</v>
      </c>
      <c r="B2" s="999"/>
      <c r="C2" s="999"/>
      <c r="D2" s="999"/>
      <c r="E2" s="999"/>
      <c r="F2" s="999"/>
      <c r="G2" s="999"/>
      <c r="H2" s="999"/>
      <c r="I2" s="999"/>
      <c r="J2" s="999"/>
    </row>
    <row r="3" spans="1:10" ht="15">
      <c r="A3" s="1000" t="s">
        <v>2315</v>
      </c>
      <c r="B3" s="999"/>
      <c r="C3" s="999"/>
      <c r="D3" s="999"/>
      <c r="E3" s="999"/>
      <c r="F3" s="999"/>
      <c r="G3" s="999"/>
      <c r="H3" s="999"/>
      <c r="I3" s="999"/>
      <c r="J3" s="999"/>
    </row>
    <row r="4" spans="1:10"/>
    <row r="5" spans="1:10" ht="12.75" customHeight="1">
      <c r="A5" s="986" t="s">
        <v>2151</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9" customFormat="1">
      <c r="A10" s="989" t="s">
        <v>2084</v>
      </c>
    </row>
    <row r="11" spans="1:10" s="989" customFormat="1" ht="12.75" customHeight="1"/>
    <row r="12" spans="1:10" s="989" customFormat="1" ht="12.75" customHeight="1"/>
    <row r="13" spans="1:10" s="989" customFormat="1" ht="12.75" customHeight="1"/>
    <row r="14" spans="1:10" s="989" customFormat="1" ht="12.75" customHeight="1"/>
    <row r="15" spans="1:10"/>
    <row r="16" spans="1:10" ht="12.75" customHeight="1">
      <c r="A16" s="1001" t="s">
        <v>1856</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1033</v>
      </c>
      <c r="B22" s="300"/>
      <c r="C22" s="300"/>
      <c r="D22" s="300"/>
      <c r="E22" s="300"/>
      <c r="F22" s="300"/>
      <c r="G22" s="300"/>
      <c r="H22" s="300"/>
      <c r="I22" s="300"/>
      <c r="J22" s="300"/>
    </row>
    <row r="23" spans="1:10" ht="14.4">
      <c r="A23" s="351" t="s">
        <v>228</v>
      </c>
      <c r="B23" s="351"/>
      <c r="C23" s="351"/>
      <c r="D23" s="351"/>
      <c r="E23" s="351"/>
      <c r="F23" s="351"/>
      <c r="G23" s="351"/>
      <c r="H23" s="351"/>
      <c r="I23" s="351"/>
      <c r="J23" s="929"/>
    </row>
    <row r="24" spans="1:10">
      <c r="A24" s="1004" t="s">
        <v>1017</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1034</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1017</v>
      </c>
    </row>
    <row r="66" spans="1:9"/>
    <row r="67" spans="1:9"/>
    <row r="68" spans="1:9"/>
    <row r="69" spans="1:9"/>
    <row r="70" spans="1:9"/>
    <row r="71" spans="1:9"/>
    <row r="72" spans="1:9"/>
    <row r="73" spans="1:9"/>
    <row r="74" spans="1:9"/>
    <row r="75" spans="1:9"/>
    <row r="76" spans="1:9">
      <c r="A76" s="997" t="s">
        <v>1141</v>
      </c>
      <c r="B76" s="997"/>
      <c r="C76" s="997"/>
      <c r="D76" s="997"/>
      <c r="E76" s="997"/>
      <c r="F76" s="997"/>
      <c r="G76" s="997"/>
      <c r="H76" s="997"/>
      <c r="I76" s="997"/>
    </row>
    <row r="77" spans="1:9">
      <c r="A77" s="996" t="s">
        <v>1287</v>
      </c>
      <c r="B77" s="996"/>
      <c r="C77" s="996"/>
      <c r="D77" s="996"/>
      <c r="E77" s="996"/>
      <c r="F77" s="665"/>
    </row>
    <row r="78" spans="1:9">
      <c r="A78" s="996" t="s">
        <v>1286</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Normal="100" workbookViewId="0">
      <selection activeCell="D11" sqref="D11"/>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9" t="s">
        <v>2320</v>
      </c>
      <c r="B2" s="1029"/>
      <c r="C2" s="999"/>
      <c r="D2" s="999"/>
      <c r="E2" s="999"/>
      <c r="F2" s="999"/>
      <c r="G2" s="999"/>
      <c r="I2" t="s">
        <v>78</v>
      </c>
    </row>
    <row r="3" spans="1:9" ht="13.2">
      <c r="A3" s="188"/>
      <c r="B3" s="188"/>
      <c r="C3"/>
      <c r="D3"/>
      <c r="E3"/>
      <c r="F3"/>
      <c r="G3"/>
      <c r="I3" s="5" t="s">
        <v>1390</v>
      </c>
    </row>
    <row r="4" spans="1:9" ht="13.2">
      <c r="A4" s="1030" t="s">
        <v>2118</v>
      </c>
      <c r="B4" s="1030"/>
      <c r="C4" s="1031"/>
      <c r="D4" s="1031"/>
      <c r="E4" s="1031"/>
      <c r="F4" s="1031"/>
      <c r="G4" s="1031"/>
      <c r="I4" s="5" t="s">
        <v>1374</v>
      </c>
    </row>
    <row r="5" spans="1:9" ht="13.2">
      <c r="A5" s="1030" t="s">
        <v>1040</v>
      </c>
      <c r="B5" s="1030"/>
      <c r="C5" s="1031"/>
      <c r="D5" s="1031"/>
      <c r="E5" s="1031"/>
      <c r="F5" s="1031"/>
      <c r="G5" s="1031"/>
      <c r="I5" t="s">
        <v>123</v>
      </c>
    </row>
    <row r="6" spans="1:9" ht="13.65" customHeight="1"/>
    <row r="7" spans="1:9" ht="13.2">
      <c r="A7" s="1033" t="s">
        <v>2282</v>
      </c>
      <c r="B7" s="1033"/>
      <c r="C7" s="1033"/>
      <c r="D7" s="1033"/>
      <c r="E7" s="1033"/>
      <c r="F7" s="1033"/>
      <c r="G7" s="1033"/>
    </row>
    <row r="8" spans="1:9" ht="13.2">
      <c r="A8" s="1033"/>
      <c r="B8" s="1033"/>
      <c r="C8" s="1033"/>
      <c r="D8" s="1033"/>
      <c r="E8" s="1033"/>
      <c r="F8" s="1033"/>
      <c r="G8" s="1033"/>
    </row>
    <row r="9" spans="1:9" ht="13.2">
      <c r="A9" s="190"/>
      <c r="B9" s="190"/>
      <c r="C9" s="188"/>
      <c r="D9" s="188"/>
      <c r="E9" s="188"/>
      <c r="F9" s="188"/>
      <c r="G9" s="188"/>
    </row>
    <row r="10" spans="1:9" ht="13.2">
      <c r="A10" s="1015" t="s">
        <v>1539</v>
      </c>
      <c r="B10" s="1015"/>
      <c r="C10" s="1015"/>
      <c r="D10" s="1015"/>
      <c r="E10" s="1015"/>
      <c r="F10" s="1015"/>
      <c r="G10" s="1015"/>
    </row>
    <row r="11" spans="1:9" ht="13.2">
      <c r="A11" s="188"/>
      <c r="B11" s="188"/>
    </row>
    <row r="12" spans="1:9" ht="13.65" customHeight="1">
      <c r="C12" s="188"/>
      <c r="D12" s="1032" t="s">
        <v>1538</v>
      </c>
      <c r="E12" s="1032"/>
      <c r="F12" s="1032"/>
      <c r="G12" s="607"/>
    </row>
    <row r="13" spans="1:9" ht="13.2">
      <c r="C13" s="188"/>
      <c r="D13" s="1032"/>
      <c r="E13" s="1032"/>
      <c r="F13" s="1032"/>
      <c r="G13" s="607"/>
    </row>
    <row r="14" spans="1:9" ht="13.2">
      <c r="A14" s="189"/>
      <c r="B14" s="189"/>
      <c r="C14" s="189"/>
      <c r="D14" s="1010" t="s">
        <v>1412</v>
      </c>
      <c r="E14" s="1010"/>
      <c r="F14" s="1010"/>
    </row>
    <row r="15" spans="1:9" ht="13.2">
      <c r="A15" s="189"/>
      <c r="B15" s="189"/>
      <c r="C15" s="189"/>
    </row>
    <row r="16" spans="1:9" ht="14.4" customHeight="1">
      <c r="A16" s="269"/>
      <c r="B16" s="606" t="s">
        <v>1374</v>
      </c>
      <c r="C16" s="189"/>
      <c r="D16" s="983" t="s">
        <v>2049</v>
      </c>
      <c r="E16" s="992"/>
      <c r="F16" s="992"/>
      <c r="G16" s="351"/>
    </row>
    <row r="17" spans="1:7" ht="14.4" customHeight="1">
      <c r="A17" s="269"/>
      <c r="C17" s="189"/>
      <c r="D17" s="992"/>
      <c r="E17" s="992"/>
      <c r="F17" s="992"/>
      <c r="G17" s="351"/>
    </row>
    <row r="18" spans="1:7" ht="13.2">
      <c r="A18" s="189"/>
      <c r="C18" s="189"/>
      <c r="D18" s="992"/>
      <c r="E18" s="992"/>
      <c r="F18" s="992"/>
      <c r="G18" s="351"/>
    </row>
    <row r="19" spans="1:7" ht="13.2">
      <c r="A19" s="189"/>
      <c r="C19" s="189"/>
      <c r="D19" s="24"/>
      <c r="E19" s="126" t="s">
        <v>2050</v>
      </c>
      <c r="F19" s="24"/>
      <c r="G19" s="351"/>
    </row>
    <row r="20" spans="1:7" ht="13.2">
      <c r="A20" s="189"/>
      <c r="B20" s="189"/>
      <c r="C20" s="189"/>
    </row>
    <row r="21" spans="1:7" ht="14.4">
      <c r="A21" s="269"/>
      <c r="B21" s="606" t="s">
        <v>1374</v>
      </c>
      <c r="D21" s="983" t="s">
        <v>2051</v>
      </c>
      <c r="E21" s="992"/>
      <c r="F21" s="992"/>
    </row>
    <row r="22" spans="1:7" ht="13.2">
      <c r="D22" s="992"/>
      <c r="E22" s="992"/>
      <c r="F22" s="992"/>
    </row>
    <row r="23" spans="1:7" ht="13.2">
      <c r="D23" s="100"/>
      <c r="E23" s="102" t="s">
        <v>2052</v>
      </c>
      <c r="F23" s="100"/>
    </row>
    <row r="24" spans="1:7" ht="14.4">
      <c r="A24" s="269"/>
      <c r="B24" s="269"/>
      <c r="D24" s="44"/>
    </row>
    <row r="25" spans="1:7" ht="14.4">
      <c r="A25" s="269"/>
      <c r="B25" s="606" t="s">
        <v>123</v>
      </c>
      <c r="D25" s="992" t="s">
        <v>1406</v>
      </c>
      <c r="E25" s="992"/>
      <c r="F25" s="992"/>
    </row>
    <row r="26" spans="1:7" ht="14.4">
      <c r="A26" s="269"/>
      <c r="B26" s="269"/>
      <c r="D26" s="992"/>
      <c r="E26" s="992"/>
      <c r="F26" s="992"/>
    </row>
    <row r="27" spans="1:7" ht="14.4">
      <c r="A27" s="269"/>
      <c r="B27" s="269"/>
      <c r="D27" s="44"/>
    </row>
    <row r="28" spans="1:7" ht="14.25" customHeight="1">
      <c r="A28" s="269"/>
      <c r="B28" s="606" t="s">
        <v>1374</v>
      </c>
      <c r="D28" s="983" t="s">
        <v>2119</v>
      </c>
      <c r="E28" s="983"/>
      <c r="F28" s="983"/>
    </row>
    <row r="29" spans="1:7" ht="14.4">
      <c r="A29" s="269"/>
      <c r="B29" s="269"/>
      <c r="D29" s="983"/>
      <c r="E29" s="983"/>
      <c r="F29" s="983"/>
    </row>
    <row r="30" spans="1:7" ht="14.4">
      <c r="A30" s="269"/>
      <c r="B30" s="269"/>
      <c r="D30" s="983"/>
      <c r="E30" s="983"/>
      <c r="F30" s="983"/>
    </row>
    <row r="31" spans="1:7" ht="14.4">
      <c r="A31" s="269"/>
      <c r="B31" s="269"/>
      <c r="D31" s="983"/>
      <c r="E31" s="983"/>
      <c r="F31" s="983"/>
    </row>
    <row r="32" spans="1:7" ht="14.4">
      <c r="A32" s="269"/>
      <c r="B32" s="269"/>
      <c r="D32" s="983"/>
      <c r="E32" s="983"/>
      <c r="F32" s="983"/>
    </row>
    <row r="33" spans="1:6" ht="14.4">
      <c r="A33" s="269"/>
      <c r="B33" s="269"/>
      <c r="D33" s="573"/>
      <c r="F33" s="609"/>
    </row>
    <row r="34" spans="1:6" ht="14.4" customHeight="1">
      <c r="A34" s="269"/>
      <c r="B34" s="606" t="s">
        <v>123</v>
      </c>
      <c r="D34" s="992" t="s">
        <v>2120</v>
      </c>
      <c r="E34" s="992"/>
      <c r="F34" s="992"/>
    </row>
    <row r="35" spans="1:6" ht="14.4">
      <c r="A35" s="269"/>
      <c r="B35" s="269"/>
      <c r="D35" s="992"/>
      <c r="E35" s="992"/>
      <c r="F35" s="992"/>
    </row>
    <row r="36" spans="1:6" ht="14.4">
      <c r="A36" s="269"/>
      <c r="B36" s="269"/>
      <c r="D36" s="207"/>
      <c r="E36" s="207"/>
      <c r="F36" s="207"/>
    </row>
    <row r="37" spans="1:6" ht="14.4">
      <c r="A37" s="269"/>
      <c r="B37" s="606" t="s">
        <v>1374</v>
      </c>
      <c r="D37" s="983" t="s">
        <v>1744</v>
      </c>
      <c r="E37" s="992"/>
      <c r="F37" s="992"/>
    </row>
    <row r="38" spans="1:6" ht="14.4">
      <c r="A38" s="269"/>
      <c r="B38" s="269"/>
      <c r="D38" s="992"/>
      <c r="E38" s="992"/>
      <c r="F38" s="992"/>
    </row>
    <row r="39" spans="1:6" ht="14.4">
      <c r="A39" s="269"/>
      <c r="B39" s="269"/>
      <c r="D39" s="992"/>
      <c r="E39" s="992"/>
      <c r="F39" s="992"/>
    </row>
    <row r="40" spans="1:6" ht="14.4">
      <c r="A40" s="269"/>
      <c r="B40" s="269"/>
      <c r="D40" s="992"/>
      <c r="E40" s="992"/>
      <c r="F40" s="992"/>
    </row>
    <row r="41" spans="1:6" ht="14.4">
      <c r="A41" s="269"/>
      <c r="B41" s="269"/>
      <c r="D41" s="992"/>
      <c r="E41" s="992"/>
      <c r="F41" s="992"/>
    </row>
    <row r="42" spans="1:6" ht="14.4">
      <c r="A42" s="269"/>
      <c r="B42" s="269"/>
      <c r="D42" s="992"/>
      <c r="E42" s="992"/>
      <c r="F42" s="992"/>
    </row>
    <row r="43" spans="1:6" ht="14.4">
      <c r="A43" s="269"/>
      <c r="B43" s="269"/>
      <c r="D43" s="992"/>
      <c r="E43" s="992"/>
      <c r="F43" s="992"/>
    </row>
    <row r="44" spans="1:6" ht="14.4">
      <c r="A44" s="269"/>
      <c r="B44" s="269"/>
      <c r="D44" s="992"/>
      <c r="E44" s="992"/>
      <c r="F44" s="992"/>
    </row>
    <row r="45" spans="1:6" ht="14.4">
      <c r="A45" s="269"/>
      <c r="B45" s="269"/>
      <c r="D45" s="24"/>
      <c r="E45" s="24"/>
      <c r="F45" s="24"/>
    </row>
    <row r="46" spans="1:6" ht="14.4" customHeight="1">
      <c r="A46" s="269"/>
      <c r="B46" s="606" t="s">
        <v>123</v>
      </c>
      <c r="D46" s="992" t="s">
        <v>1438</v>
      </c>
      <c r="E46" s="992"/>
      <c r="F46" s="992"/>
    </row>
    <row r="47" spans="1:6" ht="14.4">
      <c r="A47" s="269"/>
      <c r="B47" s="269"/>
      <c r="D47" s="992"/>
      <c r="E47" s="992"/>
      <c r="F47" s="992"/>
    </row>
    <row r="48" spans="1:6" ht="14.4">
      <c r="A48" s="269"/>
      <c r="B48" s="269"/>
      <c r="D48" s="992"/>
      <c r="E48" s="992"/>
      <c r="F48" s="992"/>
    </row>
    <row r="49" spans="1:6" ht="14.4">
      <c r="A49" s="269"/>
      <c r="B49" s="269"/>
      <c r="D49" s="992"/>
      <c r="E49" s="992"/>
      <c r="F49" s="992"/>
    </row>
    <row r="50" spans="1:6" ht="14.4">
      <c r="A50" s="269"/>
      <c r="B50" s="269"/>
      <c r="D50" s="992"/>
      <c r="E50" s="992"/>
      <c r="F50" s="992"/>
    </row>
    <row r="51" spans="1:6" ht="14.4">
      <c r="A51" s="269"/>
      <c r="B51" s="269"/>
      <c r="D51" s="44"/>
    </row>
    <row r="52" spans="1:6" ht="14.4">
      <c r="A52" s="269"/>
      <c r="B52" s="606" t="s">
        <v>1374</v>
      </c>
      <c r="D52" s="983" t="s">
        <v>1872</v>
      </c>
      <c r="E52" s="992"/>
      <c r="F52" s="992"/>
    </row>
    <row r="53" spans="1:6" ht="14.4">
      <c r="A53" s="269"/>
      <c r="B53" s="269"/>
      <c r="D53" s="992"/>
      <c r="E53" s="992"/>
      <c r="F53" s="992"/>
    </row>
    <row r="54" spans="1:6" ht="14.4">
      <c r="A54" s="269"/>
      <c r="B54" s="269"/>
      <c r="D54" s="992"/>
      <c r="E54" s="992"/>
      <c r="F54" s="992"/>
    </row>
    <row r="55" spans="1:6" ht="14.4">
      <c r="A55" s="269"/>
      <c r="B55" s="269"/>
      <c r="D55" s="992"/>
      <c r="E55" s="992"/>
      <c r="F55" s="992"/>
    </row>
    <row r="56" spans="1:6" ht="14.4">
      <c r="A56" s="269"/>
      <c r="B56" s="269"/>
      <c r="D56" s="992"/>
      <c r="E56" s="992"/>
      <c r="F56" s="992"/>
    </row>
    <row r="57" spans="1:6" ht="15" customHeight="1">
      <c r="A57" s="269"/>
      <c r="B57" s="269"/>
      <c r="D57" s="992"/>
      <c r="E57" s="992"/>
      <c r="F57" s="992"/>
    </row>
    <row r="58" spans="1:6" ht="14.4">
      <c r="A58" s="269"/>
      <c r="B58" s="269"/>
      <c r="D58"/>
    </row>
    <row r="59" spans="1:6" ht="14.4">
      <c r="A59" s="269"/>
      <c r="B59" s="606" t="s">
        <v>123</v>
      </c>
      <c r="D59" s="983" t="s">
        <v>1914</v>
      </c>
      <c r="E59" s="992"/>
      <c r="F59" s="992"/>
    </row>
    <row r="60" spans="1:6" ht="14.4">
      <c r="A60" s="269"/>
      <c r="B60" s="269"/>
      <c r="D60" s="992"/>
      <c r="E60" s="992"/>
      <c r="F60" s="992"/>
    </row>
    <row r="61" spans="1:6" ht="14.4">
      <c r="A61" s="269"/>
      <c r="B61" s="269"/>
      <c r="D61" s="992"/>
      <c r="E61" s="992"/>
      <c r="F61" s="992"/>
    </row>
    <row r="62" spans="1:6" ht="14.4">
      <c r="A62" s="269"/>
      <c r="B62" s="269"/>
      <c r="D62" s="992"/>
      <c r="E62" s="992"/>
      <c r="F62" s="992"/>
    </row>
    <row r="63" spans="1:6" ht="17.25" customHeight="1">
      <c r="A63" s="269"/>
      <c r="B63" s="269"/>
      <c r="D63" s="992"/>
      <c r="E63" s="992"/>
      <c r="F63" s="992"/>
    </row>
    <row r="64" spans="1:6" ht="14.25" customHeight="1">
      <c r="A64" s="269"/>
      <c r="B64" s="606" t="s">
        <v>1374</v>
      </c>
      <c r="D64" s="992" t="s">
        <v>2121</v>
      </c>
      <c r="E64" s="992"/>
      <c r="F64" s="992"/>
    </row>
    <row r="65" spans="1:6" ht="15" customHeight="1">
      <c r="A65" s="269"/>
      <c r="B65" s="269"/>
      <c r="D65" s="992"/>
      <c r="E65" s="992"/>
      <c r="F65" s="992"/>
    </row>
    <row r="66" spans="1:6" ht="21.6" customHeight="1">
      <c r="A66" s="269"/>
      <c r="B66" s="269"/>
      <c r="D66" s="992"/>
      <c r="E66" s="992"/>
      <c r="F66" s="992"/>
    </row>
    <row r="67" spans="1:6" ht="14.4">
      <c r="A67" s="269"/>
      <c r="B67" s="269"/>
    </row>
    <row r="68" spans="1:6" ht="14.25" customHeight="1">
      <c r="A68" s="269"/>
      <c r="B68" s="606" t="s">
        <v>1374</v>
      </c>
      <c r="D68" s="983" t="s">
        <v>2053</v>
      </c>
      <c r="E68" s="992"/>
      <c r="F68" s="992"/>
    </row>
    <row r="69" spans="1:6" ht="13.2">
      <c r="D69" s="992"/>
      <c r="E69" s="992"/>
      <c r="F69" s="992"/>
    </row>
    <row r="70" spans="1:6" ht="13.2">
      <c r="D70" s="992"/>
      <c r="E70" s="992"/>
      <c r="F70" s="992"/>
    </row>
    <row r="71" spans="1:6" ht="14.4">
      <c r="A71" s="269"/>
      <c r="B71" s="269"/>
      <c r="D71" s="207"/>
      <c r="E71" s="126" t="s">
        <v>2050</v>
      </c>
      <c r="F71" s="207"/>
    </row>
    <row r="72" spans="1:6" ht="14.4">
      <c r="A72" s="269"/>
      <c r="B72" s="269"/>
    </row>
    <row r="73" spans="1:6" ht="14.4">
      <c r="A73" s="269"/>
      <c r="B73" s="606" t="s">
        <v>123</v>
      </c>
      <c r="D73" s="992" t="s">
        <v>1537</v>
      </c>
      <c r="E73" s="992"/>
      <c r="F73" s="992"/>
    </row>
    <row r="74" spans="1:6" ht="13.2">
      <c r="D74" s="992"/>
      <c r="E74" s="992"/>
      <c r="F74" s="992"/>
    </row>
    <row r="75" spans="1:6" ht="13.2">
      <c r="D75" s="992"/>
      <c r="E75" s="992"/>
      <c r="F75" s="992"/>
    </row>
    <row r="76" spans="1:6" ht="13.2"/>
    <row r="77" spans="1:6" ht="14.4">
      <c r="A77" s="269" t="s">
        <v>228</v>
      </c>
      <c r="B77" s="606" t="s">
        <v>1374</v>
      </c>
      <c r="D77" s="992" t="s">
        <v>1441</v>
      </c>
      <c r="E77" s="992"/>
      <c r="F77" s="992"/>
    </row>
    <row r="78" spans="1:6" ht="13.2">
      <c r="D78" s="992"/>
      <c r="E78" s="992"/>
      <c r="F78" s="992"/>
    </row>
    <row r="79" spans="1:6" ht="13.2"/>
    <row r="80" spans="1:6" ht="14.4">
      <c r="A80" s="269" t="s">
        <v>228</v>
      </c>
      <c r="B80" s="606" t="s">
        <v>123</v>
      </c>
      <c r="D80" s="992" t="s">
        <v>1442</v>
      </c>
      <c r="E80" s="992"/>
      <c r="F80" s="992"/>
    </row>
    <row r="81" spans="1:7" ht="13.2">
      <c r="D81" s="992"/>
      <c r="E81" s="992"/>
      <c r="F81" s="992"/>
    </row>
    <row r="82" spans="1:7" ht="13.2">
      <c r="D82" s="992"/>
      <c r="E82" s="992"/>
      <c r="F82" s="992"/>
    </row>
    <row r="83" spans="1:7" ht="13.2">
      <c r="D83" s="44"/>
    </row>
    <row r="84" spans="1:7" ht="14.4">
      <c r="A84" s="269" t="s">
        <v>228</v>
      </c>
      <c r="B84" s="606" t="s">
        <v>123</v>
      </c>
      <c r="D84" s="992" t="s">
        <v>1443</v>
      </c>
      <c r="E84" s="992"/>
      <c r="F84" s="992"/>
    </row>
    <row r="85" spans="1:7" ht="13.2">
      <c r="D85" s="992"/>
      <c r="E85" s="992"/>
      <c r="F85" s="992"/>
    </row>
    <row r="86" spans="1:7" ht="13.2"/>
    <row r="87" spans="1:7" ht="13.2">
      <c r="A87" s="1015" t="s">
        <v>1378</v>
      </c>
      <c r="B87" s="1015"/>
      <c r="C87" s="1015"/>
      <c r="D87" s="1015"/>
      <c r="E87" s="1015"/>
      <c r="F87" s="1015"/>
      <c r="G87" s="1015"/>
    </row>
    <row r="88" spans="1:7" ht="13.2">
      <c r="E88"/>
      <c r="F88"/>
      <c r="G88"/>
    </row>
    <row r="89" spans="1:7" ht="13.65" customHeight="1">
      <c r="C89" s="587"/>
      <c r="D89" s="1017" t="s">
        <v>1379</v>
      </c>
      <c r="E89" s="1017"/>
      <c r="F89" s="1017"/>
      <c r="G89"/>
    </row>
    <row r="90" spans="1:7" ht="13.65" customHeight="1">
      <c r="A90" s="44"/>
      <c r="B90" s="44"/>
      <c r="D90" s="992" t="s">
        <v>1540</v>
      </c>
      <c r="E90" s="992"/>
      <c r="F90" s="992"/>
      <c r="G90"/>
    </row>
    <row r="91" spans="1:7" ht="13.2">
      <c r="A91" s="44"/>
      <c r="B91" s="44"/>
      <c r="E91"/>
      <c r="F91"/>
      <c r="G91"/>
    </row>
    <row r="92" spans="1:7" ht="14.25" customHeight="1">
      <c r="A92" s="269"/>
      <c r="B92" s="606" t="s">
        <v>1374</v>
      </c>
      <c r="D92" s="983" t="s">
        <v>1845</v>
      </c>
      <c r="E92" s="983"/>
      <c r="F92" s="983"/>
      <c r="G92"/>
    </row>
    <row r="93" spans="1:7" ht="14.4" customHeight="1">
      <c r="A93" s="269"/>
      <c r="D93" s="983"/>
      <c r="E93" s="983"/>
      <c r="F93" s="983"/>
      <c r="G93"/>
    </row>
    <row r="94" spans="1:7" ht="14.4">
      <c r="A94" s="269"/>
      <c r="B94" s="269"/>
      <c r="D94" s="983"/>
      <c r="E94" s="983"/>
      <c r="F94" s="983"/>
      <c r="G94"/>
    </row>
    <row r="95" spans="1:7" ht="14.4">
      <c r="A95" s="269"/>
      <c r="B95" s="269"/>
      <c r="D95" s="983"/>
      <c r="E95" s="983"/>
      <c r="F95" s="983"/>
      <c r="G95"/>
    </row>
    <row r="96" spans="1:7" ht="14.4">
      <c r="A96" s="269"/>
      <c r="B96" s="269"/>
      <c r="D96" s="983"/>
      <c r="E96" s="983"/>
      <c r="F96" s="983"/>
      <c r="G96"/>
    </row>
    <row r="97" spans="1:7" ht="14.4">
      <c r="A97" s="269"/>
      <c r="B97" s="269"/>
      <c r="D97" s="983"/>
      <c r="E97" s="983"/>
      <c r="F97" s="983"/>
      <c r="G97"/>
    </row>
    <row r="98" spans="1:7" ht="14.4">
      <c r="A98" s="269"/>
      <c r="B98" s="269"/>
      <c r="D98" s="983"/>
      <c r="E98" s="983"/>
      <c r="F98" s="983"/>
      <c r="G98"/>
    </row>
    <row r="99" spans="1:7" ht="14.4">
      <c r="A99" s="269"/>
      <c r="B99" s="269"/>
      <c r="D99" s="983"/>
      <c r="E99" s="983"/>
      <c r="F99" s="983"/>
      <c r="G99"/>
    </row>
    <row r="100" spans="1:7" ht="14.4">
      <c r="A100" s="269"/>
      <c r="B100" s="269"/>
      <c r="D100" s="983"/>
      <c r="E100" s="983"/>
      <c r="F100" s="983"/>
      <c r="G100"/>
    </row>
    <row r="101" spans="1:7" ht="14.4" customHeight="1">
      <c r="A101" s="269"/>
      <c r="B101" s="606" t="s">
        <v>123</v>
      </c>
      <c r="D101" s="1011" t="s">
        <v>1846</v>
      </c>
      <c r="E101" s="1011"/>
      <c r="F101" s="1011"/>
      <c r="G101"/>
    </row>
    <row r="102" spans="1:7" ht="14.4">
      <c r="A102" s="269"/>
      <c r="B102" s="269"/>
      <c r="D102" s="1011"/>
      <c r="E102" s="1011"/>
      <c r="F102" s="1011"/>
      <c r="G102"/>
    </row>
    <row r="103" spans="1:7" ht="14.4">
      <c r="A103" s="269"/>
      <c r="B103" s="269"/>
      <c r="D103" s="1011"/>
      <c r="E103" s="1011"/>
      <c r="F103" s="1011"/>
      <c r="G103"/>
    </row>
    <row r="104" spans="1:7" ht="14.4">
      <c r="A104" s="269"/>
      <c r="B104" s="269"/>
      <c r="D104" s="1011"/>
      <c r="E104" s="1011"/>
      <c r="F104" s="1011"/>
      <c r="G104"/>
    </row>
    <row r="105" spans="1:7" ht="14.4">
      <c r="A105" s="269"/>
      <c r="B105" s="269"/>
      <c r="D105" s="1011"/>
      <c r="E105" s="1011"/>
      <c r="F105" s="1011"/>
      <c r="G105"/>
    </row>
    <row r="106" spans="1:7" ht="14.4">
      <c r="A106" s="269"/>
      <c r="B106" s="269"/>
      <c r="D106" s="1011"/>
      <c r="E106" s="1011"/>
      <c r="F106" s="1011"/>
      <c r="G106"/>
    </row>
    <row r="107" spans="1:7" ht="14.4">
      <c r="A107" s="269"/>
      <c r="B107" s="269"/>
      <c r="D107" s="1011"/>
      <c r="E107" s="1011"/>
      <c r="F107" s="1011"/>
      <c r="G107"/>
    </row>
    <row r="108" spans="1:7" ht="14.4">
      <c r="A108" s="269"/>
      <c r="B108" s="269"/>
      <c r="D108" s="1011"/>
      <c r="E108" s="1011"/>
      <c r="F108" s="1011"/>
      <c r="G108"/>
    </row>
    <row r="109" spans="1:7" ht="14.4">
      <c r="A109" s="269"/>
      <c r="B109" s="269"/>
      <c r="D109" s="1011"/>
      <c r="E109" s="1011"/>
      <c r="F109" s="1011"/>
      <c r="G109"/>
    </row>
    <row r="110" spans="1:7" ht="14.4">
      <c r="A110" s="269"/>
      <c r="B110" s="269"/>
      <c r="D110" s="1011"/>
      <c r="E110" s="1011"/>
      <c r="F110" s="1011"/>
      <c r="G110"/>
    </row>
    <row r="111" spans="1:7" ht="14.4">
      <c r="A111" s="269"/>
      <c r="B111" s="269"/>
      <c r="D111" s="1011"/>
      <c r="E111" s="1011"/>
      <c r="F111" s="1011"/>
      <c r="G111"/>
    </row>
    <row r="112" spans="1:7" ht="14.4">
      <c r="A112" s="269"/>
      <c r="B112" s="269"/>
      <c r="D112" s="1011"/>
      <c r="E112" s="1011"/>
      <c r="F112" s="1011"/>
      <c r="G112"/>
    </row>
    <row r="113" spans="1:7" ht="14.4">
      <c r="A113" s="269"/>
      <c r="B113" s="269"/>
      <c r="D113" s="1011"/>
      <c r="E113" s="1011"/>
      <c r="F113" s="1011"/>
      <c r="G113"/>
    </row>
    <row r="114" spans="1:7" ht="14.4">
      <c r="A114" s="269"/>
      <c r="B114" s="606" t="s">
        <v>123</v>
      </c>
      <c r="D114" s="983" t="s">
        <v>1541</v>
      </c>
      <c r="E114" s="992"/>
      <c r="F114" s="992"/>
      <c r="G114"/>
    </row>
    <row r="115" spans="1:7" ht="14.4">
      <c r="A115" s="269"/>
      <c r="B115" s="269"/>
      <c r="D115" s="992"/>
      <c r="E115" s="992"/>
      <c r="F115" s="992"/>
      <c r="G115"/>
    </row>
    <row r="116" spans="1:7" ht="14.4">
      <c r="A116" s="269"/>
      <c r="B116" s="269"/>
      <c r="D116" s="992"/>
      <c r="E116" s="992"/>
      <c r="F116" s="992"/>
      <c r="G116"/>
    </row>
    <row r="117" spans="1:7" ht="14.4">
      <c r="A117" s="269"/>
      <c r="B117" s="269"/>
      <c r="D117" s="992"/>
      <c r="E117" s="992"/>
      <c r="F117" s="992"/>
      <c r="G117"/>
    </row>
    <row r="118" spans="1:7" ht="14.4">
      <c r="A118" s="269"/>
      <c r="B118" s="269"/>
      <c r="D118" s="992"/>
      <c r="E118" s="992"/>
      <c r="F118" s="992"/>
      <c r="G118"/>
    </row>
    <row r="119" spans="1:7" ht="14.4">
      <c r="A119" s="269"/>
      <c r="B119" s="269"/>
      <c r="D119" s="992"/>
      <c r="E119" s="992"/>
      <c r="F119" s="992"/>
      <c r="G119"/>
    </row>
    <row r="120" spans="1:7" ht="14.4">
      <c r="A120" s="269"/>
      <c r="B120" s="269"/>
      <c r="D120" s="992"/>
      <c r="E120" s="992"/>
      <c r="F120" s="992"/>
      <c r="G120"/>
    </row>
    <row r="121" spans="1:7" ht="14.4">
      <c r="A121" s="269"/>
      <c r="B121" s="269"/>
      <c r="D121" s="992"/>
      <c r="E121" s="992"/>
      <c r="F121" s="992"/>
      <c r="G121"/>
    </row>
    <row r="122" spans="1:7" ht="14.4">
      <c r="A122" s="269"/>
      <c r="B122" s="606" t="s">
        <v>123</v>
      </c>
      <c r="D122" s="983" t="s">
        <v>2296</v>
      </c>
      <c r="E122" s="983"/>
      <c r="F122" s="983"/>
      <c r="G122"/>
    </row>
    <row r="123" spans="1:7" ht="14.4">
      <c r="A123" s="269"/>
      <c r="B123" s="269"/>
      <c r="D123" s="983"/>
      <c r="E123" s="983"/>
      <c r="F123" s="983"/>
      <c r="G123"/>
    </row>
    <row r="124" spans="1:7" ht="14.4">
      <c r="A124" s="269"/>
      <c r="B124" s="269"/>
      <c r="D124" s="983"/>
      <c r="E124" s="983"/>
      <c r="F124" s="983"/>
      <c r="G124"/>
    </row>
    <row r="125" spans="1:7" ht="14.4">
      <c r="A125" s="269"/>
      <c r="B125" s="269"/>
      <c r="D125" s="983"/>
      <c r="E125" s="983"/>
      <c r="F125" s="983"/>
      <c r="G125"/>
    </row>
    <row r="126" spans="1:7" ht="14.4">
      <c r="A126" s="269"/>
      <c r="B126" s="269"/>
      <c r="D126" s="983"/>
      <c r="E126" s="983"/>
      <c r="F126" s="983"/>
      <c r="G126"/>
    </row>
    <row r="127" spans="1:7" ht="14.4">
      <c r="A127" s="269"/>
      <c r="B127" s="269"/>
      <c r="D127" s="983"/>
      <c r="E127" s="983"/>
      <c r="F127" s="983"/>
      <c r="G127"/>
    </row>
    <row r="128" spans="1:7" ht="17.25" customHeight="1">
      <c r="A128" s="269"/>
      <c r="B128" s="269"/>
      <c r="D128" s="983"/>
      <c r="E128" s="983"/>
      <c r="F128" s="983"/>
      <c r="G128"/>
    </row>
    <row r="129" spans="1:7" ht="14.4">
      <c r="A129" s="269"/>
      <c r="B129" s="269"/>
      <c r="D129" s="24"/>
      <c r="E129" s="24"/>
      <c r="F129" s="24"/>
      <c r="G129"/>
    </row>
    <row r="130" spans="1:7" ht="12.75" customHeight="1">
      <c r="A130" s="269"/>
      <c r="B130" s="606" t="s">
        <v>1374</v>
      </c>
      <c r="D130" s="983" t="s">
        <v>1542</v>
      </c>
      <c r="E130" s="992"/>
      <c r="F130" s="992"/>
    </row>
    <row r="131" spans="1:7" ht="13.2">
      <c r="D131" s="992"/>
      <c r="E131" s="992"/>
      <c r="F131" s="992"/>
    </row>
    <row r="132" spans="1:7" ht="13.2">
      <c r="D132" s="992"/>
      <c r="E132" s="992"/>
      <c r="F132" s="992"/>
    </row>
    <row r="133" spans="1:7" ht="13.2">
      <c r="D133" s="992"/>
      <c r="E133" s="992"/>
      <c r="F133" s="992"/>
    </row>
    <row r="134" spans="1:7" ht="26.85" customHeight="1">
      <c r="D134" s="992"/>
      <c r="E134" s="992"/>
      <c r="F134" s="992"/>
    </row>
    <row r="135" spans="1:7" ht="13.2"/>
    <row r="136" spans="1:7" ht="14.4">
      <c r="A136" s="269"/>
      <c r="B136" s="606" t="s">
        <v>1374</v>
      </c>
      <c r="D136" s="992" t="s">
        <v>1543</v>
      </c>
      <c r="E136" s="992"/>
      <c r="F136" s="992"/>
    </row>
    <row r="137" spans="1:7" s="321" customFormat="1" ht="13.95" customHeight="1">
      <c r="A137" s="314"/>
      <c r="B137" s="314"/>
      <c r="C137" s="314"/>
      <c r="D137" s="992"/>
      <c r="E137" s="992"/>
      <c r="F137" s="992"/>
      <c r="G137" s="354"/>
    </row>
    <row r="138" spans="1:7" ht="13.95" customHeight="1">
      <c r="D138" s="992"/>
      <c r="E138" s="992"/>
      <c r="F138" s="992"/>
    </row>
    <row r="139" spans="1:7" ht="13.95" customHeight="1">
      <c r="D139" s="992"/>
      <c r="E139" s="992"/>
      <c r="F139" s="992"/>
    </row>
    <row r="140" spans="1:7" ht="13.95" customHeight="1">
      <c r="D140" s="992"/>
      <c r="E140" s="992"/>
      <c r="F140" s="992"/>
    </row>
    <row r="141" spans="1:7" ht="13.95" customHeight="1">
      <c r="D141" s="992"/>
      <c r="E141" s="992"/>
      <c r="F141" s="992"/>
    </row>
    <row r="142" spans="1:7" ht="13.95" customHeight="1">
      <c r="D142" s="992"/>
      <c r="E142" s="992"/>
      <c r="F142" s="992"/>
      <c r="G142"/>
    </row>
    <row r="143" spans="1:7" ht="13.95" customHeight="1">
      <c r="D143" s="992"/>
      <c r="E143" s="992"/>
      <c r="F143" s="992"/>
      <c r="G143"/>
    </row>
    <row r="144" spans="1:7" ht="13.95" customHeight="1">
      <c r="D144" s="992"/>
      <c r="E144" s="992"/>
      <c r="F144" s="992"/>
      <c r="G144"/>
    </row>
    <row r="145" spans="1:7" ht="13.95" customHeight="1">
      <c r="D145" s="992"/>
      <c r="E145" s="992"/>
      <c r="F145" s="992"/>
      <c r="G145"/>
    </row>
    <row r="146" spans="1:7" ht="17.25" customHeight="1">
      <c r="D146" s="992"/>
      <c r="E146" s="992"/>
      <c r="F146" s="992"/>
      <c r="G146"/>
    </row>
    <row r="147" spans="1:7" ht="25.5" hidden="1" customHeight="1">
      <c r="D147" s="992"/>
      <c r="E147" s="992"/>
      <c r="F147" s="992"/>
      <c r="G147"/>
    </row>
    <row r="148" spans="1:7" ht="13.95" customHeight="1">
      <c r="G148"/>
    </row>
    <row r="149" spans="1:7" ht="13.95" customHeight="1">
      <c r="B149" s="606" t="s">
        <v>123</v>
      </c>
      <c r="D149" s="983" t="s">
        <v>2325</v>
      </c>
      <c r="E149" s="992"/>
      <c r="F149" s="992"/>
      <c r="G149"/>
    </row>
    <row r="150" spans="1:7" ht="13.95" customHeight="1">
      <c r="D150" s="992"/>
      <c r="E150" s="992"/>
      <c r="F150" s="992"/>
      <c r="G150"/>
    </row>
    <row r="151" spans="1:7" ht="13.95" customHeight="1">
      <c r="D151" s="992"/>
      <c r="E151" s="992"/>
      <c r="F151" s="992"/>
      <c r="G151"/>
    </row>
    <row r="152" spans="1:7" ht="13.95" customHeight="1">
      <c r="D152" s="992"/>
      <c r="E152" s="992"/>
      <c r="F152" s="992"/>
      <c r="G152"/>
    </row>
    <row r="153" spans="1:7" ht="13.95" customHeight="1">
      <c r="D153" s="992"/>
      <c r="E153" s="992"/>
      <c r="F153" s="992"/>
      <c r="G153"/>
    </row>
    <row r="154" spans="1:7" ht="13.95" hidden="1" customHeight="1">
      <c r="D154" s="992"/>
      <c r="E154" s="992"/>
      <c r="F154" s="992"/>
      <c r="G154"/>
    </row>
    <row r="155" spans="1:7" ht="13.95" hidden="1" customHeight="1">
      <c r="D155" s="992"/>
      <c r="E155" s="992"/>
      <c r="F155" s="992"/>
      <c r="G155"/>
    </row>
    <row r="156" spans="1:7" ht="13.95" customHeight="1">
      <c r="A156" s="18"/>
      <c r="B156" s="18"/>
      <c r="D156" s="992"/>
      <c r="E156" s="992"/>
      <c r="F156" s="992"/>
      <c r="G156"/>
    </row>
    <row r="157" spans="1:7" ht="13.95" customHeight="1">
      <c r="A157" s="18"/>
      <c r="B157" s="18"/>
      <c r="D157" s="992"/>
      <c r="E157" s="992"/>
      <c r="F157" s="992"/>
      <c r="G157"/>
    </row>
    <row r="158" spans="1:7" ht="13.95" customHeight="1">
      <c r="A158" s="18"/>
      <c r="B158" s="18"/>
      <c r="D158" s="992"/>
      <c r="E158" s="992"/>
      <c r="F158" s="992"/>
      <c r="G158"/>
    </row>
    <row r="159" spans="1:7" ht="13.95" customHeight="1">
      <c r="A159" s="18"/>
      <c r="B159" s="18"/>
      <c r="D159" s="992"/>
      <c r="E159" s="992"/>
      <c r="F159" s="992"/>
      <c r="G159"/>
    </row>
    <row r="160" spans="1:7" ht="13.95" customHeight="1">
      <c r="A160" s="18"/>
      <c r="B160" s="18"/>
      <c r="D160" s="992"/>
      <c r="E160" s="992"/>
      <c r="F160" s="992"/>
      <c r="G160"/>
    </row>
    <row r="161" spans="1:7" ht="13.95" customHeight="1">
      <c r="A161" s="18"/>
      <c r="B161" s="18"/>
      <c r="D161" s="992"/>
      <c r="E161" s="992"/>
      <c r="F161" s="992"/>
      <c r="G161"/>
    </row>
    <row r="162" spans="1:7" ht="13.95" customHeight="1">
      <c r="A162" s="18"/>
      <c r="B162" s="18"/>
      <c r="D162" s="992"/>
      <c r="E162" s="992"/>
      <c r="F162" s="992"/>
      <c r="G162"/>
    </row>
    <row r="163" spans="1:7" ht="13.95" customHeight="1">
      <c r="A163" s="18"/>
      <c r="B163" s="18"/>
      <c r="D163" s="992"/>
      <c r="E163" s="992"/>
      <c r="F163" s="992"/>
      <c r="G163"/>
    </row>
    <row r="164" spans="1:7" ht="13.95" customHeight="1">
      <c r="A164" s="18"/>
      <c r="B164" s="18"/>
      <c r="D164" s="1049" t="s">
        <v>1722</v>
      </c>
      <c r="E164" s="1049"/>
      <c r="F164" s="1049"/>
      <c r="G164"/>
    </row>
    <row r="165" spans="1:7" ht="13.95" customHeight="1">
      <c r="A165" s="18"/>
      <c r="B165" s="18"/>
      <c r="D165" s="44"/>
      <c r="G165"/>
    </row>
    <row r="166" spans="1:7" ht="13.95" customHeight="1">
      <c r="A166" s="269"/>
      <c r="B166" s="606" t="s">
        <v>1374</v>
      </c>
      <c r="D166" s="1011" t="s">
        <v>2277</v>
      </c>
      <c r="E166" s="1051"/>
      <c r="F166" s="1051"/>
      <c r="G166"/>
    </row>
    <row r="167" spans="1:7" ht="13.95" customHeight="1">
      <c r="A167" s="269"/>
      <c r="B167" s="18"/>
      <c r="D167" s="1011"/>
      <c r="E167" s="1051"/>
      <c r="F167" s="1051"/>
      <c r="G167"/>
    </row>
    <row r="168" spans="1:7" ht="13.95" customHeight="1">
      <c r="A168" s="269"/>
      <c r="B168" s="18"/>
      <c r="D168" s="1051"/>
      <c r="E168" s="1051"/>
      <c r="F168" s="1051"/>
      <c r="G168"/>
    </row>
    <row r="169" spans="1:7" ht="13.95" customHeight="1">
      <c r="A169" s="269"/>
      <c r="B169" s="18"/>
      <c r="D169" s="1051"/>
      <c r="E169" s="1051"/>
      <c r="F169" s="1051"/>
      <c r="G169"/>
    </row>
    <row r="170" spans="1:7" ht="13.95" customHeight="1">
      <c r="A170" s="18"/>
      <c r="B170" s="18"/>
      <c r="D170" s="1051"/>
      <c r="E170" s="1051"/>
      <c r="F170" s="1051"/>
      <c r="G170"/>
    </row>
    <row r="171" spans="1:7" ht="13.95" customHeight="1">
      <c r="A171" s="18"/>
      <c r="B171" s="18"/>
      <c r="D171" s="44"/>
      <c r="G171"/>
    </row>
    <row r="172" spans="1:7" ht="13.95" customHeight="1">
      <c r="A172" s="269"/>
      <c r="B172" s="606" t="s">
        <v>1374</v>
      </c>
      <c r="D172" s="1051" t="s">
        <v>1544</v>
      </c>
      <c r="E172" s="1051"/>
      <c r="F172" s="1051"/>
      <c r="G172"/>
    </row>
    <row r="173" spans="1:7" ht="13.95" customHeight="1">
      <c r="A173" s="18"/>
      <c r="B173" s="18"/>
      <c r="D173" s="1051"/>
      <c r="E173" s="1051"/>
      <c r="F173" s="1051"/>
    </row>
    <row r="174" spans="1:7" ht="13.95" customHeight="1">
      <c r="A174" s="18"/>
      <c r="B174" s="18"/>
      <c r="D174" s="1051"/>
      <c r="E174" s="1051"/>
      <c r="F174" s="1051"/>
    </row>
    <row r="175" spans="1:7" ht="13.95" customHeight="1">
      <c r="A175" s="18"/>
      <c r="B175" s="18"/>
      <c r="D175" s="1051"/>
      <c r="E175" s="1051"/>
      <c r="F175" s="1051"/>
    </row>
    <row r="176" spans="1:7" ht="13.95" customHeight="1">
      <c r="A176" s="18"/>
      <c r="B176" s="18"/>
      <c r="D176" s="44"/>
    </row>
    <row r="177" spans="1:7" ht="13.95" customHeight="1">
      <c r="A177" s="367"/>
      <c r="B177" s="606" t="s">
        <v>123</v>
      </c>
      <c r="C177" s="367"/>
      <c r="D177" s="1047" t="s">
        <v>2122</v>
      </c>
      <c r="E177" s="1047"/>
      <c r="F177" s="1047"/>
      <c r="G177" s="358"/>
    </row>
    <row r="178" spans="1:7" ht="13.95" customHeight="1">
      <c r="A178" s="367"/>
      <c r="B178" s="367"/>
      <c r="C178" s="367"/>
      <c r="D178" s="1047"/>
      <c r="E178" s="1047"/>
      <c r="F178" s="1047"/>
      <c r="G178" s="358"/>
    </row>
    <row r="179" spans="1:7" ht="13.95" customHeight="1">
      <c r="A179" s="367"/>
      <c r="B179" s="367"/>
      <c r="C179" s="367"/>
      <c r="D179" s="1047"/>
      <c r="E179" s="1047"/>
      <c r="F179" s="1047"/>
      <c r="G179" s="358"/>
    </row>
    <row r="180" spans="1:7" ht="13.2">
      <c r="A180" s="367"/>
      <c r="B180" s="367"/>
      <c r="C180" s="367"/>
      <c r="D180" s="369"/>
      <c r="E180" s="358"/>
      <c r="F180" s="358"/>
      <c r="G180" s="358"/>
    </row>
    <row r="181" spans="1:7" ht="13.2">
      <c r="A181" s="1015" t="s">
        <v>1381</v>
      </c>
      <c r="B181" s="1015"/>
      <c r="C181" s="1015"/>
      <c r="D181" s="1015"/>
      <c r="E181" s="1015"/>
      <c r="F181" s="1015"/>
      <c r="G181" s="1015"/>
    </row>
    <row r="182" spans="1:7" ht="13.2">
      <c r="D182" s="44"/>
    </row>
    <row r="183" spans="1:7" ht="13.2">
      <c r="C183" s="587"/>
      <c r="D183" s="1024" t="s">
        <v>1380</v>
      </c>
      <c r="E183" s="1024"/>
      <c r="F183" s="1024"/>
    </row>
    <row r="184" spans="1:7" ht="13.2">
      <c r="A184" s="188"/>
      <c r="B184" s="188"/>
      <c r="C184" s="188"/>
      <c r="D184" s="1048" t="s">
        <v>1413</v>
      </c>
      <c r="E184" s="1048"/>
      <c r="F184" s="1048"/>
    </row>
    <row r="185" spans="1:7" ht="13.2">
      <c r="A185" s="189"/>
      <c r="B185" s="189"/>
      <c r="C185" s="189"/>
    </row>
    <row r="186" spans="1:7" ht="14.4">
      <c r="A186" s="269"/>
      <c r="B186" s="606" t="s">
        <v>1374</v>
      </c>
      <c r="D186" s="1013" t="s">
        <v>1724</v>
      </c>
      <c r="E186" s="1014"/>
      <c r="F186" s="1014"/>
    </row>
    <row r="187" spans="1:7" ht="14.4">
      <c r="A187" s="269"/>
      <c r="D187" s="310"/>
      <c r="E187" s="100"/>
      <c r="F187" s="100"/>
    </row>
    <row r="188" spans="1:7" ht="14.4">
      <c r="A188" s="269"/>
      <c r="B188" s="606" t="s">
        <v>123</v>
      </c>
      <c r="D188" s="1014" t="s">
        <v>1545</v>
      </c>
      <c r="E188" s="1014"/>
      <c r="F188" s="1014"/>
    </row>
    <row r="189" spans="1:7" ht="14.4">
      <c r="A189" s="269"/>
      <c r="D189" s="100"/>
      <c r="E189" s="100"/>
      <c r="F189" s="100"/>
    </row>
    <row r="190" spans="1:7" ht="14.4">
      <c r="A190" s="269"/>
      <c r="B190" s="606" t="s">
        <v>123</v>
      </c>
      <c r="D190" s="1050" t="s">
        <v>1798</v>
      </c>
      <c r="E190" s="1050"/>
      <c r="F190" s="1050"/>
    </row>
    <row r="191" spans="1:7" ht="13.65" customHeight="1">
      <c r="A191" s="269"/>
      <c r="D191" s="41" t="s">
        <v>899</v>
      </c>
      <c r="E191" s="983" t="s">
        <v>2117</v>
      </c>
      <c r="F191" s="983"/>
    </row>
    <row r="192" spans="1:7" ht="14.4">
      <c r="A192" s="269"/>
      <c r="D192" s="773"/>
      <c r="E192" s="983"/>
      <c r="F192" s="983"/>
    </row>
    <row r="193" spans="1:6" ht="14.4">
      <c r="A193" s="269"/>
      <c r="D193" s="773"/>
      <c r="E193" s="983"/>
      <c r="F193" s="983"/>
    </row>
    <row r="194" spans="1:6" ht="14.4">
      <c r="A194" s="269"/>
      <c r="D194"/>
      <c r="E194" s="983"/>
      <c r="F194" s="983"/>
    </row>
    <row r="195" spans="1:6" ht="13.65" customHeight="1">
      <c r="A195" s="269"/>
      <c r="D195" s="773" t="s">
        <v>900</v>
      </c>
      <c r="E195" s="983" t="s">
        <v>1799</v>
      </c>
      <c r="F195" s="983"/>
    </row>
    <row r="196" spans="1:6" ht="13.65" customHeight="1">
      <c r="A196" s="269"/>
      <c r="D196" s="773"/>
      <c r="E196" s="983"/>
      <c r="F196" s="983"/>
    </row>
    <row r="197" spans="1:6" ht="13.65" customHeight="1">
      <c r="A197" s="269"/>
      <c r="D197" s="773"/>
      <c r="E197" s="983"/>
      <c r="F197" s="983"/>
    </row>
    <row r="198" spans="1:6" ht="13.65" customHeight="1">
      <c r="A198" s="269"/>
      <c r="D198" s="773"/>
      <c r="E198" s="983"/>
      <c r="F198" s="983"/>
    </row>
    <row r="199" spans="1:6" ht="13.65" customHeight="1">
      <c r="A199" s="269"/>
      <c r="D199" s="773"/>
      <c r="E199" s="983"/>
      <c r="F199" s="983"/>
    </row>
    <row r="200" spans="1:6" ht="14.4">
      <c r="A200" s="269"/>
      <c r="D200"/>
      <c r="E200" s="983"/>
      <c r="F200" s="983"/>
    </row>
    <row r="201" spans="1:6" ht="14.4">
      <c r="A201" s="269"/>
      <c r="D201"/>
      <c r="E201" s="983"/>
      <c r="F201" s="983"/>
    </row>
    <row r="202" spans="1:6" ht="13.2"/>
    <row r="203" spans="1:6" ht="14.4">
      <c r="A203" s="269"/>
      <c r="B203" s="606" t="s">
        <v>123</v>
      </c>
      <c r="D203" s="983" t="s">
        <v>2278</v>
      </c>
      <c r="E203" s="992"/>
      <c r="F203" s="992"/>
    </row>
    <row r="204" spans="1:6" ht="14.4">
      <c r="A204" s="269"/>
      <c r="B204" s="269"/>
      <c r="D204" s="992"/>
      <c r="E204" s="992"/>
      <c r="F204" s="992"/>
    </row>
    <row r="205" spans="1:6" ht="14.4">
      <c r="A205" s="269"/>
      <c r="B205" s="269"/>
      <c r="D205" s="992"/>
      <c r="E205" s="992"/>
      <c r="F205" s="992"/>
    </row>
    <row r="206" spans="1:6" ht="14.4">
      <c r="A206" s="269"/>
      <c r="B206" s="269"/>
      <c r="D206" s="992"/>
      <c r="E206" s="992"/>
      <c r="F206" s="992"/>
    </row>
    <row r="207" spans="1:6" ht="13.2">
      <c r="D207" s="1049" t="s">
        <v>2319</v>
      </c>
      <c r="E207" s="1049"/>
      <c r="F207" s="1049"/>
    </row>
    <row r="208" spans="1:6" ht="13.2">
      <c r="D208" s="622"/>
      <c r="E208" s="622"/>
      <c r="F208" s="622"/>
    </row>
    <row r="209" spans="1:7" ht="14.4">
      <c r="A209" s="269"/>
      <c r="B209" s="606" t="s">
        <v>123</v>
      </c>
      <c r="D209" s="1009" t="s">
        <v>2279</v>
      </c>
      <c r="E209" s="1010"/>
      <c r="F209" s="1010"/>
    </row>
    <row r="210" spans="1:7" ht="13.2"/>
    <row r="211" spans="1:7" ht="13.2">
      <c r="A211" s="1015" t="s">
        <v>1383</v>
      </c>
      <c r="B211" s="1015"/>
      <c r="C211" s="1015"/>
      <c r="D211" s="1015"/>
      <c r="E211" s="1015"/>
      <c r="F211" s="1015"/>
      <c r="G211" s="1015"/>
    </row>
    <row r="212" spans="1:7" ht="13.2"/>
    <row r="213" spans="1:7" ht="13.2">
      <c r="C213" s="588"/>
      <c r="D213" s="1024" t="s">
        <v>1382</v>
      </c>
      <c r="E213" s="1024"/>
      <c r="F213" s="1024"/>
    </row>
    <row r="214" spans="1:7" ht="13.2">
      <c r="A214" s="589"/>
      <c r="B214" s="589"/>
      <c r="C214" s="588"/>
      <c r="D214" s="1024" t="s">
        <v>696</v>
      </c>
      <c r="E214" s="1024"/>
      <c r="F214" s="1024"/>
    </row>
    <row r="215" spans="1:7" ht="13.2">
      <c r="A215" s="188"/>
      <c r="B215" s="188"/>
      <c r="C215" s="188"/>
      <c r="D215" s="1014" t="s">
        <v>1414</v>
      </c>
      <c r="E215" s="1014"/>
      <c r="F215" s="1014"/>
    </row>
    <row r="216" spans="1:7" ht="13.2">
      <c r="A216" s="188"/>
      <c r="B216" s="188"/>
      <c r="C216" s="188"/>
    </row>
    <row r="217" spans="1:7" ht="13.2">
      <c r="A217" s="188"/>
      <c r="B217" s="188"/>
      <c r="C217" s="188"/>
      <c r="D217" s="992" t="s">
        <v>1424</v>
      </c>
      <c r="E217" s="992"/>
      <c r="F217" s="992"/>
    </row>
    <row r="218" spans="1:7" ht="13.2">
      <c r="A218" s="188"/>
      <c r="B218" s="188"/>
      <c r="C218" s="188"/>
      <c r="D218" s="992"/>
      <c r="E218" s="992"/>
      <c r="F218" s="992"/>
    </row>
    <row r="219" spans="1:7" ht="13.2">
      <c r="A219" s="188"/>
      <c r="B219" s="188"/>
      <c r="C219" s="188"/>
      <c r="D219" s="992"/>
      <c r="E219" s="992"/>
      <c r="F219" s="992"/>
    </row>
    <row r="220" spans="1:7" ht="13.2">
      <c r="A220" s="188"/>
      <c r="B220" s="188"/>
      <c r="C220" s="188"/>
      <c r="D220" s="992"/>
      <c r="E220" s="992"/>
      <c r="F220" s="992"/>
    </row>
    <row r="221" spans="1:7" ht="13.2">
      <c r="A221" s="188"/>
      <c r="B221" s="188"/>
      <c r="C221" s="188"/>
    </row>
    <row r="222" spans="1:7" ht="13.2">
      <c r="A222" s="188"/>
      <c r="B222" s="188"/>
      <c r="C222" s="188"/>
      <c r="D222" s="983" t="s">
        <v>2123</v>
      </c>
      <c r="E222" s="992"/>
      <c r="F222" s="992"/>
    </row>
    <row r="223" spans="1:7" ht="13.2">
      <c r="A223" s="188"/>
      <c r="B223" s="188"/>
      <c r="C223" s="188"/>
      <c r="D223" s="992"/>
      <c r="E223" s="992"/>
      <c r="F223" s="992"/>
    </row>
    <row r="224" spans="1:7" ht="13.2">
      <c r="A224" s="188"/>
      <c r="B224" s="188"/>
      <c r="C224" s="188"/>
      <c r="D224" s="992"/>
      <c r="E224" s="992"/>
      <c r="F224" s="992"/>
    </row>
    <row r="225" spans="1:6" ht="13.2">
      <c r="A225" s="188"/>
      <c r="B225" s="188"/>
      <c r="C225" s="188"/>
      <c r="D225" s="992"/>
      <c r="E225" s="992"/>
      <c r="F225" s="992"/>
    </row>
    <row r="226" spans="1:6" ht="13.2">
      <c r="A226" s="188"/>
      <c r="B226" s="188"/>
      <c r="C226" s="188"/>
      <c r="D226" s="992"/>
      <c r="E226" s="992"/>
      <c r="F226" s="992"/>
    </row>
    <row r="227" spans="1:6" ht="13.2">
      <c r="A227" s="188"/>
      <c r="B227" s="188"/>
      <c r="C227" s="188"/>
      <c r="D227" s="992"/>
      <c r="E227" s="992"/>
      <c r="F227" s="992"/>
    </row>
    <row r="228" spans="1:6" ht="13.2">
      <c r="A228" s="189"/>
      <c r="B228" s="189"/>
      <c r="C228" s="189"/>
    </row>
    <row r="229" spans="1:6" ht="14.4" customHeight="1">
      <c r="A229" s="269"/>
      <c r="B229" s="606" t="s">
        <v>123</v>
      </c>
      <c r="C229" s="189"/>
      <c r="D229" s="1010" t="s">
        <v>291</v>
      </c>
      <c r="E229" s="1010"/>
      <c r="F229" s="1010"/>
    </row>
    <row r="230" spans="1:6" ht="14.4">
      <c r="A230" s="269"/>
      <c r="C230" s="189"/>
      <c r="D230" s="1014" t="s">
        <v>1110</v>
      </c>
      <c r="E230" s="1014"/>
      <c r="F230" s="1014"/>
    </row>
    <row r="231" spans="1:6" ht="14.4">
      <c r="A231" s="269"/>
      <c r="B231" s="269"/>
      <c r="C231" s="189"/>
      <c r="D231" s="102" t="s">
        <v>1428</v>
      </c>
      <c r="E231" s="1022" t="s">
        <v>2054</v>
      </c>
      <c r="F231" s="1022"/>
    </row>
    <row r="232" spans="1:6" ht="13.2">
      <c r="D232" s="1013" t="s">
        <v>1407</v>
      </c>
      <c r="E232" s="1014"/>
      <c r="F232" s="1014"/>
    </row>
    <row r="233" spans="1:6" ht="13.2"/>
    <row r="234" spans="1:6" ht="13.2">
      <c r="B234" s="606" t="s">
        <v>123</v>
      </c>
      <c r="D234" s="989" t="s">
        <v>2306</v>
      </c>
      <c r="E234" s="990"/>
      <c r="F234" s="990"/>
    </row>
    <row r="235" spans="1:6" ht="13.2">
      <c r="D235" s="990"/>
      <c r="E235" s="990"/>
      <c r="F235" s="990"/>
    </row>
    <row r="236" spans="1:6" ht="13.2">
      <c r="D236" s="990"/>
      <c r="E236" s="990"/>
      <c r="F236" s="990"/>
    </row>
    <row r="237" spans="1:6" ht="13.2">
      <c r="D237" s="990"/>
      <c r="E237" s="990"/>
      <c r="F237" s="990"/>
    </row>
    <row r="238" spans="1:6" ht="13.2"/>
    <row r="239" spans="1:6" ht="14.4">
      <c r="A239" s="269"/>
      <c r="B239" s="606" t="s">
        <v>123</v>
      </c>
      <c r="D239" s="1014" t="s">
        <v>292</v>
      </c>
      <c r="E239" s="1014"/>
      <c r="F239" s="1014"/>
    </row>
    <row r="240" spans="1:6" ht="14.4">
      <c r="A240" s="269"/>
      <c r="D240" s="1010" t="s">
        <v>1110</v>
      </c>
      <c r="E240" s="1010"/>
      <c r="F240" s="1010"/>
    </row>
    <row r="241" spans="1:6" ht="14.4">
      <c r="A241" s="269"/>
      <c r="B241" s="269"/>
      <c r="D241" s="63" t="s">
        <v>1429</v>
      </c>
      <c r="E241" s="1022" t="s">
        <v>2055</v>
      </c>
      <c r="F241" s="1022"/>
    </row>
    <row r="242" spans="1:6" ht="13.2">
      <c r="D242" s="1014" t="s">
        <v>1408</v>
      </c>
      <c r="E242" s="1014"/>
      <c r="F242" s="1014"/>
    </row>
    <row r="243" spans="1:6" ht="13.2"/>
    <row r="244" spans="1:6" ht="14.4">
      <c r="A244" s="269"/>
      <c r="B244" s="606" t="s">
        <v>1374</v>
      </c>
      <c r="D244" s="1014" t="s">
        <v>640</v>
      </c>
      <c r="E244" s="1014"/>
      <c r="F244" s="1014"/>
    </row>
    <row r="245" spans="1:6" ht="14.4">
      <c r="A245" s="269"/>
      <c r="D245" s="44" t="s">
        <v>1110</v>
      </c>
    </row>
    <row r="246" spans="1:6" ht="14.4">
      <c r="A246" s="269"/>
      <c r="B246" s="269"/>
      <c r="D246" s="63" t="s">
        <v>1428</v>
      </c>
      <c r="E246" s="1022" t="s">
        <v>2056</v>
      </c>
      <c r="F246" s="1022"/>
    </row>
    <row r="247" spans="1:6" ht="14.4">
      <c r="A247" s="269"/>
      <c r="B247" s="269"/>
      <c r="D247" s="992" t="s">
        <v>1430</v>
      </c>
      <c r="E247" s="992"/>
      <c r="F247" s="992"/>
    </row>
    <row r="248" spans="1:6" ht="13.2">
      <c r="D248" s="992"/>
      <c r="E248" s="992"/>
      <c r="F248" s="992"/>
    </row>
    <row r="249" spans="1:6" ht="13.2">
      <c r="D249" s="992"/>
      <c r="E249" s="992"/>
      <c r="F249" s="992"/>
    </row>
    <row r="250" spans="1:6" ht="13.2">
      <c r="D250" s="992"/>
      <c r="E250" s="992"/>
      <c r="F250" s="992"/>
    </row>
    <row r="251" spans="1:6" ht="13.2">
      <c r="D251" s="992"/>
      <c r="E251" s="992"/>
      <c r="F251" s="992"/>
    </row>
    <row r="252" spans="1:6" ht="13.2">
      <c r="D252" s="992" t="s">
        <v>1409</v>
      </c>
      <c r="E252" s="992"/>
      <c r="F252" s="992"/>
    </row>
    <row r="253" spans="1:6" ht="13.2">
      <c r="D253" s="44"/>
    </row>
    <row r="254" spans="1:6" ht="14.4">
      <c r="A254" s="269"/>
      <c r="B254" s="606" t="s">
        <v>123</v>
      </c>
      <c r="D254" s="1014" t="s">
        <v>641</v>
      </c>
      <c r="E254" s="1014"/>
      <c r="F254" s="1014"/>
    </row>
    <row r="255" spans="1:6" ht="14.4">
      <c r="A255" s="269"/>
      <c r="D255" s="1014" t="s">
        <v>1110</v>
      </c>
      <c r="E255" s="1014"/>
      <c r="F255" s="1014"/>
    </row>
    <row r="256" spans="1:6" ht="14.4">
      <c r="A256" s="269"/>
      <c r="B256" s="269"/>
      <c r="D256" s="63" t="s">
        <v>1428</v>
      </c>
      <c r="E256" s="1022" t="s">
        <v>2057</v>
      </c>
      <c r="F256" s="1022"/>
    </row>
    <row r="257" spans="1:7" ht="13.2">
      <c r="D257" s="1013" t="s">
        <v>1918</v>
      </c>
      <c r="E257" s="1014"/>
      <c r="F257" s="1014"/>
    </row>
    <row r="258" spans="1:7" ht="13.2">
      <c r="D258" s="100"/>
      <c r="E258" s="100"/>
      <c r="F258" s="100"/>
    </row>
    <row r="259" spans="1:7" ht="14.4">
      <c r="A259" s="269"/>
      <c r="B259" s="606" t="s">
        <v>123</v>
      </c>
      <c r="D259" s="1013" t="s">
        <v>1917</v>
      </c>
      <c r="E259" s="1014"/>
      <c r="F259" s="1014"/>
    </row>
    <row r="260" spans="1:7" ht="14.4">
      <c r="A260" s="269"/>
      <c r="D260" s="1014" t="s">
        <v>1110</v>
      </c>
      <c r="E260" s="1014"/>
      <c r="F260" s="1014"/>
    </row>
    <row r="261" spans="1:7" ht="14.4">
      <c r="A261" s="269"/>
      <c r="B261" s="269"/>
      <c r="D261" s="63" t="s">
        <v>1428</v>
      </c>
      <c r="E261" s="1022" t="s">
        <v>2058</v>
      </c>
      <c r="F261" s="1022"/>
    </row>
    <row r="262" spans="1:7" ht="13.2">
      <c r="D262" s="1013" t="s">
        <v>1919</v>
      </c>
      <c r="E262" s="1014"/>
      <c r="F262" s="1014"/>
    </row>
    <row r="263" spans="1:7" ht="13.2">
      <c r="D263" s="44"/>
    </row>
    <row r="264" spans="1:7" ht="14.4">
      <c r="A264" s="269"/>
      <c r="B264" s="606" t="s">
        <v>123</v>
      </c>
      <c r="D264" s="100" t="s">
        <v>1450</v>
      </c>
      <c r="E264" s="100"/>
      <c r="F264" s="100"/>
    </row>
    <row r="265" spans="1:7" ht="14.4">
      <c r="A265" s="269"/>
      <c r="B265"/>
      <c r="D265" s="983" t="s">
        <v>2302</v>
      </c>
      <c r="E265" s="992"/>
      <c r="F265" s="992"/>
    </row>
    <row r="266" spans="1:7" ht="14.4">
      <c r="A266" s="269"/>
      <c r="D266" s="992"/>
      <c r="E266" s="992"/>
      <c r="F266" s="992"/>
    </row>
    <row r="267" spans="1:7" ht="14.4">
      <c r="A267" s="269"/>
      <c r="D267" s="992"/>
      <c r="E267" s="992"/>
      <c r="F267" s="992"/>
    </row>
    <row r="268" spans="1:7" ht="14.4">
      <c r="A268" s="269"/>
      <c r="D268" s="24"/>
      <c r="E268" s="24"/>
      <c r="F268" s="24"/>
    </row>
    <row r="269" spans="1:7" ht="14.4">
      <c r="A269" s="269"/>
      <c r="B269" s="606" t="s">
        <v>123</v>
      </c>
      <c r="D269" s="1014" t="s">
        <v>1021</v>
      </c>
      <c r="E269" s="1014"/>
      <c r="F269" s="1014"/>
    </row>
    <row r="270" spans="1:7" ht="14.4">
      <c r="A270" s="269"/>
      <c r="D270" s="100"/>
      <c r="E270" s="100"/>
      <c r="F270" s="100"/>
    </row>
    <row r="271" spans="1:7" ht="13.2">
      <c r="A271" s="1015" t="s">
        <v>1385</v>
      </c>
      <c r="B271" s="1015"/>
      <c r="C271" s="1015"/>
      <c r="D271" s="1015"/>
      <c r="E271" s="1015"/>
      <c r="F271" s="1015"/>
      <c r="G271" s="1015"/>
    </row>
    <row r="272" spans="1:7" ht="13.2">
      <c r="D272" s="44"/>
    </row>
    <row r="273" spans="1:7" ht="13.2">
      <c r="C273" s="587"/>
      <c r="D273" s="1016" t="s">
        <v>1384</v>
      </c>
      <c r="E273" s="1016"/>
      <c r="F273" s="1016"/>
    </row>
    <row r="274" spans="1:7" ht="13.2">
      <c r="A274" s="188"/>
      <c r="B274" s="188"/>
      <c r="C274" s="188"/>
      <c r="D274" s="1010" t="s">
        <v>1415</v>
      </c>
      <c r="E274" s="1010"/>
      <c r="F274" s="1010"/>
    </row>
    <row r="275" spans="1:7" ht="13.2">
      <c r="A275" s="18"/>
      <c r="B275" s="18"/>
      <c r="C275" s="18"/>
      <c r="D275" s="3"/>
    </row>
    <row r="276" spans="1:7" ht="13.2">
      <c r="A276" s="18"/>
      <c r="C276" s="18"/>
      <c r="D276" s="1016" t="s">
        <v>208</v>
      </c>
      <c r="E276" s="1016"/>
      <c r="F276" s="1016"/>
      <c r="G276"/>
    </row>
    <row r="277" spans="1:7" ht="14.4" customHeight="1">
      <c r="A277" s="269"/>
      <c r="B277" s="606" t="s">
        <v>1374</v>
      </c>
      <c r="C277" s="876"/>
      <c r="D277" s="1025" t="s">
        <v>1994</v>
      </c>
      <c r="E277" s="1025"/>
      <c r="F277" s="1025"/>
      <c r="G277"/>
    </row>
    <row r="278" spans="1:7" ht="14.4">
      <c r="A278" s="269"/>
      <c r="B278" s="877"/>
      <c r="C278" s="876"/>
      <c r="D278" s="1025"/>
      <c r="E278" s="1025"/>
      <c r="F278" s="1025"/>
      <c r="G278"/>
    </row>
    <row r="279" spans="1:7" ht="14.4">
      <c r="A279" s="269"/>
      <c r="B279" s="877"/>
      <c r="C279" s="876"/>
      <c r="D279" s="1025"/>
      <c r="E279" s="1025"/>
      <c r="F279" s="1025"/>
      <c r="G279"/>
    </row>
    <row r="280" spans="1:7" ht="14.4" customHeight="1">
      <c r="A280" s="269"/>
      <c r="B280" s="877"/>
      <c r="C280" s="876"/>
      <c r="D280" s="1025"/>
      <c r="E280" s="1025"/>
      <c r="F280" s="1025"/>
      <c r="G280"/>
    </row>
    <row r="281" spans="1:7" ht="14.4">
      <c r="A281" s="269"/>
      <c r="B281" s="877"/>
      <c r="C281" s="876"/>
      <c r="D281" s="878"/>
      <c r="E281" s="878"/>
      <c r="F281" s="878"/>
      <c r="G281"/>
    </row>
    <row r="282" spans="1:7" ht="14.4">
      <c r="A282" s="269"/>
      <c r="B282" s="606" t="s">
        <v>1374</v>
      </c>
      <c r="C282" s="876"/>
      <c r="D282" s="1025" t="s">
        <v>1995</v>
      </c>
      <c r="E282" s="1025"/>
      <c r="F282" s="1025"/>
      <c r="G282"/>
    </row>
    <row r="283" spans="1:7" ht="14.4">
      <c r="A283" s="269"/>
      <c r="B283" s="877"/>
      <c r="C283" s="876"/>
      <c r="D283" s="1025"/>
      <c r="E283" s="1025"/>
      <c r="F283" s="1025"/>
      <c r="G283"/>
    </row>
    <row r="284" spans="1:7" ht="14.4">
      <c r="A284" s="269"/>
      <c r="B284" s="877"/>
      <c r="C284" s="876"/>
      <c r="D284" s="1025"/>
      <c r="E284" s="1025"/>
      <c r="F284" s="1025"/>
      <c r="G284"/>
    </row>
    <row r="285" spans="1:7" ht="14.4">
      <c r="A285" s="269"/>
      <c r="B285" s="877"/>
      <c r="C285" s="876"/>
      <c r="D285" s="1025"/>
      <c r="E285" s="1025"/>
      <c r="F285" s="1025"/>
      <c r="G285"/>
    </row>
    <row r="286" spans="1:7" ht="14.4">
      <c r="A286" s="269"/>
      <c r="B286" s="877"/>
      <c r="C286" s="876"/>
      <c r="D286" s="1025"/>
      <c r="E286" s="1025"/>
      <c r="F286" s="1025"/>
      <c r="G286"/>
    </row>
    <row r="287" spans="1:7" ht="14.4">
      <c r="A287" s="269"/>
      <c r="B287" s="877"/>
      <c r="C287" s="876"/>
      <c r="D287" s="878"/>
      <c r="E287" s="878"/>
      <c r="F287" s="878"/>
      <c r="G287"/>
    </row>
    <row r="288" spans="1:7" ht="14.4">
      <c r="A288" s="269"/>
      <c r="B288" s="877"/>
      <c r="C288" s="876"/>
      <c r="D288" s="1025" t="s">
        <v>1554</v>
      </c>
      <c r="E288" s="1025"/>
      <c r="F288" s="1025"/>
      <c r="G288"/>
    </row>
    <row r="289" spans="1:7" ht="14.4">
      <c r="A289" s="269"/>
      <c r="B289" s="877"/>
      <c r="C289" s="876"/>
      <c r="D289" s="1025"/>
      <c r="E289" s="1025"/>
      <c r="F289" s="1025"/>
      <c r="G289"/>
    </row>
    <row r="290" spans="1:7" ht="14.4">
      <c r="A290" s="269"/>
      <c r="B290" s="877"/>
      <c r="C290" s="876"/>
      <c r="D290" s="1025"/>
      <c r="E290" s="1025"/>
      <c r="F290" s="1025"/>
      <c r="G290"/>
    </row>
    <row r="291" spans="1:7" ht="14.4">
      <c r="A291" s="269"/>
      <c r="B291" s="877"/>
      <c r="C291" s="876"/>
      <c r="D291" s="1025"/>
      <c r="E291" s="1025"/>
      <c r="F291" s="1025"/>
      <c r="G291"/>
    </row>
    <row r="292" spans="1:7" ht="14.4">
      <c r="A292" s="269"/>
      <c r="B292" s="877"/>
      <c r="C292" s="876"/>
      <c r="D292" s="1025"/>
      <c r="E292" s="1025"/>
      <c r="F292" s="1025"/>
      <c r="G292"/>
    </row>
    <row r="293" spans="1:7" ht="14.4">
      <c r="A293" s="269"/>
      <c r="B293" s="269"/>
      <c r="D293" s="207"/>
      <c r="E293" s="207"/>
      <c r="F293" s="207"/>
      <c r="G293"/>
    </row>
    <row r="294" spans="1:7" s="445" customFormat="1" ht="14.4" customHeight="1">
      <c r="A294" s="287"/>
      <c r="B294" s="606" t="s">
        <v>123</v>
      </c>
      <c r="C294" s="795"/>
      <c r="D294" s="1023" t="s">
        <v>1912</v>
      </c>
      <c r="E294" s="1023"/>
      <c r="F294" s="1023"/>
      <c r="G294" s="796"/>
    </row>
    <row r="295" spans="1:7" s="445" customFormat="1" ht="14.4">
      <c r="A295" s="287"/>
      <c r="B295" s="795"/>
      <c r="C295" s="795"/>
      <c r="D295" s="1023"/>
      <c r="E295" s="1023"/>
      <c r="F295" s="1023"/>
      <c r="G295" s="796"/>
    </row>
    <row r="296" spans="1:7" s="445" customFormat="1" ht="14.4">
      <c r="A296" s="287"/>
      <c r="B296" s="795"/>
      <c r="C296" s="795"/>
      <c r="D296" s="1023"/>
      <c r="E296" s="1023"/>
      <c r="F296" s="1023"/>
      <c r="G296" s="796"/>
    </row>
    <row r="297" spans="1:7" s="445" customFormat="1" ht="13.2">
      <c r="A297" s="795"/>
      <c r="B297" s="795"/>
      <c r="C297" s="795"/>
      <c r="D297" s="921"/>
      <c r="E297" s="922" t="s">
        <v>2059</v>
      </c>
      <c r="F297" s="921"/>
      <c r="G297" s="796"/>
    </row>
    <row r="298" spans="1:7" ht="14.4">
      <c r="A298" s="269"/>
      <c r="B298" s="269"/>
      <c r="D298" s="44"/>
      <c r="E298"/>
      <c r="F298"/>
      <c r="G298"/>
    </row>
    <row r="299" spans="1:7" ht="14.4">
      <c r="A299" s="269"/>
      <c r="B299" s="606" t="s">
        <v>1374</v>
      </c>
      <c r="D299" s="1010" t="s">
        <v>1111</v>
      </c>
      <c r="E299" s="1010"/>
      <c r="F299" s="1010"/>
      <c r="G299"/>
    </row>
    <row r="300" spans="1:7" ht="14.4">
      <c r="A300" s="269"/>
      <c r="B300" s="269"/>
      <c r="D300" s="1010" t="s">
        <v>1555</v>
      </c>
      <c r="E300" s="1010"/>
      <c r="F300" s="1010"/>
      <c r="G300"/>
    </row>
    <row r="301" spans="1:7" ht="14.4">
      <c r="A301" s="269"/>
      <c r="B301" s="269"/>
      <c r="D301" s="3" t="s">
        <v>1041</v>
      </c>
      <c r="E301" s="922" t="s">
        <v>2060</v>
      </c>
      <c r="F301" s="3"/>
    </row>
    <row r="302" spans="1:7" ht="13.2">
      <c r="D302" s="28"/>
    </row>
    <row r="303" spans="1:7" ht="14.4">
      <c r="A303" s="269"/>
      <c r="B303" s="606" t="s">
        <v>1374</v>
      </c>
      <c r="D303" s="992" t="s">
        <v>1556</v>
      </c>
      <c r="E303" s="992"/>
      <c r="F303" s="992"/>
    </row>
    <row r="304" spans="1:7" ht="14.4">
      <c r="A304" s="269"/>
      <c r="B304" s="269"/>
      <c r="D304" s="992"/>
      <c r="E304" s="992"/>
      <c r="F304" s="992"/>
    </row>
    <row r="305" spans="1:7" ht="13.2">
      <c r="D305" s="28"/>
    </row>
    <row r="306" spans="1:7" ht="13.2">
      <c r="A306" s="1015" t="s">
        <v>1387</v>
      </c>
      <c r="B306" s="1015"/>
      <c r="C306" s="1015"/>
      <c r="D306" s="1015"/>
      <c r="E306" s="1015"/>
      <c r="F306" s="1015"/>
      <c r="G306" s="1015"/>
    </row>
    <row r="307" spans="1:7" ht="13.2">
      <c r="D307" s="28"/>
    </row>
    <row r="308" spans="1:7" ht="13.2">
      <c r="C308" s="587"/>
      <c r="D308" s="1016" t="s">
        <v>1386</v>
      </c>
      <c r="E308" s="1016"/>
      <c r="F308" s="1016"/>
    </row>
    <row r="309" spans="1:7" ht="13.2">
      <c r="A309" s="188"/>
      <c r="B309" s="188"/>
      <c r="C309" s="188"/>
      <c r="D309" s="44"/>
    </row>
    <row r="310" spans="1:7" ht="13.2">
      <c r="A310" s="189"/>
      <c r="B310" s="189"/>
      <c r="C310" s="189"/>
      <c r="D310" s="1016" t="s">
        <v>210</v>
      </c>
      <c r="E310" s="1016"/>
      <c r="F310" s="1016"/>
    </row>
    <row r="311" spans="1:7" ht="14.4" customHeight="1">
      <c r="A311" s="269"/>
      <c r="B311" s="606" t="s">
        <v>123</v>
      </c>
      <c r="D311" s="983" t="s">
        <v>1869</v>
      </c>
      <c r="E311" s="992"/>
      <c r="F311" s="992"/>
    </row>
    <row r="312" spans="1:7" ht="13.2">
      <c r="D312" s="992"/>
      <c r="E312" s="992"/>
      <c r="F312" s="992"/>
    </row>
    <row r="313" spans="1:7" ht="13.2">
      <c r="D313" s="992"/>
      <c r="E313" s="992"/>
      <c r="F313" s="992"/>
    </row>
    <row r="314" spans="1:7" ht="13.2">
      <c r="D314" s="24"/>
      <c r="E314" s="24"/>
      <c r="F314" s="24"/>
    </row>
    <row r="315" spans="1:7" s="445" customFormat="1" ht="14.4" customHeight="1">
      <c r="A315" s="287"/>
      <c r="B315" s="606" t="s">
        <v>123</v>
      </c>
      <c r="C315" s="795"/>
      <c r="D315" s="1023" t="s">
        <v>1913</v>
      </c>
      <c r="E315" s="1023"/>
      <c r="F315" s="1023"/>
      <c r="G315" s="796"/>
    </row>
    <row r="316" spans="1:7" s="445" customFormat="1" ht="13.2">
      <c r="A316" s="795"/>
      <c r="B316" s="795"/>
      <c r="C316" s="795"/>
      <c r="D316" s="1023"/>
      <c r="E316" s="1023"/>
      <c r="F316" s="1023"/>
      <c r="G316" s="796"/>
    </row>
    <row r="317" spans="1:7" s="445" customFormat="1" ht="13.2">
      <c r="A317" s="795"/>
      <c r="B317" s="795"/>
      <c r="C317" s="795"/>
      <c r="D317" s="1023"/>
      <c r="E317" s="1023"/>
      <c r="F317" s="1023"/>
      <c r="G317" s="796"/>
    </row>
    <row r="318" spans="1:7" s="445" customFormat="1" ht="13.2">
      <c r="A318" s="795"/>
      <c r="B318" s="795"/>
      <c r="C318" s="795"/>
      <c r="E318" s="370" t="s">
        <v>2061</v>
      </c>
      <c r="F318" s="370"/>
      <c r="G318" s="796"/>
    </row>
    <row r="319" spans="1:7" ht="13.2">
      <c r="D319" s="210"/>
    </row>
    <row r="320" spans="1:7" ht="13.2">
      <c r="A320" s="1015" t="s">
        <v>1388</v>
      </c>
      <c r="B320" s="1015"/>
      <c r="C320" s="1015"/>
      <c r="D320" s="1015"/>
      <c r="E320" s="1015"/>
      <c r="F320" s="1015"/>
      <c r="G320" s="1015"/>
    </row>
    <row r="321" spans="1:7" ht="13.2">
      <c r="D321" s="210"/>
    </row>
    <row r="322" spans="1:7" ht="13.2">
      <c r="C322" s="188"/>
      <c r="D322" s="1017" t="s">
        <v>1557</v>
      </c>
      <c r="E322" s="1017"/>
      <c r="F322" s="1017"/>
    </row>
    <row r="323" spans="1:7" ht="13.2">
      <c r="C323" s="188"/>
      <c r="D323" s="1017"/>
      <c r="E323" s="1017"/>
      <c r="F323" s="1017"/>
    </row>
    <row r="324" spans="1:7" ht="13.2">
      <c r="A324" s="189"/>
      <c r="B324" s="189"/>
      <c r="C324" s="189"/>
      <c r="D324" s="3"/>
    </row>
    <row r="325" spans="1:7" ht="13.2">
      <c r="C325" s="189"/>
      <c r="D325" s="1016" t="s">
        <v>161</v>
      </c>
      <c r="E325" s="1016"/>
      <c r="F325" s="1016"/>
    </row>
    <row r="326" spans="1:7" ht="14.4">
      <c r="A326" s="269"/>
      <c r="B326" s="269"/>
      <c r="D326" s="1027" t="s">
        <v>1558</v>
      </c>
      <c r="E326" s="1027"/>
      <c r="F326" s="1027"/>
    </row>
    <row r="327" spans="1:7" ht="12" customHeight="1"/>
    <row r="328" spans="1:7" ht="14.4" customHeight="1">
      <c r="A328" s="269"/>
      <c r="B328" s="606" t="s">
        <v>123</v>
      </c>
      <c r="D328" s="992" t="s">
        <v>1559</v>
      </c>
      <c r="E328" s="992"/>
      <c r="F328" s="992"/>
    </row>
    <row r="329" spans="1:7" ht="14.4">
      <c r="A329" s="269"/>
      <c r="B329" s="269"/>
      <c r="D329" s="992"/>
      <c r="E329" s="992"/>
      <c r="F329" s="992"/>
    </row>
    <row r="330" spans="1:7" ht="13.2"/>
    <row r="331" spans="1:7" ht="14.4" customHeight="1">
      <c r="A331" s="269"/>
      <c r="B331" s="606" t="s">
        <v>123</v>
      </c>
      <c r="D331" s="992" t="s">
        <v>1560</v>
      </c>
      <c r="E331" s="992"/>
      <c r="F331" s="992"/>
    </row>
    <row r="332" spans="1:7" ht="14.4">
      <c r="A332" s="269"/>
      <c r="B332" s="269"/>
      <c r="D332" s="992"/>
      <c r="E332" s="992"/>
      <c r="F332" s="992"/>
    </row>
    <row r="333" spans="1:7" ht="14.4">
      <c r="A333" s="269"/>
      <c r="B333" s="269"/>
      <c r="D333" s="992"/>
      <c r="E333" s="992"/>
      <c r="F333" s="992"/>
    </row>
    <row r="334" spans="1:7" ht="13.2">
      <c r="D334" s="44"/>
      <c r="E334"/>
      <c r="F334"/>
      <c r="G334"/>
    </row>
    <row r="335" spans="1:7" ht="14.4">
      <c r="A335" s="269"/>
      <c r="B335" s="606" t="s">
        <v>123</v>
      </c>
      <c r="D335" s="992" t="s">
        <v>1561</v>
      </c>
      <c r="E335" s="992"/>
      <c r="F335" s="992"/>
    </row>
    <row r="336" spans="1:7" ht="14.4">
      <c r="A336" s="269"/>
      <c r="B336" s="269"/>
      <c r="D336" s="992"/>
      <c r="E336" s="992"/>
      <c r="F336" s="992"/>
    </row>
    <row r="337" spans="1:7" ht="13.2">
      <c r="A337" s="18"/>
      <c r="B337" s="18"/>
      <c r="D337" s="44"/>
    </row>
    <row r="338" spans="1:7" ht="13.2">
      <c r="A338" s="1015" t="s">
        <v>1375</v>
      </c>
      <c r="B338" s="1015"/>
      <c r="C338" s="1015"/>
      <c r="D338" s="1015"/>
      <c r="E338" s="1015"/>
      <c r="F338" s="1015"/>
      <c r="G338" s="1015"/>
    </row>
    <row r="339" spans="1:7" ht="13.2">
      <c r="A339" s="18"/>
      <c r="B339" s="18"/>
      <c r="D339" s="44"/>
      <c r="G339"/>
    </row>
    <row r="340" spans="1:7" ht="13.2">
      <c r="C340" s="18"/>
      <c r="D340" s="1016" t="s">
        <v>162</v>
      </c>
      <c r="E340" s="1016"/>
      <c r="F340" s="1016"/>
      <c r="G340"/>
    </row>
    <row r="341" spans="1:7" ht="13.2">
      <c r="C341" s="18"/>
      <c r="D341" s="1010" t="s">
        <v>1416</v>
      </c>
      <c r="E341" s="1010"/>
      <c r="F341" s="1010"/>
      <c r="G341"/>
    </row>
    <row r="342" spans="1:7" ht="13.2">
      <c r="C342" s="18"/>
      <c r="D342" s="180"/>
      <c r="G342"/>
    </row>
    <row r="343" spans="1:7" ht="13.2">
      <c r="B343" s="606" t="s">
        <v>123</v>
      </c>
      <c r="D343" s="1010" t="s">
        <v>1562</v>
      </c>
      <c r="E343" s="1010"/>
      <c r="F343" s="1010"/>
      <c r="G343"/>
    </row>
    <row r="344" spans="1:7" ht="14.4">
      <c r="A344" s="269"/>
      <c r="B344" s="269"/>
      <c r="D344" s="417"/>
      <c r="G344"/>
    </row>
    <row r="345" spans="1:7" ht="14.4">
      <c r="A345" s="269"/>
      <c r="B345" s="606" t="s">
        <v>123</v>
      </c>
      <c r="D345" s="1010" t="s">
        <v>1563</v>
      </c>
      <c r="E345" s="1010"/>
      <c r="F345" s="1010"/>
      <c r="G345"/>
    </row>
    <row r="346" spans="1:7" ht="13.2">
      <c r="G346"/>
    </row>
    <row r="347" spans="1:7" ht="14.4" customHeight="1">
      <c r="A347" s="269"/>
      <c r="B347" s="606" t="s">
        <v>123</v>
      </c>
      <c r="D347" s="992" t="s">
        <v>1569</v>
      </c>
      <c r="E347" s="992"/>
      <c r="F347" s="992"/>
      <c r="G347"/>
    </row>
    <row r="348" spans="1:7" ht="14.4">
      <c r="A348" s="269"/>
      <c r="B348" s="269"/>
      <c r="D348" s="992"/>
      <c r="E348" s="992"/>
      <c r="F348" s="992"/>
      <c r="G348"/>
    </row>
    <row r="349" spans="1:7" ht="14.4">
      <c r="A349" s="269"/>
      <c r="B349" s="269"/>
      <c r="D349" s="992"/>
      <c r="E349" s="992"/>
      <c r="F349" s="992"/>
      <c r="G349"/>
    </row>
    <row r="350" spans="1:7" ht="14.4">
      <c r="A350" s="269"/>
      <c r="B350" s="269"/>
      <c r="D350" s="992"/>
      <c r="E350" s="992"/>
      <c r="F350" s="992"/>
      <c r="G350"/>
    </row>
    <row r="351" spans="1:7" ht="14.4">
      <c r="A351" s="269"/>
      <c r="B351" s="269"/>
      <c r="D351" s="992"/>
      <c r="E351" s="992"/>
      <c r="F351" s="992"/>
      <c r="G351"/>
    </row>
    <row r="352" spans="1:7" ht="14.4">
      <c r="A352" s="269"/>
      <c r="B352" s="269"/>
      <c r="D352" s="992"/>
      <c r="E352" s="992"/>
      <c r="F352" s="992"/>
      <c r="G352"/>
    </row>
    <row r="353" spans="1:7" ht="14.4">
      <c r="A353" s="269"/>
      <c r="B353" s="269"/>
      <c r="D353" s="992"/>
      <c r="E353" s="992"/>
      <c r="F353" s="992"/>
      <c r="G353"/>
    </row>
    <row r="354" spans="1:7" ht="14.4">
      <c r="A354" s="269"/>
      <c r="B354" s="269"/>
      <c r="D354" s="992"/>
      <c r="E354" s="992"/>
      <c r="F354" s="992"/>
      <c r="G354"/>
    </row>
    <row r="355" spans="1:7" ht="14.4">
      <c r="A355" s="269"/>
      <c r="B355" s="269"/>
      <c r="D355" s="992"/>
      <c r="E355" s="992"/>
      <c r="F355" s="992"/>
    </row>
    <row r="356" spans="1:7" ht="14.4">
      <c r="A356" s="269"/>
      <c r="B356" s="269"/>
      <c r="D356" s="992"/>
      <c r="E356" s="992"/>
      <c r="F356" s="992"/>
    </row>
    <row r="357" spans="1:7" ht="14.4">
      <c r="A357" s="269"/>
      <c r="B357" s="269"/>
      <c r="D357" s="992"/>
      <c r="E357" s="992"/>
      <c r="F357" s="992"/>
    </row>
    <row r="358" spans="1:7" ht="14.4">
      <c r="A358" s="269"/>
      <c r="B358" s="269"/>
      <c r="D358" s="992"/>
      <c r="E358" s="992"/>
      <c r="F358" s="992"/>
    </row>
    <row r="359" spans="1:7" ht="14.4">
      <c r="A359" s="269"/>
      <c r="B359" s="269"/>
      <c r="D359" s="992"/>
      <c r="E359" s="992"/>
      <c r="F359" s="992"/>
    </row>
    <row r="360" spans="1:7" ht="14.4">
      <c r="A360" s="269"/>
      <c r="B360" s="269"/>
      <c r="D360" s="992"/>
      <c r="E360" s="992"/>
      <c r="F360" s="992"/>
    </row>
    <row r="361" spans="1:7" ht="14.4">
      <c r="A361" s="269"/>
      <c r="B361" s="269"/>
      <c r="D361" s="992"/>
      <c r="E361" s="992"/>
      <c r="F361" s="992"/>
    </row>
    <row r="362" spans="1:7" ht="13.2"/>
    <row r="363" spans="1:7" ht="14.4" customHeight="1">
      <c r="A363" s="269"/>
      <c r="B363" s="606" t="s">
        <v>123</v>
      </c>
      <c r="D363" s="992" t="s">
        <v>1564</v>
      </c>
      <c r="E363" s="992"/>
      <c r="F363" s="992"/>
    </row>
    <row r="364" spans="1:7" ht="13.2">
      <c r="D364" s="992"/>
      <c r="E364" s="992"/>
      <c r="F364" s="992"/>
    </row>
    <row r="365" spans="1:7" ht="13.2">
      <c r="D365" s="992"/>
      <c r="E365" s="992"/>
      <c r="F365" s="992"/>
    </row>
    <row r="366" spans="1:7" ht="13.2">
      <c r="D366" s="992"/>
      <c r="E366" s="992"/>
      <c r="F366" s="992"/>
    </row>
    <row r="367" spans="1:7" ht="13.2">
      <c r="D367" s="992"/>
      <c r="E367" s="992"/>
      <c r="F367" s="992"/>
    </row>
    <row r="368" spans="1:7" ht="13.2">
      <c r="D368" s="992"/>
      <c r="E368" s="992"/>
      <c r="F368" s="992"/>
    </row>
    <row r="369" spans="1:6" ht="13.2">
      <c r="D369" s="992"/>
      <c r="E369" s="992"/>
      <c r="F369" s="992"/>
    </row>
    <row r="370" spans="1:6" ht="13.2">
      <c r="D370" s="992"/>
      <c r="E370" s="992"/>
      <c r="F370" s="992"/>
    </row>
    <row r="371" spans="1:6" ht="13.2">
      <c r="D371" s="992"/>
      <c r="E371" s="992"/>
      <c r="F371" s="992"/>
    </row>
    <row r="372" spans="1:6" ht="13.2">
      <c r="E372" s="44"/>
      <c r="F372" s="44"/>
    </row>
    <row r="373" spans="1:6" ht="14.25" customHeight="1">
      <c r="A373" s="269"/>
      <c r="B373" s="606" t="s">
        <v>123</v>
      </c>
      <c r="D373" s="986" t="s">
        <v>2062</v>
      </c>
      <c r="E373" s="986"/>
      <c r="F373" s="986"/>
    </row>
    <row r="374" spans="1:6" ht="13.2">
      <c r="D374" s="986"/>
      <c r="E374" s="986"/>
      <c r="F374" s="986"/>
    </row>
    <row r="375" spans="1:6" ht="13.2">
      <c r="D375" s="986"/>
      <c r="E375" s="986"/>
      <c r="F375" s="986"/>
    </row>
    <row r="376" spans="1:6" ht="13.2">
      <c r="D376" s="986"/>
      <c r="E376" s="986"/>
      <c r="F376" s="986"/>
    </row>
    <row r="377" spans="1:6" ht="13.2">
      <c r="D377" s="986"/>
      <c r="E377" s="986"/>
      <c r="F377" s="986"/>
    </row>
    <row r="378" spans="1:6" ht="13.2">
      <c r="D378" s="207"/>
      <c r="E378" s="102" t="s">
        <v>2063</v>
      </c>
      <c r="F378" s="207"/>
    </row>
    <row r="379" spans="1:6" ht="13.8" thickBot="1">
      <c r="D379" s="774"/>
      <c r="E379" s="97"/>
      <c r="F379" s="97"/>
    </row>
    <row r="380" spans="1:6" ht="14.4" thickTop="1" thickBot="1">
      <c r="D380" s="1026" t="s">
        <v>1265</v>
      </c>
      <c r="E380" s="1026"/>
      <c r="F380" s="1026"/>
    </row>
    <row r="381" spans="1:6" ht="13.8" thickTop="1">
      <c r="D381" s="1028" t="s">
        <v>1565</v>
      </c>
      <c r="E381" s="1028"/>
      <c r="F381" s="1028"/>
    </row>
    <row r="382" spans="1:6" ht="13.2">
      <c r="D382" s="44"/>
    </row>
    <row r="383" spans="1:6" ht="14.4">
      <c r="A383" s="269"/>
      <c r="B383" s="606" t="s">
        <v>123</v>
      </c>
      <c r="C383" s="358"/>
      <c r="D383" s="1020" t="s">
        <v>2124</v>
      </c>
      <c r="E383" s="1020"/>
      <c r="F383" s="1020"/>
    </row>
    <row r="384" spans="1:6" ht="14.4">
      <c r="A384" s="269"/>
      <c r="B384" s="269"/>
      <c r="C384" s="358"/>
      <c r="D384" s="417"/>
    </row>
    <row r="385" spans="1:6" ht="14.4">
      <c r="A385" s="269"/>
      <c r="B385" s="606" t="s">
        <v>123</v>
      </c>
      <c r="C385" s="358"/>
      <c r="D385" s="984" t="s">
        <v>2125</v>
      </c>
      <c r="E385" s="1008"/>
      <c r="F385" s="1008"/>
    </row>
    <row r="386" spans="1:6" ht="14.4">
      <c r="A386" s="269"/>
      <c r="B386" s="269"/>
      <c r="C386" s="358"/>
      <c r="D386" s="1008"/>
      <c r="E386" s="1008"/>
      <c r="F386" s="1008"/>
    </row>
    <row r="387" spans="1:6" ht="14.4">
      <c r="A387" s="269"/>
      <c r="B387" s="269"/>
      <c r="C387" s="358"/>
      <c r="D387" s="1008"/>
      <c r="E387" s="1008"/>
      <c r="F387" s="1008"/>
    </row>
    <row r="388" spans="1:6" ht="14.4">
      <c r="A388" s="269"/>
      <c r="B388" s="269"/>
      <c r="C388" s="358"/>
      <c r="D388" s="1008"/>
      <c r="E388" s="1008"/>
      <c r="F388" s="1008"/>
    </row>
    <row r="389" spans="1:6" ht="14.4">
      <c r="A389" s="269"/>
      <c r="B389" s="269"/>
      <c r="C389" s="358"/>
      <c r="D389" s="1008"/>
      <c r="E389" s="1008"/>
      <c r="F389" s="1008"/>
    </row>
    <row r="390" spans="1:6" ht="14.4">
      <c r="A390" s="269"/>
      <c r="B390" s="269"/>
      <c r="C390" s="358"/>
      <c r="D390" s="1008"/>
      <c r="E390" s="1008"/>
      <c r="F390" s="1008"/>
    </row>
    <row r="391" spans="1:6" ht="14.4">
      <c r="A391" s="269"/>
      <c r="B391" s="269"/>
      <c r="C391" s="358"/>
      <c r="D391" s="1008"/>
      <c r="E391" s="1008"/>
      <c r="F391" s="1008"/>
    </row>
    <row r="392" spans="1:6" ht="14.4">
      <c r="A392" s="269"/>
      <c r="B392" s="269"/>
      <c r="C392" s="358"/>
      <c r="D392" s="1008"/>
      <c r="E392" s="1008"/>
      <c r="F392" s="1008"/>
    </row>
    <row r="393" spans="1:6" ht="14.4">
      <c r="A393" s="269"/>
      <c r="B393" s="269"/>
      <c r="C393" s="358"/>
      <c r="D393" s="1008"/>
      <c r="E393" s="1008"/>
      <c r="F393" s="1008"/>
    </row>
    <row r="394" spans="1:6" ht="14.4">
      <c r="A394" s="269"/>
      <c r="B394" s="269"/>
      <c r="C394" s="358"/>
      <c r="D394" s="1008"/>
      <c r="E394" s="1008"/>
      <c r="F394" s="1008"/>
    </row>
    <row r="395" spans="1:6" ht="14.4">
      <c r="A395" s="269"/>
      <c r="B395" s="269"/>
      <c r="C395" s="358"/>
      <c r="D395" s="624"/>
      <c r="E395" s="624"/>
      <c r="F395" s="624"/>
    </row>
    <row r="396" spans="1:6" ht="14.4">
      <c r="A396" s="269"/>
      <c r="B396" s="606" t="s">
        <v>123</v>
      </c>
      <c r="C396" s="358"/>
      <c r="D396" s="1008" t="s">
        <v>1566</v>
      </c>
      <c r="E396" s="1008"/>
      <c r="F396" s="1008"/>
    </row>
    <row r="397" spans="1:6" ht="13.2">
      <c r="A397" s="358"/>
      <c r="B397" s="358"/>
      <c r="C397" s="358"/>
      <c r="D397" s="1008"/>
      <c r="E397" s="1008"/>
      <c r="F397" s="1008"/>
    </row>
    <row r="398" spans="1:6" ht="13.2">
      <c r="A398" s="358"/>
      <c r="B398" s="358"/>
      <c r="C398" s="358"/>
      <c r="D398" s="1008"/>
      <c r="E398" s="1008"/>
      <c r="F398" s="1008"/>
    </row>
    <row r="399" spans="1:6" ht="13.2">
      <c r="A399" s="358"/>
      <c r="B399" s="358"/>
      <c r="C399" s="358"/>
      <c r="D399" s="1008"/>
      <c r="E399" s="1008"/>
      <c r="F399" s="1008"/>
    </row>
    <row r="400" spans="1:6" ht="13.2">
      <c r="A400" s="358"/>
      <c r="B400" s="358"/>
      <c r="C400" s="358"/>
      <c r="D400" s="624"/>
      <c r="E400" s="624"/>
      <c r="F400" s="624"/>
    </row>
    <row r="401" spans="1:6" ht="13.2">
      <c r="A401" s="358"/>
      <c r="B401" s="358"/>
      <c r="C401" s="358"/>
      <c r="D401" s="1008" t="s">
        <v>1567</v>
      </c>
      <c r="E401" s="1008"/>
      <c r="F401" s="1008"/>
    </row>
    <row r="402" spans="1:6" ht="13.2">
      <c r="A402" s="358"/>
      <c r="B402" s="358"/>
      <c r="C402" s="358"/>
      <c r="D402" s="1008"/>
      <c r="E402" s="1008"/>
      <c r="F402" s="1008"/>
    </row>
    <row r="403" spans="1:6" ht="13.2">
      <c r="A403" s="358"/>
      <c r="B403" s="358"/>
      <c r="C403" s="358"/>
      <c r="D403" s="1008"/>
      <c r="E403" s="1008"/>
      <c r="F403" s="1008"/>
    </row>
    <row r="404" spans="1:6" ht="13.2">
      <c r="A404" s="358"/>
      <c r="B404" s="358"/>
      <c r="C404" s="358"/>
      <c r="D404" s="1008"/>
      <c r="E404" s="1008"/>
      <c r="F404" s="1008"/>
    </row>
    <row r="405" spans="1:6" ht="13.2">
      <c r="A405" s="358"/>
      <c r="B405" s="358"/>
      <c r="C405" s="358"/>
      <c r="D405" s="1008"/>
      <c r="E405" s="1008"/>
      <c r="F405" s="1008"/>
    </row>
    <row r="406" spans="1:6" ht="13.2">
      <c r="A406" s="358"/>
      <c r="B406" s="358"/>
      <c r="C406" s="358"/>
      <c r="D406" s="1008"/>
      <c r="E406" s="1008"/>
      <c r="F406" s="1008"/>
    </row>
    <row r="407" spans="1:6" ht="13.2">
      <c r="A407" s="358"/>
      <c r="B407" s="358"/>
      <c r="C407" s="358"/>
      <c r="D407" s="1008"/>
      <c r="E407" s="1008"/>
      <c r="F407" s="1008"/>
    </row>
    <row r="408" spans="1:6" ht="13.2">
      <c r="A408" s="358"/>
      <c r="B408" s="358"/>
      <c r="C408" s="358"/>
      <c r="D408" s="1008"/>
      <c r="E408" s="1008"/>
      <c r="F408" s="1008"/>
    </row>
    <row r="409" spans="1:6" ht="13.2">
      <c r="A409" s="358"/>
      <c r="B409" s="358"/>
      <c r="C409" s="358"/>
      <c r="D409" s="1008"/>
      <c r="E409" s="1008"/>
      <c r="F409" s="1008"/>
    </row>
    <row r="410" spans="1:6" ht="13.65" customHeight="1">
      <c r="A410" s="358"/>
      <c r="B410" s="358"/>
      <c r="C410" s="358"/>
      <c r="D410" s="1008" t="s">
        <v>1570</v>
      </c>
      <c r="E410" s="1008"/>
      <c r="F410" s="1008"/>
    </row>
    <row r="411" spans="1:6" ht="13.65" customHeight="1">
      <c r="A411" s="358"/>
      <c r="B411" s="358"/>
      <c r="C411" s="358"/>
      <c r="D411" s="1008"/>
      <c r="E411" s="1008"/>
      <c r="F411" s="1008"/>
    </row>
    <row r="412" spans="1:6" ht="13.65" customHeight="1">
      <c r="A412" s="358"/>
      <c r="B412" s="358"/>
      <c r="C412" s="358"/>
      <c r="D412" s="1008"/>
      <c r="E412" s="1008"/>
      <c r="F412" s="1008"/>
    </row>
    <row r="413" spans="1:6" ht="13.65" customHeight="1">
      <c r="A413" s="358"/>
      <c r="B413" s="358"/>
      <c r="C413" s="358"/>
      <c r="D413" s="1008"/>
      <c r="E413" s="1008"/>
      <c r="F413" s="1008"/>
    </row>
    <row r="414" spans="1:6" ht="13.65" customHeight="1">
      <c r="A414" s="358"/>
      <c r="B414" s="358"/>
      <c r="C414" s="358"/>
      <c r="D414" s="1008"/>
      <c r="E414" s="1008"/>
      <c r="F414" s="1008"/>
    </row>
    <row r="415" spans="1:6" ht="13.65" customHeight="1">
      <c r="A415" s="358"/>
      <c r="B415" s="358"/>
      <c r="C415" s="358"/>
      <c r="D415" s="1008"/>
      <c r="E415" s="1008"/>
      <c r="F415" s="1008"/>
    </row>
    <row r="416" spans="1:6" ht="13.65" customHeight="1">
      <c r="A416" s="358"/>
      <c r="B416" s="358"/>
      <c r="C416" s="358"/>
      <c r="D416" s="1008"/>
      <c r="E416" s="1008"/>
      <c r="F416" s="1008"/>
    </row>
    <row r="417" spans="1:6" ht="13.65" customHeight="1">
      <c r="A417" s="358"/>
      <c r="B417" s="358"/>
      <c r="C417" s="358"/>
      <c r="D417" s="1008"/>
      <c r="E417" s="1008"/>
      <c r="F417" s="1008"/>
    </row>
    <row r="418" spans="1:6" ht="13.65" customHeight="1">
      <c r="A418" s="358"/>
      <c r="B418" s="358"/>
      <c r="C418" s="358"/>
      <c r="D418" s="1008"/>
      <c r="E418" s="1008"/>
      <c r="F418" s="1008"/>
    </row>
    <row r="419" spans="1:6" ht="13.65" customHeight="1">
      <c r="A419" s="358"/>
      <c r="B419" s="358"/>
      <c r="C419" s="358"/>
      <c r="D419" s="1008"/>
      <c r="E419" s="1008"/>
      <c r="F419" s="1008"/>
    </row>
    <row r="420" spans="1:6" ht="13.65" customHeight="1">
      <c r="A420" s="358"/>
      <c r="B420" s="358"/>
      <c r="C420" s="358"/>
      <c r="D420" s="1008"/>
      <c r="E420" s="1008"/>
      <c r="F420" s="1008"/>
    </row>
    <row r="421" spans="1:6" ht="13.65" customHeight="1">
      <c r="A421" s="358"/>
      <c r="B421" s="358"/>
      <c r="C421" s="358"/>
      <c r="D421" s="1008"/>
      <c r="E421" s="1008"/>
      <c r="F421" s="1008"/>
    </row>
    <row r="422" spans="1:6" ht="13.65" customHeight="1">
      <c r="A422" s="358"/>
      <c r="B422" s="358"/>
      <c r="C422" s="358"/>
      <c r="D422" s="1008"/>
      <c r="E422" s="1008"/>
      <c r="F422" s="1008"/>
    </row>
    <row r="423" spans="1:6" ht="13.65" customHeight="1">
      <c r="A423" s="358"/>
      <c r="B423" s="358"/>
      <c r="C423" s="358"/>
      <c r="D423" s="1008"/>
      <c r="E423" s="1008"/>
      <c r="F423" s="1008"/>
    </row>
    <row r="424" spans="1:6" ht="13.65" customHeight="1">
      <c r="A424" s="358"/>
      <c r="B424" s="358"/>
      <c r="C424" s="358"/>
      <c r="D424" s="1008"/>
      <c r="E424" s="1008"/>
      <c r="F424" s="1008"/>
    </row>
    <row r="425" spans="1:6" ht="13.65" customHeight="1">
      <c r="A425" s="358"/>
      <c r="B425" s="358"/>
      <c r="C425" s="358"/>
      <c r="D425" s="1008"/>
      <c r="E425" s="1008"/>
      <c r="F425" s="1008"/>
    </row>
    <row r="426" spans="1:6" ht="13.65" customHeight="1">
      <c r="A426" s="358"/>
      <c r="B426" s="358"/>
      <c r="C426" s="358"/>
      <c r="D426" s="1008"/>
      <c r="E426" s="1008"/>
      <c r="F426" s="1008"/>
    </row>
    <row r="427" spans="1:6" ht="13.65" customHeight="1">
      <c r="A427" s="358"/>
      <c r="B427" s="358"/>
      <c r="C427" s="358"/>
      <c r="D427" s="1008"/>
      <c r="E427" s="1008"/>
      <c r="F427" s="1008"/>
    </row>
    <row r="428" spans="1:6" ht="13.2">
      <c r="A428" s="358"/>
      <c r="B428" s="358"/>
      <c r="C428" s="358"/>
      <c r="D428" s="417"/>
    </row>
    <row r="429" spans="1:6" ht="13.65" customHeight="1">
      <c r="A429" s="358"/>
      <c r="B429" s="606" t="s">
        <v>123</v>
      </c>
      <c r="C429" s="358"/>
      <c r="D429" s="1008" t="s">
        <v>1568</v>
      </c>
      <c r="E429" s="1008"/>
      <c r="F429" s="1008"/>
    </row>
    <row r="430" spans="1:6" ht="13.2">
      <c r="A430" s="358"/>
      <c r="B430" s="358"/>
      <c r="C430" s="358"/>
      <c r="D430" s="1008"/>
      <c r="E430" s="1008"/>
      <c r="F430" s="1008"/>
    </row>
    <row r="431" spans="1:6" ht="13.2">
      <c r="A431" s="358"/>
      <c r="B431" s="358"/>
      <c r="C431" s="358"/>
      <c r="D431" s="624"/>
      <c r="E431" s="624"/>
      <c r="F431" s="624"/>
    </row>
    <row r="432" spans="1:6" ht="13.2">
      <c r="A432" s="358"/>
      <c r="B432" s="606" t="s">
        <v>123</v>
      </c>
      <c r="C432" s="358"/>
      <c r="D432" s="1011" t="s">
        <v>1866</v>
      </c>
      <c r="E432" s="1011"/>
      <c r="F432" s="1011"/>
    </row>
    <row r="433" spans="1:6" ht="13.2">
      <c r="A433" s="358"/>
      <c r="B433" s="358"/>
      <c r="C433" s="358"/>
      <c r="D433" s="1011"/>
      <c r="E433" s="1011"/>
      <c r="F433" s="1011"/>
    </row>
    <row r="434" spans="1:6" ht="13.2">
      <c r="A434" s="358"/>
      <c r="B434" s="358"/>
      <c r="C434" s="358"/>
      <c r="D434" s="1011"/>
      <c r="E434" s="1011"/>
      <c r="F434" s="1011"/>
    </row>
    <row r="435" spans="1:6" ht="13.2">
      <c r="A435" s="358"/>
      <c r="B435" s="358"/>
      <c r="C435" s="358"/>
      <c r="D435" s="1011"/>
      <c r="E435" s="1011"/>
      <c r="F435" s="1011"/>
    </row>
    <row r="436" spans="1:6" ht="13.2">
      <c r="A436" s="358"/>
      <c r="B436" s="358"/>
      <c r="C436" s="358"/>
      <c r="D436" s="1011"/>
      <c r="E436" s="1011"/>
      <c r="F436" s="1011"/>
    </row>
    <row r="437" spans="1:6" ht="13.2">
      <c r="A437" s="358"/>
      <c r="B437" s="358"/>
      <c r="C437" s="358"/>
      <c r="D437" s="1011"/>
      <c r="E437" s="1011"/>
      <c r="F437" s="1011"/>
    </row>
    <row r="438" spans="1:6" ht="14.4" customHeight="1">
      <c r="A438" s="269"/>
      <c r="B438" s="606" t="s">
        <v>123</v>
      </c>
      <c r="C438" s="358"/>
      <c r="D438" s="1011" t="s">
        <v>1847</v>
      </c>
      <c r="E438" s="1011"/>
      <c r="F438" s="1011"/>
    </row>
    <row r="439" spans="1:6" ht="14.4">
      <c r="A439" s="497"/>
      <c r="B439" s="497"/>
      <c r="C439" s="358"/>
      <c r="D439" s="1011"/>
      <c r="E439" s="1011"/>
      <c r="F439" s="1011"/>
    </row>
    <row r="440" spans="1:6" ht="14.4">
      <c r="A440" s="497"/>
      <c r="B440" s="497"/>
      <c r="C440" s="358"/>
      <c r="D440" s="1011"/>
      <c r="E440" s="1011"/>
      <c r="F440" s="1011"/>
    </row>
    <row r="441" spans="1:6" ht="14.4">
      <c r="A441" s="497"/>
      <c r="B441" s="497"/>
      <c r="C441" s="358"/>
      <c r="D441" s="1011"/>
      <c r="E441" s="1011"/>
      <c r="F441" s="1011"/>
    </row>
    <row r="442" spans="1:6" ht="14.25" customHeight="1">
      <c r="A442" s="497"/>
      <c r="B442" s="497"/>
      <c r="C442" s="358"/>
      <c r="D442" s="1012" t="s">
        <v>1862</v>
      </c>
      <c r="E442" s="1012"/>
      <c r="F442" s="1012"/>
    </row>
    <row r="443" spans="1:6" ht="13.2">
      <c r="D443" s="44"/>
    </row>
    <row r="444" spans="1:6" ht="14.4" customHeight="1">
      <c r="A444" s="269"/>
      <c r="B444" s="606" t="s">
        <v>123</v>
      </c>
      <c r="C444" s="205"/>
      <c r="D444" s="983" t="s">
        <v>2298</v>
      </c>
      <c r="E444" s="992"/>
      <c r="F444" s="992"/>
    </row>
    <row r="445" spans="1:6" ht="14.4">
      <c r="A445" s="269"/>
      <c r="B445" s="269"/>
      <c r="D445" s="992"/>
      <c r="E445" s="992"/>
      <c r="F445" s="992"/>
    </row>
    <row r="446" spans="1:6" ht="14.4">
      <c r="A446" s="269"/>
      <c r="B446" s="269"/>
      <c r="D446" s="992"/>
      <c r="E446" s="992"/>
      <c r="F446" s="992"/>
    </row>
    <row r="447" spans="1:6" ht="14.4">
      <c r="A447" s="269"/>
      <c r="B447" s="269"/>
      <c r="D447" s="992"/>
      <c r="E447" s="992"/>
      <c r="F447" s="992"/>
    </row>
    <row r="448" spans="1:6" ht="14.4">
      <c r="A448" s="269"/>
      <c r="B448" s="269"/>
      <c r="D448" s="992"/>
      <c r="E448" s="992"/>
      <c r="F448" s="992"/>
    </row>
    <row r="449" spans="1:6" ht="14.4">
      <c r="A449" s="269"/>
      <c r="B449" s="269"/>
      <c r="D449" s="992"/>
      <c r="E449" s="992"/>
      <c r="F449" s="992"/>
    </row>
    <row r="450" spans="1:6" ht="14.4">
      <c r="A450" s="269"/>
      <c r="B450" s="269"/>
      <c r="D450" s="992"/>
      <c r="E450" s="992"/>
      <c r="F450" s="992"/>
    </row>
    <row r="451" spans="1:6" ht="14.4">
      <c r="A451" s="269"/>
      <c r="B451" s="269"/>
      <c r="D451" s="992"/>
      <c r="E451" s="992"/>
      <c r="F451" s="992"/>
    </row>
    <row r="452" spans="1:6" ht="14.4">
      <c r="A452" s="269"/>
      <c r="B452" s="269"/>
      <c r="D452" s="992"/>
      <c r="E452" s="992"/>
      <c r="F452" s="992"/>
    </row>
    <row r="453" spans="1:6" ht="14.4">
      <c r="A453" s="269"/>
      <c r="B453" s="269"/>
      <c r="D453" s="992"/>
      <c r="E453" s="992"/>
      <c r="F453" s="992"/>
    </row>
    <row r="454" spans="1:6" ht="14.4">
      <c r="A454" s="269"/>
      <c r="B454" s="269"/>
      <c r="D454" s="992"/>
      <c r="E454" s="992"/>
      <c r="F454" s="992"/>
    </row>
    <row r="455" spans="1:6" ht="14.4">
      <c r="A455" s="269"/>
      <c r="B455" s="269"/>
      <c r="D455" s="992"/>
      <c r="E455" s="992"/>
      <c r="F455" s="992"/>
    </row>
    <row r="456" spans="1:6" ht="14.4">
      <c r="A456" s="269"/>
      <c r="B456" s="269"/>
      <c r="D456" s="992"/>
      <c r="E456" s="992"/>
      <c r="F456" s="992"/>
    </row>
    <row r="457" spans="1:6" ht="14.4">
      <c r="A457" s="269"/>
      <c r="B457" s="269"/>
      <c r="D457" s="992"/>
      <c r="E457" s="992"/>
      <c r="F457" s="992"/>
    </row>
    <row r="458" spans="1:6" ht="14.4">
      <c r="A458" s="269"/>
      <c r="B458" s="269"/>
      <c r="D458" s="992"/>
      <c r="E458" s="992"/>
      <c r="F458" s="992"/>
    </row>
    <row r="459" spans="1:6" ht="14.4">
      <c r="A459" s="269"/>
      <c r="B459" s="269"/>
      <c r="D459" s="992"/>
      <c r="E459" s="992"/>
      <c r="F459" s="992"/>
    </row>
    <row r="460" spans="1:6" ht="14.4">
      <c r="A460" s="269"/>
      <c r="B460" s="269"/>
      <c r="D460" s="992"/>
      <c r="E460" s="992"/>
      <c r="F460" s="992"/>
    </row>
    <row r="461" spans="1:6" ht="14.4">
      <c r="A461" s="269"/>
      <c r="B461" s="269"/>
      <c r="D461" s="992"/>
      <c r="E461" s="992"/>
      <c r="F461" s="992"/>
    </row>
    <row r="462" spans="1:6" ht="14.4">
      <c r="A462" s="269"/>
      <c r="B462" s="269"/>
      <c r="D462" s="992"/>
      <c r="E462" s="992"/>
      <c r="F462" s="992"/>
    </row>
    <row r="463" spans="1:6" ht="14.4">
      <c r="A463" s="269"/>
      <c r="B463" s="269"/>
      <c r="D463" s="992"/>
      <c r="E463" s="992"/>
      <c r="F463" s="992"/>
    </row>
    <row r="464" spans="1:6" ht="14.4">
      <c r="A464" s="269"/>
      <c r="B464" s="269"/>
      <c r="D464" s="992"/>
      <c r="E464" s="992"/>
      <c r="F464" s="992"/>
    </row>
    <row r="465" spans="1:6" ht="14.4">
      <c r="A465" s="269"/>
      <c r="B465" s="269"/>
      <c r="D465" s="992"/>
      <c r="E465" s="992"/>
      <c r="F465" s="992"/>
    </row>
    <row r="466" spans="1:6" ht="14.4">
      <c r="A466" s="269"/>
      <c r="B466" s="269"/>
      <c r="D466" s="992"/>
      <c r="E466" s="992"/>
      <c r="F466" s="992"/>
    </row>
    <row r="467" spans="1:6" ht="14.4">
      <c r="A467" s="269"/>
      <c r="B467" s="269"/>
      <c r="D467" s="992"/>
      <c r="E467" s="992"/>
      <c r="F467" s="992"/>
    </row>
    <row r="468" spans="1:6" ht="14.4">
      <c r="A468" s="269"/>
      <c r="B468" s="269"/>
      <c r="D468" s="992"/>
      <c r="E468" s="992"/>
      <c r="F468" s="992"/>
    </row>
    <row r="469" spans="1:6" ht="14.4">
      <c r="A469" s="269"/>
      <c r="B469" s="269"/>
      <c r="D469" s="992"/>
      <c r="E469" s="992"/>
      <c r="F469" s="992"/>
    </row>
    <row r="470" spans="1:6" ht="14.4">
      <c r="A470" s="269"/>
      <c r="B470" s="269"/>
      <c r="D470" s="992"/>
      <c r="E470" s="992"/>
      <c r="F470" s="992"/>
    </row>
    <row r="471" spans="1:6" ht="14.4">
      <c r="A471" s="269"/>
      <c r="B471" s="269"/>
      <c r="D471" s="992"/>
      <c r="E471" s="992"/>
      <c r="F471" s="992"/>
    </row>
    <row r="472" spans="1:6" ht="14.4">
      <c r="A472" s="269"/>
      <c r="B472" s="269"/>
      <c r="D472" s="992"/>
      <c r="E472" s="992"/>
      <c r="F472" s="992"/>
    </row>
    <row r="473" spans="1:6" ht="14.4">
      <c r="A473" s="269"/>
      <c r="B473" s="269"/>
      <c r="D473" s="992"/>
      <c r="E473" s="992"/>
      <c r="F473" s="992"/>
    </row>
    <row r="474" spans="1:6" ht="13.2" hidden="1">
      <c r="D474" s="992"/>
      <c r="E474" s="992"/>
      <c r="F474" s="992"/>
    </row>
    <row r="475" spans="1:6" ht="13.2" hidden="1">
      <c r="D475" s="44"/>
    </row>
    <row r="476" spans="1:6" ht="14.4">
      <c r="A476" s="269"/>
      <c r="B476" s="606" t="s">
        <v>123</v>
      </c>
      <c r="C476" s="205"/>
      <c r="D476" s="1009" t="s">
        <v>2065</v>
      </c>
      <c r="E476" s="1010"/>
      <c r="F476" s="1010"/>
    </row>
    <row r="477" spans="1:6" ht="13.2">
      <c r="D477"/>
      <c r="E477" s="923" t="s">
        <v>2064</v>
      </c>
      <c r="F477" s="923"/>
    </row>
    <row r="478" spans="1:6" ht="13.65" customHeight="1">
      <c r="D478" s="983" t="s">
        <v>1844</v>
      </c>
      <c r="E478" s="992"/>
      <c r="F478" s="992"/>
    </row>
    <row r="479" spans="1:6" ht="13.65" customHeight="1">
      <c r="D479" s="992"/>
      <c r="E479" s="992"/>
      <c r="F479" s="992"/>
    </row>
    <row r="480" spans="1:6" ht="13.2">
      <c r="D480" s="44"/>
    </row>
    <row r="481" spans="1:6" ht="14.4" customHeight="1">
      <c r="A481" s="269"/>
      <c r="B481" s="606" t="s">
        <v>123</v>
      </c>
      <c r="C481" s="205"/>
      <c r="D481" s="983" t="s">
        <v>2299</v>
      </c>
      <c r="E481" s="992"/>
      <c r="F481" s="992"/>
    </row>
    <row r="482" spans="1:6" ht="13.2">
      <c r="D482" s="992"/>
      <c r="E482" s="992"/>
      <c r="F482" s="992"/>
    </row>
    <row r="483" spans="1:6" ht="13.2">
      <c r="D483" s="992"/>
      <c r="E483" s="992"/>
      <c r="F483" s="992"/>
    </row>
    <row r="484" spans="1:6" ht="13.2">
      <c r="D484" s="24"/>
      <c r="E484" s="24"/>
      <c r="F484" s="24"/>
    </row>
    <row r="485" spans="1:6" ht="14.4">
      <c r="B485" s="606" t="s">
        <v>123</v>
      </c>
      <c r="C485" s="269"/>
      <c r="D485" s="983" t="s">
        <v>1711</v>
      </c>
      <c r="E485" s="992"/>
      <c r="F485" s="992"/>
    </row>
    <row r="486" spans="1:6" ht="13.2">
      <c r="D486" s="992"/>
      <c r="E486" s="992"/>
      <c r="F486" s="992"/>
    </row>
    <row r="487" spans="1:6" ht="13.2">
      <c r="D487" s="44"/>
      <c r="E487" s="44"/>
    </row>
    <row r="488" spans="1:6" ht="14.4">
      <c r="B488" s="606" t="s">
        <v>123</v>
      </c>
      <c r="C488" s="269"/>
      <c r="D488" s="992" t="s">
        <v>1571</v>
      </c>
      <c r="E488" s="992"/>
      <c r="F488" s="992"/>
    </row>
    <row r="489" spans="1:6" ht="13.2">
      <c r="D489" s="992"/>
      <c r="E489" s="992"/>
      <c r="F489" s="992"/>
    </row>
    <row r="490" spans="1:6" ht="13.2">
      <c r="D490" s="992"/>
      <c r="E490" s="992"/>
      <c r="F490" s="992"/>
    </row>
    <row r="491" spans="1:6" ht="13.2">
      <c r="D491" s="992"/>
      <c r="E491" s="992"/>
      <c r="F491" s="992"/>
    </row>
    <row r="492" spans="1:6" ht="13.2">
      <c r="B492" s="606" t="s">
        <v>123</v>
      </c>
      <c r="D492" s="992"/>
      <c r="E492" s="992"/>
      <c r="F492" s="992"/>
    </row>
    <row r="493" spans="1:6" ht="13.2">
      <c r="D493" s="992"/>
      <c r="E493" s="992"/>
      <c r="F493" s="992"/>
    </row>
    <row r="494" spans="1:6" ht="13.2">
      <c r="D494" s="992"/>
      <c r="E494" s="992"/>
      <c r="F494" s="992"/>
    </row>
    <row r="495" spans="1:6" ht="13.2">
      <c r="B495" s="606" t="s">
        <v>123</v>
      </c>
      <c r="D495" s="992"/>
      <c r="E495" s="992"/>
      <c r="F495" s="992"/>
    </row>
    <row r="496" spans="1:6" ht="13.2">
      <c r="D496" s="992"/>
      <c r="E496" s="992"/>
      <c r="F496" s="992"/>
    </row>
    <row r="497" spans="1:7" ht="13.2">
      <c r="D497" s="992"/>
      <c r="E497" s="992"/>
      <c r="F497" s="992"/>
    </row>
    <row r="498" spans="1:7" ht="13.2">
      <c r="D498" s="992"/>
      <c r="E498" s="992"/>
      <c r="F498" s="992"/>
    </row>
    <row r="499" spans="1:7" ht="13.2">
      <c r="B499" s="606" t="s">
        <v>123</v>
      </c>
      <c r="D499" s="992"/>
      <c r="E499" s="992"/>
      <c r="F499" s="992"/>
    </row>
    <row r="500" spans="1:7" ht="13.2">
      <c r="D500" s="992"/>
      <c r="E500" s="992"/>
      <c r="F500" s="992"/>
    </row>
    <row r="501" spans="1:7" ht="13.2">
      <c r="B501" s="606" t="s">
        <v>123</v>
      </c>
      <c r="D501" s="992"/>
      <c r="E501" s="992"/>
      <c r="F501" s="992"/>
    </row>
    <row r="502" spans="1:7" ht="13.2">
      <c r="D502" s="992"/>
      <c r="E502" s="992"/>
      <c r="F502" s="992"/>
    </row>
    <row r="503" spans="1:7" ht="13.65" customHeight="1">
      <c r="B503" s="606" t="s">
        <v>123</v>
      </c>
      <c r="D503" s="992" t="s">
        <v>1572</v>
      </c>
      <c r="E503" s="992"/>
      <c r="F503" s="992"/>
    </row>
    <row r="504" spans="1:7" ht="13.2">
      <c r="D504" s="992"/>
      <c r="E504" s="992"/>
      <c r="F504" s="992"/>
    </row>
    <row r="505" spans="1:7" ht="13.2">
      <c r="D505" s="992"/>
      <c r="E505" s="992"/>
      <c r="F505" s="992"/>
    </row>
    <row r="506" spans="1:7" ht="13.2">
      <c r="D506" s="992"/>
      <c r="E506" s="992"/>
      <c r="F506" s="992"/>
    </row>
    <row r="507" spans="1:7" ht="13.2">
      <c r="D507" s="992"/>
      <c r="E507" s="992"/>
      <c r="F507" s="992"/>
    </row>
    <row r="508" spans="1:7" ht="13.2">
      <c r="D508" s="44"/>
    </row>
    <row r="509" spans="1:7" ht="13.2">
      <c r="B509" s="606" t="s">
        <v>123</v>
      </c>
      <c r="D509" s="1010" t="s">
        <v>1417</v>
      </c>
      <c r="E509" s="1010"/>
      <c r="F509" s="1010"/>
    </row>
    <row r="510" spans="1:7" ht="13.2">
      <c r="A510" s="44"/>
      <c r="B510" s="44"/>
    </row>
    <row r="511" spans="1:7" ht="13.2">
      <c r="A511" s="1015" t="s">
        <v>1376</v>
      </c>
      <c r="B511" s="1015"/>
      <c r="C511" s="1015"/>
      <c r="D511" s="1015"/>
      <c r="E511" s="1015"/>
      <c r="F511" s="1015"/>
      <c r="G511" s="1015"/>
    </row>
    <row r="512" spans="1:7" ht="13.2">
      <c r="A512" s="44"/>
      <c r="B512" s="44"/>
    </row>
    <row r="513" spans="1:7" ht="13.2">
      <c r="D513" s="1019" t="s">
        <v>1117</v>
      </c>
      <c r="E513" s="1019"/>
      <c r="F513" s="1019"/>
    </row>
    <row r="514" spans="1:7" ht="13.2">
      <c r="D514" s="1020" t="s">
        <v>1410</v>
      </c>
      <c r="E514" s="1020"/>
      <c r="F514" s="1020"/>
    </row>
    <row r="515" spans="1:7" ht="14.4">
      <c r="A515" s="269"/>
      <c r="B515" s="269"/>
      <c r="D515" s="417"/>
    </row>
    <row r="516" spans="1:7" ht="14.4">
      <c r="A516" s="269"/>
      <c r="B516" s="606" t="s">
        <v>123</v>
      </c>
      <c r="D516" s="1008" t="s">
        <v>1573</v>
      </c>
      <c r="E516" s="1008"/>
      <c r="F516" s="1008"/>
    </row>
    <row r="517" spans="1:7" ht="14.4">
      <c r="A517" s="269"/>
      <c r="B517" s="269"/>
      <c r="D517" s="1008"/>
      <c r="E517" s="1008"/>
      <c r="F517" s="1008"/>
    </row>
    <row r="518" spans="1:7" ht="14.4">
      <c r="A518" s="269"/>
      <c r="B518" s="269"/>
      <c r="D518" s="44"/>
    </row>
    <row r="519" spans="1:7" ht="14.4">
      <c r="A519" s="269"/>
      <c r="B519" s="606" t="s">
        <v>123</v>
      </c>
      <c r="D519" s="1021" t="s">
        <v>1863</v>
      </c>
      <c r="E519" s="1018"/>
      <c r="F519" s="1018"/>
    </row>
    <row r="520" spans="1:7" ht="14.4">
      <c r="A520" s="269"/>
      <c r="B520" s="269"/>
      <c r="D520" s="1018"/>
      <c r="E520" s="1018"/>
      <c r="F520" s="1018"/>
    </row>
    <row r="521" spans="1:7" ht="14.4">
      <c r="A521" s="269"/>
      <c r="B521" s="269"/>
      <c r="D521" s="1018"/>
      <c r="E521" s="1018"/>
      <c r="F521" s="1018"/>
      <c r="G521"/>
    </row>
    <row r="522" spans="1:7" ht="14.4">
      <c r="A522" s="269"/>
      <c r="B522" s="269"/>
      <c r="D522" s="1018"/>
      <c r="E522" s="1018"/>
      <c r="F522" s="1018"/>
      <c r="G522"/>
    </row>
    <row r="523" spans="1:7" ht="13.2">
      <c r="G523"/>
    </row>
    <row r="524" spans="1:7" ht="14.4">
      <c r="A524" s="269"/>
      <c r="B524" s="606" t="s">
        <v>123</v>
      </c>
      <c r="D524" s="1010" t="s">
        <v>1575</v>
      </c>
      <c r="E524" s="1010"/>
      <c r="F524" s="1010"/>
      <c r="G524"/>
    </row>
    <row r="525" spans="1:7" ht="13.2">
      <c r="D525" s="44"/>
      <c r="G525"/>
    </row>
    <row r="526" spans="1:7" ht="14.4">
      <c r="A526" s="269"/>
      <c r="B526" s="606" t="s">
        <v>123</v>
      </c>
      <c r="D526" s="992" t="s">
        <v>1576</v>
      </c>
      <c r="E526" s="992"/>
      <c r="F526" s="992"/>
      <c r="G526"/>
    </row>
    <row r="527" spans="1:7" ht="13.2">
      <c r="D527" s="992"/>
      <c r="E527" s="992"/>
      <c r="F527" s="992"/>
      <c r="G527"/>
    </row>
    <row r="528" spans="1:7" ht="13.2">
      <c r="D528" s="417"/>
      <c r="G528"/>
    </row>
    <row r="529" spans="1:7" ht="14.4">
      <c r="A529" s="269"/>
      <c r="B529" s="606" t="s">
        <v>123</v>
      </c>
      <c r="D529" s="1010" t="s">
        <v>1574</v>
      </c>
      <c r="E529" s="1010"/>
      <c r="F529" s="1010"/>
    </row>
    <row r="530" spans="1:7" ht="14.4">
      <c r="A530" s="269"/>
      <c r="B530" s="269"/>
      <c r="D530" s="44"/>
    </row>
    <row r="531" spans="1:7" ht="13.2">
      <c r="A531" s="1015" t="s">
        <v>1377</v>
      </c>
      <c r="B531" s="1015"/>
      <c r="C531" s="1015"/>
      <c r="D531" s="1015"/>
      <c r="E531" s="1015"/>
      <c r="F531" s="1015"/>
      <c r="G531" s="1015"/>
    </row>
    <row r="532" spans="1:7" ht="12" customHeight="1">
      <c r="A532" s="269"/>
      <c r="B532" s="269"/>
      <c r="D532" s="44"/>
    </row>
    <row r="533" spans="1:7" ht="13.2">
      <c r="B533" s="606" t="s">
        <v>1374</v>
      </c>
      <c r="C533" s="188"/>
      <c r="D533" s="1039" t="s">
        <v>1520</v>
      </c>
      <c r="E533" s="1039"/>
      <c r="F533" s="1039"/>
    </row>
    <row r="534" spans="1:7" ht="13.2">
      <c r="C534" s="188"/>
      <c r="D534" s="1039"/>
      <c r="E534" s="1039"/>
      <c r="F534" s="1039"/>
    </row>
    <row r="535" spans="1:7" ht="13.2">
      <c r="A535" s="189"/>
      <c r="B535" s="189"/>
      <c r="C535" s="189"/>
      <c r="D535" s="1039"/>
      <c r="E535" s="1039"/>
      <c r="F535" s="1039"/>
    </row>
    <row r="536" spans="1:7" ht="13.2">
      <c r="A536" s="189"/>
      <c r="B536" s="189"/>
      <c r="C536" s="189"/>
      <c r="D536" s="1039"/>
      <c r="E536" s="1039"/>
      <c r="F536" s="1039"/>
    </row>
    <row r="537" spans="1:7" ht="13.2">
      <c r="A537" s="189"/>
      <c r="B537" s="189"/>
      <c r="C537" s="189"/>
    </row>
    <row r="538" spans="1:7" ht="14.4">
      <c r="A538" s="269"/>
      <c r="B538" s="606" t="s">
        <v>1374</v>
      </c>
      <c r="C538" s="205"/>
      <c r="D538" s="992" t="s">
        <v>2126</v>
      </c>
      <c r="E538" s="992"/>
      <c r="F538" s="992"/>
      <c r="G538"/>
    </row>
    <row r="539" spans="1:7" ht="13.2">
      <c r="A539" s="205"/>
      <c r="B539" s="205"/>
      <c r="C539" s="205"/>
      <c r="D539" s="992"/>
      <c r="E539" s="992"/>
      <c r="F539" s="992"/>
      <c r="G539"/>
    </row>
    <row r="540" spans="1:7" ht="13.2">
      <c r="A540" s="189"/>
      <c r="B540" s="189"/>
      <c r="C540" s="189"/>
      <c r="D540" s="44"/>
      <c r="G540"/>
    </row>
    <row r="541" spans="1:7" ht="13.2">
      <c r="A541" s="189"/>
      <c r="B541" s="606" t="s">
        <v>1374</v>
      </c>
      <c r="C541" s="189"/>
      <c r="D541" s="924" t="s">
        <v>2066</v>
      </c>
      <c r="E541" s="925"/>
      <c r="G541"/>
    </row>
    <row r="542" spans="1:7" ht="13.2">
      <c r="A542" s="189"/>
      <c r="B542" s="189"/>
      <c r="C542" s="189"/>
      <c r="D542" s="925"/>
      <c r="E542" s="102" t="s">
        <v>2067</v>
      </c>
      <c r="G542"/>
    </row>
    <row r="543" spans="1:7" ht="14.4">
      <c r="A543" s="269"/>
      <c r="B543"/>
      <c r="D543" s="1008" t="s">
        <v>2127</v>
      </c>
      <c r="E543" s="1008"/>
      <c r="F543" s="1008"/>
      <c r="G543"/>
    </row>
    <row r="544" spans="1:7" ht="14.4">
      <c r="A544" s="269"/>
      <c r="B544" s="269"/>
      <c r="D544" s="1008"/>
      <c r="E544" s="1008"/>
      <c r="F544" s="1008"/>
      <c r="G544"/>
    </row>
    <row r="545" spans="1:7" ht="13.2">
      <c r="D545" s="1008"/>
      <c r="E545" s="1008"/>
      <c r="F545" s="1008"/>
    </row>
    <row r="546" spans="1:7" ht="12" customHeight="1">
      <c r="A546" s="44"/>
      <c r="B546" s="44"/>
      <c r="C546" s="205"/>
      <c r="E546" s="44"/>
    </row>
    <row r="547" spans="1:7" ht="13.2">
      <c r="A547" s="1015" t="s">
        <v>1389</v>
      </c>
      <c r="B547" s="1015"/>
      <c r="C547" s="1015"/>
      <c r="D547" s="1015"/>
      <c r="E547" s="1015"/>
      <c r="F547" s="1015"/>
      <c r="G547" s="1015"/>
    </row>
    <row r="548" spans="1:7" ht="12" customHeight="1">
      <c r="A548" s="44"/>
      <c r="B548" s="44"/>
      <c r="C548" s="205"/>
      <c r="E548" s="44"/>
    </row>
    <row r="549" spans="1:7" ht="13.2">
      <c r="C549" s="205"/>
      <c r="D549" s="1016" t="s">
        <v>1418</v>
      </c>
      <c r="E549" s="1016"/>
      <c r="F549" s="1016"/>
    </row>
    <row r="550" spans="1:7" ht="13.2"/>
    <row r="551" spans="1:7" ht="13.2">
      <c r="B551" s="606" t="s">
        <v>123</v>
      </c>
      <c r="D551" s="992" t="s">
        <v>1546</v>
      </c>
      <c r="E551" s="992"/>
      <c r="F551" s="992"/>
    </row>
    <row r="552" spans="1:7" ht="13.2">
      <c r="D552" s="992"/>
      <c r="E552" s="992"/>
      <c r="F552" s="992"/>
    </row>
    <row r="553" spans="1:7" ht="12" customHeight="1">
      <c r="A553" s="205"/>
      <c r="B553" s="205"/>
      <c r="C553" s="205"/>
      <c r="D553" s="44"/>
    </row>
    <row r="554" spans="1:7" ht="14.4">
      <c r="A554" s="269"/>
      <c r="B554" s="606" t="s">
        <v>123</v>
      </c>
      <c r="C554" s="205"/>
      <c r="D554" s="992" t="s">
        <v>1547</v>
      </c>
      <c r="E554" s="992"/>
      <c r="F554" s="992"/>
    </row>
    <row r="555" spans="1:7" ht="13.2">
      <c r="A555" s="205"/>
      <c r="B555" s="205"/>
      <c r="C555" s="205"/>
      <c r="D555" s="992"/>
      <c r="E555" s="992"/>
      <c r="F555" s="992"/>
    </row>
    <row r="556" spans="1:7" ht="12" customHeight="1">
      <c r="A556" s="205"/>
      <c r="B556" s="205"/>
      <c r="C556" s="205"/>
      <c r="D556" s="44"/>
    </row>
    <row r="557" spans="1:7" ht="13.2">
      <c r="A557" s="1035" t="s">
        <v>1425</v>
      </c>
      <c r="B557" s="1035"/>
      <c r="C557" s="1035"/>
      <c r="D557" s="1035"/>
      <c r="E557" s="1035"/>
      <c r="F557" s="1035"/>
      <c r="G557" s="1035"/>
    </row>
    <row r="558" spans="1:7" ht="12" customHeight="1">
      <c r="A558" s="44"/>
      <c r="B558" s="44"/>
      <c r="C558" s="205"/>
      <c r="D558" s="44"/>
    </row>
    <row r="559" spans="1:7" ht="13.2">
      <c r="C559" s="205"/>
      <c r="D559" s="1016" t="s">
        <v>163</v>
      </c>
      <c r="E559" s="1016"/>
      <c r="F559" s="1016"/>
    </row>
    <row r="560" spans="1:7" ht="13.2">
      <c r="C560" s="205"/>
      <c r="D560" s="1010" t="s">
        <v>1529</v>
      </c>
      <c r="E560" s="1010"/>
      <c r="F560" s="1010"/>
    </row>
    <row r="561" spans="1:7" ht="13.2">
      <c r="C561" s="205"/>
      <c r="D561" s="44"/>
      <c r="E561" s="44"/>
      <c r="F561" s="44"/>
    </row>
    <row r="562" spans="1:7" ht="14.4">
      <c r="A562" s="269"/>
      <c r="B562" s="606" t="s">
        <v>1374</v>
      </c>
      <c r="C562" s="205"/>
      <c r="D562" s="1010" t="s">
        <v>1112</v>
      </c>
      <c r="E562" s="1010"/>
      <c r="F562" s="1010"/>
    </row>
    <row r="563" spans="1:7" ht="12" customHeight="1">
      <c r="A563" s="205"/>
      <c r="B563" s="205"/>
      <c r="C563" s="205"/>
      <c r="D563" s="44"/>
      <c r="E563"/>
      <c r="F563"/>
      <c r="G563"/>
    </row>
    <row r="564" spans="1:7" ht="14.4" customHeight="1">
      <c r="A564" s="269"/>
      <c r="B564" s="606" t="s">
        <v>1374</v>
      </c>
      <c r="C564" s="205"/>
      <c r="D564" s="992" t="s">
        <v>1528</v>
      </c>
      <c r="E564" s="992"/>
      <c r="F564" s="992"/>
      <c r="G564"/>
    </row>
    <row r="565" spans="1:7" ht="13.2">
      <c r="A565" s="205"/>
      <c r="B565" s="205"/>
      <c r="C565" s="205"/>
      <c r="D565" s="992"/>
      <c r="E565" s="992"/>
      <c r="F565" s="992"/>
      <c r="G565"/>
    </row>
    <row r="566" spans="1:7" ht="12" customHeight="1">
      <c r="A566" s="205"/>
      <c r="B566" s="205"/>
      <c r="C566" s="205"/>
      <c r="D566" s="44"/>
      <c r="E566"/>
      <c r="F566"/>
      <c r="G566"/>
    </row>
    <row r="567" spans="1:7" ht="14.4">
      <c r="A567" s="269"/>
      <c r="B567" s="606" t="s">
        <v>1374</v>
      </c>
      <c r="C567" s="205"/>
      <c r="D567" s="992" t="s">
        <v>1530</v>
      </c>
      <c r="E567" s="992"/>
      <c r="F567" s="992"/>
      <c r="G567"/>
    </row>
    <row r="568" spans="1:7" ht="13.2">
      <c r="A568" s="205"/>
      <c r="B568" s="205"/>
      <c r="C568" s="205"/>
      <c r="D568" s="992"/>
      <c r="E568" s="992"/>
      <c r="F568" s="992"/>
      <c r="G568"/>
    </row>
    <row r="569" spans="1:7" ht="12" customHeight="1">
      <c r="A569" s="205"/>
      <c r="B569" s="205"/>
      <c r="C569" s="205"/>
      <c r="D569" s="44"/>
      <c r="E569"/>
      <c r="F569"/>
      <c r="G569"/>
    </row>
    <row r="570" spans="1:7" ht="14.4">
      <c r="A570" s="269"/>
      <c r="B570" s="606" t="s">
        <v>1374</v>
      </c>
      <c r="C570" s="205"/>
      <c r="D570" s="992" t="s">
        <v>1531</v>
      </c>
      <c r="E570" s="992"/>
      <c r="F570" s="992"/>
      <c r="G570"/>
    </row>
    <row r="571" spans="1:7" ht="13.2">
      <c r="A571" s="205"/>
      <c r="B571" s="205"/>
      <c r="C571" s="205"/>
      <c r="D571" s="992"/>
      <c r="E571" s="992"/>
      <c r="F571" s="992"/>
      <c r="G571"/>
    </row>
    <row r="572" spans="1:7" ht="12" customHeight="1">
      <c r="A572" s="205"/>
      <c r="B572" s="205"/>
      <c r="C572" s="205"/>
      <c r="D572" s="44"/>
      <c r="E572"/>
      <c r="F572"/>
      <c r="G572"/>
    </row>
    <row r="573" spans="1:7" ht="14.4" customHeight="1">
      <c r="A573" s="269"/>
      <c r="B573" s="606" t="s">
        <v>1374</v>
      </c>
      <c r="C573" s="205"/>
      <c r="D573" s="992" t="s">
        <v>1532</v>
      </c>
      <c r="E573" s="992"/>
      <c r="F573" s="992"/>
      <c r="G573"/>
    </row>
    <row r="574" spans="1:7" ht="13.2">
      <c r="A574" s="205"/>
      <c r="B574" s="205"/>
      <c r="C574" s="205"/>
      <c r="D574" s="992"/>
      <c r="E574" s="992"/>
      <c r="F574" s="992"/>
      <c r="G574"/>
    </row>
    <row r="575" spans="1:7" ht="13.2">
      <c r="A575" s="205"/>
      <c r="B575" s="205"/>
      <c r="C575" s="205"/>
      <c r="D575" s="992"/>
      <c r="E575" s="992"/>
      <c r="F575" s="992"/>
      <c r="G575"/>
    </row>
    <row r="576" spans="1:7" ht="13.2">
      <c r="A576" s="205"/>
      <c r="B576" s="205"/>
      <c r="C576" s="205"/>
      <c r="D576" s="44"/>
      <c r="E576"/>
      <c r="F576"/>
      <c r="G576"/>
    </row>
    <row r="577" spans="1:7" ht="14.4">
      <c r="A577" s="269"/>
      <c r="B577" s="606" t="s">
        <v>123</v>
      </c>
      <c r="C577" s="205"/>
      <c r="D577" s="983" t="s">
        <v>1625</v>
      </c>
      <c r="E577" s="992"/>
      <c r="F577" s="992"/>
      <c r="G577"/>
    </row>
    <row r="578" spans="1:7" ht="13.2">
      <c r="A578" s="205"/>
      <c r="B578" s="205"/>
      <c r="C578" s="205"/>
      <c r="D578" s="992"/>
      <c r="E578" s="992"/>
      <c r="F578" s="992"/>
      <c r="G578"/>
    </row>
    <row r="579" spans="1:7" ht="13.2">
      <c r="A579" s="205"/>
      <c r="B579" s="205"/>
      <c r="C579" s="205"/>
      <c r="D579" s="44"/>
      <c r="G579"/>
    </row>
    <row r="580" spans="1:7" ht="14.4">
      <c r="A580" s="269"/>
      <c r="B580" s="606" t="s">
        <v>1374</v>
      </c>
      <c r="C580" s="205"/>
      <c r="D580" s="992" t="s">
        <v>1533</v>
      </c>
      <c r="E580" s="992"/>
      <c r="F580" s="992"/>
      <c r="G580"/>
    </row>
    <row r="581" spans="1:7" ht="13.2">
      <c r="A581" s="205"/>
      <c r="B581" s="205"/>
      <c r="C581" s="205"/>
      <c r="D581" s="992"/>
      <c r="E581" s="992"/>
      <c r="F581" s="992"/>
      <c r="G581"/>
    </row>
    <row r="582" spans="1:7" ht="12" customHeight="1">
      <c r="A582" s="205"/>
      <c r="B582" s="205"/>
      <c r="C582" s="205"/>
      <c r="D582" s="44"/>
      <c r="G582"/>
    </row>
    <row r="583" spans="1:7" ht="14.4">
      <c r="A583" s="269"/>
      <c r="B583" s="606" t="s">
        <v>1374</v>
      </c>
      <c r="C583" s="205"/>
      <c r="D583" s="1010" t="s">
        <v>1534</v>
      </c>
      <c r="E583" s="1010"/>
      <c r="F583" s="1010"/>
      <c r="G583"/>
    </row>
    <row r="584" spans="1:7" ht="14.4">
      <c r="A584" s="269"/>
      <c r="B584" s="269"/>
      <c r="C584" s="205"/>
      <c r="D584" s="1038" t="s">
        <v>2068</v>
      </c>
      <c r="E584" s="1038"/>
      <c r="F584" s="1038"/>
      <c r="G584"/>
    </row>
    <row r="585" spans="1:7" ht="13.2">
      <c r="A585" s="18"/>
      <c r="B585" s="18"/>
      <c r="C585" s="205"/>
      <c r="D585" s="926"/>
      <c r="E585" s="102" t="s">
        <v>2069</v>
      </c>
      <c r="F585" s="927"/>
      <c r="G585"/>
    </row>
    <row r="586" spans="1:7" ht="15" customHeight="1">
      <c r="A586" s="18"/>
      <c r="B586" s="18"/>
      <c r="C586" s="205"/>
      <c r="D586" s="983" t="s">
        <v>1743</v>
      </c>
      <c r="E586" s="992"/>
      <c r="F586" s="992"/>
      <c r="G586"/>
    </row>
    <row r="587" spans="1:7" ht="13.2">
      <c r="A587" s="18"/>
      <c r="B587" s="18"/>
      <c r="C587" s="205"/>
      <c r="D587" s="992"/>
      <c r="E587" s="992"/>
      <c r="F587" s="992"/>
      <c r="G587"/>
    </row>
    <row r="588" spans="1:7" ht="13.2">
      <c r="A588" s="18"/>
      <c r="B588" s="18"/>
      <c r="C588" s="205"/>
      <c r="D588" s="992"/>
      <c r="E588" s="992"/>
      <c r="F588" s="992"/>
      <c r="G588"/>
    </row>
    <row r="589" spans="1:7" ht="13.2">
      <c r="A589" s="18"/>
      <c r="B589" s="18"/>
      <c r="C589" s="205"/>
      <c r="D589" s="992"/>
      <c r="E589" s="992"/>
      <c r="F589" s="992"/>
      <c r="G589"/>
    </row>
    <row r="590" spans="1:7" ht="13.2">
      <c r="A590" s="18"/>
      <c r="B590" s="18"/>
      <c r="C590" s="205"/>
      <c r="D590" s="992"/>
      <c r="E590" s="992"/>
      <c r="F590" s="992"/>
      <c r="G590"/>
    </row>
    <row r="591" spans="1:7" ht="13.2">
      <c r="A591" s="18"/>
      <c r="B591" s="18"/>
      <c r="C591" s="205"/>
      <c r="D591" s="992"/>
      <c r="E591" s="992"/>
      <c r="F591" s="992"/>
      <c r="G591"/>
    </row>
    <row r="592" spans="1:7" ht="13.2">
      <c r="A592" s="18"/>
      <c r="B592" s="18"/>
      <c r="C592" s="205"/>
      <c r="D592" s="992"/>
      <c r="E592" s="992"/>
      <c r="F592" s="992"/>
      <c r="G592"/>
    </row>
    <row r="593" spans="1:7" ht="13.2">
      <c r="A593" s="18"/>
      <c r="B593" s="18"/>
      <c r="C593" s="205"/>
      <c r="D593" s="992"/>
      <c r="E593" s="992"/>
      <c r="F593" s="992"/>
      <c r="G593"/>
    </row>
    <row r="594" spans="1:7" ht="13.2">
      <c r="A594" s="18"/>
      <c r="B594" s="18"/>
      <c r="C594" s="205"/>
      <c r="D594" s="992"/>
      <c r="E594" s="992"/>
      <c r="F594" s="992"/>
      <c r="G594"/>
    </row>
    <row r="595" spans="1:7" ht="13.2">
      <c r="A595" s="18"/>
      <c r="B595" s="18"/>
      <c r="C595" s="205"/>
      <c r="D595" s="207"/>
      <c r="E595" s="207"/>
      <c r="F595" s="207"/>
      <c r="G595"/>
    </row>
    <row r="596" spans="1:7" ht="14.4">
      <c r="A596" s="269"/>
      <c r="B596" s="606" t="s">
        <v>1374</v>
      </c>
      <c r="C596" s="205"/>
      <c r="D596" s="1010" t="s">
        <v>1535</v>
      </c>
      <c r="E596" s="1010"/>
      <c r="F596" s="1010"/>
      <c r="G596"/>
    </row>
    <row r="597" spans="1:7" ht="13.65" customHeight="1">
      <c r="C597" s="205"/>
      <c r="D597" s="992" t="s">
        <v>1536</v>
      </c>
      <c r="E597" s="992"/>
      <c r="F597" s="992"/>
      <c r="G597"/>
    </row>
    <row r="598" spans="1:7" ht="13.2">
      <c r="A598" s="205"/>
      <c r="B598" s="205"/>
      <c r="C598" s="205"/>
      <c r="D598" s="992"/>
      <c r="E598" s="992"/>
      <c r="F598" s="992"/>
      <c r="G598"/>
    </row>
    <row r="599" spans="1:7" ht="13.2">
      <c r="A599" s="205"/>
      <c r="B599" s="205"/>
      <c r="C599" s="205"/>
      <c r="D599" s="992"/>
      <c r="E599" s="992"/>
      <c r="F599" s="992"/>
      <c r="G599"/>
    </row>
    <row r="600" spans="1:7" ht="13.2">
      <c r="A600" s="205"/>
      <c r="B600" s="205"/>
      <c r="C600" s="205"/>
      <c r="D600" s="207"/>
      <c r="E600" s="207"/>
      <c r="F600" s="207"/>
      <c r="G600"/>
    </row>
    <row r="601" spans="1:7" ht="14.4" customHeight="1">
      <c r="A601" s="269"/>
      <c r="B601" s="606" t="s">
        <v>1374</v>
      </c>
      <c r="C601" s="205"/>
      <c r="D601" s="992" t="s">
        <v>2128</v>
      </c>
      <c r="E601" s="992"/>
      <c r="F601" s="992"/>
      <c r="G601"/>
    </row>
    <row r="602" spans="1:7" ht="14.4">
      <c r="A602" s="269"/>
      <c r="B602" s="269"/>
      <c r="C602" s="205"/>
      <c r="D602" s="992"/>
      <c r="E602" s="992"/>
      <c r="F602" s="992"/>
      <c r="G602"/>
    </row>
    <row r="603" spans="1:7" ht="14.4">
      <c r="A603" s="269"/>
      <c r="B603" s="269"/>
      <c r="C603" s="205"/>
      <c r="D603" s="992"/>
      <c r="E603" s="992"/>
      <c r="F603" s="992"/>
    </row>
    <row r="604" spans="1:7" ht="13.2">
      <c r="A604" s="205"/>
      <c r="B604" s="205"/>
      <c r="C604" s="205"/>
      <c r="D604" s="992"/>
      <c r="E604" s="992"/>
      <c r="F604" s="992"/>
    </row>
    <row r="605" spans="1:7" ht="13.2">
      <c r="A605" s="205"/>
      <c r="B605" s="205"/>
      <c r="C605" s="205"/>
      <c r="D605" s="44"/>
    </row>
    <row r="606" spans="1:7" ht="13.2">
      <c r="A606" s="189"/>
      <c r="B606" s="606" t="s">
        <v>123</v>
      </c>
      <c r="C606" s="189"/>
      <c r="D606" s="1013" t="s">
        <v>1801</v>
      </c>
      <c r="E606" s="1014"/>
      <c r="F606" s="1014"/>
    </row>
    <row r="607" spans="1:7" ht="13.2">
      <c r="A607" s="189"/>
      <c r="B607" s="189"/>
      <c r="C607" s="189"/>
    </row>
    <row r="608" spans="1:7" ht="13.2">
      <c r="A608" s="205"/>
      <c r="B608" s="205"/>
      <c r="C608" s="205"/>
      <c r="D608" s="24"/>
      <c r="E608" s="24"/>
      <c r="F608" s="24"/>
    </row>
    <row r="609" spans="1:7" ht="13.2">
      <c r="A609" s="1015" t="s">
        <v>1391</v>
      </c>
      <c r="B609" s="1015"/>
      <c r="C609" s="1015"/>
      <c r="D609" s="1015"/>
      <c r="E609" s="1015"/>
      <c r="F609" s="1015"/>
      <c r="G609" s="1015"/>
    </row>
    <row r="610" spans="1:7" ht="13.2">
      <c r="A610" s="205"/>
      <c r="B610" s="205"/>
      <c r="C610" s="205"/>
    </row>
    <row r="611" spans="1:7" ht="13.2">
      <c r="C611" s="188"/>
      <c r="D611" s="1017" t="s">
        <v>164</v>
      </c>
      <c r="E611" s="1017"/>
      <c r="F611" s="1017"/>
    </row>
    <row r="612" spans="1:7" ht="13.2">
      <c r="C612" s="188"/>
      <c r="D612" s="1018" t="s">
        <v>1439</v>
      </c>
      <c r="E612" s="1018"/>
      <c r="F612" s="1018"/>
    </row>
    <row r="613" spans="1:7" ht="13.2">
      <c r="C613" s="188"/>
      <c r="D613" s="368"/>
    </row>
    <row r="614" spans="1:7" ht="14.4">
      <c r="A614" s="269"/>
      <c r="B614" s="606" t="s">
        <v>1374</v>
      </c>
      <c r="D614" s="1018" t="s">
        <v>1113</v>
      </c>
      <c r="E614" s="1018"/>
      <c r="F614" s="1018"/>
    </row>
    <row r="615" spans="1:7" ht="13.2">
      <c r="A615" s="18"/>
      <c r="B615" s="18"/>
      <c r="D615" s="358"/>
    </row>
    <row r="616" spans="1:7" ht="14.4" customHeight="1">
      <c r="A616" s="269"/>
      <c r="B616" s="606" t="s">
        <v>1374</v>
      </c>
      <c r="D616" s="1018" t="s">
        <v>2129</v>
      </c>
      <c r="E616" s="1018"/>
      <c r="F616" s="1018"/>
    </row>
    <row r="617" spans="1:7" ht="14.4" customHeight="1">
      <c r="A617" s="269"/>
      <c r="B617" s="269"/>
      <c r="D617" s="1018"/>
      <c r="E617" s="1018"/>
      <c r="F617" s="1018"/>
    </row>
    <row r="618" spans="1:7" ht="14.4">
      <c r="A618" s="269"/>
      <c r="B618" s="269"/>
      <c r="D618" s="1018"/>
      <c r="E618" s="1018"/>
      <c r="F618" s="1018"/>
    </row>
    <row r="619" spans="1:7" ht="14.4">
      <c r="A619" s="269"/>
      <c r="B619" s="269"/>
      <c r="D619" s="610"/>
      <c r="E619" s="610"/>
      <c r="F619" s="610"/>
    </row>
    <row r="620" spans="1:7" ht="14.4">
      <c r="A620" s="269"/>
      <c r="B620" s="606" t="s">
        <v>123</v>
      </c>
      <c r="D620" s="1018" t="s">
        <v>1440</v>
      </c>
      <c r="E620" s="1018"/>
      <c r="F620" s="1018"/>
    </row>
    <row r="621" spans="1:7" ht="14.4">
      <c r="A621" s="269"/>
      <c r="B621" s="269"/>
      <c r="D621" s="1018"/>
      <c r="E621" s="1018"/>
      <c r="F621" s="1018"/>
    </row>
    <row r="622" spans="1:7" ht="14.4">
      <c r="A622" s="269"/>
      <c r="B622" s="269"/>
      <c r="D622" s="1018"/>
      <c r="E622" s="1018"/>
      <c r="F622" s="1018"/>
    </row>
    <row r="623" spans="1:7" ht="14.4">
      <c r="A623" s="269"/>
      <c r="B623" s="269"/>
      <c r="D623" s="1018"/>
      <c r="E623" s="1018"/>
      <c r="F623" s="1018"/>
    </row>
    <row r="624" spans="1:7" ht="14.4">
      <c r="A624" s="269"/>
      <c r="B624" s="269"/>
      <c r="D624" s="368"/>
    </row>
    <row r="625" spans="1:7" ht="14.4">
      <c r="A625" s="269"/>
      <c r="B625" s="606" t="s">
        <v>1374</v>
      </c>
      <c r="D625" s="1018" t="s">
        <v>2130</v>
      </c>
      <c r="E625" s="1018"/>
      <c r="F625" s="1018"/>
    </row>
    <row r="626" spans="1:7" ht="14.4">
      <c r="A626" s="269"/>
      <c r="B626" s="269"/>
      <c r="D626" s="1018"/>
      <c r="E626" s="1018"/>
      <c r="F626" s="1018"/>
    </row>
    <row r="627" spans="1:7" ht="14.4">
      <c r="A627" s="269"/>
      <c r="B627" s="269"/>
      <c r="D627" s="368"/>
    </row>
    <row r="628" spans="1:7" ht="14.4" customHeight="1">
      <c r="A628" s="269"/>
      <c r="B628" s="606" t="s">
        <v>123</v>
      </c>
      <c r="D628" s="1018" t="s">
        <v>1444</v>
      </c>
      <c r="E628" s="1018"/>
      <c r="F628" s="1018"/>
    </row>
    <row r="629" spans="1:7" ht="14.4">
      <c r="A629" s="269"/>
      <c r="B629" s="269"/>
      <c r="D629" s="1018"/>
      <c r="E629" s="1018"/>
      <c r="F629" s="1018"/>
    </row>
    <row r="630" spans="1:7" ht="14.4">
      <c r="A630" s="269"/>
      <c r="B630" s="269"/>
      <c r="D630" s="368"/>
    </row>
    <row r="631" spans="1:7" ht="14.4">
      <c r="A631" s="269"/>
      <c r="B631" s="606" t="s">
        <v>1374</v>
      </c>
      <c r="D631" s="1018" t="s">
        <v>1114</v>
      </c>
      <c r="E631" s="1018"/>
      <c r="F631" s="1018"/>
    </row>
    <row r="632" spans="1:7" ht="13.2">
      <c r="A632" s="18"/>
      <c r="B632" s="18"/>
    </row>
    <row r="633" spans="1:7" ht="13.2">
      <c r="A633" s="1015" t="s">
        <v>1393</v>
      </c>
      <c r="B633" s="1015"/>
      <c r="C633" s="1015"/>
      <c r="D633" s="1015"/>
      <c r="E633" s="1015"/>
      <c r="F633" s="1015"/>
      <c r="G633" s="1015"/>
    </row>
    <row r="634" spans="1:7" ht="13.2">
      <c r="A634" s="63"/>
      <c r="B634" s="63"/>
    </row>
    <row r="635" spans="1:7" ht="13.2">
      <c r="C635" s="189"/>
      <c r="D635" s="1024" t="s">
        <v>1392</v>
      </c>
      <c r="E635" s="1024"/>
      <c r="F635" s="1024"/>
    </row>
    <row r="636" spans="1:7" ht="13.2">
      <c r="C636" s="189"/>
      <c r="D636" s="1014" t="s">
        <v>1419</v>
      </c>
      <c r="E636" s="1014"/>
      <c r="F636" s="1014"/>
    </row>
    <row r="637" spans="1:7" ht="13.2">
      <c r="C637" s="189"/>
      <c r="D637" s="100"/>
      <c r="E637" s="100"/>
      <c r="F637" s="100"/>
    </row>
    <row r="638" spans="1:7" ht="14.25" customHeight="1">
      <c r="A638" s="269"/>
      <c r="B638" s="606" t="s">
        <v>1374</v>
      </c>
      <c r="D638" s="1005" t="s">
        <v>2071</v>
      </c>
      <c r="E638" s="1006"/>
      <c r="F638" s="1006"/>
    </row>
    <row r="639" spans="1:7" ht="13.2">
      <c r="D639" s="1006"/>
      <c r="E639" s="1006"/>
      <c r="F639" s="1006"/>
    </row>
    <row r="640" spans="1:7" ht="13.2">
      <c r="D640" s="928"/>
      <c r="E640" s="922" t="s">
        <v>2070</v>
      </c>
      <c r="F640" s="928"/>
    </row>
    <row r="641" spans="1:7" ht="13.2">
      <c r="D641" s="928"/>
      <c r="E641" s="922"/>
      <c r="F641" s="928"/>
    </row>
    <row r="642" spans="1:7" ht="13.2">
      <c r="B642" s="606" t="s">
        <v>123</v>
      </c>
      <c r="D642" s="1005" t="s">
        <v>2305</v>
      </c>
      <c r="E642" s="1005"/>
      <c r="F642" s="1005"/>
    </row>
    <row r="643" spans="1:7" ht="13.2">
      <c r="D643" s="1005"/>
      <c r="E643" s="1005"/>
      <c r="F643" s="1005"/>
    </row>
    <row r="644" spans="1:7" ht="13.2">
      <c r="D644" s="1005"/>
      <c r="E644" s="1005"/>
      <c r="F644" s="1005"/>
    </row>
    <row r="645" spans="1:7" ht="13.2">
      <c r="D645" s="1005"/>
      <c r="E645" s="1005"/>
      <c r="F645" s="1005"/>
    </row>
    <row r="646" spans="1:7" ht="13.2">
      <c r="D646" s="928"/>
      <c r="E646" s="922"/>
      <c r="F646" s="928"/>
    </row>
    <row r="647" spans="1:7" ht="13.2">
      <c r="A647" s="63"/>
      <c r="B647" s="63"/>
    </row>
    <row r="648" spans="1:7" ht="12" customHeight="1">
      <c r="A648" s="1015" t="s">
        <v>1395</v>
      </c>
      <c r="B648" s="1015"/>
      <c r="C648" s="1015"/>
      <c r="D648" s="1015"/>
      <c r="E648" s="1015"/>
      <c r="F648" s="1015"/>
      <c r="G648" s="1015"/>
    </row>
    <row r="649" spans="1:7" ht="13.2">
      <c r="A649" s="44"/>
      <c r="B649" s="44"/>
    </row>
    <row r="650" spans="1:7" ht="13.2">
      <c r="C650" s="188"/>
      <c r="D650" s="1016" t="s">
        <v>1394</v>
      </c>
      <c r="E650" s="1016"/>
      <c r="F650" s="1016"/>
    </row>
    <row r="651" spans="1:7" ht="13.2">
      <c r="A651" s="189"/>
      <c r="B651" s="189"/>
      <c r="C651" s="189"/>
      <c r="D651" s="1010" t="s">
        <v>1548</v>
      </c>
      <c r="E651" s="1010"/>
      <c r="F651" s="1010"/>
    </row>
    <row r="652" spans="1:7" ht="13.2">
      <c r="A652" s="189"/>
      <c r="B652" s="189"/>
      <c r="C652" s="189"/>
    </row>
    <row r="653" spans="1:7" ht="14.4">
      <c r="A653" s="269"/>
      <c r="B653" s="269"/>
      <c r="D653" s="1024" t="s">
        <v>869</v>
      </c>
      <c r="E653" s="1024"/>
      <c r="F653" s="1024"/>
    </row>
    <row r="654" spans="1:7" ht="14.4">
      <c r="A654" s="269"/>
      <c r="B654" s="606" t="s">
        <v>1374</v>
      </c>
      <c r="D654" s="1014" t="s">
        <v>1549</v>
      </c>
      <c r="E654" s="1014"/>
      <c r="F654" s="1014"/>
    </row>
    <row r="655" spans="1:7" ht="14.4">
      <c r="A655" s="269"/>
      <c r="B655" s="269"/>
      <c r="D655" s="44"/>
    </row>
    <row r="656" spans="1:7" ht="14.4">
      <c r="A656" s="269"/>
      <c r="B656" s="606" t="s">
        <v>123</v>
      </c>
      <c r="D656" s="992" t="s">
        <v>1550</v>
      </c>
      <c r="E656" s="992"/>
      <c r="F656" s="992"/>
    </row>
    <row r="657" spans="1:7" ht="14.4">
      <c r="A657" s="269"/>
      <c r="B657" s="269"/>
      <c r="D657" s="992"/>
      <c r="E657" s="992"/>
      <c r="F657" s="992"/>
    </row>
    <row r="658" spans="1:7" ht="14.4">
      <c r="A658" s="269"/>
      <c r="B658" s="269"/>
      <c r="D658" s="44"/>
    </row>
    <row r="659" spans="1:7" ht="14.4">
      <c r="A659" s="269"/>
      <c r="B659" s="606" t="s">
        <v>1374</v>
      </c>
      <c r="D659" s="983" t="s">
        <v>1909</v>
      </c>
      <c r="E659" s="983"/>
      <c r="F659" s="983"/>
    </row>
    <row r="660" spans="1:7" ht="13.65" customHeight="1">
      <c r="D660" s="983"/>
      <c r="E660" s="983"/>
      <c r="F660" s="983"/>
    </row>
    <row r="661" spans="1:7" ht="13.2"/>
    <row r="662" spans="1:7" ht="14.4">
      <c r="A662" s="269"/>
      <c r="B662" s="606" t="s">
        <v>1374</v>
      </c>
      <c r="D662" s="1014" t="s">
        <v>1551</v>
      </c>
      <c r="E662" s="1014"/>
      <c r="F662" s="1014"/>
    </row>
    <row r="663" spans="1:7" ht="13.2">
      <c r="A663" s="188"/>
      <c r="B663" s="188"/>
      <c r="C663" s="188"/>
    </row>
    <row r="664" spans="1:7" ht="13.2">
      <c r="A664" s="1015" t="s">
        <v>1396</v>
      </c>
      <c r="B664" s="1015"/>
      <c r="C664" s="1015"/>
      <c r="D664" s="1015"/>
      <c r="E664" s="1015"/>
      <c r="F664" s="1015"/>
      <c r="G664" s="1015"/>
    </row>
    <row r="665" spans="1:7" ht="13.2">
      <c r="A665" s="188"/>
      <c r="B665" s="188"/>
      <c r="C665" s="188"/>
    </row>
    <row r="666" spans="1:7" ht="13.2">
      <c r="C666" s="18"/>
      <c r="D666" s="1054" t="s">
        <v>1420</v>
      </c>
      <c r="E666" s="1054"/>
      <c r="F666" s="1054"/>
    </row>
    <row r="667" spans="1:7" ht="13.2">
      <c r="A667" s="18"/>
      <c r="B667" s="18"/>
      <c r="D667" s="3"/>
    </row>
    <row r="668" spans="1:7" ht="14.25" customHeight="1">
      <c r="A668" s="269"/>
      <c r="B668" s="606" t="s">
        <v>1374</v>
      </c>
      <c r="D668" s="1005" t="s">
        <v>2131</v>
      </c>
      <c r="E668" s="1005"/>
      <c r="F668" s="1005"/>
    </row>
    <row r="669" spans="1:7" ht="14.4">
      <c r="A669" s="269"/>
      <c r="B669" s="269"/>
      <c r="D669" s="1005"/>
      <c r="E669" s="1005"/>
      <c r="F669" s="1005"/>
    </row>
    <row r="670" spans="1:7" ht="13.2">
      <c r="D670" s="928"/>
      <c r="E670" s="922" t="s">
        <v>2073</v>
      </c>
      <c r="F670" s="928"/>
    </row>
    <row r="671" spans="1:7" ht="13.2">
      <c r="D671" s="989" t="s">
        <v>2072</v>
      </c>
      <c r="E671" s="989"/>
      <c r="F671" s="989"/>
    </row>
    <row r="672" spans="1:7" ht="12.75" customHeight="1">
      <c r="D672" s="989"/>
      <c r="E672" s="989"/>
      <c r="F672" s="989"/>
    </row>
    <row r="673" spans="1:9" ht="13.2">
      <c r="B673"/>
      <c r="D673" s="989"/>
      <c r="E673" s="989"/>
      <c r="F673" s="989"/>
    </row>
    <row r="674" spans="1:9" ht="13.2"/>
    <row r="675" spans="1:9" ht="14.4">
      <c r="A675" s="301"/>
      <c r="B675" s="606" t="s">
        <v>123</v>
      </c>
      <c r="D675" s="1055" t="s">
        <v>1552</v>
      </c>
      <c r="E675" s="1055"/>
      <c r="F675" s="1055"/>
      <c r="G675" s="44"/>
    </row>
    <row r="676" spans="1:9" ht="14.4">
      <c r="A676" s="301"/>
      <c r="B676" s="301"/>
      <c r="D676" s="1055"/>
      <c r="E676" s="1055"/>
      <c r="F676" s="1055"/>
      <c r="G676" s="44"/>
    </row>
    <row r="677" spans="1:9" ht="14.4">
      <c r="A677" s="301"/>
      <c r="B677" s="301"/>
      <c r="D677" s="44"/>
      <c r="E677" s="44"/>
      <c r="F677" s="44"/>
      <c r="G677" s="44"/>
    </row>
    <row r="678" spans="1:9" ht="13.65" customHeight="1">
      <c r="A678" s="301"/>
      <c r="B678" s="606" t="s">
        <v>123</v>
      </c>
      <c r="D678" s="1025" t="s">
        <v>1802</v>
      </c>
      <c r="E678" s="1025"/>
      <c r="F678" s="1025"/>
      <c r="G678" s="44"/>
    </row>
    <row r="679" spans="1:9" ht="14.4">
      <c r="A679" s="301"/>
      <c r="B679" s="301"/>
      <c r="D679" s="1025"/>
      <c r="E679" s="1025"/>
      <c r="F679" s="1025"/>
      <c r="G679" s="44"/>
    </row>
    <row r="680" spans="1:9" ht="14.4">
      <c r="A680" s="269"/>
      <c r="B680" s="269"/>
      <c r="D680" s="623"/>
      <c r="E680" s="623"/>
      <c r="F680" s="623"/>
      <c r="G680" s="44"/>
    </row>
    <row r="681" spans="1:9" ht="14.4">
      <c r="A681" s="269"/>
      <c r="B681" s="606" t="s">
        <v>123</v>
      </c>
      <c r="C681" s="205"/>
      <c r="D681" s="1056" t="s">
        <v>1553</v>
      </c>
      <c r="E681" s="1056"/>
      <c r="F681" s="1056"/>
      <c r="G681" s="44"/>
    </row>
    <row r="682" spans="1:9" ht="13.2">
      <c r="A682" s="44"/>
      <c r="B682" s="44"/>
      <c r="C682" s="205"/>
      <c r="D682" s="44"/>
      <c r="E682" s="44"/>
      <c r="F682" s="44"/>
      <c r="G682" s="44"/>
      <c r="H682" s="265"/>
      <c r="I682" s="265"/>
    </row>
    <row r="683" spans="1:9" ht="13.2">
      <c r="A683" s="1015" t="s">
        <v>1398</v>
      </c>
      <c r="B683" s="1015"/>
      <c r="C683" s="1015"/>
      <c r="D683" s="1015"/>
      <c r="E683" s="1015"/>
      <c r="F683" s="1015"/>
      <c r="G683" s="1015"/>
    </row>
    <row r="684" spans="1:9" ht="13.2">
      <c r="A684" s="44"/>
      <c r="B684" s="44"/>
      <c r="C684" s="205"/>
      <c r="D684" s="44"/>
      <c r="E684" s="44"/>
      <c r="F684" s="44"/>
      <c r="G684" s="44"/>
    </row>
    <row r="685" spans="1:9" ht="13.2">
      <c r="C685" s="188"/>
      <c r="D685" s="1016" t="s">
        <v>1397</v>
      </c>
      <c r="E685" s="1016"/>
      <c r="F685" s="1016"/>
      <c r="G685" s="44"/>
    </row>
    <row r="686" spans="1:9" ht="13.2">
      <c r="A686" s="189"/>
      <c r="B686" s="189"/>
      <c r="C686" s="189"/>
      <c r="D686" s="1010" t="s">
        <v>1421</v>
      </c>
      <c r="E686" s="1010"/>
      <c r="F686" s="1010"/>
      <c r="G686" s="44"/>
    </row>
    <row r="687" spans="1:9" ht="13.2">
      <c r="A687" s="189"/>
      <c r="B687" s="189"/>
      <c r="C687" s="189"/>
      <c r="D687" s="44"/>
      <c r="E687" s="44"/>
      <c r="F687" s="44"/>
      <c r="G687" s="44"/>
    </row>
    <row r="688" spans="1:9" ht="14.4" customHeight="1">
      <c r="A688" s="269"/>
      <c r="B688" s="606" t="s">
        <v>1374</v>
      </c>
      <c r="C688" s="205"/>
      <c r="D688" s="983" t="s">
        <v>1865</v>
      </c>
      <c r="E688" s="983"/>
      <c r="F688" s="983"/>
      <c r="G688" s="44"/>
    </row>
    <row r="689" spans="1:7" ht="14.4">
      <c r="A689" s="269"/>
      <c r="B689" s="269"/>
      <c r="C689" s="205"/>
      <c r="D689" s="983"/>
      <c r="E689" s="983"/>
      <c r="F689" s="983"/>
      <c r="G689" s="44"/>
    </row>
    <row r="690" spans="1:7" ht="14.4">
      <c r="A690" s="269"/>
      <c r="B690" s="269"/>
      <c r="C690" s="205"/>
      <c r="D690" s="983"/>
      <c r="E690" s="983"/>
      <c r="F690" s="983"/>
      <c r="G690" s="44"/>
    </row>
    <row r="691" spans="1:7" ht="14.4">
      <c r="A691" s="269"/>
      <c r="B691" s="269"/>
      <c r="C691" s="205"/>
      <c r="D691" s="983"/>
      <c r="E691" s="983"/>
      <c r="F691" s="983"/>
      <c r="G691" s="44"/>
    </row>
    <row r="692" spans="1:7" ht="14.4">
      <c r="A692" s="269"/>
      <c r="B692" s="269"/>
      <c r="C692" s="205"/>
      <c r="D692" s="983"/>
      <c r="E692" s="983"/>
      <c r="F692" s="983"/>
      <c r="G692" s="44"/>
    </row>
    <row r="693" spans="1:7" ht="14.4">
      <c r="A693" s="269"/>
      <c r="B693" s="269"/>
      <c r="C693" s="205"/>
      <c r="D693" s="983"/>
      <c r="E693" s="983"/>
      <c r="F693" s="983"/>
      <c r="G693" s="44"/>
    </row>
    <row r="694" spans="1:7" ht="14.4" hidden="1">
      <c r="A694" s="269"/>
      <c r="B694" s="269"/>
      <c r="C694" s="205"/>
      <c r="D694" s="368"/>
      <c r="F694" s="44"/>
      <c r="G694" s="44"/>
    </row>
    <row r="695" spans="1:7" ht="14.4" hidden="1">
      <c r="A695" s="269"/>
      <c r="B695" s="606" t="s">
        <v>78</v>
      </c>
      <c r="C695" s="205"/>
      <c r="D695" s="1041" t="s">
        <v>1437</v>
      </c>
      <c r="E695" s="1041"/>
      <c r="F695" s="1041"/>
      <c r="G695" s="44"/>
    </row>
    <row r="696" spans="1:7" ht="14.4" hidden="1">
      <c r="A696" s="269"/>
      <c r="B696" s="269"/>
      <c r="C696" s="205"/>
      <c r="D696" s="1036" t="s">
        <v>2132</v>
      </c>
      <c r="E696" s="1036"/>
      <c r="F696" s="1036"/>
      <c r="G696" s="44"/>
    </row>
    <row r="697" spans="1:7" ht="14.4" hidden="1">
      <c r="A697" s="269"/>
      <c r="B697" s="269"/>
      <c r="C697" s="205"/>
      <c r="D697" s="1036"/>
      <c r="E697" s="1036"/>
      <c r="F697" s="1036"/>
      <c r="G697" s="44"/>
    </row>
    <row r="698" spans="1:7" ht="14.4" hidden="1">
      <c r="A698" s="269"/>
      <c r="B698" s="269"/>
      <c r="C698" s="205"/>
      <c r="D698" s="1036"/>
      <c r="E698" s="1036"/>
      <c r="F698" s="1036"/>
      <c r="G698" s="44"/>
    </row>
    <row r="699" spans="1:7" ht="14.4" hidden="1">
      <c r="A699" s="269"/>
      <c r="B699" s="269"/>
      <c r="C699" s="205"/>
      <c r="D699" s="1036"/>
      <c r="E699" s="1036"/>
      <c r="F699" s="1036"/>
      <c r="G699" s="44"/>
    </row>
    <row r="700" spans="1:7" ht="14.4" hidden="1">
      <c r="A700" s="269"/>
      <c r="B700" s="269"/>
      <c r="C700" s="205"/>
      <c r="D700" s="1036"/>
      <c r="E700" s="1036"/>
      <c r="F700" s="1036"/>
      <c r="G700" s="44"/>
    </row>
    <row r="701" spans="1:7" ht="14.4" hidden="1">
      <c r="A701" s="269"/>
      <c r="B701" s="269"/>
      <c r="C701" s="205"/>
      <c r="D701" s="1057" t="s">
        <v>1864</v>
      </c>
      <c r="E701" s="1057"/>
      <c r="F701" s="1057"/>
      <c r="G701" s="44"/>
    </row>
    <row r="702" spans="1:7" ht="13.2">
      <c r="A702" s="44"/>
      <c r="B702" s="44"/>
      <c r="C702" s="205"/>
      <c r="D702" s="44"/>
      <c r="E702" s="44"/>
      <c r="F702" s="44"/>
      <c r="G702" s="44"/>
    </row>
    <row r="703" spans="1:7" ht="13.2">
      <c r="A703" s="1015" t="s">
        <v>1399</v>
      </c>
      <c r="B703" s="1015"/>
      <c r="C703" s="1015"/>
      <c r="D703" s="1015"/>
      <c r="E703" s="1015"/>
      <c r="F703" s="1015"/>
      <c r="G703" s="1015"/>
    </row>
    <row r="704" spans="1:7" ht="13.2">
      <c r="A704" s="44"/>
      <c r="B704" s="44"/>
      <c r="C704" s="205"/>
      <c r="D704" s="44"/>
      <c r="E704" s="44"/>
      <c r="F704" s="44"/>
      <c r="G704" s="44"/>
    </row>
    <row r="705" spans="1:7" ht="13.2">
      <c r="C705" s="188"/>
      <c r="D705" s="1016" t="s">
        <v>782</v>
      </c>
      <c r="E705" s="1016"/>
      <c r="F705" s="1016"/>
      <c r="G705" s="44"/>
    </row>
    <row r="706" spans="1:7" ht="13.2">
      <c r="A706" s="188"/>
      <c r="B706" s="188"/>
      <c r="C706" s="188"/>
      <c r="D706" s="1016" t="s">
        <v>870</v>
      </c>
      <c r="E706" s="1016"/>
      <c r="F706" s="1016"/>
      <c r="G706" s="44"/>
    </row>
    <row r="707" spans="1:7" ht="13.2">
      <c r="A707" s="189"/>
      <c r="B707" s="189"/>
      <c r="C707" s="189"/>
      <c r="D707" s="1010" t="s">
        <v>1519</v>
      </c>
      <c r="E707" s="1010"/>
      <c r="F707" s="1010"/>
    </row>
    <row r="708" spans="1:7" ht="14.25" customHeight="1">
      <c r="A708" s="189"/>
      <c r="B708" s="189"/>
      <c r="C708" s="189"/>
    </row>
    <row r="709" spans="1:7" ht="14.4">
      <c r="A709" s="269"/>
      <c r="B709" s="606" t="s">
        <v>1374</v>
      </c>
      <c r="C709" s="189"/>
      <c r="D709" s="1010" t="s">
        <v>1115</v>
      </c>
      <c r="E709" s="1010"/>
      <c r="F709" s="1010"/>
    </row>
    <row r="710" spans="1:7" ht="13.2">
      <c r="A710" s="189"/>
      <c r="B710" s="189"/>
      <c r="C710" s="189"/>
      <c r="D710" s="1010" t="s">
        <v>1132</v>
      </c>
      <c r="E710" s="1010"/>
      <c r="F710" s="1010"/>
    </row>
    <row r="711" spans="1:7" ht="12.75" customHeight="1">
      <c r="A711" s="189"/>
      <c r="B711" s="189"/>
      <c r="C711" s="189"/>
      <c r="E711" s="922" t="s">
        <v>2075</v>
      </c>
      <c r="F711" s="15"/>
    </row>
    <row r="712" spans="1:7" ht="13.2">
      <c r="A712" s="189"/>
      <c r="B712" s="189"/>
      <c r="C712" s="189"/>
      <c r="E712" s="921" t="s">
        <v>2074</v>
      </c>
      <c r="F712" s="15"/>
    </row>
    <row r="713" spans="1:7" ht="13.2">
      <c r="A713" s="189"/>
      <c r="B713" s="189"/>
      <c r="C713" s="189"/>
      <c r="D713" s="210"/>
      <c r="E713" s="210"/>
      <c r="F713" s="210"/>
    </row>
    <row r="714" spans="1:7" ht="14.4">
      <c r="A714" s="269"/>
      <c r="B714" s="606" t="s">
        <v>123</v>
      </c>
      <c r="C714" s="189"/>
      <c r="D714" s="992" t="s">
        <v>2133</v>
      </c>
      <c r="E714" s="992"/>
      <c r="F714" s="992"/>
    </row>
    <row r="715" spans="1:7" ht="13.2">
      <c r="A715" s="18"/>
      <c r="B715" s="18"/>
      <c r="C715" s="189"/>
      <c r="D715" s="992"/>
      <c r="E715" s="992"/>
      <c r="F715" s="992"/>
    </row>
    <row r="716" spans="1:7" ht="13.2">
      <c r="A716" s="189"/>
      <c r="B716" s="189"/>
      <c r="C716" s="189"/>
      <c r="D716" s="992"/>
      <c r="E716" s="992"/>
      <c r="F716" s="992"/>
    </row>
    <row r="717" spans="1:7" ht="13.2">
      <c r="A717" s="189"/>
      <c r="B717" s="189"/>
      <c r="C717" s="189"/>
    </row>
    <row r="718" spans="1:7" ht="14.4">
      <c r="A718" s="269"/>
      <c r="B718" s="606" t="s">
        <v>1374</v>
      </c>
      <c r="C718" s="189"/>
      <c r="D718" s="1010" t="s">
        <v>1173</v>
      </c>
      <c r="E718" s="1010"/>
      <c r="F718" s="1010"/>
    </row>
    <row r="719" spans="1:7" ht="14.4">
      <c r="A719" s="269"/>
      <c r="B719" s="269"/>
      <c r="C719" s="189"/>
      <c r="D719" s="1010" t="s">
        <v>1132</v>
      </c>
      <c r="E719" s="1010"/>
      <c r="F719" s="1010"/>
    </row>
    <row r="720" spans="1:7" ht="13.2">
      <c r="A720" s="189"/>
      <c r="B720" s="189"/>
      <c r="C720" s="189"/>
      <c r="E720" s="1027" t="s">
        <v>2076</v>
      </c>
      <c r="F720" s="1027"/>
    </row>
    <row r="721" spans="1:6" ht="13.2">
      <c r="A721" s="189"/>
      <c r="B721" s="189"/>
      <c r="C721" s="189"/>
      <c r="D721" s="3"/>
    </row>
    <row r="722" spans="1:6" ht="14.4">
      <c r="A722" s="269"/>
      <c r="B722" s="606" t="s">
        <v>1374</v>
      </c>
      <c r="C722" s="189"/>
      <c r="D722" s="992" t="s">
        <v>1521</v>
      </c>
      <c r="E722" s="992"/>
      <c r="F722" s="992"/>
    </row>
    <row r="723" spans="1:6" ht="13.2">
      <c r="A723" s="189"/>
      <c r="B723" s="189"/>
      <c r="C723" s="189"/>
      <c r="D723" s="992"/>
      <c r="E723" s="992"/>
      <c r="F723" s="992"/>
    </row>
    <row r="724" spans="1:6" ht="13.2">
      <c r="A724" s="189"/>
      <c r="B724" s="189"/>
      <c r="C724" s="189"/>
      <c r="D724" s="992"/>
      <c r="E724" s="992"/>
      <c r="F724" s="992"/>
    </row>
    <row r="725" spans="1:6" ht="13.2">
      <c r="A725" s="189"/>
      <c r="B725" s="189"/>
      <c r="C725" s="189"/>
      <c r="D725" s="992"/>
      <c r="E725" s="992"/>
      <c r="F725" s="992"/>
    </row>
    <row r="726" spans="1:6" ht="13.2">
      <c r="A726" s="189"/>
      <c r="B726" s="189"/>
      <c r="C726" s="189"/>
      <c r="D726" s="992"/>
      <c r="E726" s="992"/>
      <c r="F726" s="992"/>
    </row>
    <row r="727" spans="1:6" ht="13.2">
      <c r="A727" s="189"/>
      <c r="B727" s="189"/>
      <c r="C727" s="189"/>
      <c r="D727" s="992"/>
      <c r="E727" s="992"/>
      <c r="F727" s="992"/>
    </row>
    <row r="728" spans="1:6" ht="13.2">
      <c r="A728" s="189"/>
      <c r="B728" s="189"/>
      <c r="C728" s="189"/>
      <c r="D728" s="992"/>
      <c r="E728" s="992"/>
      <c r="F728" s="992"/>
    </row>
    <row r="729" spans="1:6" ht="13.2">
      <c r="A729" s="189"/>
      <c r="B729" s="606" t="s">
        <v>1374</v>
      </c>
      <c r="C729" s="189"/>
      <c r="D729" s="983" t="s">
        <v>1723</v>
      </c>
      <c r="E729" s="992"/>
      <c r="F729" s="992"/>
    </row>
    <row r="730" spans="1:6" ht="13.2">
      <c r="A730" s="189"/>
      <c r="B730" s="189"/>
      <c r="C730" s="189"/>
      <c r="D730" s="992"/>
      <c r="E730" s="992"/>
      <c r="F730" s="992"/>
    </row>
    <row r="731" spans="1:6" ht="13.2">
      <c r="A731" s="189"/>
      <c r="B731" s="189"/>
      <c r="C731" s="189"/>
    </row>
    <row r="732" spans="1:6" ht="14.4" customHeight="1">
      <c r="A732" s="269"/>
      <c r="B732" s="606" t="s">
        <v>123</v>
      </c>
      <c r="C732" s="189"/>
      <c r="D732" s="992" t="s">
        <v>1522</v>
      </c>
      <c r="E732" s="992"/>
      <c r="F732" s="992"/>
    </row>
    <row r="733" spans="1:6" ht="13.2">
      <c r="A733" s="189"/>
      <c r="B733" s="189"/>
      <c r="C733" s="189"/>
      <c r="D733" s="992"/>
      <c r="E733" s="992"/>
      <c r="F733" s="992"/>
    </row>
    <row r="734" spans="1:6" ht="13.2">
      <c r="A734" s="189"/>
      <c r="B734" s="189"/>
      <c r="C734" s="189"/>
      <c r="D734" s="992"/>
      <c r="E734" s="992"/>
      <c r="F734" s="992"/>
    </row>
    <row r="735" spans="1:6" ht="13.2">
      <c r="A735" s="189"/>
      <c r="B735" s="189"/>
      <c r="C735" s="189"/>
      <c r="D735" s="992"/>
      <c r="E735" s="992"/>
      <c r="F735" s="992"/>
    </row>
    <row r="736" spans="1:6" ht="13.2">
      <c r="A736" s="189"/>
      <c r="B736" s="189"/>
      <c r="C736" s="189"/>
      <c r="D736" s="992"/>
      <c r="E736" s="992"/>
      <c r="F736" s="992"/>
    </row>
    <row r="737" spans="1:9" ht="13.2">
      <c r="A737" s="189"/>
      <c r="B737" s="189"/>
      <c r="C737" s="189"/>
      <c r="D737" s="992"/>
      <c r="E737" s="992"/>
      <c r="F737" s="992"/>
    </row>
    <row r="738" spans="1:9" ht="13.2">
      <c r="A738" s="189"/>
      <c r="B738" s="189"/>
      <c r="C738" s="189"/>
      <c r="D738" s="992"/>
      <c r="E738" s="992"/>
      <c r="F738" s="992"/>
    </row>
    <row r="739" spans="1:9" ht="13.2">
      <c r="A739" s="189"/>
      <c r="B739" s="189"/>
      <c r="C739" s="189"/>
      <c r="D739" s="992"/>
      <c r="E739" s="992"/>
      <c r="F739" s="992"/>
    </row>
    <row r="740" spans="1:9" ht="13.2">
      <c r="A740" s="189"/>
      <c r="B740" s="189"/>
      <c r="C740" s="189"/>
      <c r="D740" s="992"/>
      <c r="E740" s="992"/>
      <c r="F740" s="992"/>
    </row>
    <row r="741" spans="1:9" ht="13.2">
      <c r="A741" s="189"/>
      <c r="B741" s="189"/>
      <c r="C741" s="189"/>
      <c r="D741" s="992"/>
      <c r="E741" s="992"/>
      <c r="F741" s="992"/>
    </row>
    <row r="742" spans="1:9" ht="13.2">
      <c r="A742" s="189"/>
      <c r="B742" s="189"/>
      <c r="C742" s="189"/>
      <c r="D742" s="992"/>
      <c r="E742" s="992"/>
      <c r="F742" s="992"/>
    </row>
    <row r="743" spans="1:9" ht="13.2">
      <c r="A743" s="189"/>
      <c r="B743" s="189"/>
      <c r="C743" s="189"/>
      <c r="D743" s="992"/>
      <c r="E743" s="992"/>
      <c r="F743" s="992"/>
    </row>
    <row r="744" spans="1:9" ht="13.2">
      <c r="A744" s="189"/>
      <c r="B744" s="189"/>
      <c r="C744" s="189"/>
      <c r="D744" s="992"/>
      <c r="E744" s="992"/>
      <c r="F744" s="992"/>
    </row>
    <row r="745" spans="1:9" ht="13.2">
      <c r="A745" s="189"/>
      <c r="B745" s="606" t="s">
        <v>123</v>
      </c>
      <c r="C745" s="189"/>
      <c r="D745" s="992" t="s">
        <v>1526</v>
      </c>
      <c r="E745" s="992"/>
      <c r="F745" s="992"/>
      <c r="H745" s="265"/>
      <c r="I745" s="265"/>
    </row>
    <row r="746" spans="1:9" ht="13.2">
      <c r="A746" s="189"/>
      <c r="B746" s="189"/>
      <c r="C746" s="189"/>
      <c r="D746" s="992"/>
      <c r="E746" s="992"/>
      <c r="F746" s="992"/>
      <c r="H746" s="265"/>
      <c r="I746" s="265"/>
    </row>
    <row r="747" spans="1:9" ht="13.2">
      <c r="A747" s="189"/>
      <c r="B747" s="189"/>
      <c r="C747" s="189"/>
      <c r="D747" s="24"/>
      <c r="E747" s="24"/>
      <c r="F747" s="24"/>
      <c r="H747" s="265"/>
      <c r="I747" s="265"/>
    </row>
    <row r="748" spans="1:9" ht="13.2">
      <c r="A748" s="189"/>
      <c r="B748" s="606" t="s">
        <v>123</v>
      </c>
      <c r="C748" s="189"/>
      <c r="D748" s="992" t="s">
        <v>1527</v>
      </c>
      <c r="E748" s="992"/>
      <c r="F748" s="992"/>
      <c r="H748" s="265"/>
      <c r="I748" s="265"/>
    </row>
    <row r="749" spans="1:9" ht="13.2">
      <c r="A749" s="189"/>
      <c r="B749" s="189"/>
      <c r="C749" s="189"/>
      <c r="D749" s="992"/>
      <c r="E749" s="992"/>
      <c r="F749" s="992"/>
      <c r="H749" s="265"/>
      <c r="I749" s="265"/>
    </row>
    <row r="750" spans="1:9" ht="13.2">
      <c r="A750" s="189"/>
      <c r="B750" s="189"/>
      <c r="C750" s="189"/>
      <c r="D750" s="992"/>
      <c r="E750" s="992"/>
      <c r="F750" s="992"/>
      <c r="H750" s="265"/>
      <c r="I750" s="265"/>
    </row>
    <row r="751" spans="1:9" ht="13.2">
      <c r="A751" s="189"/>
      <c r="B751" s="189"/>
      <c r="C751" s="189"/>
      <c r="D751" s="24"/>
      <c r="E751" s="24"/>
      <c r="F751" s="24"/>
      <c r="H751" s="265"/>
      <c r="I751" s="265"/>
    </row>
    <row r="752" spans="1:9" ht="14.4" customHeight="1">
      <c r="A752" s="269"/>
      <c r="B752" s="606" t="s">
        <v>123</v>
      </c>
      <c r="C752" s="189"/>
      <c r="D752" s="983" t="s">
        <v>1910</v>
      </c>
      <c r="E752" s="992"/>
      <c r="F752" s="992"/>
    </row>
    <row r="753" spans="1:9" ht="13.2">
      <c r="A753" s="189"/>
      <c r="B753" s="189"/>
      <c r="C753" s="189"/>
      <c r="D753" s="992"/>
      <c r="E753" s="992"/>
      <c r="F753" s="992"/>
    </row>
    <row r="754" spans="1:9" ht="13.2">
      <c r="A754" s="189"/>
      <c r="B754" s="189"/>
      <c r="C754" s="189"/>
      <c r="D754" s="992"/>
      <c r="E754" s="992"/>
      <c r="F754" s="992"/>
    </row>
    <row r="755" spans="1:9" ht="13.2">
      <c r="A755" s="189"/>
      <c r="B755" s="189"/>
      <c r="C755" s="189"/>
    </row>
    <row r="756" spans="1:9" ht="14.4" customHeight="1">
      <c r="A756" s="269"/>
      <c r="B756" s="606" t="s">
        <v>123</v>
      </c>
      <c r="C756" s="189"/>
      <c r="D756" s="992" t="s">
        <v>1523</v>
      </c>
      <c r="E756" s="992"/>
      <c r="F756" s="992"/>
    </row>
    <row r="757" spans="1:9" ht="13.2">
      <c r="A757" s="189"/>
      <c r="B757" s="189"/>
      <c r="C757" s="189"/>
      <c r="D757" s="992"/>
      <c r="E757" s="992"/>
      <c r="F757" s="992"/>
    </row>
    <row r="758" spans="1:9" ht="13.2">
      <c r="A758" s="189"/>
      <c r="B758" s="189"/>
      <c r="C758" s="189"/>
      <c r="D758" s="992"/>
      <c r="E758" s="992"/>
      <c r="F758" s="992"/>
    </row>
    <row r="759" spans="1:9" ht="13.2">
      <c r="A759" s="189"/>
      <c r="B759" s="189"/>
      <c r="C759" s="189"/>
      <c r="D759" s="210"/>
      <c r="H759" s="265"/>
      <c r="I759" s="265"/>
    </row>
    <row r="760" spans="1:9" ht="14.4">
      <c r="A760" s="269"/>
      <c r="B760" s="606" t="s">
        <v>123</v>
      </c>
      <c r="C760" s="189"/>
      <c r="D760" s="992" t="s">
        <v>1525</v>
      </c>
      <c r="E760" s="992"/>
      <c r="F760" s="992"/>
    </row>
    <row r="761" spans="1:9" ht="13.2">
      <c r="A761" s="189"/>
      <c r="B761" s="189"/>
      <c r="C761" s="189"/>
      <c r="D761" s="992"/>
      <c r="E761" s="992"/>
      <c r="F761" s="992"/>
    </row>
    <row r="762" spans="1:9" ht="13.2">
      <c r="A762" s="189"/>
      <c r="B762" s="189"/>
      <c r="C762" s="189"/>
      <c r="D762" s="992"/>
      <c r="E762" s="992"/>
      <c r="F762" s="992"/>
    </row>
    <row r="763" spans="1:9" ht="13.2">
      <c r="A763" s="189"/>
      <c r="B763" s="189"/>
      <c r="C763" s="189"/>
      <c r="D763" s="992"/>
      <c r="E763" s="992"/>
      <c r="F763" s="992"/>
    </row>
    <row r="764" spans="1:9" ht="13.2">
      <c r="A764" s="189"/>
      <c r="B764" s="189"/>
      <c r="C764" s="189"/>
      <c r="D764" s="24"/>
      <c r="E764" s="24"/>
      <c r="F764" s="24"/>
    </row>
    <row r="765" spans="1:9" ht="14.4">
      <c r="A765" s="269"/>
      <c r="B765" s="606" t="s">
        <v>123</v>
      </c>
      <c r="C765" s="189"/>
      <c r="D765" s="983" t="s">
        <v>2198</v>
      </c>
      <c r="E765" s="992"/>
      <c r="F765" s="992"/>
      <c r="H765" s="265"/>
      <c r="I765" s="265"/>
    </row>
    <row r="766" spans="1:9" ht="13.2">
      <c r="A766" s="189"/>
      <c r="B766" s="189"/>
      <c r="C766" s="189"/>
      <c r="D766" s="992"/>
      <c r="E766" s="992"/>
      <c r="F766" s="992"/>
      <c r="H766" s="265"/>
      <c r="I766" s="265"/>
    </row>
    <row r="767" spans="1:9" ht="13.2">
      <c r="A767" s="189"/>
      <c r="B767" s="189"/>
      <c r="C767" s="189"/>
      <c r="D767" s="992"/>
      <c r="E767" s="992"/>
      <c r="F767" s="992"/>
      <c r="H767" s="265"/>
      <c r="I767" s="265"/>
    </row>
    <row r="768" spans="1:9" ht="13.2">
      <c r="A768" s="189"/>
      <c r="B768" s="189"/>
      <c r="C768" s="189"/>
      <c r="D768" s="992"/>
      <c r="E768" s="992"/>
      <c r="F768" s="992"/>
      <c r="H768" s="265"/>
      <c r="I768" s="265"/>
    </row>
    <row r="769" spans="1:9" ht="13.2">
      <c r="A769" s="189"/>
      <c r="B769" s="189"/>
      <c r="C769" s="189"/>
      <c r="D769" s="992"/>
      <c r="E769" s="992"/>
      <c r="F769" s="992"/>
      <c r="H769" s="265"/>
      <c r="I769" s="265"/>
    </row>
    <row r="770" spans="1:9" ht="13.2">
      <c r="A770" s="189"/>
      <c r="B770" s="189"/>
      <c r="C770" s="189"/>
      <c r="D770" s="992"/>
      <c r="E770" s="992"/>
      <c r="F770" s="992"/>
      <c r="H770" s="265"/>
      <c r="I770" s="265"/>
    </row>
    <row r="771" spans="1:9" ht="13.2">
      <c r="A771" s="189"/>
      <c r="B771" s="189"/>
      <c r="C771" s="189"/>
      <c r="D771" s="992"/>
      <c r="E771" s="992"/>
      <c r="F771" s="992"/>
      <c r="H771" s="265"/>
      <c r="I771" s="265"/>
    </row>
    <row r="772" spans="1:9" ht="13.2">
      <c r="A772" s="189"/>
      <c r="B772" s="189"/>
      <c r="C772" s="189"/>
      <c r="D772" s="1052" t="s">
        <v>1524</v>
      </c>
      <c r="E772" s="1052"/>
      <c r="F772" s="1052"/>
      <c r="H772" s="265"/>
      <c r="I772" s="265"/>
    </row>
    <row r="773" spans="1:9" ht="13.2">
      <c r="A773" s="189"/>
      <c r="B773" s="189"/>
      <c r="C773" s="189"/>
      <c r="D773" s="557"/>
      <c r="H773" s="265"/>
      <c r="I773" s="265"/>
    </row>
    <row r="774" spans="1:9" ht="13.2">
      <c r="A774" s="1035" t="s">
        <v>1426</v>
      </c>
      <c r="B774" s="1035"/>
      <c r="C774" s="1035"/>
      <c r="D774" s="1035"/>
      <c r="E774" s="1035"/>
      <c r="F774" s="1035"/>
      <c r="G774" s="1035"/>
      <c r="H774" s="265"/>
      <c r="I774" s="265"/>
    </row>
    <row r="775" spans="1:9" ht="13.2">
      <c r="A775" s="189"/>
      <c r="B775" s="189"/>
      <c r="C775" s="189"/>
      <c r="D775" s="210"/>
      <c r="H775" s="265"/>
      <c r="I775" s="265"/>
    </row>
    <row r="776" spans="1:9" ht="13.2">
      <c r="C776" s="189"/>
      <c r="D776" s="1017" t="s">
        <v>1445</v>
      </c>
      <c r="E776" s="1017"/>
      <c r="F776" s="1017"/>
      <c r="H776" s="265"/>
      <c r="I776" s="265"/>
    </row>
    <row r="777" spans="1:9" ht="13.2">
      <c r="A777" s="188"/>
      <c r="B777" s="188"/>
      <c r="C777" s="188"/>
      <c r="D777" s="1014" t="s">
        <v>1448</v>
      </c>
      <c r="E777" s="1014"/>
      <c r="F777" s="1014"/>
      <c r="H777" s="265"/>
      <c r="I777" s="265"/>
    </row>
    <row r="778" spans="1:9" ht="13.2">
      <c r="A778" s="189"/>
      <c r="B778" s="189"/>
      <c r="C778" s="189"/>
      <c r="H778" s="265"/>
      <c r="I778" s="265"/>
    </row>
    <row r="779" spans="1:9" ht="14.25" customHeight="1">
      <c r="A779" s="269"/>
      <c r="B779" s="606" t="s">
        <v>1374</v>
      </c>
      <c r="D779" s="992" t="s">
        <v>1446</v>
      </c>
      <c r="E779" s="992"/>
      <c r="F779" s="992"/>
      <c r="H779" s="265"/>
      <c r="I779" s="265"/>
    </row>
    <row r="780" spans="1:9" ht="11.25" customHeight="1">
      <c r="D780" s="992"/>
      <c r="E780" s="992"/>
      <c r="F780" s="992"/>
      <c r="H780" s="265"/>
      <c r="I780" s="265"/>
    </row>
    <row r="781" spans="1:9" ht="13.2">
      <c r="D781" s="992"/>
      <c r="E781" s="992"/>
      <c r="F781" s="992"/>
      <c r="H781" s="265"/>
      <c r="I781" s="265"/>
    </row>
    <row r="782" spans="1:9" ht="13.2">
      <c r="D782" s="992"/>
      <c r="E782" s="992"/>
      <c r="F782" s="992"/>
      <c r="H782" s="265"/>
      <c r="I782" s="265"/>
    </row>
    <row r="783" spans="1:9" ht="13.2">
      <c r="D783" s="992"/>
      <c r="E783" s="992"/>
      <c r="F783" s="992"/>
      <c r="H783" s="265"/>
      <c r="I783" s="265"/>
    </row>
    <row r="784" spans="1:9" ht="17.25" customHeight="1">
      <c r="D784" s="992"/>
      <c r="E784" s="992"/>
      <c r="F784" s="992"/>
      <c r="H784" s="265"/>
      <c r="I784" s="265"/>
    </row>
    <row r="785" spans="1:9" ht="13.2">
      <c r="D785" s="44"/>
      <c r="E785" s="44"/>
      <c r="F785" s="44"/>
      <c r="H785" s="265"/>
      <c r="I785" s="265"/>
    </row>
    <row r="786" spans="1:9" ht="12.75" customHeight="1">
      <c r="B786" s="606" t="s">
        <v>1374</v>
      </c>
      <c r="D786" s="1025" t="s">
        <v>1851</v>
      </c>
      <c r="E786" s="1025"/>
      <c r="F786" s="1025"/>
      <c r="H786" s="265"/>
      <c r="I786" s="265"/>
    </row>
    <row r="787" spans="1:9" ht="13.2">
      <c r="D787" s="1025"/>
      <c r="E787" s="1025"/>
      <c r="F787" s="1025"/>
      <c r="H787" s="265"/>
      <c r="I787" s="265"/>
    </row>
    <row r="788" spans="1:9" ht="13.2">
      <c r="D788" s="1025"/>
      <c r="E788" s="1025"/>
      <c r="F788" s="1025"/>
      <c r="H788" s="265"/>
      <c r="I788" s="265"/>
    </row>
    <row r="789" spans="1:9" ht="13.2">
      <c r="D789" s="1025"/>
      <c r="E789" s="1025"/>
      <c r="F789" s="1025"/>
      <c r="H789" s="265"/>
      <c r="I789" s="265"/>
    </row>
    <row r="790" spans="1:9" ht="13.2">
      <c r="D790" s="44"/>
      <c r="H790" s="265"/>
      <c r="I790" s="265"/>
    </row>
    <row r="791" spans="1:9" ht="13.2">
      <c r="B791" s="606" t="s">
        <v>1374</v>
      </c>
      <c r="C791" s="430"/>
      <c r="D791" s="1023" t="s">
        <v>1852</v>
      </c>
      <c r="E791" s="1036"/>
      <c r="F791" s="1036"/>
      <c r="G791" s="369"/>
      <c r="H791" s="265"/>
      <c r="I791" s="265"/>
    </row>
    <row r="792" spans="1:9" ht="13.2">
      <c r="A792" s="430"/>
      <c r="B792" s="430"/>
      <c r="C792" s="430"/>
      <c r="D792" s="1036"/>
      <c r="E792" s="1036"/>
      <c r="F792" s="1036"/>
      <c r="G792" s="369"/>
      <c r="H792" s="265"/>
      <c r="I792" s="265"/>
    </row>
    <row r="793" spans="1:9" ht="13.2">
      <c r="A793" s="430"/>
      <c r="B793" s="430"/>
      <c r="C793" s="430"/>
      <c r="D793" s="1036"/>
      <c r="E793" s="1036"/>
      <c r="F793" s="1036"/>
      <c r="G793" s="369"/>
      <c r="H793" s="265"/>
      <c r="I793" s="265"/>
    </row>
    <row r="794" spans="1:9" ht="13.2">
      <c r="D794" s="44"/>
      <c r="E794" s="44"/>
      <c r="F794" s="44"/>
      <c r="H794" s="265"/>
      <c r="I794" s="265"/>
    </row>
    <row r="795" spans="1:9" ht="13.2">
      <c r="B795" s="606" t="s">
        <v>123</v>
      </c>
      <c r="D795" s="992" t="s">
        <v>1447</v>
      </c>
      <c r="E795" s="992"/>
      <c r="F795" s="992"/>
      <c r="H795" s="265"/>
      <c r="I795" s="265"/>
    </row>
    <row r="796" spans="1:9" ht="13.2">
      <c r="D796" s="992"/>
      <c r="E796" s="992"/>
      <c r="F796" s="992"/>
      <c r="H796" s="265"/>
      <c r="I796" s="265"/>
    </row>
    <row r="797" spans="1:9" ht="13.2">
      <c r="D797" s="24"/>
      <c r="E797" s="24"/>
      <c r="F797" s="24"/>
      <c r="H797" s="265"/>
      <c r="I797" s="265"/>
    </row>
    <row r="798" spans="1:9" ht="13.65" customHeight="1">
      <c r="B798" s="606" t="s">
        <v>123</v>
      </c>
      <c r="D798" s="983" t="s">
        <v>1745</v>
      </c>
      <c r="E798" s="992"/>
      <c r="F798" s="992"/>
      <c r="H798" s="265"/>
      <c r="I798" s="265"/>
    </row>
    <row r="799" spans="1:9" ht="13.2">
      <c r="D799" s="992"/>
      <c r="E799" s="992"/>
      <c r="F799" s="992"/>
      <c r="H799" s="265"/>
      <c r="I799" s="265"/>
    </row>
    <row r="800" spans="1:9" ht="13.2">
      <c r="D800" s="992"/>
      <c r="E800" s="992"/>
      <c r="F800" s="992"/>
      <c r="H800" s="265"/>
      <c r="I800" s="265"/>
    </row>
    <row r="801" spans="1:9" ht="13.2">
      <c r="D801" s="24"/>
      <c r="E801" s="24"/>
      <c r="F801" s="24"/>
      <c r="H801" s="265"/>
      <c r="I801" s="265"/>
    </row>
    <row r="802" spans="1:9" ht="12" customHeight="1">
      <c r="A802" s="1035" t="s">
        <v>1586</v>
      </c>
      <c r="B802" s="1035"/>
      <c r="C802" s="1035"/>
      <c r="D802" s="1035"/>
      <c r="E802" s="1035"/>
      <c r="F802" s="1035"/>
      <c r="G802" s="1035"/>
      <c r="H802" s="265"/>
      <c r="I802" s="265"/>
    </row>
    <row r="803" spans="1:9" ht="13.2">
      <c r="A803" s="63"/>
      <c r="B803" s="63"/>
      <c r="H803" s="265"/>
      <c r="I803" s="265"/>
    </row>
    <row r="804" spans="1:9" ht="13.65" customHeight="1">
      <c r="A804" s="63"/>
      <c r="B804" s="63"/>
      <c r="D804" s="1063" t="s">
        <v>1587</v>
      </c>
      <c r="E804" s="1063"/>
      <c r="F804" s="1063"/>
      <c r="H804" s="265"/>
      <c r="I804" s="265"/>
    </row>
    <row r="805" spans="1:9" ht="13.2">
      <c r="A805" s="63"/>
      <c r="B805" s="63"/>
      <c r="D805" s="1020" t="s">
        <v>1588</v>
      </c>
      <c r="E805" s="1020"/>
      <c r="F805" s="1020"/>
      <c r="H805" s="265"/>
      <c r="I805" s="265"/>
    </row>
    <row r="806" spans="1:9" ht="13.2">
      <c r="A806" s="63"/>
      <c r="B806" s="63"/>
      <c r="D806" s="417"/>
      <c r="E806" s="417"/>
      <c r="F806" s="417"/>
      <c r="H806" s="265"/>
      <c r="I806" s="265"/>
    </row>
    <row r="807" spans="1:9" ht="13.2">
      <c r="A807" s="63"/>
      <c r="B807" s="606" t="s">
        <v>1374</v>
      </c>
      <c r="D807" s="1036" t="s">
        <v>1589</v>
      </c>
      <c r="E807" s="1036"/>
      <c r="F807" s="1036"/>
      <c r="H807" s="265"/>
      <c r="I807" s="265"/>
    </row>
    <row r="808" spans="1:9" ht="13.2">
      <c r="A808" s="63"/>
      <c r="B808" s="63"/>
      <c r="D808" s="1036"/>
      <c r="E808" s="1036"/>
      <c r="F808" s="1036"/>
      <c r="H808" s="265"/>
      <c r="I808" s="265"/>
    </row>
    <row r="809" spans="1:9" ht="13.2">
      <c r="A809" s="189"/>
      <c r="B809" s="189"/>
      <c r="C809" s="189"/>
      <c r="D809" s="1036"/>
      <c r="E809" s="1036"/>
      <c r="F809" s="1036"/>
      <c r="G809" s="44"/>
      <c r="H809" s="265"/>
      <c r="I809" s="265"/>
    </row>
    <row r="810" spans="1:9" ht="13.2">
      <c r="D810" s="190"/>
      <c r="H810" s="265"/>
      <c r="I810" s="265"/>
    </row>
    <row r="811" spans="1:9" ht="13.2">
      <c r="A811" s="188"/>
      <c r="B811" s="606" t="s">
        <v>1374</v>
      </c>
      <c r="C811" s="188"/>
      <c r="D811" s="1023" t="s">
        <v>2194</v>
      </c>
      <c r="E811" s="1036"/>
      <c r="F811" s="1036"/>
      <c r="H811" s="265"/>
      <c r="I811" s="265"/>
    </row>
    <row r="812" spans="1:9" ht="13.2">
      <c r="A812" s="188"/>
      <c r="B812" s="188"/>
      <c r="C812" s="188"/>
      <c r="D812" s="1036"/>
      <c r="E812" s="1036"/>
      <c r="F812" s="1036"/>
      <c r="H812" s="265"/>
      <c r="I812" s="265"/>
    </row>
    <row r="813" spans="1:9" ht="27.75" customHeight="1">
      <c r="A813" s="188"/>
      <c r="B813" s="188"/>
      <c r="C813" s="188"/>
      <c r="D813" s="1036"/>
      <c r="E813" s="1036"/>
      <c r="F813" s="1036"/>
      <c r="H813" s="265"/>
      <c r="I813" s="265"/>
    </row>
    <row r="814" spans="1:9" ht="13.2">
      <c r="A814" s="189"/>
      <c r="B814" s="189"/>
      <c r="C814" s="189"/>
      <c r="E814" s="186"/>
      <c r="F814" s="186"/>
      <c r="G814" s="186"/>
      <c r="H814" s="265"/>
      <c r="I814" s="265"/>
    </row>
    <row r="815" spans="1:9" ht="14.4" customHeight="1">
      <c r="A815" s="269"/>
      <c r="B815" s="606" t="s">
        <v>123</v>
      </c>
      <c r="C815" s="205"/>
      <c r="D815" s="1023" t="s">
        <v>1690</v>
      </c>
      <c r="E815" s="1023"/>
      <c r="F815" s="1023"/>
      <c r="G815" s="186"/>
      <c r="H815" s="265"/>
      <c r="I815" s="265"/>
    </row>
    <row r="816" spans="1:9" ht="14.4">
      <c r="A816" s="269"/>
      <c r="B816" s="269"/>
      <c r="C816" s="205"/>
      <c r="D816" s="1023"/>
      <c r="E816" s="1023"/>
      <c r="F816" s="1023"/>
      <c r="G816" s="186"/>
      <c r="H816" s="265"/>
      <c r="I816" s="265"/>
    </row>
    <row r="817" spans="1:9" ht="14.4">
      <c r="A817" s="269"/>
      <c r="B817" s="269"/>
      <c r="C817" s="205"/>
      <c r="D817" s="1023"/>
      <c r="E817" s="1023"/>
      <c r="F817" s="1023"/>
      <c r="G817" s="186"/>
      <c r="H817" s="265"/>
      <c r="I817" s="265"/>
    </row>
    <row r="818" spans="1:9" ht="14.4">
      <c r="A818" s="269"/>
      <c r="B818" s="269"/>
      <c r="C818" s="205"/>
      <c r="D818" s="44"/>
      <c r="G818" s="186"/>
      <c r="H818" s="265"/>
      <c r="I818" s="265"/>
    </row>
    <row r="819" spans="1:9" ht="14.25" customHeight="1">
      <c r="A819" s="269"/>
      <c r="B819" s="606" t="s">
        <v>123</v>
      </c>
      <c r="C819" s="205"/>
      <c r="D819" s="1036" t="s">
        <v>1590</v>
      </c>
      <c r="E819" s="1036"/>
      <c r="F819" s="1036"/>
      <c r="G819" s="186"/>
      <c r="H819" s="265"/>
      <c r="I819" s="265"/>
    </row>
    <row r="820" spans="1:9" ht="14.4">
      <c r="A820" s="269"/>
      <c r="B820" s="269"/>
      <c r="C820" s="205"/>
      <c r="D820" s="1036"/>
      <c r="E820" s="1036"/>
      <c r="F820" s="1036"/>
      <c r="G820" s="186"/>
      <c r="H820" s="265"/>
      <c r="I820" s="265"/>
    </row>
    <row r="821" spans="1:9" ht="14.4">
      <c r="A821" s="269"/>
      <c r="B821" s="269"/>
      <c r="C821" s="205"/>
      <c r="D821" s="1036"/>
      <c r="E821" s="1036"/>
      <c r="F821" s="1036"/>
      <c r="G821" s="186"/>
      <c r="H821" s="265"/>
      <c r="I821" s="265"/>
    </row>
    <row r="822" spans="1:9" ht="14.4">
      <c r="A822" s="269"/>
      <c r="B822" s="269"/>
      <c r="C822" s="205"/>
      <c r="D822" s="1036"/>
      <c r="E822" s="1036"/>
      <c r="F822" s="1036"/>
      <c r="G822" s="186"/>
      <c r="H822" s="265"/>
      <c r="I822" s="265"/>
    </row>
    <row r="823" spans="1:9" ht="14.4">
      <c r="A823" s="269"/>
      <c r="B823" s="269"/>
      <c r="C823" s="205"/>
      <c r="D823" s="1036"/>
      <c r="E823" s="1036"/>
      <c r="F823" s="1036"/>
      <c r="G823" s="186"/>
      <c r="H823" s="265"/>
      <c r="I823" s="265"/>
    </row>
    <row r="824" spans="1:9" ht="14.4">
      <c r="A824" s="269"/>
      <c r="B824" s="269"/>
      <c r="C824" s="205"/>
      <c r="D824" s="1023" t="s">
        <v>1996</v>
      </c>
      <c r="E824" s="1023"/>
      <c r="F824" s="1023"/>
      <c r="G824" s="186"/>
      <c r="H824" s="265"/>
      <c r="I824" s="265"/>
    </row>
    <row r="825" spans="1:9" ht="14.4">
      <c r="A825" s="269"/>
      <c r="B825" s="269"/>
      <c r="C825" s="205"/>
      <c r="D825" s="1023"/>
      <c r="E825" s="1023"/>
      <c r="F825" s="1023"/>
      <c r="G825" s="186"/>
      <c r="H825" s="265"/>
      <c r="I825" s="265"/>
    </row>
    <row r="826" spans="1:9" ht="14.4">
      <c r="A826" s="269"/>
      <c r="B826" s="269"/>
      <c r="C826" s="205"/>
      <c r="D826" s="1023"/>
      <c r="E826" s="1023"/>
      <c r="F826" s="1023"/>
      <c r="G826" s="186"/>
      <c r="H826" s="265"/>
      <c r="I826" s="265"/>
    </row>
    <row r="827" spans="1:9" ht="14.4">
      <c r="A827" s="269"/>
      <c r="C827" s="205"/>
      <c r="D827" s="790"/>
      <c r="E827" s="790"/>
      <c r="F827" s="790"/>
      <c r="G827" s="186"/>
      <c r="H827" s="265"/>
      <c r="I827" s="265"/>
    </row>
    <row r="828" spans="1:9" ht="14.4">
      <c r="A828" s="269"/>
      <c r="B828" s="606" t="s">
        <v>123</v>
      </c>
      <c r="C828" s="205"/>
      <c r="D828" s="1036" t="s">
        <v>1592</v>
      </c>
      <c r="E828" s="1036"/>
      <c r="F828" s="1036"/>
      <c r="G828" s="186"/>
      <c r="H828" s="265"/>
      <c r="I828" s="265"/>
    </row>
    <row r="829" spans="1:9" ht="14.4">
      <c r="A829" s="269"/>
      <c r="B829" s="269"/>
      <c r="C829" s="205"/>
      <c r="D829" s="1036"/>
      <c r="E829" s="1036"/>
      <c r="F829" s="1036"/>
      <c r="G829" s="186"/>
      <c r="H829" s="265"/>
      <c r="I829" s="265"/>
    </row>
    <row r="830" spans="1:9" ht="14.4">
      <c r="A830" s="269"/>
      <c r="B830" s="269"/>
      <c r="C830" s="205"/>
      <c r="D830" s="1036"/>
      <c r="E830" s="1036"/>
      <c r="F830" s="1036"/>
      <c r="G830" s="186"/>
      <c r="H830" s="265"/>
      <c r="I830" s="265"/>
    </row>
    <row r="831" spans="1:9" ht="14.4">
      <c r="A831" s="269"/>
      <c r="B831" s="269"/>
      <c r="C831" s="205"/>
      <c r="D831" s="1036"/>
      <c r="E831" s="1036"/>
      <c r="F831" s="1036"/>
      <c r="G831" s="186"/>
      <c r="H831" s="265"/>
      <c r="I831" s="265"/>
    </row>
    <row r="832" spans="1:9" ht="14.4">
      <c r="A832" s="269"/>
      <c r="B832" s="269"/>
      <c r="C832" s="205"/>
      <c r="D832" s="1036"/>
      <c r="E832" s="1036"/>
      <c r="F832" s="1036"/>
      <c r="G832" s="186"/>
      <c r="H832" s="265"/>
      <c r="I832" s="265"/>
    </row>
    <row r="833" spans="1:9" ht="14.4">
      <c r="A833" s="269"/>
      <c r="B833" s="269"/>
      <c r="C833" s="205"/>
      <c r="D833" s="1036"/>
      <c r="E833" s="1036"/>
      <c r="F833" s="1036"/>
      <c r="G833" s="186"/>
      <c r="H833" s="265"/>
      <c r="I833" s="265"/>
    </row>
    <row r="834" spans="1:9" ht="14.4">
      <c r="A834" s="269"/>
      <c r="B834" s="269"/>
      <c r="C834" s="205"/>
      <c r="D834" s="651"/>
      <c r="E834" s="651"/>
      <c r="F834" s="651"/>
      <c r="G834" s="186"/>
      <c r="H834" s="265"/>
      <c r="I834" s="265"/>
    </row>
    <row r="835" spans="1:9" ht="14.4">
      <c r="A835" s="269"/>
      <c r="B835" s="606" t="s">
        <v>1374</v>
      </c>
      <c r="C835" s="205"/>
      <c r="D835" s="1023" t="s">
        <v>1853</v>
      </c>
      <c r="E835" s="1036"/>
      <c r="F835" s="1036"/>
      <c r="G835" s="186"/>
      <c r="H835" s="265"/>
      <c r="I835" s="265"/>
    </row>
    <row r="836" spans="1:9" ht="14.4">
      <c r="A836" s="269"/>
      <c r="B836" s="269"/>
      <c r="C836" s="205"/>
      <c r="D836" s="1036"/>
      <c r="E836" s="1036"/>
      <c r="F836" s="1036"/>
      <c r="G836" s="186"/>
      <c r="H836" s="265"/>
      <c r="I836" s="265"/>
    </row>
    <row r="837" spans="1:9" ht="14.4">
      <c r="A837" s="269"/>
      <c r="B837" s="269"/>
      <c r="C837" s="205"/>
      <c r="D837" s="1036"/>
      <c r="E837" s="1036"/>
      <c r="F837" s="1036"/>
      <c r="G837" s="186"/>
      <c r="H837" s="265"/>
      <c r="I837" s="265"/>
    </row>
    <row r="838" spans="1:9" ht="14.4">
      <c r="A838" s="269"/>
      <c r="B838" s="269"/>
      <c r="C838" s="205"/>
      <c r="D838" s="1036"/>
      <c r="E838" s="1036"/>
      <c r="F838" s="1036"/>
      <c r="G838" s="186"/>
      <c r="H838" s="265"/>
      <c r="I838" s="265"/>
    </row>
    <row r="839" spans="1:9" ht="14.4">
      <c r="A839" s="269"/>
      <c r="B839" s="269"/>
      <c r="C839" s="205"/>
      <c r="D839" s="1036"/>
      <c r="E839" s="1036"/>
      <c r="F839" s="1036"/>
      <c r="G839" s="186"/>
      <c r="H839" s="265"/>
      <c r="I839" s="265"/>
    </row>
    <row r="840" spans="1:9" ht="14.4">
      <c r="A840" s="269"/>
      <c r="B840" s="269"/>
      <c r="C840" s="205"/>
      <c r="D840" s="651"/>
      <c r="E840" s="651"/>
      <c r="F840" s="651"/>
      <c r="G840" s="186"/>
      <c r="H840" s="265"/>
      <c r="I840" s="265"/>
    </row>
    <row r="841" spans="1:9" ht="14.4">
      <c r="A841" s="269"/>
      <c r="B841" s="606" t="s">
        <v>123</v>
      </c>
      <c r="C841" s="205"/>
      <c r="D841" s="1036" t="s">
        <v>1591</v>
      </c>
      <c r="E841" s="1036"/>
      <c r="F841" s="1036"/>
      <c r="G841" s="186"/>
      <c r="H841" s="265"/>
      <c r="I841" s="265"/>
    </row>
    <row r="842" spans="1:9" ht="14.4">
      <c r="A842" s="269"/>
      <c r="B842" s="269"/>
      <c r="C842" s="205"/>
      <c r="D842" s="1036"/>
      <c r="E842" s="1036"/>
      <c r="F842" s="1036"/>
      <c r="G842" s="186"/>
      <c r="H842" s="265"/>
      <c r="I842" s="265"/>
    </row>
    <row r="843" spans="1:9" ht="14.4">
      <c r="A843" s="269"/>
      <c r="B843" s="269"/>
      <c r="C843" s="205"/>
      <c r="D843" s="1036"/>
      <c r="E843" s="1036"/>
      <c r="F843" s="1036"/>
      <c r="G843" s="186"/>
      <c r="H843" s="265"/>
      <c r="I843" s="265"/>
    </row>
    <row r="844" spans="1:9" ht="14.4">
      <c r="A844" s="269"/>
      <c r="B844" s="269"/>
      <c r="C844" s="205"/>
      <c r="D844" s="1036"/>
      <c r="E844" s="1036"/>
      <c r="F844" s="1036"/>
      <c r="G844" s="186"/>
      <c r="H844" s="265"/>
      <c r="I844" s="265"/>
    </row>
    <row r="845" spans="1:9" ht="14.4">
      <c r="A845" s="269"/>
      <c r="B845" s="269"/>
      <c r="C845" s="205"/>
      <c r="D845" s="186"/>
      <c r="G845" s="186"/>
      <c r="H845" s="265"/>
      <c r="I845" s="265"/>
    </row>
    <row r="846" spans="1:9" ht="14.4">
      <c r="A846" s="269"/>
      <c r="B846" s="606" t="s">
        <v>123</v>
      </c>
      <c r="C846" s="205"/>
      <c r="D846" s="1044" t="s">
        <v>1594</v>
      </c>
      <c r="E846" s="1044"/>
      <c r="F846" s="1044"/>
      <c r="G846" s="186"/>
      <c r="H846" s="265"/>
      <c r="I846" s="265"/>
    </row>
    <row r="847" spans="1:9" ht="14.4">
      <c r="A847" s="269"/>
      <c r="B847" s="269"/>
      <c r="C847" s="205"/>
      <c r="D847" s="1044"/>
      <c r="E847" s="1044"/>
      <c r="F847" s="1044"/>
      <c r="G847" s="186"/>
      <c r="H847" s="265"/>
      <c r="I847" s="265"/>
    </row>
    <row r="848" spans="1:9" ht="13.2">
      <c r="A848" s="18"/>
      <c r="B848" s="18"/>
      <c r="C848" s="205"/>
      <c r="D848" s="1044"/>
      <c r="E848" s="1044"/>
      <c r="F848" s="1044"/>
      <c r="G848" s="186"/>
      <c r="H848" s="265"/>
      <c r="I848" s="265"/>
    </row>
    <row r="849" spans="1:9" ht="14.4">
      <c r="A849" s="269"/>
      <c r="B849" s="18"/>
      <c r="C849" s="205"/>
      <c r="D849" s="1044"/>
      <c r="E849" s="1044"/>
      <c r="F849" s="1044"/>
      <c r="G849" s="186"/>
      <c r="H849" s="265"/>
      <c r="I849" s="265"/>
    </row>
    <row r="850" spans="1:9" ht="14.4">
      <c r="A850" s="269"/>
      <c r="B850" s="18"/>
      <c r="C850" s="205"/>
      <c r="D850" s="1044"/>
      <c r="E850" s="1044"/>
      <c r="F850" s="1044"/>
      <c r="G850" s="186"/>
      <c r="H850" s="265"/>
      <c r="I850" s="265"/>
    </row>
    <row r="851" spans="1:9" ht="14.4">
      <c r="A851" s="269"/>
      <c r="B851" s="18"/>
      <c r="C851" s="205"/>
      <c r="D851" s="1044"/>
      <c r="E851" s="1044"/>
      <c r="F851" s="1044"/>
      <c r="G851" s="186"/>
      <c r="H851" s="265"/>
      <c r="I851" s="265"/>
    </row>
    <row r="852" spans="1:9" ht="14.4">
      <c r="A852" s="269"/>
      <c r="B852" s="18"/>
      <c r="C852" s="205"/>
      <c r="D852" s="650"/>
      <c r="E852" s="650"/>
      <c r="F852" s="650"/>
      <c r="G852" s="186"/>
      <c r="H852" s="265"/>
      <c r="I852" s="265"/>
    </row>
    <row r="853" spans="1:9" ht="14.4">
      <c r="A853" s="269"/>
      <c r="B853" s="606" t="s">
        <v>123</v>
      </c>
      <c r="C853" s="205"/>
      <c r="D853" s="1036" t="s">
        <v>1593</v>
      </c>
      <c r="E853" s="1036"/>
      <c r="F853" s="1036"/>
      <c r="G853" s="186"/>
      <c r="H853" s="265"/>
      <c r="I853" s="265"/>
    </row>
    <row r="854" spans="1:9" ht="14.4">
      <c r="A854" s="269"/>
      <c r="B854" s="269"/>
      <c r="C854" s="205"/>
      <c r="D854" s="1036"/>
      <c r="E854" s="1036"/>
      <c r="F854" s="1036"/>
      <c r="G854" s="186"/>
      <c r="H854" s="265"/>
      <c r="I854" s="265"/>
    </row>
    <row r="855" spans="1:9" ht="14.4">
      <c r="A855" s="269"/>
      <c r="B855" s="269"/>
      <c r="C855" s="205"/>
      <c r="D855" s="186"/>
      <c r="G855" s="186"/>
      <c r="H855" s="265"/>
      <c r="I855" s="265"/>
    </row>
    <row r="856" spans="1:9" ht="14.4">
      <c r="A856" s="269"/>
      <c r="B856" s="606" t="s">
        <v>123</v>
      </c>
      <c r="C856" s="205"/>
      <c r="D856" s="1044" t="s">
        <v>1595</v>
      </c>
      <c r="E856" s="1044"/>
      <c r="F856" s="1044"/>
      <c r="G856" s="186"/>
      <c r="H856" s="265"/>
      <c r="I856" s="265"/>
    </row>
    <row r="857" spans="1:9" ht="14.4">
      <c r="A857" s="269"/>
      <c r="B857" s="269"/>
      <c r="C857" s="205"/>
      <c r="D857" s="1044"/>
      <c r="E857" s="1044"/>
      <c r="F857" s="1044"/>
      <c r="G857" s="186"/>
      <c r="H857" s="265"/>
      <c r="I857" s="265"/>
    </row>
    <row r="858" spans="1:9" ht="13.2">
      <c r="A858" s="18"/>
      <c r="B858" s="18"/>
      <c r="C858" s="205"/>
      <c r="D858" s="186"/>
      <c r="G858" s="186"/>
      <c r="H858" s="265"/>
      <c r="I858" s="265"/>
    </row>
    <row r="859" spans="1:9" ht="13.2">
      <c r="A859" s="1015" t="s">
        <v>1870</v>
      </c>
      <c r="B859" s="1015"/>
      <c r="C859" s="1015"/>
      <c r="D859" s="1015"/>
      <c r="E859" s="1015"/>
      <c r="F859" s="1015"/>
      <c r="G859" s="1015"/>
      <c r="H859" s="265"/>
      <c r="I859" s="265"/>
    </row>
    <row r="860" spans="1:9" ht="13.2">
      <c r="A860" s="188"/>
      <c r="B860" s="188"/>
      <c r="C860" s="205"/>
      <c r="D860" s="186"/>
      <c r="E860" s="186"/>
      <c r="F860" s="186"/>
      <c r="G860" s="186"/>
      <c r="H860" s="265"/>
      <c r="I860" s="265"/>
    </row>
    <row r="861" spans="1:9" ht="14.4">
      <c r="A861" s="269"/>
      <c r="B861" s="269"/>
      <c r="D861" s="1017" t="s">
        <v>1514</v>
      </c>
      <c r="E861" s="1017"/>
      <c r="F861" s="1017"/>
      <c r="H861" s="265"/>
      <c r="I861" s="265"/>
    </row>
    <row r="862" spans="1:9" ht="14.4">
      <c r="A862" s="269"/>
      <c r="B862" s="269"/>
      <c r="D862" s="983" t="s">
        <v>1867</v>
      </c>
      <c r="E862" s="983"/>
      <c r="F862" s="983"/>
      <c r="H862" s="265"/>
      <c r="I862" s="265"/>
    </row>
    <row r="863" spans="1:9" ht="14.4">
      <c r="A863" s="269"/>
      <c r="B863" s="269"/>
      <c r="D863" s="24"/>
      <c r="E863" s="208"/>
      <c r="F863" s="208"/>
      <c r="H863" s="265"/>
      <c r="I863" s="265"/>
    </row>
    <row r="864" spans="1:9" ht="13.2">
      <c r="B864" s="606" t="s">
        <v>1374</v>
      </c>
      <c r="C864" s="205"/>
      <c r="D864" s="992" t="s">
        <v>1451</v>
      </c>
      <c r="E864" s="992"/>
      <c r="F864" s="992"/>
      <c r="H864" s="265"/>
      <c r="I864" s="265"/>
    </row>
    <row r="865" spans="1:9" ht="13.2">
      <c r="A865" s="18"/>
      <c r="B865" s="18"/>
      <c r="C865" s="205"/>
      <c r="D865" s="3" t="s">
        <v>1429</v>
      </c>
      <c r="E865" s="993" t="s">
        <v>2059</v>
      </c>
      <c r="F865" s="993"/>
      <c r="H865" s="265"/>
      <c r="I865" s="265"/>
    </row>
    <row r="866" spans="1:9" ht="13.2">
      <c r="A866" s="18"/>
      <c r="B866" s="18"/>
      <c r="C866" s="205"/>
      <c r="D866" s="211"/>
      <c r="H866" s="265"/>
      <c r="I866" s="265"/>
    </row>
    <row r="867" spans="1:9" ht="13.2">
      <c r="A867" s="18"/>
      <c r="B867" s="606" t="s">
        <v>123</v>
      </c>
      <c r="C867" s="205"/>
      <c r="D867" s="1053" t="s">
        <v>1671</v>
      </c>
      <c r="E867" s="1053"/>
      <c r="F867" s="1053"/>
      <c r="H867" s="265"/>
      <c r="I867" s="265"/>
    </row>
    <row r="868" spans="1:9" ht="13.2">
      <c r="A868" s="18"/>
      <c r="B868" s="18"/>
      <c r="C868" s="205"/>
      <c r="D868" s="1053"/>
      <c r="E868" s="1053"/>
      <c r="F868" s="1053"/>
      <c r="H868" s="265"/>
      <c r="I868" s="265"/>
    </row>
    <row r="869" spans="1:9" ht="13.2">
      <c r="A869" s="18"/>
      <c r="B869" s="18"/>
      <c r="C869" s="205"/>
      <c r="D869" s="1053"/>
      <c r="E869" s="1053"/>
      <c r="F869" s="1053"/>
      <c r="H869" s="265"/>
      <c r="I869" s="265"/>
    </row>
    <row r="870" spans="1:9" ht="13.2">
      <c r="A870" s="18"/>
      <c r="B870" s="18"/>
      <c r="C870" s="205"/>
      <c r="D870" s="1053"/>
      <c r="E870" s="1053"/>
      <c r="F870" s="1053"/>
      <c r="H870" s="265"/>
      <c r="I870" s="265"/>
    </row>
    <row r="871" spans="1:9" ht="13.2">
      <c r="A871" s="18"/>
      <c r="B871" s="18"/>
      <c r="C871" s="205"/>
      <c r="D871" s="1053"/>
      <c r="E871" s="1053"/>
      <c r="F871" s="1053"/>
      <c r="H871" s="265"/>
      <c r="I871" s="265"/>
    </row>
    <row r="872" spans="1:9" ht="13.2">
      <c r="A872" s="18"/>
      <c r="B872" s="18"/>
      <c r="C872" s="205"/>
      <c r="D872" s="1053"/>
      <c r="E872" s="1053"/>
      <c r="F872" s="1053"/>
      <c r="H872" s="265"/>
      <c r="I872" s="265"/>
    </row>
    <row r="873" spans="1:9" ht="13.2">
      <c r="A873" s="18"/>
      <c r="B873" s="18"/>
      <c r="C873" s="205"/>
      <c r="D873" s="1053"/>
      <c r="E873" s="1053"/>
      <c r="F873" s="1053"/>
      <c r="H873" s="265"/>
      <c r="I873" s="265"/>
    </row>
    <row r="874" spans="1:9" ht="13.2">
      <c r="A874" s="18"/>
      <c r="B874" s="18"/>
      <c r="C874" s="205"/>
      <c r="D874" s="1053"/>
      <c r="E874" s="1053"/>
      <c r="F874" s="1053"/>
      <c r="H874" s="265"/>
      <c r="I874" s="265"/>
    </row>
    <row r="875" spans="1:9" ht="13.2">
      <c r="A875" s="18"/>
      <c r="B875" s="18"/>
      <c r="C875" s="205"/>
      <c r="D875" s="1053"/>
      <c r="E875" s="1053"/>
      <c r="F875" s="1053"/>
      <c r="H875" s="265"/>
      <c r="I875" s="265"/>
    </row>
    <row r="876" spans="1:9" ht="13.2">
      <c r="A876" s="18"/>
      <c r="B876" s="18"/>
      <c r="C876" s="205"/>
      <c r="D876" s="211"/>
      <c r="H876" s="265"/>
      <c r="I876" s="265"/>
    </row>
    <row r="877" spans="1:9" ht="14.4">
      <c r="A877" s="269"/>
      <c r="B877" s="606" t="s">
        <v>1374</v>
      </c>
      <c r="C877" s="205"/>
      <c r="D877" s="992" t="s">
        <v>1452</v>
      </c>
      <c r="E877" s="992"/>
      <c r="F877" s="992"/>
      <c r="H877" s="265"/>
      <c r="I877" s="265"/>
    </row>
    <row r="878" spans="1:9" ht="14.4">
      <c r="A878" s="269"/>
      <c r="B878" s="269"/>
      <c r="C878" s="205"/>
      <c r="D878" s="992"/>
      <c r="E878" s="992"/>
      <c r="F878" s="992"/>
      <c r="H878" s="265"/>
      <c r="I878" s="265"/>
    </row>
    <row r="879" spans="1:9" ht="14.4">
      <c r="A879" s="269"/>
      <c r="B879" s="269"/>
      <c r="C879" s="205"/>
      <c r="D879" s="992"/>
      <c r="E879" s="992"/>
      <c r="F879" s="992"/>
      <c r="H879" s="265"/>
      <c r="I879" s="265"/>
    </row>
    <row r="880" spans="1:9" ht="14.4">
      <c r="A880" s="269"/>
      <c r="B880" s="269"/>
      <c r="C880" s="205"/>
      <c r="D880" s="44"/>
      <c r="H880" s="265"/>
      <c r="I880" s="265"/>
    </row>
    <row r="881" spans="1:9" ht="13.2">
      <c r="A881" s="416"/>
      <c r="B881" s="606" t="s">
        <v>123</v>
      </c>
      <c r="C881" s="205"/>
      <c r="D881" s="1017" t="s">
        <v>1453</v>
      </c>
      <c r="E881" s="1017"/>
      <c r="F881" s="1017"/>
      <c r="H881" s="265"/>
      <c r="I881" s="265"/>
    </row>
    <row r="882" spans="1:9" ht="13.2">
      <c r="B882" s="416"/>
      <c r="C882" s="205"/>
      <c r="D882" s="1017"/>
      <c r="E882" s="1017"/>
      <c r="F882" s="1017"/>
      <c r="H882" s="265"/>
      <c r="I882" s="265"/>
    </row>
    <row r="883" spans="1:9" ht="14.25" customHeight="1">
      <c r="A883" s="269"/>
      <c r="C883" s="205"/>
      <c r="D883" s="992" t="s">
        <v>2134</v>
      </c>
      <c r="E883" s="992"/>
      <c r="F883" s="992"/>
      <c r="H883" s="265"/>
      <c r="I883" s="265"/>
    </row>
    <row r="884" spans="1:9" ht="14.4">
      <c r="A884" s="269"/>
      <c r="B884" s="269"/>
      <c r="C884" s="205"/>
      <c r="D884" s="992"/>
      <c r="E884" s="992"/>
      <c r="F884" s="992"/>
      <c r="H884" s="265"/>
      <c r="I884" s="265"/>
    </row>
    <row r="885" spans="1:9" ht="14.4">
      <c r="A885" s="269"/>
      <c r="B885" s="269"/>
      <c r="C885" s="205"/>
      <c r="D885" s="992"/>
      <c r="E885" s="992"/>
      <c r="F885" s="992"/>
      <c r="H885" s="265"/>
      <c r="I885" s="265"/>
    </row>
    <row r="886" spans="1:9" ht="14.4">
      <c r="A886" s="269"/>
      <c r="B886" s="269"/>
      <c r="C886" s="205"/>
      <c r="D886" s="992"/>
      <c r="E886" s="992"/>
      <c r="F886" s="992"/>
      <c r="H886" s="265"/>
      <c r="I886" s="265"/>
    </row>
    <row r="887" spans="1:9" ht="14.4">
      <c r="A887" s="269"/>
      <c r="B887" s="269"/>
      <c r="C887" s="205"/>
      <c r="D887" s="992"/>
      <c r="E887" s="992"/>
      <c r="F887" s="992"/>
      <c r="H887" s="265"/>
      <c r="I887" s="265"/>
    </row>
    <row r="888" spans="1:9" ht="14.25" customHeight="1">
      <c r="A888" s="269"/>
      <c r="B888" s="269"/>
      <c r="C888" s="205"/>
      <c r="D888" s="992"/>
      <c r="E888" s="992"/>
      <c r="F888" s="992"/>
      <c r="H888" s="265"/>
      <c r="I888" s="265"/>
    </row>
    <row r="889" spans="1:9" ht="14.4">
      <c r="A889" s="269"/>
      <c r="B889" s="269"/>
      <c r="C889" s="205"/>
      <c r="D889" s="44"/>
      <c r="H889" s="265"/>
      <c r="I889" s="265"/>
    </row>
    <row r="890" spans="1:9" ht="14.4">
      <c r="A890" s="269"/>
      <c r="B890" s="606" t="s">
        <v>123</v>
      </c>
      <c r="C890" s="205"/>
      <c r="D890" s="992" t="s">
        <v>1174</v>
      </c>
      <c r="E890" s="992"/>
      <c r="F890" s="992"/>
      <c r="H890" s="265"/>
      <c r="I890" s="265"/>
    </row>
    <row r="891" spans="1:9" ht="14.4">
      <c r="A891" s="269"/>
      <c r="B891" s="269"/>
      <c r="C891" s="205"/>
      <c r="D891" s="992" t="s">
        <v>1175</v>
      </c>
      <c r="E891" s="992"/>
      <c r="F891" s="992"/>
      <c r="H891" s="265"/>
      <c r="I891" s="265"/>
    </row>
    <row r="892" spans="1:9" ht="14.4">
      <c r="A892" s="269"/>
      <c r="B892" s="269"/>
      <c r="C892" s="205"/>
      <c r="D892" s="3" t="s">
        <v>1428</v>
      </c>
      <c r="E892" s="993" t="s">
        <v>2061</v>
      </c>
      <c r="F892" s="993"/>
      <c r="H892" s="265"/>
      <c r="I892" s="265"/>
    </row>
    <row r="893" spans="1:9" ht="14.4">
      <c r="A893" s="269"/>
      <c r="B893" s="269"/>
      <c r="C893" s="205"/>
      <c r="D893" s="44"/>
      <c r="H893" s="265"/>
      <c r="I893" s="265"/>
    </row>
    <row r="894" spans="1:9" ht="14.4">
      <c r="A894" s="269"/>
      <c r="B894" s="606" t="s">
        <v>123</v>
      </c>
      <c r="C894" s="205"/>
      <c r="D894" s="992" t="s">
        <v>1454</v>
      </c>
      <c r="E894" s="992"/>
      <c r="F894" s="992"/>
      <c r="H894" s="265"/>
      <c r="I894" s="265"/>
    </row>
    <row r="895" spans="1:9" ht="14.4">
      <c r="A895" s="269"/>
      <c r="B895" s="269"/>
      <c r="C895" s="205"/>
      <c r="D895" s="992"/>
      <c r="E895" s="992"/>
      <c r="F895" s="992"/>
      <c r="H895" s="265"/>
      <c r="I895" s="265"/>
    </row>
    <row r="896" spans="1:9" ht="14.4">
      <c r="A896" s="269"/>
      <c r="B896" s="269"/>
      <c r="C896" s="205"/>
      <c r="D896" s="992"/>
      <c r="E896" s="992"/>
      <c r="F896" s="992"/>
      <c r="H896" s="265"/>
      <c r="I896" s="265"/>
    </row>
    <row r="897" spans="1:9" ht="14.4">
      <c r="A897" s="269"/>
      <c r="B897" s="269"/>
      <c r="C897" s="205"/>
      <c r="D897" s="992"/>
      <c r="E897" s="992"/>
      <c r="F897" s="992"/>
      <c r="H897" s="265"/>
      <c r="I897" s="265"/>
    </row>
    <row r="898" spans="1:9" ht="13.2">
      <c r="A898" s="188"/>
      <c r="B898" s="188"/>
      <c r="C898" s="188"/>
      <c r="D898" s="44"/>
      <c r="H898" s="265"/>
      <c r="I898" s="265"/>
    </row>
    <row r="899" spans="1:9" ht="13.2">
      <c r="A899" s="270" t="s">
        <v>1400</v>
      </c>
      <c r="B899" s="270"/>
      <c r="C899" s="608"/>
      <c r="D899" s="608"/>
      <c r="E899" s="608"/>
      <c r="F899" s="608"/>
      <c r="G899" s="608"/>
      <c r="H899" s="265"/>
      <c r="I899" s="265"/>
    </row>
    <row r="900" spans="1:9" ht="13.2">
      <c r="A900" s="188"/>
      <c r="B900" s="188"/>
      <c r="C900" s="188"/>
      <c r="D900" s="210"/>
      <c r="H900" s="265"/>
      <c r="I900" s="265"/>
    </row>
    <row r="901" spans="1:9" ht="13.2">
      <c r="C901" s="189"/>
      <c r="D901" s="1016" t="s">
        <v>1513</v>
      </c>
      <c r="E901" s="1016"/>
      <c r="F901" s="1016"/>
      <c r="G901" s="186"/>
      <c r="H901" s="265"/>
      <c r="I901" s="265"/>
    </row>
    <row r="902" spans="1:9" ht="13.2">
      <c r="C902" s="189"/>
      <c r="D902" s="1061" t="s">
        <v>1868</v>
      </c>
      <c r="E902" s="1062"/>
      <c r="F902" s="1062"/>
      <c r="G902" s="186"/>
      <c r="H902" s="265"/>
      <c r="I902" s="265"/>
    </row>
    <row r="903" spans="1:9" ht="13.2">
      <c r="C903" s="189"/>
      <c r="D903" s="637"/>
      <c r="E903" s="637"/>
      <c r="F903" s="637"/>
      <c r="G903" s="186"/>
      <c r="H903" s="265"/>
      <c r="I903" s="265"/>
    </row>
    <row r="904" spans="1:9" ht="14.4">
      <c r="A904" s="269"/>
      <c r="B904" s="606" t="s">
        <v>1374</v>
      </c>
      <c r="D904" s="1010" t="s">
        <v>1473</v>
      </c>
      <c r="E904" s="1010"/>
      <c r="F904" s="1010"/>
      <c r="G904" s="186"/>
      <c r="H904" s="265"/>
      <c r="I904" s="265"/>
    </row>
    <row r="905" spans="1:9" ht="13.2">
      <c r="D905" s="3" t="s">
        <v>1428</v>
      </c>
      <c r="E905" s="1060" t="s">
        <v>2061</v>
      </c>
      <c r="F905" s="1060"/>
      <c r="G905" s="186"/>
    </row>
    <row r="906" spans="1:9" ht="13.2">
      <c r="D906" s="44"/>
      <c r="E906" s="186"/>
      <c r="F906" s="186"/>
      <c r="G906" s="186"/>
      <c r="H906" s="265"/>
      <c r="I906" s="265"/>
    </row>
    <row r="907" spans="1:9" ht="14.4">
      <c r="A907" s="269"/>
      <c r="B907" s="606" t="s">
        <v>1374</v>
      </c>
      <c r="D907" s="983" t="s">
        <v>1871</v>
      </c>
      <c r="E907" s="1037"/>
      <c r="F907" s="1037"/>
    </row>
    <row r="908" spans="1:9" ht="12.6" customHeight="1">
      <c r="D908" s="1037"/>
      <c r="E908" s="1037"/>
      <c r="F908" s="1037"/>
    </row>
    <row r="909" spans="1:9" ht="14.4">
      <c r="A909" s="269"/>
      <c r="B909" s="269"/>
      <c r="D909" s="44"/>
      <c r="E909" s="186"/>
      <c r="F909" s="186"/>
      <c r="G909" s="186"/>
      <c r="H909" s="265"/>
      <c r="I909" s="265"/>
    </row>
    <row r="910" spans="1:9" ht="13.2">
      <c r="B910" s="606" t="s">
        <v>123</v>
      </c>
      <c r="D910" s="1058" t="s">
        <v>1673</v>
      </c>
      <c r="E910" s="1058"/>
      <c r="F910" s="1058"/>
      <c r="G910" s="186"/>
      <c r="H910" s="265"/>
      <c r="I910" s="265"/>
    </row>
    <row r="911" spans="1:9" ht="29.4" customHeight="1">
      <c r="B911" s="562"/>
      <c r="D911" s="1058"/>
      <c r="E911" s="1058"/>
      <c r="F911" s="1058"/>
      <c r="G911" s="186"/>
      <c r="H911" s="265"/>
      <c r="I911" s="265"/>
    </row>
    <row r="912" spans="1:9" ht="14.4">
      <c r="A912" s="269"/>
      <c r="B912"/>
      <c r="D912" s="992" t="s">
        <v>2134</v>
      </c>
      <c r="E912" s="992"/>
      <c r="F912" s="992"/>
      <c r="G912" s="186"/>
      <c r="H912" s="265"/>
      <c r="I912" s="265"/>
    </row>
    <row r="913" spans="1:9" ht="14.4">
      <c r="A913" s="269"/>
      <c r="B913" s="269"/>
      <c r="D913" s="992"/>
      <c r="E913" s="992"/>
      <c r="F913" s="992"/>
      <c r="G913" s="186"/>
      <c r="H913" s="265"/>
      <c r="I913" s="265"/>
    </row>
    <row r="914" spans="1:9" ht="14.4">
      <c r="A914" s="269"/>
      <c r="B914" s="269"/>
      <c r="D914" s="992"/>
      <c r="E914" s="992"/>
      <c r="F914" s="992"/>
      <c r="G914" s="186"/>
      <c r="H914" s="265"/>
      <c r="I914" s="265"/>
    </row>
    <row r="915" spans="1:9" ht="14.4">
      <c r="A915" s="269"/>
      <c r="B915" s="269"/>
      <c r="D915" s="992"/>
      <c r="E915" s="992"/>
      <c r="F915" s="992"/>
      <c r="G915" s="186"/>
      <c r="H915" s="265"/>
      <c r="I915" s="265"/>
    </row>
    <row r="916" spans="1:9" ht="14.4">
      <c r="A916" s="269"/>
      <c r="B916" s="269"/>
      <c r="D916" s="992"/>
      <c r="E916" s="992"/>
      <c r="F916" s="992"/>
      <c r="G916" s="186"/>
      <c r="H916" s="265"/>
      <c r="I916" s="265"/>
    </row>
    <row r="917" spans="1:9" ht="14.4">
      <c r="A917" s="269"/>
      <c r="B917" s="269"/>
      <c r="D917" s="992"/>
      <c r="E917" s="992"/>
      <c r="F917" s="992"/>
      <c r="G917" s="186"/>
      <c r="H917" s="265"/>
      <c r="I917" s="265"/>
    </row>
    <row r="918" spans="1:9" ht="14.4">
      <c r="A918" s="269"/>
      <c r="B918" s="269"/>
      <c r="D918" s="44"/>
      <c r="E918" s="186"/>
      <c r="F918" s="186"/>
      <c r="G918" s="186"/>
      <c r="H918" s="265"/>
      <c r="I918" s="265"/>
    </row>
    <row r="919" spans="1:9" ht="14.4">
      <c r="A919" s="269"/>
      <c r="B919" s="606" t="s">
        <v>123</v>
      </c>
      <c r="D919" s="1014" t="s">
        <v>1174</v>
      </c>
      <c r="E919" s="1014"/>
      <c r="F919" s="1014"/>
      <c r="G919" s="186"/>
      <c r="H919" s="265"/>
      <c r="I919" s="265"/>
    </row>
    <row r="920" spans="1:9" ht="14.4">
      <c r="A920" s="269"/>
      <c r="B920" s="269"/>
      <c r="D920" s="1014" t="s">
        <v>1175</v>
      </c>
      <c r="E920" s="1014"/>
      <c r="F920" s="1014"/>
      <c r="G920" s="186"/>
      <c r="H920" s="265"/>
      <c r="I920" s="265"/>
    </row>
    <row r="921" spans="1:9" ht="14.4">
      <c r="A921" s="269"/>
      <c r="B921" s="269"/>
      <c r="D921" s="3" t="s">
        <v>1474</v>
      </c>
      <c r="E921" s="1059" t="s">
        <v>2061</v>
      </c>
      <c r="F921" s="1059"/>
      <c r="G921" s="186"/>
      <c r="H921" s="265"/>
      <c r="I921" s="265"/>
    </row>
    <row r="922" spans="1:9" ht="14.4">
      <c r="A922" s="269"/>
      <c r="B922" s="269"/>
      <c r="D922" s="44"/>
      <c r="E922" s="186"/>
      <c r="F922" s="186"/>
      <c r="G922" s="186"/>
      <c r="H922" s="265"/>
      <c r="I922" s="265"/>
    </row>
    <row r="923" spans="1:9" ht="14.4">
      <c r="A923" s="269"/>
      <c r="B923" s="606" t="s">
        <v>123</v>
      </c>
      <c r="D923" s="992" t="s">
        <v>1454</v>
      </c>
      <c r="E923" s="992"/>
      <c r="F923" s="992"/>
      <c r="G923" s="186"/>
      <c r="H923" s="265"/>
      <c r="I923" s="265"/>
    </row>
    <row r="924" spans="1:9" ht="14.4">
      <c r="A924" s="269"/>
      <c r="B924" s="269"/>
      <c r="D924" s="992"/>
      <c r="E924" s="992"/>
      <c r="F924" s="992"/>
      <c r="G924" s="186"/>
      <c r="H924" s="265"/>
      <c r="I924" s="265"/>
    </row>
    <row r="925" spans="1:9" ht="14.4">
      <c r="A925" s="269"/>
      <c r="B925" s="269"/>
      <c r="D925" s="992"/>
      <c r="E925" s="992"/>
      <c r="F925" s="992"/>
      <c r="G925" s="186"/>
      <c r="H925" s="265"/>
      <c r="I925" s="265"/>
    </row>
    <row r="926" spans="1:9" ht="14.4">
      <c r="A926" s="269"/>
      <c r="B926" s="269"/>
      <c r="D926" s="992"/>
      <c r="E926" s="992"/>
      <c r="F926" s="992"/>
      <c r="G926" s="186"/>
      <c r="H926" s="265"/>
      <c r="I926" s="265"/>
    </row>
    <row r="927" spans="1:9" ht="13.2">
      <c r="A927" s="44"/>
      <c r="B927" s="44"/>
      <c r="C927" s="205"/>
      <c r="D927" s="186"/>
      <c r="E927" s="186"/>
      <c r="F927" s="186"/>
      <c r="G927" s="186"/>
      <c r="H927" s="265"/>
      <c r="I927" s="265"/>
    </row>
    <row r="928" spans="1:9" ht="13.2">
      <c r="A928" s="1015" t="s">
        <v>1401</v>
      </c>
      <c r="B928" s="1015"/>
      <c r="C928" s="1015"/>
      <c r="D928" s="1015"/>
      <c r="E928" s="1015"/>
      <c r="F928" s="1015"/>
      <c r="G928" s="1015"/>
      <c r="H928" s="265"/>
      <c r="I928" s="265"/>
    </row>
    <row r="929" spans="1:9" ht="13.2">
      <c r="A929" s="44"/>
      <c r="B929" s="44"/>
      <c r="C929" s="205"/>
      <c r="D929" s="186"/>
      <c r="E929" s="186"/>
      <c r="F929" s="186"/>
      <c r="G929" s="186"/>
      <c r="H929" s="265"/>
      <c r="I929" s="265"/>
    </row>
    <row r="930" spans="1:9" ht="13.2">
      <c r="C930" s="205"/>
      <c r="D930" s="1041" t="s">
        <v>1628</v>
      </c>
      <c r="E930" s="1041"/>
      <c r="F930" s="1041"/>
      <c r="G930" s="186"/>
      <c r="H930" s="265"/>
      <c r="I930" s="265"/>
    </row>
    <row r="931" spans="1:9" ht="13.2">
      <c r="A931" s="188"/>
      <c r="B931" s="188"/>
      <c r="C931" s="188"/>
      <c r="D931" s="1010" t="s">
        <v>1472</v>
      </c>
      <c r="E931" s="1010"/>
      <c r="F931" s="1010"/>
      <c r="G931" s="186"/>
      <c r="H931" s="265"/>
      <c r="I931" s="265"/>
    </row>
    <row r="932" spans="1:9" ht="13.2">
      <c r="A932" s="188"/>
      <c r="B932" s="188"/>
      <c r="C932" s="188"/>
      <c r="F932" s="186"/>
      <c r="G932" s="186"/>
      <c r="H932" s="265"/>
      <c r="I932" s="265"/>
    </row>
    <row r="933" spans="1:9" ht="13.65" customHeight="1">
      <c r="A933" s="188"/>
      <c r="B933" s="606" t="s">
        <v>123</v>
      </c>
      <c r="C933" s="188"/>
      <c r="D933" s="1017" t="s">
        <v>1637</v>
      </c>
      <c r="E933" s="1017"/>
      <c r="F933" s="1017"/>
      <c r="G933" s="186"/>
      <c r="H933" s="265"/>
      <c r="I933" s="265"/>
    </row>
    <row r="934" spans="1:9" ht="13.2">
      <c r="A934" s="188"/>
      <c r="B934" s="188"/>
      <c r="C934" s="188"/>
      <c r="D934" s="1017"/>
      <c r="E934" s="1017"/>
      <c r="F934" s="1017"/>
      <c r="G934" s="186"/>
      <c r="H934" s="265"/>
      <c r="I934" s="265"/>
    </row>
    <row r="935" spans="1:9" ht="13.2">
      <c r="A935" s="188"/>
      <c r="B935" s="188"/>
      <c r="C935" s="188"/>
      <c r="D935" s="1017"/>
      <c r="E935" s="1017"/>
      <c r="F935" s="1017"/>
      <c r="G935" s="186"/>
      <c r="H935" s="265"/>
      <c r="I935" s="265"/>
    </row>
    <row r="936" spans="1:9" ht="13.2">
      <c r="A936" s="188"/>
      <c r="B936" s="188"/>
      <c r="C936" s="188"/>
      <c r="D936" s="1017"/>
      <c r="E936" s="1017"/>
      <c r="F936" s="1017"/>
      <c r="G936" s="186"/>
      <c r="H936" s="265"/>
      <c r="I936" s="265"/>
    </row>
    <row r="937" spans="1:9" ht="13.2">
      <c r="A937" s="188"/>
      <c r="B937" s="188"/>
      <c r="C937" s="188"/>
      <c r="D937" s="1017"/>
      <c r="E937" s="1017"/>
      <c r="F937" s="1017"/>
      <c r="G937" s="186"/>
      <c r="H937" s="265"/>
      <c r="I937" s="265"/>
    </row>
    <row r="938" spans="1:9" ht="13.2">
      <c r="A938" s="189"/>
      <c r="B938" s="189"/>
      <c r="C938" s="189"/>
      <c r="F938" s="186"/>
      <c r="G938" s="186"/>
      <c r="H938" s="265"/>
      <c r="I938" s="265"/>
    </row>
    <row r="939" spans="1:9" ht="14.25" customHeight="1">
      <c r="A939" s="269"/>
      <c r="B939" s="606" t="s">
        <v>1374</v>
      </c>
      <c r="C939" s="189"/>
      <c r="D939" s="993" t="s">
        <v>1720</v>
      </c>
      <c r="E939" s="993"/>
      <c r="F939" s="993"/>
      <c r="G939" s="186"/>
      <c r="H939" s="265"/>
      <c r="I939" s="265"/>
    </row>
    <row r="940" spans="1:9" ht="14.25" customHeight="1">
      <c r="A940" s="269"/>
      <c r="B940" s="269"/>
      <c r="C940" s="189"/>
      <c r="D940" s="993"/>
      <c r="E940" s="993"/>
      <c r="F940" s="993"/>
      <c r="G940" s="186"/>
      <c r="H940" s="265"/>
      <c r="I940" s="265"/>
    </row>
    <row r="941" spans="1:9" ht="14.25" customHeight="1">
      <c r="A941" s="269"/>
      <c r="B941" s="269"/>
      <c r="C941" s="189"/>
      <c r="D941" s="993"/>
      <c r="E941" s="993"/>
      <c r="F941" s="993"/>
      <c r="G941" s="186"/>
      <c r="H941" s="265"/>
      <c r="I941" s="265"/>
    </row>
    <row r="942" spans="1:9" ht="14.25" customHeight="1">
      <c r="A942" s="269"/>
      <c r="B942" s="26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993"/>
      <c r="E944" s="993"/>
      <c r="F944" s="993"/>
      <c r="G944" s="186"/>
      <c r="H944" s="265"/>
      <c r="I944" s="265"/>
    </row>
    <row r="945" spans="1:9" ht="14.25" customHeight="1">
      <c r="A945" s="189"/>
      <c r="B945" s="189"/>
      <c r="C945" s="189"/>
      <c r="D945" s="993"/>
      <c r="E945" s="993"/>
      <c r="F945" s="993"/>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93" t="s">
        <v>1721</v>
      </c>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25" customHeight="1">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4.4">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s="321" customFormat="1" ht="14.25" customHeight="1">
      <c r="A954" s="352"/>
      <c r="B954" s="352"/>
      <c r="C954" s="353"/>
      <c r="D954" s="993"/>
      <c r="E954" s="993"/>
      <c r="F954" s="993"/>
      <c r="G954" s="355"/>
      <c r="H954" s="356"/>
      <c r="I954" s="356"/>
    </row>
    <row r="955" spans="1:9" s="321" customFormat="1" ht="14.25" customHeight="1">
      <c r="A955" s="352"/>
      <c r="B955" s="352"/>
      <c r="C955" s="353"/>
      <c r="D955" s="993"/>
      <c r="E955" s="993"/>
      <c r="F955" s="993"/>
      <c r="G955" s="355"/>
      <c r="H955" s="356"/>
      <c r="I955" s="356"/>
    </row>
    <row r="956" spans="1:9" ht="14.25" customHeight="1">
      <c r="A956" s="189"/>
      <c r="B956" s="189"/>
      <c r="C956" s="189"/>
      <c r="D956" s="3"/>
      <c r="F956" s="186"/>
      <c r="G956" s="186"/>
      <c r="H956" s="265"/>
      <c r="I956" s="265"/>
    </row>
    <row r="957" spans="1:9" ht="14.25" customHeight="1">
      <c r="A957" s="269"/>
      <c r="B957" s="606" t="s">
        <v>123</v>
      </c>
      <c r="C957" s="189"/>
      <c r="D957" s="1039" t="s">
        <v>1638</v>
      </c>
      <c r="E957" s="1039"/>
      <c r="F957" s="1039"/>
      <c r="G957" s="186"/>
      <c r="H957" s="265"/>
      <c r="I957" s="265"/>
    </row>
    <row r="958" spans="1:9" ht="14.25" customHeight="1">
      <c r="A958" s="269"/>
      <c r="B958" s="269"/>
      <c r="C958" s="189"/>
      <c r="D958" s="1039"/>
      <c r="E958" s="1039"/>
      <c r="F958" s="1039"/>
      <c r="G958" s="186"/>
      <c r="H958" s="265"/>
      <c r="I958" s="265"/>
    </row>
    <row r="959" spans="1:9" ht="14.25" customHeight="1">
      <c r="A959" s="269"/>
      <c r="B959" s="269"/>
      <c r="C959" s="189"/>
      <c r="D959" s="1039"/>
      <c r="E959" s="1039"/>
      <c r="F959" s="1039"/>
      <c r="G959" s="186"/>
      <c r="H959" s="265"/>
      <c r="I959" s="265"/>
    </row>
    <row r="960" spans="1:9" ht="14.25" customHeight="1">
      <c r="A960" s="269"/>
      <c r="B960" s="269"/>
      <c r="C960" s="189"/>
      <c r="D960" s="1039"/>
      <c r="E960" s="1039"/>
      <c r="F960" s="1039"/>
      <c r="G960" s="186"/>
      <c r="H960" s="265"/>
      <c r="I960" s="265"/>
    </row>
    <row r="961" spans="1:9" ht="14.25" customHeight="1">
      <c r="A961" s="269"/>
      <c r="B961" s="269"/>
      <c r="C961" s="189"/>
      <c r="D961" s="1039"/>
      <c r="E961" s="1039"/>
      <c r="F961" s="1039"/>
      <c r="G961" s="186"/>
      <c r="H961" s="265"/>
      <c r="I961" s="265"/>
    </row>
    <row r="962" spans="1:9" ht="14.25" customHeight="1">
      <c r="A962" s="269"/>
      <c r="B962" s="269"/>
      <c r="C962" s="189"/>
      <c r="D962" s="1039"/>
      <c r="E962" s="1039"/>
      <c r="F962" s="1039"/>
      <c r="G962" s="186"/>
      <c r="H962" s="265"/>
      <c r="I962" s="265"/>
    </row>
    <row r="963" spans="1:9" ht="14.25" customHeight="1">
      <c r="A963" s="269"/>
      <c r="B963" s="269"/>
      <c r="C963" s="189"/>
      <c r="D963" s="1039"/>
      <c r="E963" s="1039"/>
      <c r="F963" s="1039"/>
      <c r="G963" s="186"/>
      <c r="H963" s="265"/>
      <c r="I963" s="265"/>
    </row>
    <row r="964" spans="1:9" ht="14.25" customHeight="1">
      <c r="A964" s="269"/>
      <c r="B964" s="269"/>
      <c r="C964" s="189"/>
      <c r="D964" s="370"/>
      <c r="F964" s="186"/>
      <c r="G964" s="186"/>
      <c r="H964" s="265"/>
      <c r="I964" s="265"/>
    </row>
    <row r="965" spans="1:9" s="445" customFormat="1" ht="14.4">
      <c r="A965" s="269"/>
      <c r="B965" s="606" t="s">
        <v>123</v>
      </c>
      <c r="C965" s="189"/>
      <c r="D965" s="993" t="s">
        <v>1639</v>
      </c>
      <c r="E965" s="993"/>
      <c r="F965" s="993"/>
      <c r="G965" s="186"/>
    </row>
    <row r="966" spans="1:9" s="445" customFormat="1" ht="14.4">
      <c r="A966" s="269"/>
      <c r="B966" s="269"/>
      <c r="C966" s="189"/>
      <c r="D966" s="993"/>
      <c r="E966" s="993"/>
      <c r="F966" s="993"/>
      <c r="G966" s="186"/>
    </row>
    <row r="967" spans="1:9" s="445" customFormat="1" ht="14.4">
      <c r="A967" s="269"/>
      <c r="B967" s="269"/>
      <c r="C967" s="189"/>
      <c r="D967" s="993"/>
      <c r="E967" s="993"/>
      <c r="F967" s="993"/>
      <c r="G967" s="186"/>
    </row>
    <row r="968" spans="1:9" s="445" customFormat="1" ht="14.4">
      <c r="A968" s="269"/>
      <c r="B968" s="269"/>
      <c r="C968" s="189"/>
      <c r="D968" s="993"/>
      <c r="E968" s="993"/>
      <c r="F968" s="993"/>
      <c r="G968" s="186"/>
    </row>
    <row r="969" spans="1:9" s="445" customFormat="1" ht="14.4">
      <c r="A969" s="269"/>
      <c r="B969" s="269"/>
      <c r="C969" s="189"/>
      <c r="D969" s="3"/>
      <c r="E969" s="5"/>
      <c r="F969" s="186"/>
      <c r="G969" s="186"/>
    </row>
    <row r="970" spans="1:9" ht="14.25" customHeight="1">
      <c r="A970" s="18"/>
      <c r="B970" s="18"/>
      <c r="C970" s="205"/>
      <c r="D970" s="992" t="s">
        <v>1640</v>
      </c>
      <c r="E970" s="992"/>
      <c r="F970" s="992"/>
      <c r="G970" s="186"/>
      <c r="H970" s="265"/>
      <c r="I970" s="265"/>
    </row>
    <row r="971" spans="1:9" ht="14.25" customHeight="1">
      <c r="A971" s="205"/>
      <c r="B971" s="205"/>
      <c r="C971" s="205"/>
      <c r="D971" s="992"/>
      <c r="E971" s="992"/>
      <c r="F971" s="992"/>
      <c r="G971" s="186"/>
      <c r="H971" s="265"/>
      <c r="I971" s="265"/>
    </row>
    <row r="972" spans="1:9" ht="14.25" customHeight="1">
      <c r="A972" s="205"/>
      <c r="B972" s="205"/>
      <c r="C972" s="205"/>
      <c r="D972" s="3"/>
      <c r="E972" s="186"/>
      <c r="F972" s="186"/>
      <c r="G972" s="186"/>
      <c r="H972" s="265"/>
      <c r="I972" s="265"/>
    </row>
    <row r="973" spans="1:9" ht="14.4">
      <c r="A973" s="269"/>
      <c r="B973" s="606" t="s">
        <v>1374</v>
      </c>
      <c r="D973" s="992" t="s">
        <v>1641</v>
      </c>
      <c r="E973" s="992"/>
      <c r="F973" s="992"/>
    </row>
    <row r="974" spans="1:9" ht="13.2">
      <c r="D974" s="992"/>
      <c r="E974" s="992"/>
      <c r="F974" s="992"/>
    </row>
    <row r="975" spans="1:9" ht="14.25" customHeight="1">
      <c r="A975" s="205"/>
      <c r="B975" s="205"/>
      <c r="C975" s="205"/>
      <c r="D975" s="3"/>
      <c r="E975" s="186"/>
      <c r="F975" s="186"/>
      <c r="G975" s="186"/>
      <c r="H975" s="265"/>
      <c r="I975" s="265"/>
    </row>
    <row r="976" spans="1:9" ht="14.25" customHeight="1">
      <c r="A976" s="189"/>
      <c r="B976" s="189"/>
      <c r="C976" s="189"/>
      <c r="D976" s="1041" t="s">
        <v>1631</v>
      </c>
      <c r="E976" s="1041"/>
      <c r="F976" s="1041"/>
      <c r="G976" s="186"/>
      <c r="H976" s="265"/>
      <c r="I976" s="265"/>
    </row>
    <row r="977" spans="1:9" ht="14.25" customHeight="1">
      <c r="A977" s="189"/>
      <c r="B977" s="189"/>
      <c r="C977" s="189"/>
      <c r="D977" s="190"/>
      <c r="F977" s="186"/>
      <c r="G977" s="186"/>
      <c r="H977" s="265"/>
      <c r="I977" s="265"/>
    </row>
    <row r="978" spans="1:9" ht="14.4" customHeight="1">
      <c r="A978" s="269"/>
      <c r="B978" s="606" t="s">
        <v>1374</v>
      </c>
      <c r="C978" s="205"/>
      <c r="D978" s="1018" t="s">
        <v>1630</v>
      </c>
      <c r="E978" s="1018"/>
      <c r="F978" s="1018"/>
      <c r="G978" s="186"/>
      <c r="H978" s="265"/>
      <c r="I978" s="265"/>
    </row>
    <row r="979" spans="1:9" ht="13.2">
      <c r="A979" s="205"/>
      <c r="B979" s="205"/>
      <c r="C979" s="205"/>
      <c r="D979" s="1018"/>
      <c r="E979" s="1018"/>
      <c r="F979" s="1018"/>
      <c r="G979" s="186"/>
      <c r="H979" s="265"/>
      <c r="I979" s="265"/>
    </row>
    <row r="980" spans="1:9" ht="13.2">
      <c r="A980" s="205"/>
      <c r="B980" s="205"/>
      <c r="C980" s="205"/>
      <c r="D980" s="1018"/>
      <c r="E980" s="1018"/>
      <c r="F980" s="1018"/>
      <c r="G980" s="186"/>
      <c r="H980" s="265"/>
      <c r="I980" s="265"/>
    </row>
    <row r="981" spans="1:9" ht="13.2">
      <c r="A981" s="205"/>
      <c r="B981" s="205"/>
      <c r="C981" s="205"/>
      <c r="D981" s="1018"/>
      <c r="E981" s="1018"/>
      <c r="F981" s="1018"/>
      <c r="G981" s="186"/>
      <c r="H981" s="265"/>
      <c r="I981" s="265"/>
    </row>
    <row r="982" spans="1:9" ht="13.2">
      <c r="A982" s="205"/>
      <c r="B982" s="205"/>
      <c r="C982" s="205"/>
      <c r="D982" s="1018"/>
      <c r="E982" s="1018"/>
      <c r="F982" s="1018"/>
      <c r="G982" s="186"/>
      <c r="H982" s="265"/>
      <c r="I982" s="265"/>
    </row>
    <row r="983" spans="1:9" ht="13.2">
      <c r="A983" s="205"/>
      <c r="B983" s="205"/>
      <c r="C983" s="205"/>
      <c r="D983" s="1018"/>
      <c r="E983" s="1018"/>
      <c r="F983" s="1018"/>
      <c r="G983" s="186"/>
      <c r="H983" s="265"/>
      <c r="I983" s="265"/>
    </row>
    <row r="984" spans="1:9" ht="13.2">
      <c r="A984" s="205"/>
      <c r="B984" s="205"/>
      <c r="C984" s="205"/>
      <c r="D984" s="610"/>
      <c r="E984" s="610"/>
      <c r="F984" s="610"/>
      <c r="G984" s="186"/>
      <c r="H984" s="265"/>
      <c r="I984" s="265"/>
    </row>
    <row r="985" spans="1:9" ht="14.4" customHeight="1">
      <c r="A985" s="269"/>
      <c r="B985" s="606" t="s">
        <v>123</v>
      </c>
      <c r="C985" s="205"/>
      <c r="D985" s="1018" t="s">
        <v>1629</v>
      </c>
      <c r="E985" s="1018"/>
      <c r="F985" s="1018"/>
      <c r="G985" s="186"/>
      <c r="H985" s="265"/>
      <c r="I985" s="265"/>
    </row>
    <row r="986" spans="1:9" ht="13.2">
      <c r="A986" s="205"/>
      <c r="B986" s="205"/>
      <c r="C986" s="205"/>
      <c r="D986" s="1018"/>
      <c r="E986" s="1018"/>
      <c r="F986" s="1018"/>
      <c r="G986" s="186"/>
      <c r="H986" s="265"/>
      <c r="I986" s="265"/>
    </row>
    <row r="987" spans="1:9" ht="13.2">
      <c r="A987" s="205"/>
      <c r="B987" s="205"/>
      <c r="C987" s="205"/>
      <c r="D987" s="1018"/>
      <c r="E987" s="1018"/>
      <c r="F987" s="1018"/>
      <c r="G987" s="186"/>
      <c r="H987" s="265"/>
      <c r="I987" s="265"/>
    </row>
    <row r="988" spans="1:9" ht="13.2">
      <c r="A988" s="205"/>
      <c r="B988" s="205"/>
      <c r="C988" s="205"/>
      <c r="D988" s="1018"/>
      <c r="E988" s="1018"/>
      <c r="F988" s="1018"/>
      <c r="G988" s="186"/>
      <c r="H988" s="265"/>
      <c r="I988" s="265"/>
    </row>
    <row r="989" spans="1:9" ht="13.2">
      <c r="A989" s="205"/>
      <c r="B989" s="205"/>
      <c r="C989" s="205"/>
      <c r="D989" s="1018"/>
      <c r="E989" s="1018"/>
      <c r="F989" s="1018"/>
      <c r="G989" s="186"/>
      <c r="H989" s="265"/>
      <c r="I989" s="265"/>
    </row>
    <row r="990" spans="1:9" ht="13.2">
      <c r="A990" s="205"/>
      <c r="B990" s="205"/>
      <c r="C990" s="205"/>
      <c r="D990" s="368"/>
      <c r="E990" s="186"/>
      <c r="F990" s="186"/>
      <c r="G990" s="186"/>
      <c r="H990" s="265"/>
      <c r="I990" s="265"/>
    </row>
    <row r="991" spans="1:9" ht="14.4">
      <c r="A991" s="269"/>
      <c r="B991" s="606" t="s">
        <v>123</v>
      </c>
      <c r="C991" s="205"/>
      <c r="D991" s="1018" t="s">
        <v>1632</v>
      </c>
      <c r="E991" s="1018"/>
      <c r="F991" s="1018"/>
      <c r="G991" s="186"/>
      <c r="H991" s="265"/>
      <c r="I991" s="265"/>
    </row>
    <row r="992" spans="1:9" ht="13.2">
      <c r="A992" s="205"/>
      <c r="B992" s="205"/>
      <c r="C992" s="205"/>
      <c r="D992" s="1018"/>
      <c r="E992" s="1018"/>
      <c r="F992" s="1018"/>
      <c r="G992" s="186"/>
      <c r="H992" s="265"/>
      <c r="I992" s="265"/>
    </row>
    <row r="993" spans="1:9" ht="13.2">
      <c r="A993" s="205"/>
      <c r="B993" s="205"/>
      <c r="C993" s="205"/>
      <c r="D993" s="1018"/>
      <c r="E993" s="1018"/>
      <c r="F993" s="1018"/>
      <c r="G993" s="186"/>
      <c r="H993" s="265"/>
      <c r="I993" s="265"/>
    </row>
    <row r="994" spans="1:9" ht="13.2">
      <c r="A994" s="205"/>
      <c r="B994" s="205"/>
      <c r="C994" s="205"/>
      <c r="D994" s="1018"/>
      <c r="E994" s="1018"/>
      <c r="F994" s="1018"/>
      <c r="G994" s="186"/>
      <c r="H994" s="265"/>
      <c r="I994" s="265"/>
    </row>
    <row r="995" spans="1:9" ht="13.2">
      <c r="A995" s="205"/>
      <c r="B995" s="205"/>
      <c r="C995" s="205"/>
      <c r="D995" s="1018"/>
      <c r="E995" s="1018"/>
      <c r="F995" s="1018"/>
      <c r="G995" s="186"/>
      <c r="H995" s="265"/>
      <c r="I995" s="265"/>
    </row>
    <row r="996" spans="1:9" ht="13.2">
      <c r="A996" s="205"/>
      <c r="B996" s="205"/>
      <c r="C996" s="205"/>
      <c r="D996" s="368"/>
      <c r="E996" s="186"/>
      <c r="F996" s="186"/>
      <c r="G996" s="186"/>
      <c r="H996" s="265"/>
      <c r="I996" s="265"/>
    </row>
    <row r="997" spans="1:9" ht="14.4" customHeight="1">
      <c r="A997" s="269"/>
      <c r="B997" s="606" t="s">
        <v>123</v>
      </c>
      <c r="C997" s="205"/>
      <c r="D997" s="1018" t="s">
        <v>1633</v>
      </c>
      <c r="E997" s="1018"/>
      <c r="F997" s="1018"/>
      <c r="G997" s="186"/>
      <c r="H997" s="265"/>
      <c r="I997" s="265"/>
    </row>
    <row r="998" spans="1:9" ht="13.2">
      <c r="A998" s="205"/>
      <c r="B998" s="205"/>
      <c r="C998" s="205"/>
      <c r="D998" s="1018"/>
      <c r="E998" s="1018"/>
      <c r="F998" s="1018"/>
      <c r="G998" s="186"/>
      <c r="H998" s="265"/>
      <c r="I998" s="265"/>
    </row>
    <row r="999" spans="1:9" ht="13.2">
      <c r="A999" s="205"/>
      <c r="B999" s="205"/>
      <c r="C999" s="205"/>
      <c r="D999" s="1018"/>
      <c r="E999" s="1018"/>
      <c r="F999" s="1018"/>
      <c r="G999" s="186"/>
      <c r="H999" s="265"/>
      <c r="I999" s="265"/>
    </row>
    <row r="1000" spans="1:9" ht="13.2">
      <c r="A1000" s="205"/>
      <c r="B1000" s="205"/>
      <c r="C1000" s="205"/>
      <c r="D1000" s="610"/>
      <c r="E1000" s="610"/>
      <c r="F1000" s="610"/>
      <c r="G1000" s="186"/>
      <c r="H1000" s="265"/>
      <c r="I1000" s="265"/>
    </row>
    <row r="1001" spans="1:9" ht="14.4">
      <c r="A1001" s="269"/>
      <c r="B1001" s="606" t="s">
        <v>123</v>
      </c>
      <c r="C1001" s="205"/>
      <c r="D1001" s="1018" t="s">
        <v>1634</v>
      </c>
      <c r="E1001" s="1018"/>
      <c r="F1001" s="1018"/>
      <c r="G1001" s="186"/>
      <c r="H1001" s="265"/>
      <c r="I1001" s="265"/>
    </row>
    <row r="1002" spans="1:9" ht="13.2">
      <c r="A1002" s="205"/>
      <c r="B1002" s="205"/>
      <c r="C1002" s="205"/>
      <c r="D1002" s="1018"/>
      <c r="E1002" s="1018"/>
      <c r="F1002" s="1018"/>
      <c r="G1002" s="186"/>
      <c r="H1002" s="265"/>
      <c r="I1002" s="265"/>
    </row>
    <row r="1003" spans="1:9" ht="13.2">
      <c r="A1003" s="205"/>
      <c r="B1003" s="205"/>
      <c r="C1003" s="205"/>
      <c r="D1003" s="368"/>
      <c r="E1003" s="186"/>
      <c r="F1003" s="186"/>
      <c r="G1003" s="186"/>
      <c r="H1003" s="265"/>
      <c r="I1003" s="265"/>
    </row>
    <row r="1004" spans="1:9" ht="13.2">
      <c r="A1004" s="205"/>
      <c r="B1004" s="606" t="s">
        <v>123</v>
      </c>
      <c r="C1004" s="205"/>
      <c r="D1004" s="983" t="s">
        <v>2294</v>
      </c>
      <c r="E1004" s="992"/>
      <c r="F1004" s="992"/>
      <c r="G1004" s="186"/>
      <c r="H1004" s="265"/>
      <c r="I1004" s="265"/>
    </row>
    <row r="1005" spans="1:9" ht="13.2">
      <c r="A1005" s="205"/>
      <c r="B1005" s="205"/>
      <c r="C1005" s="205"/>
      <c r="D1005" s="992"/>
      <c r="E1005" s="992"/>
      <c r="F1005" s="992"/>
      <c r="G1005" s="186"/>
      <c r="H1005" s="265"/>
      <c r="I1005" s="265"/>
    </row>
    <row r="1006" spans="1:9" ht="13.2">
      <c r="A1006" s="205"/>
      <c r="B1006" s="205"/>
      <c r="C1006" s="205"/>
      <c r="D1006" s="186"/>
      <c r="E1006" s="186"/>
      <c r="F1006" s="186"/>
      <c r="G1006" s="186"/>
      <c r="H1006" s="265"/>
      <c r="I1006" s="265"/>
    </row>
    <row r="1007" spans="1:9" ht="13.2">
      <c r="A1007" s="205"/>
      <c r="B1007" s="606" t="s">
        <v>123</v>
      </c>
      <c r="C1007" s="205"/>
      <c r="D1007" s="1046" t="s">
        <v>1758</v>
      </c>
      <c r="E1007" s="1044"/>
      <c r="F1007" s="1044"/>
      <c r="G1007" s="186"/>
      <c r="H1007" s="265"/>
      <c r="I1007" s="265"/>
    </row>
    <row r="1008" spans="1:9" ht="13.2">
      <c r="A1008" s="205"/>
      <c r="B1008" s="205"/>
      <c r="C1008" s="205"/>
      <c r="D1008" s="1046"/>
      <c r="E1008" s="1044"/>
      <c r="F1008" s="1044"/>
      <c r="G1008" s="186"/>
      <c r="H1008" s="265"/>
      <c r="I1008" s="265"/>
    </row>
    <row r="1009" spans="1:9" ht="13.2">
      <c r="A1009" s="205"/>
      <c r="B1009" s="205"/>
      <c r="C1009" s="205"/>
      <c r="D1009" s="1046"/>
      <c r="E1009" s="1044"/>
      <c r="F1009" s="1044"/>
      <c r="G1009" s="186"/>
      <c r="H1009" s="265"/>
      <c r="I1009" s="265"/>
    </row>
    <row r="1010" spans="1:9" ht="13.2">
      <c r="A1010" s="205"/>
      <c r="B1010" s="205"/>
      <c r="C1010" s="205"/>
      <c r="D1010" s="1044"/>
      <c r="E1010" s="1044"/>
      <c r="F1010" s="1044"/>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10" t="s">
        <v>2135</v>
      </c>
      <c r="E1012" s="1010"/>
      <c r="F1012" s="1010"/>
      <c r="G1012" s="186"/>
      <c r="H1012" s="265"/>
      <c r="I1012" s="265"/>
    </row>
    <row r="1013" spans="1:9" ht="13.2">
      <c r="A1013" s="205"/>
      <c r="B1013" s="205"/>
      <c r="C1013" s="205"/>
      <c r="D1013" s="44"/>
      <c r="E1013" s="186"/>
      <c r="F1013" s="186"/>
      <c r="G1013" s="186"/>
      <c r="H1013" s="265"/>
      <c r="I1013" s="265"/>
    </row>
    <row r="1014" spans="1:9" ht="13.2">
      <c r="A1014" s="205"/>
      <c r="B1014" s="606" t="s">
        <v>123</v>
      </c>
      <c r="C1014" s="205"/>
      <c r="D1014" s="1010" t="s">
        <v>2136</v>
      </c>
      <c r="E1014" s="1010"/>
      <c r="F1014" s="1010"/>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6" t="s">
        <v>1475</v>
      </c>
      <c r="E1016" s="1016"/>
      <c r="F1016" s="1016"/>
      <c r="G1016" s="186"/>
      <c r="H1016" s="265"/>
      <c r="I1016" s="265"/>
    </row>
    <row r="1017" spans="1:9" ht="13.2">
      <c r="A1017" s="205"/>
      <c r="C1017" s="205"/>
      <c r="D1017" s="190"/>
      <c r="E1017" s="186"/>
      <c r="F1017" s="186"/>
      <c r="G1017" s="186"/>
      <c r="H1017" s="265"/>
      <c r="I1017" s="265"/>
    </row>
    <row r="1018" spans="1:9" ht="14.4">
      <c r="A1018" s="269"/>
      <c r="B1018" s="606" t="s">
        <v>123</v>
      </c>
      <c r="C1018" s="205"/>
      <c r="D1018" s="992" t="s">
        <v>1635</v>
      </c>
      <c r="E1018" s="992"/>
      <c r="F1018" s="992"/>
      <c r="G1018" s="186"/>
      <c r="H1018" s="265"/>
      <c r="I1018" s="265"/>
    </row>
    <row r="1019" spans="1:9" ht="13.2">
      <c r="A1019" s="205"/>
      <c r="B1019" s="205"/>
      <c r="C1019" s="205"/>
      <c r="D1019" s="992"/>
      <c r="E1019" s="992"/>
      <c r="F1019" s="992"/>
      <c r="G1019" s="186"/>
      <c r="H1019" s="265"/>
      <c r="I1019" s="265"/>
    </row>
    <row r="1020" spans="1:9" ht="13.2">
      <c r="A1020" s="205"/>
      <c r="B1020" s="205"/>
      <c r="C1020" s="205"/>
      <c r="D1020" s="992"/>
      <c r="E1020" s="992"/>
      <c r="F1020" s="992"/>
      <c r="G1020" s="186"/>
      <c r="H1020" s="265"/>
      <c r="I1020" s="265"/>
    </row>
    <row r="1021" spans="1:9" ht="13.2">
      <c r="A1021" s="205"/>
      <c r="B1021" s="205"/>
      <c r="C1021" s="205"/>
      <c r="D1021" s="992"/>
      <c r="E1021" s="992"/>
      <c r="F1021" s="992"/>
      <c r="G1021" s="186"/>
      <c r="H1021" s="265"/>
      <c r="I1021" s="265"/>
    </row>
    <row r="1022" spans="1:9" ht="13.2">
      <c r="A1022" s="205"/>
      <c r="B1022" s="205"/>
      <c r="C1022" s="205"/>
      <c r="D1022" s="992"/>
      <c r="E1022" s="992"/>
      <c r="F1022" s="992"/>
      <c r="G1022" s="186"/>
      <c r="H1022" s="265"/>
      <c r="I1022" s="265"/>
    </row>
    <row r="1023" spans="1:9" ht="13.2">
      <c r="A1023" s="205"/>
      <c r="B1023" s="205"/>
      <c r="C1023" s="205"/>
      <c r="G1023" s="186"/>
      <c r="H1023" s="265"/>
      <c r="I1023" s="265"/>
    </row>
    <row r="1024" spans="1:9" ht="14.4">
      <c r="A1024" s="269"/>
      <c r="B1024" s="606" t="s">
        <v>1374</v>
      </c>
      <c r="C1024" s="205"/>
      <c r="D1024" s="992" t="s">
        <v>1636</v>
      </c>
      <c r="E1024" s="992"/>
      <c r="F1024" s="992"/>
      <c r="G1024" s="186"/>
      <c r="H1024" s="265"/>
      <c r="I1024" s="265"/>
    </row>
    <row r="1025" spans="1:9" ht="13.2">
      <c r="A1025" s="205"/>
      <c r="B1025" s="205"/>
      <c r="C1025" s="205"/>
      <c r="D1025" s="992"/>
      <c r="E1025" s="992"/>
      <c r="F1025" s="992"/>
      <c r="G1025" s="186"/>
      <c r="H1025" s="265"/>
      <c r="I1025" s="265"/>
    </row>
    <row r="1026" spans="1:9" ht="13.2">
      <c r="A1026" s="205"/>
      <c r="B1026" s="205"/>
      <c r="C1026" s="205"/>
      <c r="D1026" s="992"/>
      <c r="E1026" s="992"/>
      <c r="F1026" s="992"/>
      <c r="G1026" s="186"/>
      <c r="H1026" s="265"/>
      <c r="I1026" s="265"/>
    </row>
    <row r="1027" spans="1:9" ht="13.2">
      <c r="A1027" s="205"/>
      <c r="B1027" s="205"/>
      <c r="C1027" s="205"/>
      <c r="D1027" s="992"/>
      <c r="E1027" s="992"/>
      <c r="F1027" s="992"/>
      <c r="G1027" s="186"/>
      <c r="H1027" s="265"/>
      <c r="I1027" s="265"/>
    </row>
    <row r="1028" spans="1:9" ht="13.2">
      <c r="A1028" s="205"/>
      <c r="B1028" s="205"/>
      <c r="C1028" s="205"/>
      <c r="D1028" s="992"/>
      <c r="E1028" s="992"/>
      <c r="F1028" s="992"/>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6" t="s">
        <v>1476</v>
      </c>
      <c r="E1030" s="1016"/>
      <c r="F1030" s="1016"/>
      <c r="G1030" s="186"/>
      <c r="H1030" s="265"/>
      <c r="I1030" s="265"/>
    </row>
    <row r="1031" spans="1:9" ht="13.2">
      <c r="A1031" s="205"/>
      <c r="B1031" s="205"/>
      <c r="C1031" s="205"/>
      <c r="D1031" s="190"/>
      <c r="E1031" s="186"/>
      <c r="F1031" s="186"/>
      <c r="G1031" s="186"/>
      <c r="H1031" s="265"/>
      <c r="I1031" s="265"/>
    </row>
    <row r="1032" spans="1:9" ht="14.4">
      <c r="A1032" s="269"/>
      <c r="B1032" s="606" t="s">
        <v>123</v>
      </c>
      <c r="C1032" s="205"/>
      <c r="D1032" s="992" t="s">
        <v>1642</v>
      </c>
      <c r="E1032" s="992"/>
      <c r="F1032" s="992"/>
      <c r="G1032" s="186"/>
      <c r="H1032" s="265"/>
      <c r="I1032" s="265"/>
    </row>
    <row r="1033" spans="1:9" ht="13.2">
      <c r="A1033" s="205"/>
      <c r="B1033" s="205"/>
      <c r="C1033" s="205"/>
      <c r="D1033" s="992"/>
      <c r="E1033" s="992"/>
      <c r="F1033" s="992"/>
      <c r="G1033" s="186"/>
      <c r="H1033" s="265"/>
      <c r="I1033" s="265"/>
    </row>
    <row r="1034" spans="1:9" ht="13.2">
      <c r="A1034" s="205"/>
      <c r="B1034" s="205"/>
      <c r="C1034" s="205"/>
      <c r="D1034" s="992"/>
      <c r="E1034" s="992"/>
      <c r="F1034" s="992"/>
      <c r="G1034" s="186"/>
      <c r="H1034" s="265"/>
      <c r="I1034" s="265"/>
    </row>
    <row r="1035" spans="1:9" ht="13.2">
      <c r="A1035" s="205"/>
      <c r="B1035" s="205"/>
      <c r="C1035" s="205"/>
      <c r="G1035" s="186"/>
      <c r="H1035" s="265"/>
      <c r="I1035" s="265"/>
    </row>
    <row r="1036" spans="1:9" ht="14.4">
      <c r="A1036" s="269"/>
      <c r="B1036" s="606" t="s">
        <v>1374</v>
      </c>
      <c r="C1036" s="205"/>
      <c r="D1036" s="992" t="s">
        <v>1643</v>
      </c>
      <c r="E1036" s="992"/>
      <c r="F1036" s="992"/>
      <c r="G1036" s="186"/>
      <c r="H1036" s="265"/>
      <c r="I1036" s="265"/>
    </row>
    <row r="1037" spans="1:9" ht="13.2">
      <c r="A1037" s="205"/>
      <c r="B1037" s="205"/>
      <c r="C1037" s="205"/>
      <c r="D1037" s="992"/>
      <c r="E1037" s="992"/>
      <c r="F1037" s="992"/>
      <c r="G1037" s="186"/>
      <c r="H1037" s="265"/>
      <c r="I1037" s="265"/>
    </row>
    <row r="1038" spans="1:9" ht="13.2">
      <c r="A1038" s="205"/>
      <c r="B1038" s="205"/>
      <c r="C1038" s="205"/>
      <c r="D1038" s="992"/>
      <c r="E1038" s="992"/>
      <c r="F1038" s="992"/>
      <c r="G1038" s="186"/>
      <c r="H1038" s="265"/>
      <c r="I1038" s="265"/>
    </row>
    <row r="1039" spans="1:9" ht="13.2">
      <c r="A1039" s="205"/>
      <c r="B1039" s="205"/>
      <c r="C1039" s="205"/>
      <c r="D1039" s="44"/>
      <c r="E1039" s="186"/>
      <c r="F1039" s="186"/>
      <c r="G1039" s="186"/>
      <c r="H1039" s="265"/>
      <c r="I1039" s="265"/>
    </row>
    <row r="1040" spans="1:9" ht="13.2">
      <c r="A1040" s="205"/>
      <c r="B1040" s="205"/>
      <c r="C1040" s="205"/>
      <c r="D1040" s="1016" t="s">
        <v>1477</v>
      </c>
      <c r="E1040" s="1016"/>
      <c r="F1040" s="1016"/>
      <c r="G1040" s="186"/>
      <c r="H1040" s="265"/>
      <c r="I1040" s="265"/>
    </row>
    <row r="1041" spans="1:9" ht="13.2">
      <c r="A1041" s="205"/>
      <c r="B1041" s="205"/>
      <c r="C1041" s="205"/>
      <c r="D1041" s="190"/>
      <c r="E1041" s="186"/>
      <c r="F1041" s="186"/>
      <c r="G1041" s="186"/>
      <c r="H1041" s="265"/>
      <c r="I1041" s="265"/>
    </row>
    <row r="1042" spans="1:9" ht="14.25" customHeight="1">
      <c r="A1042" s="269"/>
      <c r="B1042" s="606" t="s">
        <v>123</v>
      </c>
      <c r="C1042" s="205"/>
      <c r="D1042" s="992" t="s">
        <v>1645</v>
      </c>
      <c r="E1042" s="992"/>
      <c r="F1042" s="992"/>
      <c r="G1042" s="24"/>
      <c r="H1042" s="207"/>
      <c r="I1042" s="207"/>
    </row>
    <row r="1043" spans="1:9" ht="13.2">
      <c r="A1043" s="205"/>
      <c r="B1043" s="205"/>
      <c r="C1043" s="205"/>
      <c r="D1043" s="992"/>
      <c r="E1043" s="992"/>
      <c r="F1043" s="992"/>
      <c r="G1043" s="24"/>
      <c r="H1043" s="207"/>
      <c r="I1043" s="207"/>
    </row>
    <row r="1044" spans="1:9" ht="13.2">
      <c r="A1044" s="205"/>
      <c r="B1044" s="205"/>
      <c r="C1044" s="205"/>
      <c r="D1044" s="992"/>
      <c r="E1044" s="992"/>
      <c r="F1044" s="992"/>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92" t="s">
        <v>1644</v>
      </c>
      <c r="E1046" s="992"/>
      <c r="F1046" s="992"/>
      <c r="G1046" s="207"/>
      <c r="H1046" s="265"/>
      <c r="I1046" s="265"/>
    </row>
    <row r="1047" spans="1:9" ht="13.2">
      <c r="A1047" s="205"/>
      <c r="B1047" s="205"/>
      <c r="C1047" s="205"/>
      <c r="D1047" s="992"/>
      <c r="E1047" s="992"/>
      <c r="F1047" s="992"/>
      <c r="G1047" s="207"/>
      <c r="H1047" s="265"/>
      <c r="I1047" s="265"/>
    </row>
    <row r="1048" spans="1:9" ht="13.2">
      <c r="A1048" s="205"/>
      <c r="B1048" s="205"/>
      <c r="C1048" s="205"/>
      <c r="D1048" s="992"/>
      <c r="E1048" s="992"/>
      <c r="F1048" s="992"/>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90" t="s">
        <v>1646</v>
      </c>
      <c r="E1050" s="990"/>
      <c r="F1050" s="990"/>
      <c r="G1050" s="206"/>
      <c r="H1050" s="265"/>
      <c r="I1050" s="265"/>
    </row>
    <row r="1051" spans="1:9" ht="13.2">
      <c r="A1051" s="205"/>
      <c r="B1051" s="205"/>
      <c r="C1051" s="205"/>
      <c r="D1051" s="990"/>
      <c r="E1051" s="990"/>
      <c r="F1051" s="990"/>
      <c r="G1051" s="206"/>
      <c r="H1051" s="265"/>
      <c r="I1051" s="265"/>
    </row>
    <row r="1052" spans="1:9" ht="13.2">
      <c r="A1052" s="205"/>
      <c r="B1052" s="205"/>
      <c r="C1052" s="205"/>
      <c r="D1052" s="990"/>
      <c r="E1052" s="990"/>
      <c r="F1052" s="990"/>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92" t="s">
        <v>1647</v>
      </c>
      <c r="E1054" s="992"/>
      <c r="F1054" s="992"/>
      <c r="G1054" s="206"/>
      <c r="H1054" s="206"/>
      <c r="I1054" s="206"/>
    </row>
    <row r="1055" spans="1:9" ht="13.2">
      <c r="A1055" s="205"/>
      <c r="B1055" s="205"/>
      <c r="C1055" s="205"/>
      <c r="D1055" s="992"/>
      <c r="E1055" s="992"/>
      <c r="F1055" s="992"/>
      <c r="G1055" s="206"/>
      <c r="H1055" s="206"/>
      <c r="I1055" s="206"/>
    </row>
    <row r="1056" spans="1:9" ht="13.2">
      <c r="A1056" s="205"/>
      <c r="B1056" s="205"/>
      <c r="C1056" s="205"/>
      <c r="D1056" s="992"/>
      <c r="E1056" s="992"/>
      <c r="F1056" s="992"/>
      <c r="G1056" s="206"/>
      <c r="H1056" s="206"/>
      <c r="I1056" s="206"/>
    </row>
    <row r="1057" spans="1:9" ht="14.4">
      <c r="A1057" s="269"/>
      <c r="B1057" s="269"/>
      <c r="C1057" s="205"/>
      <c r="D1057" s="44"/>
      <c r="E1057" s="186"/>
      <c r="F1057" s="186"/>
      <c r="G1057" s="186"/>
      <c r="H1057" s="265"/>
      <c r="I1057" s="265"/>
    </row>
    <row r="1058" spans="1:9" ht="12.75" customHeight="1">
      <c r="A1058" s="205"/>
      <c r="B1058" s="606" t="s">
        <v>123</v>
      </c>
      <c r="C1058" s="205"/>
      <c r="D1058" s="992" t="s">
        <v>1648</v>
      </c>
      <c r="E1058" s="992"/>
      <c r="F1058" s="992"/>
      <c r="G1058" s="206"/>
      <c r="H1058" s="206"/>
      <c r="I1058" s="206"/>
    </row>
    <row r="1059" spans="1:9" ht="13.2">
      <c r="A1059" s="205"/>
      <c r="B1059" s="205"/>
      <c r="C1059" s="205"/>
      <c r="D1059" s="992"/>
      <c r="E1059" s="992"/>
      <c r="F1059" s="992"/>
      <c r="G1059" s="206"/>
      <c r="H1059" s="206"/>
      <c r="I1059" s="206"/>
    </row>
    <row r="1060" spans="1:9" ht="13.2">
      <c r="A1060" s="205"/>
      <c r="B1060" s="205"/>
      <c r="C1060" s="205"/>
      <c r="D1060" s="992"/>
      <c r="E1060" s="992"/>
      <c r="F1060" s="992"/>
      <c r="G1060" s="206"/>
      <c r="H1060" s="206"/>
      <c r="I1060" s="206"/>
    </row>
    <row r="1061" spans="1:9" ht="13.2">
      <c r="A1061" s="205"/>
      <c r="B1061" s="205"/>
      <c r="C1061" s="205"/>
      <c r="D1061" s="44"/>
      <c r="E1061" s="186"/>
      <c r="F1061" s="186"/>
      <c r="G1061" s="186"/>
      <c r="H1061" s="265"/>
      <c r="I1061" s="265"/>
    </row>
    <row r="1062" spans="1:9" ht="12.75" customHeight="1">
      <c r="A1062" s="205"/>
      <c r="B1062" s="606" t="s">
        <v>123</v>
      </c>
      <c r="C1062" s="205"/>
      <c r="D1062" s="992" t="s">
        <v>1478</v>
      </c>
      <c r="E1062" s="992"/>
      <c r="F1062" s="992"/>
      <c r="G1062" s="24"/>
      <c r="H1062" s="265"/>
      <c r="I1062" s="265"/>
    </row>
    <row r="1063" spans="1:9" ht="13.2">
      <c r="A1063" s="205"/>
      <c r="B1063" s="205"/>
      <c r="C1063" s="205"/>
      <c r="D1063" s="992"/>
      <c r="E1063" s="992"/>
      <c r="F1063" s="992"/>
      <c r="G1063" s="24"/>
      <c r="H1063" s="265"/>
      <c r="I1063" s="265"/>
    </row>
    <row r="1064" spans="1:9" ht="13.2">
      <c r="A1064" s="205"/>
      <c r="B1064" s="205"/>
      <c r="C1064" s="205"/>
      <c r="D1064" s="992"/>
      <c r="E1064" s="992"/>
      <c r="F1064" s="992"/>
      <c r="G1064" s="24"/>
      <c r="H1064" s="265"/>
      <c r="I1064" s="265"/>
    </row>
    <row r="1065" spans="1:9" ht="13.2">
      <c r="A1065" s="205"/>
      <c r="B1065" s="205"/>
      <c r="C1065" s="205"/>
      <c r="D1065" s="24"/>
      <c r="E1065" s="24"/>
      <c r="F1065" s="24"/>
      <c r="G1065" s="24"/>
      <c r="H1065" s="265"/>
      <c r="I1065" s="265"/>
    </row>
    <row r="1066" spans="1:9" ht="12.75" customHeight="1">
      <c r="A1066" s="205"/>
      <c r="B1066" s="606" t="s">
        <v>123</v>
      </c>
      <c r="C1066" s="205"/>
      <c r="D1066" s="992" t="s">
        <v>1479</v>
      </c>
      <c r="E1066" s="992"/>
      <c r="F1066" s="992"/>
      <c r="G1066" s="24"/>
      <c r="H1066" s="265"/>
      <c r="I1066" s="265"/>
    </row>
    <row r="1067" spans="1:9" ht="13.2">
      <c r="A1067" s="205"/>
      <c r="B1067" s="205"/>
      <c r="C1067" s="205"/>
      <c r="D1067" s="992"/>
      <c r="E1067" s="992"/>
      <c r="F1067" s="992"/>
      <c r="G1067" s="24"/>
      <c r="H1067" s="265"/>
      <c r="I1067" s="265"/>
    </row>
    <row r="1068" spans="1:9" ht="13.2">
      <c r="A1068" s="205"/>
      <c r="B1068" s="205"/>
      <c r="C1068" s="205"/>
      <c r="D1068" s="992"/>
      <c r="E1068" s="992"/>
      <c r="F1068" s="992"/>
      <c r="G1068" s="24"/>
      <c r="H1068" s="265"/>
      <c r="I1068" s="265"/>
    </row>
    <row r="1069" spans="1:9" ht="13.2">
      <c r="A1069" s="205"/>
      <c r="B1069" s="205"/>
      <c r="C1069" s="205"/>
      <c r="D1069" s="300"/>
      <c r="E1069" s="300"/>
      <c r="F1069" s="300"/>
      <c r="G1069" s="300"/>
      <c r="H1069" s="265"/>
      <c r="I1069" s="265"/>
    </row>
    <row r="1070" spans="1:9" ht="12.75" customHeight="1">
      <c r="A1070" s="205"/>
      <c r="B1070" s="606" t="s">
        <v>123</v>
      </c>
      <c r="C1070" s="205"/>
      <c r="D1070" s="1034" t="s">
        <v>1124</v>
      </c>
      <c r="E1070" s="1034"/>
      <c r="F1070" s="1034"/>
      <c r="G1070" s="605"/>
      <c r="H1070" s="265"/>
      <c r="I1070" s="265"/>
    </row>
    <row r="1071" spans="1:9" ht="13.2">
      <c r="A1071" s="205"/>
      <c r="B1071" s="205"/>
      <c r="C1071" s="205"/>
      <c r="D1071" s="1034"/>
      <c r="E1071" s="1034"/>
      <c r="F1071" s="1034"/>
      <c r="G1071" s="605"/>
      <c r="H1071" s="265"/>
      <c r="I1071" s="265"/>
    </row>
    <row r="1072" spans="1:9" ht="13.2">
      <c r="A1072" s="205"/>
      <c r="B1072" s="205"/>
      <c r="C1072" s="205"/>
      <c r="D1072" s="1034"/>
      <c r="E1072" s="1034"/>
      <c r="F1072" s="1034"/>
      <c r="G1072" s="605"/>
      <c r="H1072" s="265"/>
      <c r="I1072" s="265"/>
    </row>
    <row r="1073" spans="1:9" ht="13.2">
      <c r="A1073" s="205"/>
      <c r="B1073" s="205"/>
      <c r="C1073" s="205"/>
      <c r="D1073" s="1034"/>
      <c r="E1073" s="1034"/>
      <c r="F1073" s="1034"/>
      <c r="G1073" s="605"/>
      <c r="H1073" s="265"/>
      <c r="I1073" s="265"/>
    </row>
    <row r="1074" spans="1:9" ht="13.2">
      <c r="A1074" s="205"/>
      <c r="B1074" s="205"/>
      <c r="C1074" s="205"/>
      <c r="D1074" s="1034"/>
      <c r="E1074" s="1034"/>
      <c r="F1074" s="1034"/>
      <c r="G1074" s="605"/>
      <c r="H1074" s="265"/>
      <c r="I1074" s="265"/>
    </row>
    <row r="1075" spans="1:9" ht="13.2">
      <c r="A1075" s="205"/>
      <c r="B1075" s="205"/>
      <c r="C1075" s="205"/>
      <c r="D1075" s="1034"/>
      <c r="E1075" s="1034"/>
      <c r="F1075" s="1034"/>
      <c r="G1075" s="605"/>
      <c r="H1075" s="265"/>
      <c r="I1075" s="265"/>
    </row>
    <row r="1076" spans="1:9" ht="13.2">
      <c r="A1076" s="205"/>
      <c r="B1076" s="205"/>
      <c r="C1076" s="205"/>
      <c r="D1076" s="1034"/>
      <c r="E1076" s="1034"/>
      <c r="F1076" s="1034"/>
      <c r="G1076" s="605"/>
      <c r="H1076" s="265"/>
      <c r="I1076" s="265"/>
    </row>
    <row r="1077" spans="1:9" ht="13.2">
      <c r="A1077" s="205"/>
      <c r="B1077" s="205"/>
      <c r="C1077" s="205"/>
      <c r="D1077" s="1034"/>
      <c r="E1077" s="1034"/>
      <c r="F1077" s="1034"/>
      <c r="G1077" s="605"/>
      <c r="H1077" s="265"/>
      <c r="I1077" s="265"/>
    </row>
    <row r="1078" spans="1:9" ht="13.2">
      <c r="A1078" s="205"/>
      <c r="B1078" s="205"/>
      <c r="C1078" s="205"/>
      <c r="D1078" s="1034"/>
      <c r="E1078" s="1034"/>
      <c r="F1078" s="1034"/>
      <c r="G1078" s="605"/>
      <c r="H1078" s="265"/>
      <c r="I1078" s="265"/>
    </row>
    <row r="1079" spans="1:9" ht="13.2">
      <c r="A1079" s="205"/>
      <c r="B1079" s="205"/>
      <c r="C1079" s="205"/>
      <c r="D1079" s="1034"/>
      <c r="E1079" s="1034"/>
      <c r="F1079" s="1034"/>
      <c r="G1079" s="605"/>
      <c r="H1079" s="265"/>
      <c r="I1079" s="265"/>
    </row>
    <row r="1080" spans="1:9" ht="27.6" customHeight="1">
      <c r="A1080" s="205"/>
      <c r="B1080" s="205"/>
      <c r="C1080" s="205"/>
      <c r="D1080" s="1034"/>
      <c r="E1080" s="1034"/>
      <c r="F1080" s="1034"/>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6" t="s">
        <v>1480</v>
      </c>
      <c r="E1082" s="1016"/>
      <c r="F1082" s="1016"/>
      <c r="G1082" s="415"/>
      <c r="H1082" s="265"/>
      <c r="I1082" s="265"/>
    </row>
    <row r="1083" spans="1:9" ht="12.75" customHeight="1">
      <c r="A1083" s="205"/>
      <c r="B1083" s="205"/>
      <c r="C1083" s="205"/>
      <c r="D1083" s="190"/>
      <c r="E1083" s="415"/>
      <c r="F1083" s="415"/>
      <c r="G1083" s="415"/>
      <c r="H1083" s="265"/>
      <c r="I1083" s="265"/>
    </row>
    <row r="1084" spans="1:9" ht="14.4">
      <c r="A1084" s="269"/>
      <c r="B1084" s="606" t="s">
        <v>123</v>
      </c>
      <c r="C1084" s="205"/>
      <c r="D1084" s="983" t="s">
        <v>2186</v>
      </c>
      <c r="E1084" s="992"/>
      <c r="F1084" s="992"/>
      <c r="G1084" s="186"/>
      <c r="H1084" s="265"/>
      <c r="I1084" s="265"/>
    </row>
    <row r="1085" spans="1:9" ht="13.2">
      <c r="A1085" s="205"/>
      <c r="B1085" s="205"/>
      <c r="C1085" s="205"/>
      <c r="D1085" s="992"/>
      <c r="E1085" s="992"/>
      <c r="F1085" s="992"/>
      <c r="G1085" s="186"/>
      <c r="H1085" s="265"/>
      <c r="I1085" s="265"/>
    </row>
    <row r="1086" spans="1:9" ht="13.2">
      <c r="A1086" s="205"/>
      <c r="B1086" s="205"/>
      <c r="C1086" s="205"/>
      <c r="D1086" s="992"/>
      <c r="E1086" s="992"/>
      <c r="F1086" s="992"/>
      <c r="G1086" s="186"/>
      <c r="H1086" s="265"/>
      <c r="I1086" s="265"/>
    </row>
    <row r="1087" spans="1:9" ht="13.2">
      <c r="A1087" s="205"/>
      <c r="B1087" s="205"/>
      <c r="C1087" s="205"/>
      <c r="D1087" s="992"/>
      <c r="E1087" s="992"/>
      <c r="F1087" s="992"/>
      <c r="G1087" s="186"/>
      <c r="H1087" s="265"/>
      <c r="I1087" s="265"/>
    </row>
    <row r="1088" spans="1:9" ht="13.2">
      <c r="A1088" s="205"/>
      <c r="B1088" s="205"/>
      <c r="C1088" s="205"/>
      <c r="D1088" s="186"/>
      <c r="E1088" s="186"/>
      <c r="F1088" s="186"/>
      <c r="G1088" s="186"/>
      <c r="H1088" s="265"/>
      <c r="I1088" s="265"/>
    </row>
    <row r="1089" spans="1:9" ht="14.4">
      <c r="A1089" s="269"/>
      <c r="B1089" s="606" t="s">
        <v>123</v>
      </c>
      <c r="C1089" s="205"/>
      <c r="D1089" s="983" t="s">
        <v>2187</v>
      </c>
      <c r="E1089" s="992"/>
      <c r="F1089" s="992"/>
      <c r="G1089" s="186"/>
      <c r="H1089" s="265"/>
      <c r="I1089" s="265"/>
    </row>
    <row r="1090" spans="1:9" ht="13.2">
      <c r="A1090" s="205"/>
      <c r="B1090" s="205"/>
      <c r="C1090" s="205"/>
      <c r="D1090" s="992"/>
      <c r="E1090" s="992"/>
      <c r="F1090" s="992"/>
      <c r="G1090" s="186"/>
      <c r="H1090" s="265"/>
      <c r="I1090" s="265"/>
    </row>
    <row r="1091" spans="1:9" ht="13.2">
      <c r="A1091" s="205"/>
      <c r="B1091" s="205"/>
      <c r="C1091" s="205"/>
      <c r="D1091" s="992"/>
      <c r="E1091" s="992"/>
      <c r="F1091" s="992"/>
      <c r="G1091" s="186"/>
      <c r="H1091" s="265"/>
      <c r="I1091" s="265"/>
    </row>
    <row r="1092" spans="1:9" ht="13.2">
      <c r="A1092" s="205"/>
      <c r="B1092" s="205"/>
      <c r="C1092" s="205"/>
      <c r="D1092" s="992"/>
      <c r="E1092" s="992"/>
      <c r="F1092" s="992"/>
      <c r="G1092" s="186"/>
      <c r="H1092" s="265"/>
      <c r="I1092" s="265"/>
    </row>
    <row r="1093" spans="1:9" ht="13.2">
      <c r="A1093" s="205"/>
      <c r="B1093" s="205"/>
      <c r="C1093" s="205"/>
      <c r="D1093" s="186"/>
      <c r="E1093" s="186"/>
      <c r="F1093" s="186"/>
      <c r="G1093" s="186"/>
    </row>
    <row r="1094" spans="1:9" ht="13.2">
      <c r="A1094" s="205"/>
      <c r="B1094" s="606" t="s">
        <v>123</v>
      </c>
      <c r="C1094" s="205"/>
      <c r="D1094" s="1044" t="s">
        <v>1649</v>
      </c>
      <c r="E1094" s="1044"/>
      <c r="F1094" s="1044"/>
      <c r="G1094" s="186"/>
    </row>
    <row r="1095" spans="1:9" ht="13.2">
      <c r="A1095" s="205"/>
      <c r="B1095" s="205"/>
      <c r="C1095" s="205"/>
      <c r="D1095" s="1044"/>
      <c r="E1095" s="1044"/>
      <c r="F1095" s="1044"/>
      <c r="G1095" s="186"/>
    </row>
    <row r="1096" spans="1:9" ht="13.2">
      <c r="A1096" s="205"/>
      <c r="B1096" s="205"/>
      <c r="C1096" s="205"/>
      <c r="D1096" s="1044"/>
      <c r="E1096" s="1044"/>
      <c r="F1096" s="1044"/>
      <c r="G1096" s="186"/>
    </row>
    <row r="1097" spans="1:9" ht="13.2">
      <c r="A1097" s="205"/>
      <c r="B1097" s="205"/>
      <c r="C1097" s="205"/>
      <c r="D1097" s="186"/>
      <c r="E1097" s="186"/>
      <c r="F1097" s="186"/>
      <c r="G1097" s="186"/>
    </row>
    <row r="1098" spans="1:9" ht="14.4">
      <c r="A1098" s="269"/>
      <c r="B1098" s="606" t="s">
        <v>123</v>
      </c>
      <c r="C1098" s="426"/>
      <c r="D1098" s="1045" t="s">
        <v>2137</v>
      </c>
      <c r="E1098" s="1045"/>
      <c r="F1098" s="1045"/>
      <c r="G1098" s="446"/>
    </row>
    <row r="1099" spans="1:9" ht="13.2">
      <c r="A1099" s="426"/>
      <c r="B1099" s="426"/>
      <c r="C1099" s="426"/>
      <c r="D1099" s="1045"/>
      <c r="E1099" s="1045"/>
      <c r="F1099" s="1045"/>
      <c r="G1099" s="446"/>
    </row>
    <row r="1100" spans="1:9" ht="13.2">
      <c r="A1100" s="426"/>
      <c r="B1100" s="426"/>
      <c r="C1100" s="426"/>
      <c r="D1100" s="1045"/>
      <c r="E1100" s="1045"/>
      <c r="F1100" s="1045"/>
      <c r="G1100" s="446"/>
    </row>
    <row r="1101" spans="1:9" ht="13.2">
      <c r="A1101" s="205"/>
      <c r="B1101" s="205"/>
      <c r="C1101" s="205"/>
      <c r="D1101" s="186"/>
      <c r="E1101" s="186"/>
      <c r="F1101" s="186"/>
      <c r="G1101" s="186"/>
    </row>
    <row r="1102" spans="1:9" ht="13.2">
      <c r="C1102" s="205"/>
      <c r="D1102" s="1016" t="s">
        <v>1481</v>
      </c>
      <c r="E1102" s="1016"/>
      <c r="F1102" s="1016"/>
      <c r="G1102" s="186"/>
    </row>
    <row r="1103" spans="1:9" ht="13.2">
      <c r="C1103" s="205"/>
      <c r="D1103" s="190"/>
      <c r="E1103" s="186"/>
      <c r="F1103" s="186"/>
      <c r="G1103" s="186"/>
    </row>
    <row r="1104" spans="1:9" ht="13.2">
      <c r="A1104" s="205"/>
      <c r="B1104" s="606" t="s">
        <v>123</v>
      </c>
      <c r="C1104" s="205"/>
      <c r="D1104" s="992" t="s">
        <v>1650</v>
      </c>
      <c r="E1104" s="992"/>
      <c r="F1104" s="992"/>
      <c r="G1104" s="186"/>
    </row>
    <row r="1105" spans="1:7" ht="13.2">
      <c r="A1105" s="205"/>
      <c r="B1105" s="205"/>
      <c r="C1105" s="205"/>
      <c r="D1105" s="992"/>
      <c r="E1105" s="992"/>
      <c r="F1105" s="992"/>
      <c r="G1105" s="186"/>
    </row>
    <row r="1106" spans="1:7" ht="13.2">
      <c r="A1106" s="205"/>
      <c r="B1106" s="205"/>
      <c r="C1106" s="205"/>
      <c r="D1106" s="992"/>
      <c r="E1106" s="992"/>
      <c r="F1106" s="992"/>
      <c r="G1106" s="186"/>
    </row>
    <row r="1107" spans="1:7" ht="13.2">
      <c r="A1107" s="205"/>
      <c r="B1107" s="205"/>
      <c r="C1107" s="205"/>
      <c r="D1107" s="186"/>
      <c r="E1107" s="186"/>
      <c r="F1107" s="186"/>
      <c r="G1107" s="186"/>
    </row>
    <row r="1108" spans="1:7" ht="14.4">
      <c r="A1108" s="269"/>
      <c r="B1108" s="606" t="s">
        <v>123</v>
      </c>
      <c r="C1108" s="205"/>
      <c r="D1108" s="992" t="s">
        <v>1651</v>
      </c>
      <c r="E1108" s="992"/>
      <c r="F1108" s="992"/>
      <c r="G1108" s="186"/>
    </row>
    <row r="1109" spans="1:7" ht="13.2">
      <c r="A1109" s="205"/>
      <c r="B1109" s="205"/>
      <c r="C1109" s="205"/>
      <c r="D1109" s="992"/>
      <c r="E1109" s="992"/>
      <c r="F1109" s="992"/>
      <c r="G1109" s="186"/>
    </row>
    <row r="1110" spans="1:7" ht="13.2">
      <c r="A1110" s="205"/>
      <c r="B1110" s="205"/>
      <c r="C1110" s="205"/>
      <c r="D1110" s="992"/>
      <c r="E1110" s="992"/>
      <c r="F1110" s="992"/>
      <c r="G1110" s="186"/>
    </row>
    <row r="1111" spans="1:7" ht="13.2">
      <c r="A1111" s="205"/>
      <c r="B1111" s="205"/>
      <c r="C1111" s="205"/>
      <c r="D1111" s="186"/>
      <c r="E1111" s="186"/>
      <c r="F1111" s="186"/>
      <c r="G1111" s="186"/>
    </row>
    <row r="1112" spans="1:7" ht="13.2">
      <c r="A1112" s="205"/>
      <c r="B1112" s="205"/>
      <c r="C1112" s="205"/>
      <c r="D1112" s="1016" t="s">
        <v>1116</v>
      </c>
      <c r="E1112" s="1016"/>
      <c r="F1112" s="1016"/>
      <c r="G1112" s="186"/>
    </row>
    <row r="1113" spans="1:7" ht="13.2">
      <c r="A1113" s="205"/>
      <c r="B1113" s="205"/>
      <c r="C1113" s="205"/>
      <c r="D1113" s="1010" t="s">
        <v>1482</v>
      </c>
      <c r="E1113" s="1010"/>
      <c r="F1113" s="1010"/>
      <c r="G1113" s="186"/>
    </row>
    <row r="1114" spans="1:7" ht="13.2">
      <c r="A1114" s="205"/>
      <c r="B1114" s="205"/>
      <c r="C1114" s="205"/>
      <c r="D1114" s="416"/>
      <c r="E1114" s="186"/>
      <c r="F1114" s="186"/>
      <c r="G1114" s="186"/>
    </row>
    <row r="1115" spans="1:7" ht="14.4">
      <c r="A1115" s="269"/>
      <c r="B1115" s="606" t="s">
        <v>123</v>
      </c>
      <c r="C1115" s="205"/>
      <c r="D1115" s="992" t="s">
        <v>1652</v>
      </c>
      <c r="E1115" s="992"/>
      <c r="F1115" s="992"/>
      <c r="G1115" s="186"/>
    </row>
    <row r="1116" spans="1:7" ht="13.2">
      <c r="A1116" s="205"/>
      <c r="B1116" s="205"/>
      <c r="C1116" s="205"/>
      <c r="D1116" s="992"/>
      <c r="E1116" s="992"/>
      <c r="F1116" s="992"/>
      <c r="G1116" s="186"/>
    </row>
    <row r="1117" spans="1:7" ht="13.2">
      <c r="A1117" s="205"/>
      <c r="B1117" s="205"/>
      <c r="C1117" s="205"/>
      <c r="D1117" s="186"/>
      <c r="E1117" s="186"/>
      <c r="F1117" s="186"/>
      <c r="G1117" s="186"/>
    </row>
    <row r="1118" spans="1:7" ht="14.4">
      <c r="A1118" s="269"/>
      <c r="B1118" s="606" t="s">
        <v>123</v>
      </c>
      <c r="C1118" s="205"/>
      <c r="D1118" s="992" t="s">
        <v>1653</v>
      </c>
      <c r="E1118" s="992"/>
      <c r="F1118" s="992"/>
      <c r="G1118" s="186"/>
    </row>
    <row r="1119" spans="1:7" ht="13.2">
      <c r="A1119" s="205"/>
      <c r="B1119" s="205"/>
      <c r="C1119" s="205"/>
      <c r="D1119" s="992"/>
      <c r="E1119" s="992"/>
      <c r="F1119" s="992"/>
      <c r="G1119" s="186"/>
    </row>
    <row r="1120" spans="1:7" ht="13.2">
      <c r="A1120" s="205"/>
      <c r="B1120" s="205"/>
      <c r="C1120" s="205"/>
      <c r="E1120" s="186"/>
      <c r="F1120" s="186"/>
      <c r="G1120" s="186"/>
    </row>
    <row r="1121" spans="1:7" ht="13.2">
      <c r="A1121" s="205"/>
      <c r="B1121" s="205"/>
      <c r="C1121" s="205"/>
      <c r="D1121" s="1016" t="s">
        <v>1483</v>
      </c>
      <c r="E1121" s="1016"/>
      <c r="F1121" s="1016"/>
      <c r="G1121" s="186"/>
    </row>
    <row r="1122" spans="1:7" ht="13.2">
      <c r="A1122" s="205"/>
      <c r="B1122" s="205"/>
      <c r="C1122" s="205"/>
      <c r="D1122" s="190"/>
      <c r="E1122" s="186"/>
      <c r="F1122" s="186"/>
      <c r="G1122" s="186"/>
    </row>
    <row r="1123" spans="1:7" ht="14.4">
      <c r="A1123" s="269"/>
      <c r="B1123" s="606" t="s">
        <v>123</v>
      </c>
      <c r="C1123" s="205"/>
      <c r="D1123" s="992" t="s">
        <v>1654</v>
      </c>
      <c r="E1123" s="992"/>
      <c r="F1123" s="992"/>
      <c r="G1123" s="186"/>
    </row>
    <row r="1124" spans="1:7" ht="13.2">
      <c r="A1124" s="205"/>
      <c r="B1124" s="205"/>
      <c r="C1124" s="205"/>
      <c r="D1124" s="992"/>
      <c r="E1124" s="992"/>
      <c r="F1124" s="992"/>
      <c r="G1124" s="186"/>
    </row>
    <row r="1125" spans="1:7" ht="13.2">
      <c r="A1125" s="205"/>
      <c r="B1125" s="205"/>
      <c r="C1125" s="205"/>
      <c r="D1125" s="992"/>
      <c r="E1125" s="992"/>
      <c r="F1125" s="992"/>
      <c r="G1125" s="186"/>
    </row>
    <row r="1126" spans="1:7" ht="13.2">
      <c r="A1126" s="205"/>
      <c r="B1126" s="205"/>
      <c r="C1126" s="205"/>
      <c r="D1126" s="992"/>
      <c r="E1126" s="992"/>
      <c r="F1126" s="992"/>
      <c r="G1126" s="186"/>
    </row>
    <row r="1127" spans="1:7" ht="13.2">
      <c r="A1127" s="205"/>
      <c r="B1127" s="205"/>
      <c r="C1127" s="205"/>
      <c r="D1127" s="992"/>
      <c r="E1127" s="992"/>
      <c r="F1127" s="992"/>
      <c r="G1127" s="186"/>
    </row>
    <row r="1128" spans="1:7" ht="13.2">
      <c r="A1128" s="205"/>
      <c r="B1128" s="205"/>
      <c r="C1128" s="205"/>
      <c r="D1128" s="992"/>
      <c r="E1128" s="992"/>
      <c r="F1128" s="992"/>
      <c r="G1128" s="186"/>
    </row>
    <row r="1129" spans="1:7" ht="13.2">
      <c r="A1129" s="205"/>
      <c r="B1129" s="205"/>
      <c r="C1129" s="205"/>
      <c r="D1129" s="992"/>
      <c r="E1129" s="992"/>
      <c r="F1129" s="992"/>
      <c r="G1129" s="186"/>
    </row>
    <row r="1130" spans="1:7" ht="13.2">
      <c r="A1130" s="205"/>
      <c r="B1130" s="205"/>
      <c r="C1130" s="205"/>
      <c r="D1130" s="186"/>
      <c r="E1130" s="186"/>
      <c r="F1130" s="186"/>
      <c r="G1130" s="186"/>
    </row>
    <row r="1131" spans="1:7" ht="14.4">
      <c r="A1131" s="269"/>
      <c r="B1131" s="606" t="s">
        <v>1374</v>
      </c>
      <c r="C1131" s="205"/>
      <c r="D1131" s="992" t="s">
        <v>1655</v>
      </c>
      <c r="E1131" s="992"/>
      <c r="F1131" s="992"/>
      <c r="G1131" s="186"/>
    </row>
    <row r="1132" spans="1:7" ht="13.2">
      <c r="A1132" s="205"/>
      <c r="B1132" s="205"/>
      <c r="C1132" s="205"/>
      <c r="D1132" s="992"/>
      <c r="E1132" s="992"/>
      <c r="F1132" s="992"/>
      <c r="G1132" s="186"/>
    </row>
    <row r="1133" spans="1:7" ht="13.2">
      <c r="A1133" s="205"/>
      <c r="B1133" s="205"/>
      <c r="C1133" s="205"/>
      <c r="D1133" s="992"/>
      <c r="E1133" s="992"/>
      <c r="F1133" s="992"/>
      <c r="G1133" s="186"/>
    </row>
    <row r="1134" spans="1:7" ht="13.2">
      <c r="A1134" s="205"/>
      <c r="B1134" s="205"/>
      <c r="C1134" s="205"/>
      <c r="D1134" s="992"/>
      <c r="E1134" s="992"/>
      <c r="F1134" s="992"/>
      <c r="G1134" s="186"/>
    </row>
    <row r="1135" spans="1:7" ht="13.2">
      <c r="A1135" s="205"/>
      <c r="B1135" s="205"/>
      <c r="C1135" s="205"/>
      <c r="D1135" s="992"/>
      <c r="E1135" s="992"/>
      <c r="F1135" s="992"/>
      <c r="G1135" s="186"/>
    </row>
    <row r="1136" spans="1:7" ht="13.2">
      <c r="A1136" s="205"/>
      <c r="B1136" s="205"/>
      <c r="C1136" s="205"/>
      <c r="D1136" s="992"/>
      <c r="E1136" s="992"/>
      <c r="F1136" s="992"/>
      <c r="G1136" s="186"/>
    </row>
    <row r="1137" spans="1:7" ht="13.2">
      <c r="A1137" s="205"/>
      <c r="B1137" s="205"/>
      <c r="C1137" s="205"/>
      <c r="D1137" s="992"/>
      <c r="E1137" s="992"/>
      <c r="F1137" s="992"/>
      <c r="G1137" s="186"/>
    </row>
    <row r="1138" spans="1:7" ht="13.2">
      <c r="A1138" s="205"/>
      <c r="B1138" s="205"/>
      <c r="C1138" s="205"/>
      <c r="D1138" s="24"/>
      <c r="E1138" s="24"/>
      <c r="F1138" s="24"/>
      <c r="G1138" s="186"/>
    </row>
    <row r="1139" spans="1:7" ht="12.45" customHeight="1">
      <c r="A1139" s="205"/>
      <c r="B1139" s="606" t="s">
        <v>123</v>
      </c>
      <c r="C1139" s="205"/>
      <c r="D1139" s="1046" t="s">
        <v>1759</v>
      </c>
      <c r="E1139" s="1044"/>
      <c r="F1139" s="1044"/>
      <c r="G1139" s="186"/>
    </row>
    <row r="1140" spans="1:7" ht="12.45" customHeight="1">
      <c r="A1140" s="205"/>
      <c r="B1140" s="205"/>
      <c r="C1140" s="205"/>
      <c r="D1140" s="1044"/>
      <c r="E1140" s="1044"/>
      <c r="F1140" s="1044"/>
      <c r="G1140" s="186"/>
    </row>
    <row r="1141" spans="1:7" ht="13.2">
      <c r="A1141" s="205"/>
      <c r="B1141" s="205"/>
      <c r="C1141" s="205"/>
      <c r="D1141" s="1044"/>
      <c r="E1141" s="1044"/>
      <c r="F1141" s="1044"/>
      <c r="G1141" s="186"/>
    </row>
    <row r="1142" spans="1:7" ht="13.2">
      <c r="A1142" s="205"/>
      <c r="B1142" s="205"/>
      <c r="C1142" s="205"/>
      <c r="D1142" s="650"/>
      <c r="E1142" s="650"/>
      <c r="F1142" s="650"/>
      <c r="G1142" s="186"/>
    </row>
    <row r="1143" spans="1:7" ht="13.2">
      <c r="D1143" s="1016" t="s">
        <v>1484</v>
      </c>
      <c r="E1143" s="1016"/>
      <c r="F1143" s="1016"/>
    </row>
    <row r="1144" spans="1:7" ht="13.2">
      <c r="D1144" s="190"/>
    </row>
    <row r="1145" spans="1:7" ht="14.4">
      <c r="A1145" s="269"/>
      <c r="B1145" s="606" t="s">
        <v>123</v>
      </c>
      <c r="D1145" s="992" t="s">
        <v>1656</v>
      </c>
      <c r="E1145" s="992"/>
      <c r="F1145" s="992"/>
    </row>
    <row r="1146" spans="1:7" ht="13.2">
      <c r="D1146" s="992"/>
      <c r="E1146" s="992"/>
      <c r="F1146" s="992"/>
    </row>
    <row r="1147" spans="1:7" ht="13.2"/>
    <row r="1148" spans="1:7" ht="14.4">
      <c r="A1148" s="269"/>
      <c r="B1148" s="606" t="s">
        <v>1374</v>
      </c>
      <c r="D1148" s="992" t="s">
        <v>1657</v>
      </c>
      <c r="E1148" s="992"/>
      <c r="F1148" s="992"/>
    </row>
    <row r="1149" spans="1:7" ht="13.2">
      <c r="D1149" s="992"/>
      <c r="E1149" s="992"/>
      <c r="F1149" s="992"/>
    </row>
    <row r="1150" spans="1:7" ht="13.2"/>
    <row r="1151" spans="1:7" ht="13.2">
      <c r="D1151" s="1016" t="s">
        <v>1485</v>
      </c>
      <c r="E1151" s="1016"/>
      <c r="F1151" s="1016"/>
    </row>
    <row r="1152" spans="1:7" ht="13.2">
      <c r="D1152" s="190"/>
    </row>
    <row r="1153" spans="1:7" ht="14.4">
      <c r="A1153" s="269"/>
      <c r="B1153" s="606" t="s">
        <v>123</v>
      </c>
      <c r="D1153" s="1010" t="s">
        <v>1658</v>
      </c>
      <c r="E1153" s="1010"/>
      <c r="F1153" s="1010"/>
    </row>
    <row r="1154" spans="1:7" ht="13.2"/>
    <row r="1155" spans="1:7" ht="14.4">
      <c r="A1155" s="269"/>
      <c r="B1155" s="606" t="s">
        <v>123</v>
      </c>
      <c r="D1155" s="992" t="s">
        <v>1659</v>
      </c>
      <c r="E1155" s="992"/>
      <c r="F1155" s="992"/>
    </row>
    <row r="1156" spans="1:7" ht="14.4">
      <c r="A1156" s="269"/>
      <c r="B1156" s="269"/>
      <c r="D1156" s="992"/>
      <c r="E1156" s="992"/>
      <c r="F1156" s="992"/>
    </row>
    <row r="1157" spans="1:7" ht="14.4">
      <c r="A1157" s="269"/>
      <c r="B1157" s="269"/>
      <c r="D1157" s="24"/>
      <c r="E1157" s="24"/>
      <c r="F1157" s="24"/>
      <c r="G1157"/>
    </row>
    <row r="1158" spans="1:7" ht="13.2">
      <c r="D1158" s="1016" t="s">
        <v>1669</v>
      </c>
      <c r="E1158" s="1016"/>
      <c r="F1158" s="1016"/>
      <c r="G1158"/>
    </row>
    <row r="1159" spans="1:7" ht="13.2">
      <c r="D1159" s="190"/>
      <c r="G1159"/>
    </row>
    <row r="1160" spans="1:7" ht="14.4" customHeight="1">
      <c r="A1160" s="269"/>
      <c r="B1160" s="606" t="s">
        <v>123</v>
      </c>
      <c r="D1160" s="983" t="s">
        <v>2188</v>
      </c>
      <c r="E1160" s="992"/>
      <c r="F1160" s="992"/>
      <c r="G1160"/>
    </row>
    <row r="1161" spans="1:7" ht="14.4">
      <c r="A1161" s="269"/>
      <c r="B1161" s="269"/>
      <c r="D1161" s="992"/>
      <c r="E1161" s="992"/>
      <c r="F1161" s="992"/>
      <c r="G1161"/>
    </row>
    <row r="1162" spans="1:7" ht="14.4">
      <c r="A1162" s="269"/>
      <c r="B1162" s="269"/>
      <c r="D1162" s="992"/>
      <c r="E1162" s="992"/>
      <c r="F1162" s="992"/>
      <c r="G1162"/>
    </row>
    <row r="1163" spans="1:7" ht="14.4">
      <c r="A1163" s="269"/>
      <c r="B1163" s="269"/>
      <c r="D1163" s="992"/>
      <c r="E1163" s="992"/>
      <c r="F1163" s="992"/>
      <c r="G1163"/>
    </row>
    <row r="1164" spans="1:7" ht="14.4">
      <c r="A1164" s="269"/>
      <c r="B1164" s="269"/>
      <c r="D1164" s="992"/>
      <c r="E1164" s="992"/>
      <c r="F1164" s="992"/>
      <c r="G1164"/>
    </row>
    <row r="1165" spans="1:7" ht="14.4">
      <c r="A1165" s="269"/>
      <c r="B1165" s="269"/>
      <c r="D1165" s="992"/>
      <c r="E1165" s="992"/>
      <c r="F1165" s="992"/>
      <c r="G1165"/>
    </row>
    <row r="1166" spans="1:7" ht="14.4">
      <c r="A1166" s="269"/>
      <c r="B1166" s="269"/>
      <c r="D1166" s="992"/>
      <c r="E1166" s="992"/>
      <c r="F1166" s="992"/>
      <c r="G1166"/>
    </row>
    <row r="1167" spans="1:7" ht="14.4">
      <c r="A1167" s="269"/>
      <c r="B1167" s="269"/>
      <c r="D1167" s="992"/>
      <c r="E1167" s="992"/>
      <c r="F1167" s="992"/>
      <c r="G1167"/>
    </row>
    <row r="1168" spans="1:7" ht="14.4">
      <c r="A1168" s="269"/>
      <c r="B1168" s="269"/>
      <c r="D1168" s="992"/>
      <c r="E1168" s="992"/>
      <c r="F1168" s="992"/>
      <c r="G1168"/>
    </row>
    <row r="1169" spans="1:7" ht="14.4">
      <c r="A1169" s="269"/>
      <c r="B1169" s="269"/>
      <c r="D1169" s="992"/>
      <c r="E1169" s="992"/>
      <c r="F1169" s="992"/>
      <c r="G1169"/>
    </row>
    <row r="1170" spans="1:7" ht="14.4">
      <c r="A1170" s="269"/>
      <c r="B1170" s="269"/>
      <c r="D1170" s="992"/>
      <c r="E1170" s="992"/>
      <c r="F1170" s="992"/>
      <c r="G1170"/>
    </row>
    <row r="1171" spans="1:7" ht="14.4">
      <c r="A1171" s="269"/>
      <c r="B1171" s="269"/>
      <c r="D1171" s="992"/>
      <c r="E1171" s="992"/>
      <c r="F1171" s="992"/>
      <c r="G1171"/>
    </row>
    <row r="1172" spans="1:7" ht="14.4">
      <c r="A1172" s="269"/>
      <c r="B1172" s="269"/>
      <c r="D1172" s="992"/>
      <c r="E1172" s="992"/>
      <c r="F1172" s="992"/>
      <c r="G1172"/>
    </row>
    <row r="1173" spans="1:7" ht="38.25" customHeight="1">
      <c r="A1173" s="269"/>
      <c r="B1173" s="269"/>
      <c r="D1173" s="992"/>
      <c r="E1173" s="992"/>
      <c r="F1173" s="992"/>
    </row>
    <row r="1174" spans="1:7" ht="13.2"/>
    <row r="1175" spans="1:7" ht="13.2">
      <c r="A1175" s="1015" t="s">
        <v>1402</v>
      </c>
      <c r="B1175" s="1015"/>
      <c r="C1175" s="1015"/>
      <c r="D1175" s="1015"/>
      <c r="E1175" s="1015"/>
      <c r="F1175" s="1015"/>
      <c r="G1175" s="1015"/>
    </row>
    <row r="1176" spans="1:7" ht="13.2">
      <c r="A1176" s="44"/>
      <c r="B1176" s="44"/>
    </row>
    <row r="1177" spans="1:7" ht="13.2">
      <c r="C1177" s="205"/>
      <c r="D1177" s="1016" t="s">
        <v>1660</v>
      </c>
      <c r="E1177" s="1016"/>
      <c r="F1177" s="1016"/>
    </row>
    <row r="1178" spans="1:7" ht="13.2">
      <c r="A1178" s="188"/>
      <c r="B1178" s="188"/>
      <c r="C1178" s="188"/>
      <c r="D1178" s="1009" t="s">
        <v>1489</v>
      </c>
      <c r="E1178" s="1010"/>
      <c r="F1178" s="1010"/>
    </row>
    <row r="1179" spans="1:7" ht="13.2">
      <c r="A1179" s="188"/>
      <c r="B1179" s="188"/>
      <c r="C1179" s="188"/>
      <c r="F1179" s="186"/>
      <c r="G1179"/>
    </row>
    <row r="1180" spans="1:7" ht="13.65" customHeight="1">
      <c r="B1180" s="606" t="s">
        <v>1374</v>
      </c>
      <c r="D1180" s="1007" t="s">
        <v>2078</v>
      </c>
      <c r="E1180" s="1007"/>
      <c r="F1180" s="1007"/>
      <c r="G1180"/>
    </row>
    <row r="1181" spans="1:7" ht="13.2">
      <c r="D1181" s="1007"/>
      <c r="E1181" s="1007"/>
      <c r="F1181" s="1007"/>
      <c r="G1181"/>
    </row>
    <row r="1182" spans="1:7" ht="13.2">
      <c r="D1182" s="15"/>
      <c r="E1182" s="922" t="s">
        <v>2079</v>
      </c>
      <c r="F1182" s="15"/>
      <c r="G1182"/>
    </row>
    <row r="1183" spans="1:7" ht="13.2">
      <c r="D1183" s="15"/>
      <c r="E1183" s="15"/>
      <c r="F1183" s="15"/>
      <c r="G1183"/>
    </row>
    <row r="1184" spans="1:7" ht="13.2">
      <c r="D1184" s="986" t="s">
        <v>2077</v>
      </c>
      <c r="E1184" s="986"/>
      <c r="F1184" s="986"/>
      <c r="G1184"/>
    </row>
    <row r="1185" spans="1:7" ht="13.2">
      <c r="A1185" s="189"/>
      <c r="B1185" s="189"/>
      <c r="C1185" s="189"/>
      <c r="D1185" s="986"/>
      <c r="E1185" s="986"/>
      <c r="F1185" s="986"/>
      <c r="G1185"/>
    </row>
    <row r="1186" spans="1:7" ht="14.4" customHeight="1">
      <c r="A1186" s="189"/>
      <c r="B1186" s="189"/>
      <c r="C1186" s="189"/>
      <c r="D1186" s="986"/>
      <c r="E1186" s="986"/>
      <c r="F1186" s="986"/>
      <c r="G1186"/>
    </row>
    <row r="1187" spans="1:7" ht="13.2">
      <c r="A1187" s="189"/>
      <c r="B1187" s="189"/>
      <c r="C1187" s="189"/>
      <c r="D1187" s="104"/>
      <c r="E1187" s="104"/>
      <c r="F1187" s="104"/>
      <c r="G1187"/>
    </row>
    <row r="1188" spans="1:7" ht="13.2">
      <c r="A1188" s="189"/>
      <c r="B1188" s="606" t="s">
        <v>1374</v>
      </c>
      <c r="C1188" s="189"/>
      <c r="D1188" s="992" t="s">
        <v>1670</v>
      </c>
      <c r="E1188" s="992"/>
      <c r="F1188" s="992"/>
      <c r="G1188"/>
    </row>
    <row r="1189" spans="1:7" ht="13.2">
      <c r="A1189" s="189"/>
      <c r="B1189" s="189"/>
      <c r="C1189" s="189"/>
      <c r="D1189" s="992"/>
      <c r="E1189" s="992"/>
      <c r="F1189" s="992"/>
      <c r="G1189"/>
    </row>
    <row r="1190" spans="1:7" ht="13.2">
      <c r="A1190" s="189"/>
      <c r="B1190" s="189"/>
      <c r="C1190" s="189"/>
      <c r="D1190" s="992"/>
      <c r="E1190" s="992"/>
      <c r="F1190" s="992"/>
      <c r="G1190"/>
    </row>
    <row r="1191" spans="1:7" ht="13.2">
      <c r="A1191" s="189"/>
      <c r="B1191" s="189"/>
      <c r="C1191" s="189"/>
      <c r="D1191" s="992"/>
      <c r="E1191" s="992"/>
      <c r="F1191" s="992"/>
      <c r="G1191"/>
    </row>
    <row r="1192" spans="1:7" ht="13.2">
      <c r="A1192" s="189"/>
      <c r="B1192" s="189"/>
      <c r="C1192" s="189"/>
      <c r="D1192" s="24"/>
      <c r="E1192" s="24"/>
      <c r="F1192" s="24"/>
      <c r="G1192"/>
    </row>
    <row r="1193" spans="1:7" ht="13.2">
      <c r="A1193" s="189"/>
      <c r="B1193" s="606" t="s">
        <v>123</v>
      </c>
      <c r="C1193" s="189"/>
      <c r="D1193" s="983" t="s">
        <v>2295</v>
      </c>
      <c r="E1193" s="992"/>
      <c r="F1193" s="992"/>
      <c r="G1193"/>
    </row>
    <row r="1194" spans="1:7" ht="13.2">
      <c r="A1194" s="189"/>
      <c r="B1194" s="189"/>
      <c r="C1194" s="189"/>
      <c r="D1194" s="992"/>
      <c r="E1194" s="992"/>
      <c r="F1194" s="992"/>
      <c r="G1194"/>
    </row>
    <row r="1195" spans="1:7" ht="13.2">
      <c r="A1195" s="189"/>
      <c r="B1195" s="189"/>
      <c r="C1195" s="189"/>
      <c r="D1195" s="24"/>
      <c r="E1195" s="24"/>
      <c r="F1195" s="24"/>
      <c r="G1195"/>
    </row>
    <row r="1196" spans="1:7" ht="14.4">
      <c r="A1196" s="269"/>
      <c r="B1196" s="606" t="s">
        <v>1374</v>
      </c>
      <c r="D1196" s="1010" t="s">
        <v>1661</v>
      </c>
      <c r="E1196" s="1010"/>
      <c r="F1196" s="1010"/>
      <c r="G1196"/>
    </row>
    <row r="1197" spans="1:7" ht="13.2">
      <c r="G1197"/>
    </row>
    <row r="1198" spans="1:7" ht="14.4">
      <c r="A1198" s="269"/>
      <c r="B1198" s="606" t="s">
        <v>123</v>
      </c>
      <c r="D1198" s="1010" t="s">
        <v>1662</v>
      </c>
      <c r="E1198" s="1010"/>
      <c r="F1198" s="1010"/>
      <c r="G1198"/>
    </row>
    <row r="1199" spans="1:7" ht="13.2">
      <c r="D1199" s="44"/>
      <c r="G1199"/>
    </row>
    <row r="1200" spans="1:7" ht="14.4">
      <c r="A1200" s="269"/>
      <c r="B1200" s="606" t="s">
        <v>1374</v>
      </c>
      <c r="D1200" s="1010" t="s">
        <v>1663</v>
      </c>
      <c r="E1200" s="1010"/>
      <c r="F1200" s="1010"/>
      <c r="G1200"/>
    </row>
    <row r="1201" spans="1:7" ht="13.2">
      <c r="D1201" s="44"/>
      <c r="G1201"/>
    </row>
    <row r="1202" spans="1:7" ht="14.4">
      <c r="A1202" s="269"/>
      <c r="B1202" s="606" t="s">
        <v>123</v>
      </c>
      <c r="D1202" s="992" t="s">
        <v>1664</v>
      </c>
      <c r="E1202" s="992"/>
      <c r="F1202" s="992"/>
      <c r="G1202"/>
    </row>
    <row r="1203" spans="1:7" ht="14.4">
      <c r="A1203" s="269"/>
      <c r="B1203" s="269"/>
      <c r="D1203" s="992"/>
      <c r="E1203" s="992"/>
      <c r="F1203" s="992"/>
      <c r="G1203"/>
    </row>
    <row r="1204" spans="1:7" ht="14.4">
      <c r="A1204" s="269"/>
      <c r="B1204" s="269"/>
      <c r="D1204" s="44"/>
    </row>
    <row r="1205" spans="1:7" s="445" customFormat="1" ht="14.4">
      <c r="A1205" s="287"/>
      <c r="B1205" s="606" t="s">
        <v>123</v>
      </c>
      <c r="C1205" s="288"/>
      <c r="D1205" s="1036" t="s">
        <v>1665</v>
      </c>
      <c r="E1205" s="1036"/>
      <c r="F1205" s="1036"/>
      <c r="G1205" s="290"/>
    </row>
    <row r="1206" spans="1:7" s="445" customFormat="1" ht="13.2">
      <c r="A1206" s="288"/>
      <c r="B1206" s="288"/>
      <c r="C1206" s="288"/>
      <c r="D1206" s="1036"/>
      <c r="E1206" s="1036"/>
      <c r="F1206" s="1036"/>
      <c r="G1206" s="290"/>
    </row>
    <row r="1207" spans="1:7" s="445" customFormat="1" ht="13.2">
      <c r="A1207" s="288"/>
      <c r="B1207" s="288"/>
      <c r="C1207" s="288"/>
      <c r="D1207" s="289"/>
      <c r="E1207" s="290"/>
      <c r="F1207" s="290"/>
      <c r="G1207" s="290"/>
    </row>
    <row r="1208" spans="1:7" s="445" customFormat="1" ht="14.4">
      <c r="A1208" s="287"/>
      <c r="B1208" s="606" t="s">
        <v>123</v>
      </c>
      <c r="C1208" s="288"/>
      <c r="D1208" s="1043" t="s">
        <v>1666</v>
      </c>
      <c r="E1208" s="1043"/>
      <c r="F1208" s="1043"/>
      <c r="G1208" s="290"/>
    </row>
    <row r="1209" spans="1:7" s="445" customFormat="1" ht="13.2">
      <c r="A1209" s="288"/>
      <c r="B1209" s="288"/>
      <c r="C1209" s="288"/>
      <c r="D1209" s="289"/>
      <c r="E1209" s="290"/>
      <c r="F1209" s="290"/>
      <c r="G1209" s="290"/>
    </row>
    <row r="1210" spans="1:7" ht="14.4">
      <c r="A1210" s="269"/>
      <c r="B1210" s="606" t="s">
        <v>123</v>
      </c>
      <c r="D1210" s="1010" t="s">
        <v>1667</v>
      </c>
      <c r="E1210" s="1010"/>
      <c r="F1210" s="1010"/>
    </row>
    <row r="1211" spans="1:7" ht="14.4">
      <c r="A1211" s="269"/>
      <c r="B1211" s="269"/>
      <c r="D1211" s="44"/>
    </row>
    <row r="1212" spans="1:7" ht="14.4">
      <c r="A1212" s="269"/>
      <c r="B1212" s="606" t="s">
        <v>123</v>
      </c>
      <c r="D1212" s="992" t="s">
        <v>1668</v>
      </c>
      <c r="E1212" s="992"/>
      <c r="F1212" s="992"/>
    </row>
    <row r="1213" spans="1:7" ht="14.4">
      <c r="A1213" s="269"/>
      <c r="B1213" s="269"/>
      <c r="D1213" s="992"/>
      <c r="E1213" s="992"/>
      <c r="F1213" s="992"/>
    </row>
    <row r="1214" spans="1:7" ht="13.2"/>
    <row r="1215" spans="1:7" ht="13.2">
      <c r="A1215" s="1015" t="s">
        <v>1997</v>
      </c>
      <c r="B1215" s="1015"/>
      <c r="C1215" s="1015"/>
      <c r="D1215" s="1015"/>
      <c r="E1215" s="1015"/>
      <c r="F1215" s="1015"/>
      <c r="G1215" s="1015"/>
    </row>
    <row r="1216" spans="1:7" ht="13.2"/>
    <row r="1217" spans="1:7" ht="13.2">
      <c r="A1217" s="1015" t="s">
        <v>1403</v>
      </c>
      <c r="B1217" s="1015"/>
      <c r="C1217" s="1015"/>
      <c r="D1217" s="1015"/>
      <c r="E1217" s="1015"/>
      <c r="F1217" s="1015"/>
      <c r="G1217" s="1015"/>
    </row>
    <row r="1218" spans="1:7" ht="13.2"/>
    <row r="1219" spans="1:7" ht="13.2">
      <c r="D1219" s="1041" t="s">
        <v>1508</v>
      </c>
      <c r="E1219" s="1041"/>
      <c r="F1219" s="1041"/>
    </row>
    <row r="1220" spans="1:7" ht="13.2">
      <c r="D1220" s="1042" t="s">
        <v>1904</v>
      </c>
      <c r="E1220" s="1042"/>
      <c r="F1220" s="1042"/>
    </row>
    <row r="1221" spans="1:7" ht="13.2">
      <c r="A1221" s="188"/>
      <c r="B1221" s="188"/>
      <c r="C1221" s="188"/>
    </row>
    <row r="1222" spans="1:7" ht="14.4">
      <c r="A1222" s="269"/>
      <c r="B1222" s="269"/>
      <c r="C1222" s="189"/>
      <c r="D1222" s="1041" t="s">
        <v>1509</v>
      </c>
      <c r="E1222" s="1041"/>
      <c r="F1222" s="1041"/>
    </row>
    <row r="1223" spans="1:7" ht="13.2">
      <c r="B1223" s="606" t="s">
        <v>1374</v>
      </c>
      <c r="D1223" s="1043" t="s">
        <v>1510</v>
      </c>
      <c r="E1223" s="1043"/>
      <c r="F1223" s="1043"/>
    </row>
    <row r="1224" spans="1:7" ht="13.2">
      <c r="D1224" s="1042" t="s">
        <v>1905</v>
      </c>
      <c r="E1224" s="1042"/>
      <c r="F1224" s="1042"/>
    </row>
    <row r="1225" spans="1:7" ht="13.2">
      <c r="G1225"/>
    </row>
    <row r="1226" spans="1:7" ht="12.75" customHeight="1">
      <c r="B1226" s="606" t="s">
        <v>123</v>
      </c>
      <c r="D1226" s="1023" t="s">
        <v>1822</v>
      </c>
      <c r="E1226" s="1023"/>
      <c r="F1226" s="1023"/>
      <c r="G1226"/>
    </row>
    <row r="1227" spans="1:7" ht="13.2">
      <c r="D1227" s="1023"/>
      <c r="E1227" s="1023"/>
      <c r="F1227" s="1023"/>
      <c r="G1227"/>
    </row>
    <row r="1228" spans="1:7" ht="13.2">
      <c r="G1228"/>
    </row>
    <row r="1229" spans="1:7" ht="12.75" customHeight="1"/>
    <row r="1230" spans="1:7" ht="13.2">
      <c r="A1230" s="1015" t="s">
        <v>1405</v>
      </c>
      <c r="B1230" s="1015"/>
      <c r="C1230" s="1015"/>
      <c r="D1230" s="1015"/>
      <c r="E1230" s="1015"/>
      <c r="F1230" s="1015"/>
      <c r="G1230" s="1015"/>
    </row>
    <row r="1231" spans="1:7" ht="13.2">
      <c r="A1231" s="44"/>
      <c r="B1231" s="44"/>
    </row>
    <row r="1232" spans="1:7" ht="12.75" customHeight="1">
      <c r="A1232" s="44"/>
      <c r="B1232" s="44"/>
      <c r="D1232" s="1016" t="s">
        <v>1404</v>
      </c>
      <c r="E1232" s="1016"/>
      <c r="F1232" s="1016"/>
    </row>
    <row r="1233" spans="1:7" ht="12.75" customHeight="1">
      <c r="A1233" s="44"/>
      <c r="B1233" s="44"/>
      <c r="D1233" s="1010" t="s">
        <v>1411</v>
      </c>
      <c r="E1233" s="1010"/>
      <c r="F1233" s="1010"/>
    </row>
    <row r="1234" spans="1:7" ht="12.75" customHeight="1">
      <c r="A1234" s="44"/>
      <c r="B1234" s="44"/>
    </row>
    <row r="1235" spans="1:7" ht="14.4">
      <c r="A1235" s="269"/>
      <c r="B1235" s="606" t="s">
        <v>123</v>
      </c>
      <c r="D1235" s="1014" t="s">
        <v>1012</v>
      </c>
      <c r="E1235" s="1014"/>
      <c r="F1235" s="1014"/>
    </row>
    <row r="1236" spans="1:7" ht="13.2">
      <c r="D1236" s="1010" t="s">
        <v>1132</v>
      </c>
      <c r="E1236" s="1010"/>
      <c r="F1236" s="1010"/>
    </row>
    <row r="1237" spans="1:7" ht="13.2">
      <c r="E1237" s="1027" t="s">
        <v>2080</v>
      </c>
      <c r="F1237" s="1027"/>
    </row>
    <row r="1238" spans="1:7" ht="13.2">
      <c r="D1238" s="3"/>
    </row>
    <row r="1239" spans="1:7" ht="13.2">
      <c r="D1239" s="1040" t="s">
        <v>1272</v>
      </c>
      <c r="E1239" s="1040"/>
      <c r="F1239" s="1040"/>
    </row>
    <row r="1240" spans="1:7" ht="13.2">
      <c r="B1240" s="606" t="s">
        <v>123</v>
      </c>
      <c r="D1240" s="983" t="s">
        <v>2081</v>
      </c>
      <c r="E1240" s="992"/>
      <c r="F1240" s="992"/>
      <c r="G1240"/>
    </row>
    <row r="1241" spans="1:7" ht="13.2">
      <c r="D1241" s="992"/>
      <c r="E1241" s="992"/>
      <c r="F1241" s="992"/>
      <c r="G1241"/>
    </row>
    <row r="1242" spans="1:7" ht="13.2">
      <c r="D1242" s="498" t="s">
        <v>1275</v>
      </c>
      <c r="E1242"/>
      <c r="F1242"/>
      <c r="G1242"/>
    </row>
    <row r="1243" spans="1:7" ht="13.65" customHeight="1">
      <c r="D1243" s="983" t="s">
        <v>2082</v>
      </c>
      <c r="E1243" s="992"/>
      <c r="F1243" s="992"/>
      <c r="G1243"/>
    </row>
    <row r="1244" spans="1:7" ht="13.2">
      <c r="D1244" s="992"/>
      <c r="E1244" s="992"/>
      <c r="F1244" s="992"/>
      <c r="G1244"/>
    </row>
    <row r="1245" spans="1:7" ht="13.2">
      <c r="D1245" s="992"/>
      <c r="E1245" s="992"/>
      <c r="F1245" s="992"/>
      <c r="G1245"/>
    </row>
    <row r="1246" spans="1:7" ht="13.2">
      <c r="D1246" s="992"/>
      <c r="E1246" s="992"/>
      <c r="F1246" s="992"/>
      <c r="G1246"/>
    </row>
    <row r="1247" spans="1:7" ht="13.2">
      <c r="D1247" s="1027" t="s">
        <v>1015</v>
      </c>
      <c r="E1247" s="1027"/>
      <c r="F1247" s="1027"/>
      <c r="G1247"/>
    </row>
    <row r="1248" spans="1:7" ht="13.2">
      <c r="B1248" s="606" t="s">
        <v>123</v>
      </c>
      <c r="D1248" s="1014" t="s">
        <v>1273</v>
      </c>
      <c r="E1248" s="1014"/>
      <c r="F1248" s="1014"/>
      <c r="G1248"/>
    </row>
    <row r="1249" spans="1:7" ht="13.2">
      <c r="E1249"/>
      <c r="F1249"/>
      <c r="G1249"/>
    </row>
    <row r="1250" spans="1:7" ht="13.2">
      <c r="D1250" s="1022" t="s">
        <v>1274</v>
      </c>
      <c r="E1250" s="1022"/>
      <c r="F1250" s="1022"/>
      <c r="G1250"/>
    </row>
    <row r="1251" spans="1:7" ht="13.2">
      <c r="D1251" s="3" t="s">
        <v>1013</v>
      </c>
      <c r="E1251"/>
      <c r="F1251"/>
      <c r="G1251"/>
    </row>
    <row r="1252" spans="1:7" ht="14.4" customHeight="1">
      <c r="A1252" s="269"/>
      <c r="B1252" s="606" t="s">
        <v>123</v>
      </c>
      <c r="D1252" s="992" t="s">
        <v>1511</v>
      </c>
      <c r="E1252" s="992"/>
      <c r="F1252" s="992"/>
      <c r="G1252"/>
    </row>
    <row r="1253" spans="1:7" ht="14.4">
      <c r="A1253" s="269"/>
      <c r="B1253" s="269"/>
      <c r="D1253" s="992"/>
      <c r="E1253" s="992"/>
      <c r="F1253" s="992"/>
      <c r="G1253"/>
    </row>
    <row r="1254" spans="1:7" ht="14.4">
      <c r="A1254" s="269"/>
      <c r="B1254" s="269"/>
      <c r="D1254" s="992"/>
      <c r="E1254" s="992"/>
      <c r="F1254" s="992"/>
      <c r="G1254"/>
    </row>
    <row r="1255" spans="1:7" ht="14.4">
      <c r="A1255" s="269"/>
      <c r="B1255" s="269"/>
      <c r="E1255"/>
      <c r="F1255"/>
      <c r="G1255"/>
    </row>
    <row r="1256" spans="1:7" ht="14.4">
      <c r="A1256" s="269"/>
      <c r="B1256" s="269"/>
      <c r="D1256" s="416" t="s">
        <v>1131</v>
      </c>
      <c r="E1256" s="416"/>
      <c r="F1256" s="416"/>
    </row>
    <row r="1257" spans="1:7" ht="14.4">
      <c r="A1257" s="269"/>
      <c r="B1257" s="606" t="s">
        <v>123</v>
      </c>
      <c r="D1257" s="992" t="s">
        <v>1512</v>
      </c>
      <c r="E1257" s="992"/>
      <c r="F1257" s="992"/>
    </row>
    <row r="1258" spans="1:7" ht="14.4">
      <c r="A1258" s="269"/>
      <c r="B1258" s="269"/>
      <c r="D1258" s="992"/>
      <c r="E1258" s="992"/>
      <c r="F1258" s="992"/>
    </row>
    <row r="1259" spans="1:7" ht="14.4">
      <c r="A1259" s="269"/>
      <c r="B1259" s="269"/>
      <c r="D1259" s="992"/>
      <c r="E1259" s="992"/>
      <c r="F1259" s="992"/>
    </row>
    <row r="1260" spans="1:7" ht="14.4">
      <c r="A1260" s="269"/>
      <c r="B1260" s="269"/>
      <c r="D1260" s="992"/>
      <c r="E1260" s="992"/>
      <c r="F1260" s="992"/>
    </row>
    <row r="1261" spans="1:7" ht="14.4">
      <c r="A1261" s="269"/>
      <c r="B1261" s="269"/>
      <c r="D1261" s="992"/>
      <c r="E1261" s="992"/>
      <c r="F1261" s="992"/>
    </row>
    <row r="1262" spans="1:7" ht="12.75" customHeight="1">
      <c r="A1262" s="44"/>
      <c r="B1262" s="44"/>
    </row>
    <row r="1263" spans="1:7" ht="13.2">
      <c r="A1263" s="1015" t="s">
        <v>1435</v>
      </c>
      <c r="B1263" s="1015"/>
      <c r="C1263" s="1015"/>
      <c r="D1263" s="1015"/>
      <c r="E1263" s="1015"/>
      <c r="F1263" s="1015"/>
      <c r="G1263" s="1015"/>
    </row>
    <row r="1264" spans="1:7" ht="13.2">
      <c r="A1264" s="44"/>
      <c r="B1264" s="44"/>
    </row>
    <row r="1265" spans="1:7" ht="13.2">
      <c r="A1265" s="44"/>
      <c r="B1265" s="44"/>
      <c r="D1265" s="1024" t="s">
        <v>1436</v>
      </c>
      <c r="E1265" s="1024"/>
      <c r="F1265" s="1024"/>
    </row>
    <row r="1266" spans="1:7" ht="13.2">
      <c r="A1266" s="266"/>
      <c r="B1266" s="266"/>
      <c r="C1266" s="266"/>
      <c r="D1266" s="1014" t="s">
        <v>1449</v>
      </c>
      <c r="E1266" s="1014"/>
      <c r="F1266" s="1014"/>
      <c r="G1266" s="267"/>
    </row>
    <row r="1267" spans="1:7" ht="10.5" customHeight="1"/>
    <row r="1268" spans="1:7" ht="14.4">
      <c r="A1268" s="269"/>
      <c r="B1268" s="606" t="s">
        <v>123</v>
      </c>
      <c r="D1268" s="1014" t="s">
        <v>1133</v>
      </c>
      <c r="E1268" s="1014"/>
      <c r="F1268" s="1014"/>
    </row>
    <row r="1269" spans="1:7" ht="13.2">
      <c r="E1269" s="1027" t="s">
        <v>2083</v>
      </c>
      <c r="F1269" s="1027"/>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17" sqref="A17"/>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4">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9" customFormat="1" ht="18.75" customHeight="1">
      <c r="A9" s="1099" t="s">
        <v>791</v>
      </c>
      <c r="B9" s="1099"/>
      <c r="C9" s="1099"/>
      <c r="D9" s="1099"/>
      <c r="E9" s="1099"/>
      <c r="F9" s="1099"/>
      <c r="G9" s="1099"/>
      <c r="H9" s="1099"/>
      <c r="I9" s="1099"/>
      <c r="J9" s="1099"/>
      <c r="K9" s="1099"/>
      <c r="L9" s="1099"/>
      <c r="M9" s="1099"/>
      <c r="N9" s="1099"/>
      <c r="O9" s="1099"/>
      <c r="P9" s="1099"/>
      <c r="Q9" s="1099"/>
      <c r="R9" s="1099"/>
      <c r="S9" s="1099"/>
      <c r="T9" s="1099"/>
      <c r="U9" s="1099"/>
      <c r="V9" s="1099"/>
      <c r="W9" s="1099"/>
      <c r="X9" s="1099"/>
      <c r="Y9" s="1099"/>
      <c r="Z9" s="1099"/>
      <c r="AA9" s="1099"/>
      <c r="AB9" s="1099"/>
      <c r="AC9" s="1099"/>
      <c r="AD9" s="1099"/>
      <c r="AE9" s="1099"/>
      <c r="AF9" s="1099"/>
      <c r="AG9" s="1099"/>
      <c r="AH9" s="1099"/>
      <c r="AI9" s="1099"/>
      <c r="AJ9" s="1099"/>
      <c r="AK9" s="1099"/>
      <c r="AL9" s="1099"/>
      <c r="AM9" s="1099"/>
      <c r="AN9" s="1099"/>
      <c r="AO9" s="1099"/>
      <c r="AP9" s="1099"/>
      <c r="AQ9" s="1099"/>
      <c r="AR9" s="1099"/>
      <c r="AS9" s="1099"/>
      <c r="AT9" s="1099"/>
    </row>
    <row r="10" spans="1:46" s="656" customFormat="1" ht="12.9" customHeight="1">
      <c r="A10" s="1100" t="s">
        <v>2316</v>
      </c>
      <c r="B10" s="1100"/>
      <c r="C10" s="1100"/>
      <c r="D10" s="1100"/>
      <c r="E10" s="1100"/>
      <c r="F10" s="1100"/>
      <c r="G10" s="1100"/>
      <c r="H10" s="1100"/>
      <c r="I10" s="1100"/>
      <c r="J10" s="1100"/>
      <c r="K10" s="1100"/>
      <c r="L10" s="1100"/>
      <c r="M10" s="1100"/>
      <c r="N10" s="1100"/>
      <c r="O10" s="1100"/>
      <c r="P10" s="1100"/>
      <c r="Q10" s="1100"/>
      <c r="R10" s="1100"/>
      <c r="S10" s="1100"/>
      <c r="T10" s="1100"/>
      <c r="U10" s="1100"/>
      <c r="V10" s="1100"/>
      <c r="W10" s="1100"/>
      <c r="X10" s="1100"/>
      <c r="Y10" s="1100"/>
      <c r="Z10" s="1100"/>
      <c r="AA10" s="1100"/>
      <c r="AB10" s="1100"/>
      <c r="AC10" s="1100"/>
      <c r="AD10" s="1100"/>
      <c r="AE10" s="1100"/>
      <c r="AF10" s="1100"/>
      <c r="AG10" s="1100"/>
      <c r="AH10" s="1100"/>
      <c r="AI10" s="1100"/>
      <c r="AJ10" s="1100"/>
      <c r="AK10" s="1100"/>
      <c r="AL10" s="1100"/>
      <c r="AM10" s="1100"/>
      <c r="AN10" s="1100"/>
      <c r="AO10" s="1100"/>
      <c r="AP10" s="1100"/>
      <c r="AQ10" s="1100"/>
      <c r="AR10" s="1100"/>
      <c r="AS10" s="1100"/>
      <c r="AT10" s="1100"/>
    </row>
    <row r="11" spans="1:46" s="41" customFormat="1" ht="12.9" customHeight="1">
      <c r="A11" s="1101" t="s">
        <v>2328</v>
      </c>
      <c r="B11" s="1101"/>
      <c r="C11" s="1101"/>
      <c r="D11" s="1101"/>
      <c r="E11" s="1101"/>
      <c r="F11" s="1101"/>
      <c r="G11" s="1101"/>
      <c r="H11" s="1101"/>
      <c r="I11" s="1101"/>
      <c r="J11" s="1101"/>
      <c r="K11" s="1101"/>
      <c r="L11" s="1101"/>
      <c r="M11" s="1101"/>
      <c r="N11" s="1101"/>
      <c r="O11" s="1101"/>
      <c r="P11" s="1101"/>
      <c r="Q11" s="1101"/>
      <c r="R11" s="1101"/>
      <c r="S11" s="1101"/>
      <c r="T11" s="1101"/>
      <c r="U11" s="1101"/>
      <c r="V11" s="1101"/>
      <c r="W11" s="1101"/>
      <c r="X11" s="1101"/>
      <c r="Y11" s="1101"/>
      <c r="Z11" s="1101"/>
      <c r="AA11" s="1101"/>
      <c r="AB11" s="1101"/>
      <c r="AC11" s="1101"/>
      <c r="AD11" s="1101"/>
      <c r="AE11" s="1101"/>
      <c r="AF11" s="1101"/>
      <c r="AG11" s="1101"/>
      <c r="AH11" s="1101"/>
      <c r="AI11" s="1101"/>
      <c r="AJ11" s="1101"/>
      <c r="AK11" s="1101"/>
      <c r="AL11" s="1101"/>
      <c r="AM11" s="1101"/>
      <c r="AN11" s="1101"/>
      <c r="AO11" s="1101"/>
      <c r="AP11" s="1101"/>
      <c r="AQ11" s="1101"/>
      <c r="AR11" s="1101"/>
      <c r="AS11" s="1101"/>
      <c r="AT11" s="1101"/>
    </row>
    <row r="12" spans="1:46" ht="12.9" customHeight="1">
      <c r="A12" s="979" t="s">
        <v>1861</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341" t="s">
        <v>2330</v>
      </c>
      <c r="I15" s="1341"/>
      <c r="J15" s="1341"/>
      <c r="K15" s="1341"/>
      <c r="L15" s="1341"/>
      <c r="M15" s="1341"/>
      <c r="N15" s="1341"/>
      <c r="O15" s="1341"/>
      <c r="P15" s="1341"/>
      <c r="Q15" s="1341"/>
      <c r="R15" s="1341"/>
      <c r="S15" s="1341"/>
      <c r="T15" s="1341"/>
      <c r="U15" s="1341"/>
      <c r="V15" s="1341"/>
      <c r="W15" s="1341"/>
      <c r="X15" s="1341"/>
      <c r="Y15" s="1341"/>
      <c r="Z15" s="1341"/>
      <c r="AA15" s="1341"/>
      <c r="AB15" s="1341"/>
      <c r="AC15" s="1341"/>
      <c r="AD15" s="1341"/>
      <c r="AE15" s="1341"/>
      <c r="AF15" s="1341"/>
      <c r="AG15" s="1341"/>
      <c r="AH15" s="1341"/>
      <c r="AI15" s="1341"/>
      <c r="AJ15" s="1341"/>
    </row>
    <row r="16" spans="1:46" ht="12.9" customHeight="1">
      <c r="C16"/>
    </row>
    <row r="17" spans="1:46" ht="12.9" customHeight="1">
      <c r="A17" s="63" t="s">
        <v>792</v>
      </c>
      <c r="C17" s="5"/>
      <c r="D17" s="5"/>
      <c r="E17" s="5"/>
      <c r="F17" s="5"/>
      <c r="G17" s="5"/>
      <c r="H17" s="1342" t="s">
        <v>2331</v>
      </c>
      <c r="I17" s="1093"/>
      <c r="J17" s="1093"/>
      <c r="K17" s="1093"/>
      <c r="L17" s="1093"/>
      <c r="M17" s="1093"/>
      <c r="N17" s="1093"/>
      <c r="O17" s="1093"/>
      <c r="P17" s="1093"/>
      <c r="Q17" s="1093"/>
      <c r="R17" s="1093"/>
      <c r="S17" s="1093"/>
      <c r="T17" s="1093"/>
      <c r="U17" s="1093"/>
      <c r="V17" s="1093"/>
      <c r="W17" s="1093"/>
      <c r="X17" s="1093"/>
      <c r="Y17" s="1093"/>
      <c r="Z17" s="1093"/>
      <c r="AA17" s="1093"/>
      <c r="AB17" s="1093"/>
      <c r="AC17" s="1093"/>
      <c r="AD17" s="1093"/>
      <c r="AE17" s="1093"/>
      <c r="AF17" s="1093"/>
      <c r="AG17" s="1093"/>
      <c r="AH17" s="1093"/>
      <c r="AI17" s="1093"/>
      <c r="AJ17" s="1093"/>
    </row>
    <row r="18" spans="1:46" ht="12.9" customHeight="1">
      <c r="C18"/>
    </row>
    <row r="19" spans="1:46" ht="12.9" customHeight="1">
      <c r="A19" s="1000" t="s">
        <v>1100</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 customHeight="1">
      <c r="A20" s="1428" t="s">
        <v>1350</v>
      </c>
      <c r="B20" s="1428"/>
      <c r="C20" s="1428"/>
      <c r="D20" s="1428"/>
      <c r="E20" s="1428"/>
      <c r="F20" s="1428"/>
      <c r="G20" s="1428"/>
      <c r="H20" s="1428"/>
      <c r="I20" s="1428"/>
      <c r="J20" s="1428"/>
      <c r="K20" s="1428"/>
      <c r="L20" s="1428"/>
      <c r="M20" s="1428"/>
      <c r="N20" s="1428"/>
      <c r="O20" s="1428"/>
      <c r="P20" s="1428"/>
      <c r="Q20" s="1428"/>
      <c r="R20" s="1428"/>
      <c r="S20" s="1428"/>
      <c r="T20" s="1428"/>
      <c r="U20" s="1428"/>
      <c r="V20" s="1428"/>
      <c r="W20" s="1428"/>
      <c r="X20" s="1428"/>
      <c r="Y20" s="1428"/>
      <c r="Z20" s="1428"/>
      <c r="AA20" s="1428"/>
      <c r="AB20" s="1428"/>
      <c r="AC20" s="1428"/>
      <c r="AD20" s="1428"/>
      <c r="AE20" s="1428"/>
      <c r="AF20" s="1428"/>
      <c r="AG20" s="1428"/>
      <c r="AH20" s="1428"/>
      <c r="AI20" s="1428"/>
      <c r="AJ20" s="1428"/>
      <c r="AK20" s="1428"/>
      <c r="AL20" s="142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6" t="s">
        <v>2233</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0">
        <f>ROUND('Basis &amp; Credits'!AB55,0)</f>
        <v>2500000</v>
      </c>
      <c r="N25" s="1430"/>
      <c r="O25" s="1430"/>
      <c r="P25" s="1430"/>
      <c r="Q25" s="1430"/>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0">
        <f>'Basis &amp; Credits'!AB76</f>
        <v>5822281</v>
      </c>
      <c r="N27" s="1430"/>
      <c r="O27" s="1430"/>
      <c r="P27" s="1430"/>
      <c r="Q27" s="1430"/>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6" t="s">
        <v>2234</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 customHeight="1">
      <c r="A33" s="310" t="s">
        <v>2232</v>
      </c>
      <c r="B33"/>
      <c r="C33" s="100"/>
      <c r="D33" s="100"/>
      <c r="E33" s="100"/>
      <c r="F33" s="100"/>
      <c r="G33" s="100"/>
      <c r="H33" s="100"/>
      <c r="I33" s="100"/>
      <c r="J33" s="100"/>
      <c r="K33" s="100"/>
      <c r="L33" s="100"/>
      <c r="M33" s="100"/>
      <c r="N33" s="100"/>
      <c r="O33" s="1144" t="s">
        <v>107</v>
      </c>
      <c r="P33" s="1144"/>
      <c r="Q33" s="1102" t="s">
        <v>2235</v>
      </c>
      <c r="R33" s="1102"/>
      <c r="S33" s="1102"/>
      <c r="T33" s="1102"/>
      <c r="U33" s="1102"/>
      <c r="V33" s="1102"/>
      <c r="W33" s="1102"/>
      <c r="X33" s="1102"/>
      <c r="Y33" s="1102"/>
      <c r="Z33" s="1102"/>
      <c r="AA33" s="1102"/>
      <c r="AB33" s="1102"/>
      <c r="AC33" s="1102"/>
      <c r="AD33" s="1102"/>
      <c r="AE33" s="1102"/>
      <c r="AF33" s="1102"/>
      <c r="AG33" s="1102"/>
      <c r="AH33" s="1102"/>
      <c r="AI33" s="1102"/>
      <c r="AJ33" s="1102"/>
      <c r="AK33" s="1102"/>
      <c r="AL33" s="1102"/>
      <c r="AM33" s="1102"/>
      <c r="AN33" s="1102"/>
      <c r="AO33" s="1102"/>
      <c r="AP33" s="1102"/>
      <c r="AQ33" s="1102"/>
      <c r="AR33" s="1102"/>
      <c r="AS33" s="1102"/>
      <c r="AT33" s="1102"/>
    </row>
    <row r="34" spans="1:46" ht="12.9" customHeight="1">
      <c r="A34" s="1001" t="s">
        <v>2236</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 customHeight="1">
      <c r="C38"/>
      <c r="AM38" s="19"/>
    </row>
    <row r="39" spans="1:46" s="773" customFormat="1" ht="12.9" customHeight="1">
      <c r="A39" s="986" t="s">
        <v>2237</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6" t="s">
        <v>2238</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3" t="s">
        <v>2239</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3" t="s">
        <v>2241</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399999999999999"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3" t="s">
        <v>2243</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6" t="s">
        <v>2245</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3" t="s">
        <v>2246</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3" t="s">
        <v>2247</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6" t="s">
        <v>2248</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 customHeight="1">
      <c r="C87"/>
      <c r="AM87" s="19"/>
    </row>
    <row r="88" spans="1:16384" s="208" customFormat="1" ht="12.9" customHeight="1">
      <c r="A88" s="986" t="s">
        <v>2249</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92" t="s">
        <v>2250</v>
      </c>
      <c r="B91" s="1092"/>
      <c r="C91" s="1092"/>
      <c r="D91" s="1092"/>
      <c r="E91" s="1092"/>
      <c r="F91" s="1092"/>
      <c r="G91" s="1092"/>
      <c r="H91" s="1092"/>
      <c r="I91" s="1092"/>
      <c r="J91" s="1092"/>
      <c r="K91" s="1092"/>
      <c r="L91" s="1092"/>
      <c r="M91" s="1092"/>
      <c r="N91" s="1092"/>
      <c r="O91" s="1092"/>
      <c r="P91" s="1092"/>
      <c r="Q91" s="1092"/>
      <c r="R91" s="1092"/>
      <c r="S91" s="1092"/>
      <c r="T91" s="1092"/>
      <c r="U91" s="1092"/>
      <c r="V91" s="1092"/>
      <c r="W91" s="1092"/>
      <c r="X91" s="1092"/>
      <c r="Y91" s="1092"/>
      <c r="Z91" s="1092"/>
      <c r="AA91" s="1092"/>
      <c r="AB91" s="1092"/>
      <c r="AC91" s="1092"/>
      <c r="AD91" s="1092"/>
      <c r="AE91" s="1092"/>
      <c r="AF91" s="1092"/>
      <c r="AG91" s="1092"/>
      <c r="AH91" s="1092"/>
      <c r="AI91" s="1092"/>
      <c r="AJ91" s="1092"/>
      <c r="AK91" s="1092"/>
      <c r="AL91" s="1092"/>
      <c r="AM91" s="1092"/>
      <c r="AN91" s="1092"/>
      <c r="AO91" s="1092"/>
      <c r="AP91" s="1092"/>
      <c r="AQ91" s="1092"/>
      <c r="AR91" s="1092"/>
      <c r="AS91" s="1092"/>
      <c r="AT91" s="1092"/>
    </row>
    <row r="92" spans="1:16384" ht="12.9" customHeight="1">
      <c r="A92" s="1092"/>
      <c r="B92" s="1092"/>
      <c r="C92" s="1092"/>
      <c r="D92" s="1092"/>
      <c r="E92" s="1092"/>
      <c r="F92" s="1092"/>
      <c r="G92" s="1092"/>
      <c r="H92" s="1092"/>
      <c r="I92" s="1092"/>
      <c r="J92" s="1092"/>
      <c r="K92" s="1092"/>
      <c r="L92" s="1092"/>
      <c r="M92" s="1092"/>
      <c r="N92" s="1092"/>
      <c r="O92" s="1092"/>
      <c r="P92" s="1092"/>
      <c r="Q92" s="1092"/>
      <c r="R92" s="1092"/>
      <c r="S92" s="1092"/>
      <c r="T92" s="1092"/>
      <c r="U92" s="1092"/>
      <c r="V92" s="1092"/>
      <c r="W92" s="1092"/>
      <c r="X92" s="1092"/>
      <c r="Y92" s="1092"/>
      <c r="Z92" s="1092"/>
      <c r="AA92" s="1092"/>
      <c r="AB92" s="1092"/>
      <c r="AC92" s="1092"/>
      <c r="AD92" s="1092"/>
      <c r="AE92" s="1092"/>
      <c r="AF92" s="1092"/>
      <c r="AG92" s="1092"/>
      <c r="AH92" s="1092"/>
      <c r="AI92" s="1092"/>
      <c r="AJ92" s="1092"/>
      <c r="AK92" s="1092"/>
      <c r="AL92" s="1092"/>
      <c r="AM92" s="1092"/>
      <c r="AN92" s="1092"/>
      <c r="AO92" s="1092"/>
      <c r="AP92" s="1092"/>
      <c r="AQ92" s="1092"/>
      <c r="AR92" s="1092"/>
      <c r="AS92" s="1092"/>
      <c r="AT92" s="1092"/>
    </row>
    <row r="93" spans="1:16384" ht="12.9" customHeight="1">
      <c r="A93" s="1092"/>
      <c r="B93" s="1092"/>
      <c r="C93" s="1092"/>
      <c r="D93" s="1092"/>
      <c r="E93" s="1092"/>
      <c r="F93" s="1092"/>
      <c r="G93" s="1092"/>
      <c r="H93" s="1092"/>
      <c r="I93" s="1092"/>
      <c r="J93" s="1092"/>
      <c r="K93" s="1092"/>
      <c r="L93" s="1092"/>
      <c r="M93" s="1092"/>
      <c r="N93" s="1092"/>
      <c r="O93" s="1092"/>
      <c r="P93" s="1092"/>
      <c r="Q93" s="1092"/>
      <c r="R93" s="1092"/>
      <c r="S93" s="1092"/>
      <c r="T93" s="1092"/>
      <c r="U93" s="1092"/>
      <c r="V93" s="1092"/>
      <c r="W93" s="1092"/>
      <c r="X93" s="1092"/>
      <c r="Y93" s="1092"/>
      <c r="Z93" s="1092"/>
      <c r="AA93" s="1092"/>
      <c r="AB93" s="1092"/>
      <c r="AC93" s="1092"/>
      <c r="AD93" s="1092"/>
      <c r="AE93" s="1092"/>
      <c r="AF93" s="1092"/>
      <c r="AG93" s="1092"/>
      <c r="AH93" s="1092"/>
      <c r="AI93" s="1092"/>
      <c r="AJ93" s="1092"/>
      <c r="AK93" s="1092"/>
      <c r="AL93" s="1092"/>
      <c r="AM93" s="1092"/>
      <c r="AN93" s="1092"/>
      <c r="AO93" s="1092"/>
      <c r="AP93" s="1092"/>
      <c r="AQ93" s="1092"/>
      <c r="AR93" s="1092"/>
      <c r="AS93" s="1092"/>
      <c r="AT93" s="1092"/>
    </row>
    <row r="94" spans="1:16384" ht="12.9" customHeight="1">
      <c r="A94" s="1092"/>
      <c r="B94" s="1092"/>
      <c r="C94" s="1092"/>
      <c r="D94" s="1092"/>
      <c r="E94" s="1092"/>
      <c r="F94" s="1092"/>
      <c r="G94" s="1092"/>
      <c r="H94" s="1092"/>
      <c r="I94" s="1092"/>
      <c r="J94" s="1092"/>
      <c r="K94" s="1092"/>
      <c r="L94" s="1092"/>
      <c r="M94" s="1092"/>
      <c r="N94" s="1092"/>
      <c r="O94" s="1092"/>
      <c r="P94" s="1092"/>
      <c r="Q94" s="1092"/>
      <c r="R94" s="1092"/>
      <c r="S94" s="1092"/>
      <c r="T94" s="1092"/>
      <c r="U94" s="1092"/>
      <c r="V94" s="1092"/>
      <c r="W94" s="1092"/>
      <c r="X94" s="1092"/>
      <c r="Y94" s="1092"/>
      <c r="Z94" s="1092"/>
      <c r="AA94" s="1092"/>
      <c r="AB94" s="1092"/>
      <c r="AC94" s="1092"/>
      <c r="AD94" s="1092"/>
      <c r="AE94" s="1092"/>
      <c r="AF94" s="1092"/>
      <c r="AG94" s="1092"/>
      <c r="AH94" s="1092"/>
      <c r="AI94" s="1092"/>
      <c r="AJ94" s="1092"/>
      <c r="AK94" s="1092"/>
      <c r="AL94" s="1092"/>
      <c r="AM94" s="1092"/>
      <c r="AN94" s="1092"/>
      <c r="AO94" s="1092"/>
      <c r="AP94" s="1092"/>
      <c r="AQ94" s="1092"/>
      <c r="AR94" s="1092"/>
      <c r="AS94" s="1092"/>
      <c r="AT94" s="1092"/>
    </row>
    <row r="95" spans="1:16384" ht="12.9" customHeight="1">
      <c r="A95" s="1092"/>
      <c r="B95" s="1092"/>
      <c r="C95" s="1092"/>
      <c r="D95" s="1092"/>
      <c r="E95" s="1092"/>
      <c r="F95" s="1092"/>
      <c r="G95" s="1092"/>
      <c r="H95" s="1092"/>
      <c r="I95" s="1092"/>
      <c r="J95" s="1092"/>
      <c r="K95" s="1092"/>
      <c r="L95" s="1092"/>
      <c r="M95" s="1092"/>
      <c r="N95" s="1092"/>
      <c r="O95" s="1092"/>
      <c r="P95" s="1092"/>
      <c r="Q95" s="1092"/>
      <c r="R95" s="1092"/>
      <c r="S95" s="1092"/>
      <c r="T95" s="1092"/>
      <c r="U95" s="1092"/>
      <c r="V95" s="1092"/>
      <c r="W95" s="1092"/>
      <c r="X95" s="1092"/>
      <c r="Y95" s="1092"/>
      <c r="Z95" s="1092"/>
      <c r="AA95" s="1092"/>
      <c r="AB95" s="1092"/>
      <c r="AC95" s="1092"/>
      <c r="AD95" s="1092"/>
      <c r="AE95" s="1092"/>
      <c r="AF95" s="1092"/>
      <c r="AG95" s="1092"/>
      <c r="AH95" s="1092"/>
      <c r="AI95" s="1092"/>
      <c r="AJ95" s="1092"/>
      <c r="AK95" s="1092"/>
      <c r="AL95" s="1092"/>
      <c r="AM95" s="1092"/>
      <c r="AN95" s="1092"/>
      <c r="AO95" s="1092"/>
      <c r="AP95" s="1092"/>
      <c r="AQ95" s="1092"/>
      <c r="AR95" s="1092"/>
      <c r="AS95" s="1092"/>
      <c r="AT95" s="1092"/>
    </row>
    <row r="96" spans="1:16384" ht="12.9" customHeight="1">
      <c r="A96" s="1092"/>
      <c r="B96" s="1092"/>
      <c r="C96" s="1092"/>
      <c r="D96" s="1092"/>
      <c r="E96" s="1092"/>
      <c r="F96" s="1092"/>
      <c r="G96" s="1092"/>
      <c r="H96" s="1092"/>
      <c r="I96" s="1092"/>
      <c r="J96" s="1092"/>
      <c r="K96" s="1092"/>
      <c r="L96" s="1092"/>
      <c r="M96" s="1092"/>
      <c r="N96" s="1092"/>
      <c r="O96" s="1092"/>
      <c r="P96" s="1092"/>
      <c r="Q96" s="1092"/>
      <c r="R96" s="1092"/>
      <c r="S96" s="1092"/>
      <c r="T96" s="1092"/>
      <c r="U96" s="1092"/>
      <c r="V96" s="1092"/>
      <c r="W96" s="1092"/>
      <c r="X96" s="1092"/>
      <c r="Y96" s="1092"/>
      <c r="Z96" s="1092"/>
      <c r="AA96" s="1092"/>
      <c r="AB96" s="1092"/>
      <c r="AC96" s="1092"/>
      <c r="AD96" s="1092"/>
      <c r="AE96" s="1092"/>
      <c r="AF96" s="1092"/>
      <c r="AG96" s="1092"/>
      <c r="AH96" s="1092"/>
      <c r="AI96" s="1092"/>
      <c r="AJ96" s="1092"/>
      <c r="AK96" s="1092"/>
      <c r="AL96" s="1092"/>
      <c r="AM96" s="1092"/>
      <c r="AN96" s="1092"/>
      <c r="AO96" s="1092"/>
      <c r="AP96" s="1092"/>
      <c r="AQ96" s="1092"/>
      <c r="AR96" s="1092"/>
      <c r="AS96" s="1092"/>
      <c r="AT96" s="1092"/>
    </row>
    <row r="97" spans="1:46" ht="12.9" customHeight="1">
      <c r="A97" s="1092"/>
      <c r="B97" s="1092"/>
      <c r="C97" s="1092"/>
      <c r="D97" s="1092"/>
      <c r="E97" s="1092"/>
      <c r="F97" s="1092"/>
      <c r="G97" s="1092"/>
      <c r="H97" s="1092"/>
      <c r="I97" s="1092"/>
      <c r="J97" s="1092"/>
      <c r="K97" s="1092"/>
      <c r="L97" s="1092"/>
      <c r="M97" s="1092"/>
      <c r="N97" s="1092"/>
      <c r="O97" s="1092"/>
      <c r="P97" s="1092"/>
      <c r="Q97" s="1092"/>
      <c r="R97" s="1092"/>
      <c r="S97" s="1092"/>
      <c r="T97" s="1092"/>
      <c r="U97" s="1092"/>
      <c r="V97" s="1092"/>
      <c r="W97" s="1092"/>
      <c r="X97" s="1092"/>
      <c r="Y97" s="1092"/>
      <c r="Z97" s="1092"/>
      <c r="AA97" s="1092"/>
      <c r="AB97" s="1092"/>
      <c r="AC97" s="1092"/>
      <c r="AD97" s="1092"/>
      <c r="AE97" s="1092"/>
      <c r="AF97" s="1092"/>
      <c r="AG97" s="1092"/>
      <c r="AH97" s="1092"/>
      <c r="AI97" s="1092"/>
      <c r="AJ97" s="1092"/>
      <c r="AK97" s="1092"/>
      <c r="AL97" s="1092"/>
      <c r="AM97" s="1092"/>
      <c r="AN97" s="1092"/>
      <c r="AO97" s="1092"/>
      <c r="AP97" s="1092"/>
      <c r="AQ97" s="1092"/>
      <c r="AR97" s="1092"/>
      <c r="AS97" s="1092"/>
      <c r="AT97" s="1092"/>
    </row>
    <row r="98" spans="1:46" ht="12.9" customHeight="1">
      <c r="A98" s="1092"/>
      <c r="B98" s="1092"/>
      <c r="C98" s="1092"/>
      <c r="D98" s="1092"/>
      <c r="E98" s="1092"/>
      <c r="F98" s="1092"/>
      <c r="G98" s="1092"/>
      <c r="H98" s="1092"/>
      <c r="I98" s="1092"/>
      <c r="J98" s="1092"/>
      <c r="K98" s="1092"/>
      <c r="L98" s="1092"/>
      <c r="M98" s="1092"/>
      <c r="N98" s="1092"/>
      <c r="O98" s="1092"/>
      <c r="P98" s="1092"/>
      <c r="Q98" s="1092"/>
      <c r="R98" s="1092"/>
      <c r="S98" s="1092"/>
      <c r="T98" s="1092"/>
      <c r="U98" s="1092"/>
      <c r="V98" s="1092"/>
      <c r="W98" s="1092"/>
      <c r="X98" s="1092"/>
      <c r="Y98" s="1092"/>
      <c r="Z98" s="1092"/>
      <c r="AA98" s="1092"/>
      <c r="AB98" s="1092"/>
      <c r="AC98" s="1092"/>
      <c r="AD98" s="1092"/>
      <c r="AE98" s="1092"/>
      <c r="AF98" s="1092"/>
      <c r="AG98" s="1092"/>
      <c r="AH98" s="1092"/>
      <c r="AI98" s="1092"/>
      <c r="AJ98" s="1092"/>
      <c r="AK98" s="1092"/>
      <c r="AL98" s="1092"/>
      <c r="AM98" s="1092"/>
      <c r="AN98" s="1092"/>
      <c r="AO98" s="1092"/>
      <c r="AP98" s="1092"/>
      <c r="AQ98" s="1092"/>
      <c r="AR98" s="1092"/>
      <c r="AS98" s="1092"/>
      <c r="AT98" s="1092"/>
    </row>
    <row r="99" spans="1:46" ht="12.9" customHeight="1">
      <c r="A99" s="1092"/>
      <c r="B99" s="1092"/>
      <c r="C99" s="1092"/>
      <c r="D99" s="1092"/>
      <c r="E99" s="1092"/>
      <c r="F99" s="1092"/>
      <c r="G99" s="1092"/>
      <c r="H99" s="1092"/>
      <c r="I99" s="1092"/>
      <c r="J99" s="1092"/>
      <c r="K99" s="1092"/>
      <c r="L99" s="1092"/>
      <c r="M99" s="1092"/>
      <c r="N99" s="1092"/>
      <c r="O99" s="1092"/>
      <c r="P99" s="1092"/>
      <c r="Q99" s="1092"/>
      <c r="R99" s="1092"/>
      <c r="S99" s="1092"/>
      <c r="T99" s="1092"/>
      <c r="U99" s="1092"/>
      <c r="V99" s="1092"/>
      <c r="W99" s="1092"/>
      <c r="X99" s="1092"/>
      <c r="Y99" s="1092"/>
      <c r="Z99" s="1092"/>
      <c r="AA99" s="1092"/>
      <c r="AB99" s="1092"/>
      <c r="AC99" s="1092"/>
      <c r="AD99" s="1092"/>
      <c r="AE99" s="1092"/>
      <c r="AF99" s="1092"/>
      <c r="AG99" s="1092"/>
      <c r="AH99" s="1092"/>
      <c r="AI99" s="1092"/>
      <c r="AJ99" s="1092"/>
      <c r="AK99" s="1092"/>
      <c r="AL99" s="1092"/>
      <c r="AM99" s="1092"/>
      <c r="AN99" s="1092"/>
      <c r="AO99" s="1092"/>
      <c r="AP99" s="1092"/>
      <c r="AQ99" s="1092"/>
      <c r="AR99" s="1092"/>
      <c r="AS99" s="1092"/>
      <c r="AT99" s="1092"/>
    </row>
    <row r="100" spans="1:46" ht="19.95" customHeight="1">
      <c r="A100" s="1092"/>
      <c r="B100" s="1092"/>
      <c r="C100" s="1092"/>
      <c r="D100" s="1092"/>
      <c r="E100" s="1092"/>
      <c r="F100" s="1092"/>
      <c r="G100" s="1092"/>
      <c r="H100" s="1092"/>
      <c r="I100" s="1092"/>
      <c r="J100" s="1092"/>
      <c r="K100" s="1092"/>
      <c r="L100" s="1092"/>
      <c r="M100" s="1092"/>
      <c r="N100" s="1092"/>
      <c r="O100" s="1092"/>
      <c r="P100" s="1092"/>
      <c r="Q100" s="1092"/>
      <c r="R100" s="1092"/>
      <c r="S100" s="1092"/>
      <c r="T100" s="1092"/>
      <c r="U100" s="1092"/>
      <c r="V100" s="1092"/>
      <c r="W100" s="1092"/>
      <c r="X100" s="1092"/>
      <c r="Y100" s="1092"/>
      <c r="Z100" s="1092"/>
      <c r="AA100" s="1092"/>
      <c r="AB100" s="1092"/>
      <c r="AC100" s="1092"/>
      <c r="AD100" s="1092"/>
      <c r="AE100" s="1092"/>
      <c r="AF100" s="1092"/>
      <c r="AG100" s="1092"/>
      <c r="AH100" s="1092"/>
      <c r="AI100" s="1092"/>
      <c r="AJ100" s="1092"/>
      <c r="AK100" s="1092"/>
      <c r="AL100" s="1092"/>
      <c r="AM100" s="1092"/>
      <c r="AN100" s="1092"/>
      <c r="AO100" s="1092"/>
      <c r="AP100" s="1092"/>
      <c r="AQ100" s="1092"/>
      <c r="AR100" s="1092"/>
      <c r="AS100" s="1092"/>
      <c r="AT100" s="1092"/>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3" t="s">
        <v>2251</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92" t="s">
        <v>2252</v>
      </c>
      <c r="B107" s="1092"/>
      <c r="C107" s="1092"/>
      <c r="D107" s="1092"/>
      <c r="E107" s="1092"/>
      <c r="F107" s="1092"/>
      <c r="G107" s="1092"/>
      <c r="H107" s="1092"/>
      <c r="I107" s="1092"/>
      <c r="J107" s="1092"/>
      <c r="K107" s="1092"/>
      <c r="L107" s="1092"/>
      <c r="M107" s="1092"/>
      <c r="N107" s="1092"/>
      <c r="O107" s="1092"/>
      <c r="P107" s="1092"/>
      <c r="Q107" s="1092"/>
      <c r="R107" s="1092"/>
      <c r="S107" s="1092"/>
      <c r="T107" s="1092"/>
      <c r="U107" s="1092"/>
      <c r="V107" s="1092"/>
      <c r="W107" s="1092"/>
      <c r="X107" s="1092"/>
      <c r="Y107" s="1092"/>
      <c r="Z107" s="1092"/>
      <c r="AA107" s="1092"/>
      <c r="AB107" s="1092"/>
      <c r="AC107" s="1092"/>
      <c r="AD107" s="1092"/>
      <c r="AE107" s="1092"/>
      <c r="AF107" s="1092"/>
      <c r="AG107" s="1092"/>
      <c r="AH107" s="1092"/>
      <c r="AI107" s="1092"/>
      <c r="AJ107" s="1092"/>
      <c r="AK107" s="1092"/>
      <c r="AL107" s="1092"/>
      <c r="AM107" s="1092"/>
      <c r="AN107" s="1092"/>
      <c r="AO107" s="1092"/>
      <c r="AP107" s="1092"/>
      <c r="AQ107" s="1092"/>
      <c r="AR107" s="1092"/>
      <c r="AS107" s="1092"/>
      <c r="AT107" s="1092"/>
    </row>
    <row r="108" spans="1:46" ht="12.9" customHeight="1">
      <c r="A108" s="1092"/>
      <c r="B108" s="1092"/>
      <c r="C108" s="1092"/>
      <c r="D108" s="1092"/>
      <c r="E108" s="1092"/>
      <c r="F108" s="1092"/>
      <c r="G108" s="1092"/>
      <c r="H108" s="1092"/>
      <c r="I108" s="1092"/>
      <c r="J108" s="1092"/>
      <c r="K108" s="1092"/>
      <c r="L108" s="1092"/>
      <c r="M108" s="1092"/>
      <c r="N108" s="1092"/>
      <c r="O108" s="1092"/>
      <c r="P108" s="1092"/>
      <c r="Q108" s="1092"/>
      <c r="R108" s="1092"/>
      <c r="S108" s="1092"/>
      <c r="T108" s="1092"/>
      <c r="U108" s="1092"/>
      <c r="V108" s="1092"/>
      <c r="W108" s="1092"/>
      <c r="X108" s="1092"/>
      <c r="Y108" s="1092"/>
      <c r="Z108" s="1092"/>
      <c r="AA108" s="1092"/>
      <c r="AB108" s="1092"/>
      <c r="AC108" s="1092"/>
      <c r="AD108" s="1092"/>
      <c r="AE108" s="1092"/>
      <c r="AF108" s="1092"/>
      <c r="AG108" s="1092"/>
      <c r="AH108" s="1092"/>
      <c r="AI108" s="1092"/>
      <c r="AJ108" s="1092"/>
      <c r="AK108" s="1092"/>
      <c r="AL108" s="1092"/>
      <c r="AM108" s="1092"/>
      <c r="AN108" s="1092"/>
      <c r="AO108" s="1092"/>
      <c r="AP108" s="1092"/>
      <c r="AQ108" s="1092"/>
      <c r="AR108" s="1092"/>
      <c r="AS108" s="1092"/>
      <c r="AT108" s="109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3" t="s">
        <v>2253</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142">
        <v>18</v>
      </c>
      <c r="H115" s="1142"/>
      <c r="I115" s="41" t="s">
        <v>411</v>
      </c>
      <c r="J115" s="41"/>
      <c r="L115" s="1359" t="s">
        <v>2332</v>
      </c>
      <c r="M115" s="1359"/>
      <c r="N115" s="1359"/>
      <c r="O115" s="41" t="s">
        <v>2314</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59" t="s">
        <v>2333</v>
      </c>
      <c r="D117" s="1359"/>
      <c r="E117" s="1359"/>
      <c r="F117" s="1359"/>
      <c r="G117" s="1359"/>
      <c r="H117" s="1359"/>
      <c r="I117" s="1359"/>
      <c r="J117" s="1359"/>
      <c r="K117" s="1359"/>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93" t="s">
        <v>2334</v>
      </c>
      <c r="Z118" s="1093"/>
      <c r="AA118" s="1093"/>
      <c r="AB118" s="1093"/>
      <c r="AC118" s="1093"/>
      <c r="AD118" s="1093"/>
      <c r="AE118" s="1093"/>
      <c r="AF118" s="1093"/>
      <c r="AG118" s="1093"/>
      <c r="AH118" s="1093"/>
      <c r="AI118" s="1093"/>
      <c r="AJ118" s="1093"/>
      <c r="AK118" s="1093"/>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93" t="s">
        <v>2335</v>
      </c>
      <c r="Z121" s="1093"/>
      <c r="AA121" s="1093"/>
      <c r="AB121" s="1093"/>
      <c r="AC121" s="1093"/>
      <c r="AD121" s="1093"/>
      <c r="AE121" s="1093"/>
      <c r="AF121" s="1093"/>
      <c r="AG121" s="1093"/>
      <c r="AH121" s="1093"/>
      <c r="AI121" s="1093"/>
      <c r="AJ121" s="1093"/>
      <c r="AK121" s="1093"/>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093" t="s">
        <v>2336</v>
      </c>
      <c r="P156" s="1093"/>
      <c r="Q156" s="1093"/>
      <c r="R156" s="1093"/>
      <c r="S156" s="1093"/>
      <c r="T156" s="1093"/>
      <c r="U156" s="1093"/>
      <c r="V156" s="1093"/>
      <c r="W156" s="1093"/>
      <c r="X156" s="1093"/>
      <c r="Y156" s="1093"/>
      <c r="Z156" s="1093"/>
      <c r="AA156" s="1093"/>
      <c r="AB156" s="1093"/>
      <c r="AC156" s="1093"/>
      <c r="AD156" s="1093"/>
      <c r="AE156" s="1093"/>
      <c r="AF156" s="1093"/>
      <c r="AG156" s="1093"/>
      <c r="AH156" s="1093"/>
      <c r="BT156" t="s">
        <v>78</v>
      </c>
    </row>
    <row r="157" spans="1:72" ht="12.9" customHeight="1">
      <c r="C157"/>
      <c r="D157" s="337" t="s">
        <v>542</v>
      </c>
      <c r="O157" s="1335" t="s">
        <v>2337</v>
      </c>
      <c r="P157" s="1335"/>
      <c r="Q157" s="1335"/>
      <c r="R157" s="1335"/>
      <c r="S157" s="1335"/>
      <c r="T157" s="1335"/>
      <c r="U157" s="1335"/>
      <c r="V157" s="1335"/>
      <c r="W157" s="1335"/>
      <c r="X157" s="1335"/>
      <c r="Y157" s="1335"/>
      <c r="Z157" s="1335"/>
      <c r="AA157" s="1335"/>
      <c r="AB157" s="1335"/>
      <c r="AC157" s="1335"/>
      <c r="AD157" s="1335"/>
      <c r="AE157" s="1335"/>
      <c r="AF157" s="1335"/>
      <c r="AG157" s="1335"/>
      <c r="AH157" s="1335"/>
      <c r="AI157" t="s">
        <v>708</v>
      </c>
      <c r="BN157" s="30" t="s">
        <v>421</v>
      </c>
      <c r="BT157" t="s">
        <v>28</v>
      </c>
    </row>
    <row r="158" spans="1:72" ht="12.9" customHeight="1">
      <c r="C158"/>
      <c r="D158" s="12" t="s">
        <v>543</v>
      </c>
      <c r="F158" s="12"/>
      <c r="G158" s="12"/>
      <c r="H158" s="12"/>
      <c r="I158" s="12"/>
      <c r="J158" s="12"/>
      <c r="K158" s="12"/>
      <c r="L158" s="12"/>
      <c r="M158" s="12"/>
      <c r="N158" s="12"/>
      <c r="O158" s="1357" t="s">
        <v>544</v>
      </c>
      <c r="P158" s="1357"/>
      <c r="Q158" s="1357"/>
      <c r="R158" s="1357"/>
      <c r="S158" s="1357"/>
      <c r="T158" s="1357"/>
      <c r="U158" s="1357"/>
      <c r="V158" s="1357"/>
      <c r="W158" s="1357"/>
      <c r="X158" s="1357"/>
      <c r="Y158" s="1357"/>
      <c r="Z158" s="1357"/>
      <c r="AA158" s="1357"/>
      <c r="AB158" s="1357"/>
      <c r="AC158" s="1357"/>
      <c r="AD158" s="1357"/>
      <c r="AE158" s="1357"/>
      <c r="AF158" s="1357"/>
      <c r="AG158" s="1357"/>
      <c r="AH158" s="1357"/>
      <c r="BN158" s="30" t="s">
        <v>422</v>
      </c>
      <c r="BT158" t="s">
        <v>29</v>
      </c>
    </row>
    <row r="159" spans="1:72" ht="12.9" customHeight="1">
      <c r="C159"/>
      <c r="D159" t="s">
        <v>646</v>
      </c>
      <c r="O159" s="1066" t="s">
        <v>2338</v>
      </c>
      <c r="P159" s="1066"/>
      <c r="Q159" s="1066"/>
      <c r="R159" s="1066"/>
      <c r="S159" s="1066"/>
      <c r="T159" s="1066"/>
      <c r="U159" s="1066"/>
      <c r="V159" s="1066"/>
      <c r="W159" s="1066"/>
      <c r="X159" s="1066"/>
      <c r="Y159" s="1066"/>
      <c r="Z159" s="1066"/>
      <c r="AA159" s="1066"/>
      <c r="AB159" s="1066"/>
      <c r="AC159" s="1066"/>
      <c r="AD159" s="1066"/>
      <c r="AE159" s="1066"/>
      <c r="AF159" s="1066"/>
      <c r="AG159" s="1066"/>
      <c r="AH159" s="1066"/>
      <c r="BN159" s="30" t="s">
        <v>72</v>
      </c>
      <c r="BT159" t="s">
        <v>383</v>
      </c>
    </row>
    <row r="160" spans="1:72" ht="12.9" customHeight="1">
      <c r="C160"/>
      <c r="D160" t="s">
        <v>647</v>
      </c>
      <c r="O160" s="1093" t="s">
        <v>404</v>
      </c>
      <c r="P160" s="1093"/>
      <c r="Q160" s="1093"/>
      <c r="R160" s="1093"/>
      <c r="S160" s="1093"/>
      <c r="T160" s="1093"/>
      <c r="U160" s="1093"/>
      <c r="V160" s="1093"/>
      <c r="W160" s="1093"/>
      <c r="X160" s="1093"/>
      <c r="Y160" s="12"/>
      <c r="Z160" s="12"/>
      <c r="AA160" s="12"/>
      <c r="AB160" s="12"/>
      <c r="AC160" s="12"/>
      <c r="AD160" s="12"/>
      <c r="AE160" s="12"/>
      <c r="AF160" s="12"/>
      <c r="BN160" s="30" t="s">
        <v>74</v>
      </c>
      <c r="BT160" t="s">
        <v>384</v>
      </c>
    </row>
    <row r="161" spans="1:72" ht="12.9" customHeight="1">
      <c r="C161"/>
      <c r="D161" t="s">
        <v>648</v>
      </c>
      <c r="O161" s="1361">
        <v>95340</v>
      </c>
      <c r="P161" s="1361"/>
      <c r="Q161" s="1361"/>
      <c r="R161" s="1361"/>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C162"/>
      <c r="D162" t="s">
        <v>649</v>
      </c>
      <c r="O162" s="1337" t="s">
        <v>2339</v>
      </c>
      <c r="P162" s="1337"/>
      <c r="Q162" s="1337"/>
      <c r="R162" s="1337"/>
      <c r="S162" s="1337"/>
      <c r="T162" s="1337"/>
      <c r="V162" s="177" t="s">
        <v>12</v>
      </c>
      <c r="W162" s="1362"/>
      <c r="X162" s="1362"/>
      <c r="Y162" s="14"/>
      <c r="Z162" s="14"/>
      <c r="AA162" s="14"/>
      <c r="AB162" s="14"/>
      <c r="AC162" s="14"/>
      <c r="AD162" s="14"/>
      <c r="AE162" s="14"/>
      <c r="AF162" s="14"/>
      <c r="BJ162" t="s">
        <v>107</v>
      </c>
      <c r="BN162" s="30" t="s">
        <v>76</v>
      </c>
      <c r="BT162" t="s">
        <v>386</v>
      </c>
    </row>
    <row r="163" spans="1:72" ht="12.9" customHeight="1">
      <c r="C163"/>
      <c r="D163" t="s">
        <v>650</v>
      </c>
      <c r="O163" s="1337"/>
      <c r="P163" s="1337"/>
      <c r="Q163" s="1337"/>
      <c r="R163" s="1337"/>
      <c r="S163" s="1337"/>
      <c r="T163" s="1337"/>
      <c r="U163" s="14"/>
      <c r="V163" s="14"/>
      <c r="W163" s="14"/>
      <c r="X163" s="14"/>
      <c r="Y163" s="14"/>
      <c r="Z163" s="14"/>
      <c r="AA163" s="14"/>
      <c r="AB163" s="14"/>
      <c r="AC163" s="14"/>
      <c r="AD163" s="14"/>
      <c r="AE163" s="14"/>
      <c r="AF163" s="14"/>
      <c r="BN163" s="30" t="s">
        <v>475</v>
      </c>
      <c r="BT163" t="s">
        <v>387</v>
      </c>
    </row>
    <row r="164" spans="1:72" ht="12.9" customHeight="1">
      <c r="C164"/>
      <c r="D164" t="s">
        <v>651</v>
      </c>
      <c r="O164" s="1098" t="s">
        <v>2340</v>
      </c>
      <c r="P164" s="1098"/>
      <c r="Q164" s="1098"/>
      <c r="R164" s="1098"/>
      <c r="S164" s="1098"/>
      <c r="T164" s="1098"/>
      <c r="U164" s="1098"/>
      <c r="V164" s="1098"/>
      <c r="W164" s="1098"/>
      <c r="X164" s="1098"/>
      <c r="Y164" s="1098"/>
      <c r="Z164" s="1098"/>
      <c r="AA164" s="1098"/>
      <c r="AB164" s="1098"/>
      <c r="AC164" s="1098"/>
      <c r="AD164" s="1098"/>
      <c r="AE164" s="1098"/>
      <c r="AF164" s="1098"/>
      <c r="AG164" s="1098"/>
      <c r="AH164" s="1098"/>
      <c r="BN164" s="30" t="s">
        <v>476</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 customHeight="1">
      <c r="C167" s="34"/>
      <c r="D167" s="1347" t="s">
        <v>2280</v>
      </c>
      <c r="E167" s="1347"/>
      <c r="F167" s="1347"/>
      <c r="G167" s="1347"/>
      <c r="H167" s="1347"/>
      <c r="I167" s="1347"/>
      <c r="J167" s="1347"/>
      <c r="K167" s="1347"/>
      <c r="L167" s="1347"/>
      <c r="M167" s="1347"/>
      <c r="N167" s="1347"/>
      <c r="O167" s="1347"/>
      <c r="P167" s="1347"/>
      <c r="Q167" s="1347"/>
      <c r="R167" s="1347"/>
      <c r="S167" s="1347"/>
      <c r="T167" s="1347"/>
      <c r="U167" s="1347"/>
      <c r="V167" s="1347"/>
      <c r="W167" s="1347"/>
      <c r="X167" s="1347"/>
      <c r="Y167" s="1347"/>
      <c r="Z167" s="261"/>
      <c r="AA167" s="259"/>
      <c r="AB167" s="259"/>
      <c r="AC167" s="259"/>
      <c r="AD167" s="259"/>
      <c r="AE167" s="259"/>
      <c r="AF167" s="259"/>
      <c r="AG167" s="259"/>
      <c r="AH167" s="259"/>
      <c r="BN167" s="30" t="s">
        <v>482</v>
      </c>
      <c r="BT167" t="s">
        <v>391</v>
      </c>
    </row>
    <row r="168" spans="1:72" ht="12.9" customHeight="1">
      <c r="C168"/>
      <c r="BN168" s="30" t="s">
        <v>483</v>
      </c>
      <c r="BT168" t="s">
        <v>392</v>
      </c>
    </row>
    <row r="169" spans="1:72" s="955" customFormat="1" ht="12.9" customHeight="1">
      <c r="A169" s="1094" t="s">
        <v>378</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485</v>
      </c>
      <c r="BT169" t="s">
        <v>393</v>
      </c>
    </row>
    <row r="170" spans="1:72" s="955" customFormat="1" ht="12.9"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486</v>
      </c>
      <c r="BT170" t="s">
        <v>394</v>
      </c>
    </row>
    <row r="171" spans="1:72" ht="12.9" customHeight="1">
      <c r="C171"/>
      <c r="BN171" s="30" t="s">
        <v>487</v>
      </c>
      <c r="BT171" t="s">
        <v>395</v>
      </c>
    </row>
    <row r="172" spans="1:72" ht="12.9" customHeight="1">
      <c r="A172" s="3" t="s">
        <v>652</v>
      </c>
      <c r="C172" s="3" t="s">
        <v>653</v>
      </c>
      <c r="BN172" s="30" t="s">
        <v>489</v>
      </c>
      <c r="BT172" t="s">
        <v>396</v>
      </c>
    </row>
    <row r="173" spans="1:72" ht="12.9" customHeight="1">
      <c r="C173" s="31"/>
      <c r="D173" t="s">
        <v>436</v>
      </c>
      <c r="J173" s="1358" t="s">
        <v>504</v>
      </c>
      <c r="K173" s="1358"/>
      <c r="L173" s="1358"/>
      <c r="M173" s="1358"/>
      <c r="N173" s="1358"/>
      <c r="O173" s="1358"/>
      <c r="P173" s="1358"/>
      <c r="Q173" s="1358"/>
      <c r="R173" s="1358"/>
      <c r="S173" s="1358"/>
      <c r="U173" s="32"/>
      <c r="X173" s="32"/>
      <c r="BN173" s="30" t="s">
        <v>490</v>
      </c>
      <c r="BT173" t="s">
        <v>397</v>
      </c>
    </row>
    <row r="174" spans="1:72" ht="12.9" customHeight="1">
      <c r="C174" s="31"/>
      <c r="D174" t="s">
        <v>437</v>
      </c>
      <c r="U174" s="1144" t="s">
        <v>481</v>
      </c>
      <c r="V174" s="1144"/>
      <c r="BN174" s="30" t="s">
        <v>593</v>
      </c>
      <c r="BT174" t="s">
        <v>398</v>
      </c>
    </row>
    <row r="175" spans="1:72" ht="12.9" customHeight="1">
      <c r="C175" s="12"/>
      <c r="D175" s="33"/>
      <c r="E175" t="s">
        <v>229</v>
      </c>
      <c r="O175" s="34"/>
      <c r="P175" t="s">
        <v>2090</v>
      </c>
      <c r="T175" s="34" t="s">
        <v>230</v>
      </c>
      <c r="U175" s="1117"/>
      <c r="V175" s="1117"/>
      <c r="W175" s="1" t="s">
        <v>231</v>
      </c>
      <c r="X175" s="1360"/>
      <c r="Y175" s="1360"/>
      <c r="BN175" s="30" t="s">
        <v>594</v>
      </c>
      <c r="BT175" t="s">
        <v>399</v>
      </c>
    </row>
    <row r="176" spans="1:72" ht="12.9" customHeight="1">
      <c r="C176" s="31"/>
      <c r="D176" t="s">
        <v>278</v>
      </c>
      <c r="U176" s="1144" t="s">
        <v>481</v>
      </c>
      <c r="V176" s="1144"/>
      <c r="BN176" s="30" t="s">
        <v>596</v>
      </c>
      <c r="BT176" t="s">
        <v>400</v>
      </c>
    </row>
    <row r="177" spans="1:72" ht="12.9" customHeight="1">
      <c r="C177" s="31"/>
      <c r="D177" s="358" t="s">
        <v>1231</v>
      </c>
      <c r="BN177" s="30" t="s">
        <v>597</v>
      </c>
      <c r="BT177" t="s">
        <v>401</v>
      </c>
    </row>
    <row r="178" spans="1:72" ht="12.9" customHeight="1">
      <c r="C178" s="31"/>
      <c r="E178" s="358" t="s">
        <v>2090</v>
      </c>
      <c r="F178" s="358"/>
      <c r="G178" s="358"/>
      <c r="I178" s="935" t="s">
        <v>230</v>
      </c>
      <c r="J178" s="1351"/>
      <c r="K178" s="1351"/>
      <c r="L178" s="367" t="s">
        <v>231</v>
      </c>
      <c r="M178" s="1141"/>
      <c r="N178" s="1141"/>
      <c r="O178" s="358"/>
      <c r="P178" s="358"/>
      <c r="Q178" s="358"/>
      <c r="R178" s="358"/>
      <c r="U178" s="358" t="s">
        <v>1232</v>
      </c>
      <c r="V178" s="358"/>
      <c r="W178" s="358"/>
      <c r="X178" s="358"/>
      <c r="Y178" s="358"/>
      <c r="Z178" s="358"/>
      <c r="AA178" s="358"/>
      <c r="AB178" s="358"/>
      <c r="AD178" s="1352"/>
      <c r="AE178" s="1352"/>
      <c r="AF178" s="1352"/>
      <c r="AG178" s="1352"/>
      <c r="AH178" s="1352"/>
      <c r="BN178" s="30" t="s">
        <v>598</v>
      </c>
      <c r="BT178" t="s">
        <v>402</v>
      </c>
    </row>
    <row r="179" spans="1:72" ht="12.9" customHeight="1">
      <c r="C179" s="31"/>
      <c r="BN179" s="30" t="s">
        <v>599</v>
      </c>
      <c r="BT179" t="s">
        <v>403</v>
      </c>
    </row>
    <row r="180" spans="1:72" ht="12.9" customHeight="1">
      <c r="C180" s="12"/>
      <c r="D180" t="s">
        <v>2091</v>
      </c>
      <c r="O180" s="358"/>
      <c r="P180" s="358"/>
      <c r="Q180" s="358"/>
      <c r="R180" s="358"/>
      <c r="Y180" s="1144" t="s">
        <v>481</v>
      </c>
      <c r="Z180" s="1338"/>
      <c r="BN180" s="30" t="s">
        <v>601</v>
      </c>
      <c r="BT180" t="s">
        <v>404</v>
      </c>
    </row>
    <row r="181" spans="1:72" ht="12.9" customHeight="1">
      <c r="C181" s="12"/>
      <c r="D181" s="35"/>
      <c r="E181" s="358" t="s">
        <v>1230</v>
      </c>
      <c r="R181" s="358"/>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30" t="str">
        <f>H17</f>
        <v>I Street, Merced</v>
      </c>
      <c r="J184" s="1230"/>
      <c r="K184" s="1230"/>
      <c r="L184" s="1230"/>
      <c r="M184" s="1230"/>
      <c r="N184" s="1230"/>
      <c r="O184" s="1230"/>
      <c r="P184" s="1230"/>
      <c r="Q184" s="1230"/>
      <c r="R184" s="1230"/>
      <c r="S184" s="1230"/>
      <c r="T184" s="1230"/>
      <c r="U184" s="1230"/>
      <c r="V184" s="1230"/>
      <c r="W184" s="1230"/>
      <c r="X184" s="1230"/>
      <c r="Y184" s="1230"/>
      <c r="Z184" s="1230"/>
      <c r="AA184" s="1230"/>
      <c r="AB184" s="1230"/>
      <c r="AC184" s="1230"/>
      <c r="AD184" s="1230"/>
      <c r="AE184" s="1230"/>
      <c r="BC184" t="s">
        <v>119</v>
      </c>
      <c r="BN184" s="30" t="s">
        <v>573</v>
      </c>
      <c r="BT184" t="s">
        <v>408</v>
      </c>
    </row>
    <row r="185" spans="1:72" ht="12.9" customHeight="1">
      <c r="C185" s="29"/>
      <c r="D185" t="s">
        <v>428</v>
      </c>
      <c r="I185" s="1065" t="s">
        <v>2341</v>
      </c>
      <c r="J185" s="1065"/>
      <c r="K185" s="1065"/>
      <c r="L185" s="1065"/>
      <c r="M185" s="1065"/>
      <c r="N185" s="1065"/>
      <c r="O185" s="1065"/>
      <c r="P185" s="1065"/>
      <c r="Q185" s="1065"/>
      <c r="R185" s="1065"/>
      <c r="S185" s="1065"/>
      <c r="T185" s="1065"/>
      <c r="U185" s="1065"/>
      <c r="V185" s="1065"/>
      <c r="W185" s="1065"/>
      <c r="X185" s="1065"/>
      <c r="Y185" s="1065"/>
      <c r="Z185" s="1065"/>
      <c r="AA185" s="1065"/>
      <c r="AB185" s="1065"/>
      <c r="AC185" s="1065"/>
      <c r="AD185" s="1065"/>
      <c r="AE185" s="1065"/>
      <c r="BC185" s="41" t="s">
        <v>120</v>
      </c>
      <c r="BN185" s="30" t="s">
        <v>574</v>
      </c>
      <c r="BT185" t="s">
        <v>838</v>
      </c>
    </row>
    <row r="186" spans="1:72" ht="12.9" customHeight="1">
      <c r="C186" s="29"/>
      <c r="E186" t="s">
        <v>61</v>
      </c>
      <c r="BN186" s="30" t="s">
        <v>575</v>
      </c>
      <c r="BT186" t="s">
        <v>839</v>
      </c>
    </row>
    <row r="187" spans="1:72" ht="12.9"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576</v>
      </c>
      <c r="BT187" t="s">
        <v>840</v>
      </c>
    </row>
    <row r="188" spans="1:72" ht="12.9"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578</v>
      </c>
      <c r="BT188" t="s">
        <v>841</v>
      </c>
    </row>
    <row r="189" spans="1:72" ht="12.9" customHeight="1">
      <c r="C189" s="29"/>
      <c r="D189" t="s">
        <v>429</v>
      </c>
      <c r="I189" s="1066" t="s">
        <v>404</v>
      </c>
      <c r="J189" s="1066"/>
      <c r="K189" s="1066"/>
      <c r="L189" s="1066"/>
      <c r="M189" s="1066"/>
      <c r="N189" s="1066"/>
      <c r="O189" s="1066"/>
      <c r="P189" s="1066"/>
      <c r="Q189" t="s">
        <v>431</v>
      </c>
      <c r="T189" s="1066" t="s">
        <v>404</v>
      </c>
      <c r="U189" s="1066"/>
      <c r="V189" s="1066"/>
      <c r="W189" s="1066"/>
      <c r="X189" s="1066"/>
      <c r="Y189" s="1066"/>
      <c r="Z189" s="1066"/>
      <c r="AA189" s="1066"/>
      <c r="AB189" s="1066"/>
      <c r="AC189" s="1066"/>
      <c r="AD189" s="1066"/>
      <c r="AE189" s="1066"/>
      <c r="BC189" t="s">
        <v>78</v>
      </c>
      <c r="BH189" s="41" t="s">
        <v>123</v>
      </c>
      <c r="BN189" s="30" t="s">
        <v>579</v>
      </c>
      <c r="BT189" t="s">
        <v>108</v>
      </c>
    </row>
    <row r="190" spans="1:72" ht="12.9" customHeight="1">
      <c r="C190" s="29"/>
      <c r="D190" t="s">
        <v>432</v>
      </c>
      <c r="I190" s="1065">
        <v>95340</v>
      </c>
      <c r="J190" s="1065"/>
      <c r="K190" s="1065"/>
      <c r="L190" s="1065"/>
      <c r="M190" s="1065"/>
      <c r="N190" s="1065"/>
      <c r="O190" t="s">
        <v>434</v>
      </c>
      <c r="T190" s="1349">
        <v>13.02</v>
      </c>
      <c r="U190" s="1349"/>
      <c r="V190" s="1349"/>
      <c r="W190" s="1349"/>
      <c r="X190" s="1349"/>
      <c r="Y190" s="1349"/>
      <c r="Z190" s="1349"/>
      <c r="AA190" s="1349"/>
      <c r="AB190" s="1349"/>
      <c r="AC190" s="1349"/>
      <c r="AD190" s="1349"/>
      <c r="AE190" s="1349"/>
      <c r="BC190" t="s">
        <v>662</v>
      </c>
      <c r="BH190" t="s">
        <v>662</v>
      </c>
      <c r="BN190" s="30" t="s">
        <v>420</v>
      </c>
      <c r="BT190" t="s">
        <v>109</v>
      </c>
    </row>
    <row r="191" spans="1:72" ht="12.9" customHeight="1">
      <c r="C191" s="29"/>
      <c r="D191" t="s">
        <v>80</v>
      </c>
      <c r="N191" s="1353" t="s">
        <v>2342</v>
      </c>
      <c r="O191" s="1353"/>
      <c r="P191" s="1353"/>
      <c r="Q191" s="1353"/>
      <c r="R191" s="1353"/>
      <c r="S191" s="1353"/>
      <c r="T191" s="1353"/>
      <c r="U191" s="1353"/>
      <c r="V191" s="1353"/>
      <c r="W191" s="1353"/>
      <c r="X191" s="1353"/>
      <c r="Y191" s="1353"/>
      <c r="Z191" s="1353"/>
      <c r="AA191" s="1353"/>
      <c r="AB191" s="1353"/>
      <c r="AC191" s="1353"/>
      <c r="AD191" s="1353"/>
      <c r="AE191" s="1353"/>
      <c r="BC191" t="s">
        <v>1422</v>
      </c>
      <c r="BH191" t="s">
        <v>1422</v>
      </c>
      <c r="BN191" s="30" t="s">
        <v>581</v>
      </c>
      <c r="BT191" t="s">
        <v>110</v>
      </c>
    </row>
    <row r="192" spans="1:72" ht="12.9"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663</v>
      </c>
      <c r="BH192" t="s">
        <v>614</v>
      </c>
      <c r="BN192" s="30" t="s">
        <v>582</v>
      </c>
      <c r="BT192" t="s">
        <v>111</v>
      </c>
    </row>
    <row r="193" spans="1:73" ht="12.9" customHeight="1">
      <c r="C193" s="29"/>
      <c r="D193" t="s">
        <v>435</v>
      </c>
      <c r="T193" s="1144" t="s">
        <v>481</v>
      </c>
      <c r="U193" s="1144"/>
      <c r="W193" s="41" t="s">
        <v>1874</v>
      </c>
      <c r="AA193" s="1344"/>
      <c r="AB193" s="1344"/>
      <c r="AC193" s="1344"/>
      <c r="BC193" t="s">
        <v>563</v>
      </c>
      <c r="BH193" s="5" t="s">
        <v>1427</v>
      </c>
      <c r="BN193" s="30" t="s">
        <v>583</v>
      </c>
      <c r="BT193" t="s">
        <v>112</v>
      </c>
    </row>
    <row r="194" spans="1:73" ht="12.9" customHeight="1">
      <c r="C194" s="29"/>
      <c r="D194" t="s">
        <v>117</v>
      </c>
      <c r="T194" s="1148" t="s">
        <v>107</v>
      </c>
      <c r="U194" s="1148"/>
      <c r="W194" t="s">
        <v>62</v>
      </c>
      <c r="AI194" s="1144" t="s">
        <v>481</v>
      </c>
      <c r="AJ194" s="1144"/>
      <c r="AX194" s="5" t="s">
        <v>123</v>
      </c>
      <c r="BC194" t="s">
        <v>614</v>
      </c>
      <c r="BN194" s="30" t="s">
        <v>752</v>
      </c>
      <c r="BT194" t="s">
        <v>113</v>
      </c>
    </row>
    <row r="195" spans="1:73" ht="12.9" customHeight="1">
      <c r="C195" s="29"/>
      <c r="D195" s="41" t="s">
        <v>1725</v>
      </c>
      <c r="T195" s="1148" t="s">
        <v>481</v>
      </c>
      <c r="U195" s="1148"/>
      <c r="X195" s="794" t="s">
        <v>2092</v>
      </c>
      <c r="AX195" s="5" t="s">
        <v>1149</v>
      </c>
      <c r="BN195" s="30" t="s">
        <v>753</v>
      </c>
      <c r="BT195" t="s">
        <v>114</v>
      </c>
    </row>
    <row r="196" spans="1:73" ht="12.9" customHeight="1">
      <c r="C196" s="29"/>
      <c r="D196" s="5" t="s">
        <v>1154</v>
      </c>
      <c r="T196" s="1148" t="s">
        <v>107</v>
      </c>
      <c r="U196" s="1148"/>
      <c r="AK196" s="1343"/>
      <c r="AL196" s="1343"/>
      <c r="AX196" s="41" t="s">
        <v>2183</v>
      </c>
      <c r="BN196" s="30" t="s">
        <v>754</v>
      </c>
      <c r="BT196" t="s">
        <v>115</v>
      </c>
    </row>
    <row r="197" spans="1:73" ht="12.9" customHeight="1">
      <c r="C197" s="29"/>
      <c r="D197" s="41" t="s">
        <v>1875</v>
      </c>
      <c r="T197" s="1144" t="s">
        <v>481</v>
      </c>
      <c r="U197" s="1144"/>
      <c r="AX197" s="5" t="s">
        <v>1150</v>
      </c>
      <c r="BC197" t="s">
        <v>78</v>
      </c>
      <c r="BN197" s="30" t="s">
        <v>755</v>
      </c>
      <c r="BT197" t="s">
        <v>116</v>
      </c>
    </row>
    <row r="198" spans="1:73" ht="12.9" customHeight="1">
      <c r="C198" s="29"/>
      <c r="D198" s="41" t="s">
        <v>1903</v>
      </c>
      <c r="W198" s="1339" t="s">
        <v>481</v>
      </c>
      <c r="X198" s="1144"/>
      <c r="AX198" s="5" t="s">
        <v>1151</v>
      </c>
      <c r="BC198" t="s">
        <v>1102</v>
      </c>
      <c r="BN198" s="30" t="s">
        <v>756</v>
      </c>
      <c r="BT198" t="s">
        <v>802</v>
      </c>
    </row>
    <row r="199" spans="1:73" ht="12.9" customHeight="1">
      <c r="C199" s="29"/>
      <c r="L199" s="307"/>
      <c r="M199" s="307"/>
      <c r="N199" s="307"/>
      <c r="O199" s="307"/>
      <c r="P199" s="307"/>
      <c r="Q199" s="917" t="s">
        <v>2093</v>
      </c>
      <c r="R199" s="1342" t="s">
        <v>2008</v>
      </c>
      <c r="S199" s="1342"/>
      <c r="T199" s="1342"/>
      <c r="U199" s="1342"/>
      <c r="V199" s="1342"/>
      <c r="W199" s="1342"/>
      <c r="X199" s="1342"/>
      <c r="Y199" s="1342"/>
      <c r="Z199" s="1342"/>
      <c r="AA199" s="1342"/>
      <c r="AB199" s="1342"/>
      <c r="AH199" s="1"/>
      <c r="AI199" s="1"/>
      <c r="AX199" s="5" t="s">
        <v>1152</v>
      </c>
      <c r="BC199" s="5" t="s">
        <v>1103</v>
      </c>
      <c r="BN199" s="30" t="s">
        <v>757</v>
      </c>
      <c r="BO199" s="39"/>
      <c r="BP199" s="40"/>
      <c r="BQ199" s="40"/>
      <c r="BR199" s="40"/>
      <c r="BS199" s="40"/>
      <c r="BT199" s="40" t="s">
        <v>803</v>
      </c>
    </row>
    <row r="200" spans="1:73" ht="12.9" customHeight="1">
      <c r="C200" s="29"/>
      <c r="AC200" s="34" t="s">
        <v>559</v>
      </c>
      <c r="AD200" s="973" t="s">
        <v>2009</v>
      </c>
      <c r="AH200" s="1"/>
      <c r="AI200" s="1"/>
      <c r="AX200" s="41" t="s">
        <v>2271</v>
      </c>
      <c r="BC200" s="41" t="s">
        <v>2043</v>
      </c>
      <c r="BN200" s="264" t="s">
        <v>657</v>
      </c>
      <c r="BO200" s="21"/>
      <c r="BP200" s="40"/>
      <c r="BQ200" s="40"/>
      <c r="BR200" s="40"/>
      <c r="BS200" s="40"/>
      <c r="BT200" s="40" t="s">
        <v>804</v>
      </c>
    </row>
    <row r="201" spans="1:73" ht="12.9" customHeight="1">
      <c r="C201" s="29"/>
      <c r="AX201" s="41" t="s">
        <v>2042</v>
      </c>
      <c r="BC201" t="s">
        <v>860</v>
      </c>
      <c r="BN201" s="30" t="s">
        <v>658</v>
      </c>
      <c r="BO201" s="21"/>
      <c r="BP201" s="40"/>
      <c r="BQ201" s="40"/>
      <c r="BR201" s="40"/>
      <c r="BS201" s="40"/>
      <c r="BT201" s="40" t="s">
        <v>805</v>
      </c>
    </row>
    <row r="202" spans="1:73" ht="12.9" customHeight="1">
      <c r="A202" s="3" t="s">
        <v>118</v>
      </c>
      <c r="C202" s="3" t="s">
        <v>1148</v>
      </c>
      <c r="AX202" s="5" t="s">
        <v>1153</v>
      </c>
      <c r="BC202" t="s">
        <v>1433</v>
      </c>
      <c r="BN202" s="30" t="s">
        <v>659</v>
      </c>
      <c r="BT202" s="40" t="s">
        <v>806</v>
      </c>
      <c r="BU202" s="21"/>
    </row>
    <row r="203" spans="1:73" ht="12.9" customHeight="1">
      <c r="C203"/>
      <c r="D203" s="1230" t="str">
        <f>IF(AND(M25&gt;0,M27&gt;0),"Federal and State","Federal Only")</f>
        <v>Federal and State</v>
      </c>
      <c r="E203" s="1230"/>
      <c r="F203" s="1230"/>
      <c r="G203" s="1230"/>
      <c r="H203" s="1230"/>
      <c r="I203" s="1230"/>
      <c r="J203" s="1230"/>
      <c r="K203" s="1230"/>
      <c r="L203" s="1230"/>
      <c r="M203" s="1230"/>
      <c r="P203" s="1348">
        <f>M25</f>
        <v>2500000</v>
      </c>
      <c r="Q203" s="1348"/>
      <c r="R203" s="1348"/>
      <c r="S203" s="1348"/>
      <c r="T203" s="1348"/>
      <c r="U203" s="1348"/>
      <c r="W203" s="1348">
        <f>M27</f>
        <v>5822281</v>
      </c>
      <c r="X203" s="1348"/>
      <c r="Y203" s="1348"/>
      <c r="Z203" s="1348"/>
      <c r="AA203" s="1348"/>
      <c r="AB203" s="1348"/>
      <c r="AV203" t="s">
        <v>123</v>
      </c>
      <c r="AX203" s="5" t="s">
        <v>563</v>
      </c>
      <c r="BC203" t="s">
        <v>1431</v>
      </c>
      <c r="BN203" s="30" t="s">
        <v>660</v>
      </c>
      <c r="BT203" s="40" t="s">
        <v>807</v>
      </c>
      <c r="BU203" s="21"/>
    </row>
    <row r="204" spans="1:73" ht="12.9" customHeight="1">
      <c r="C204" s="29"/>
      <c r="P204" s="1356" t="s">
        <v>174</v>
      </c>
      <c r="Q204" s="1356"/>
      <c r="R204" s="1356"/>
      <c r="S204" s="1356"/>
      <c r="T204" s="1356"/>
      <c r="U204" s="1356"/>
      <c r="V204" s="36"/>
      <c r="W204" s="1356" t="s">
        <v>175</v>
      </c>
      <c r="X204" s="1356"/>
      <c r="Y204" s="1356"/>
      <c r="Z204" s="1356"/>
      <c r="AA204" s="1356"/>
      <c r="AB204" s="1356"/>
      <c r="AV204" t="s">
        <v>107</v>
      </c>
      <c r="AX204" s="5" t="s">
        <v>663</v>
      </c>
      <c r="BC204" t="s">
        <v>859</v>
      </c>
      <c r="BN204" s="30" t="s">
        <v>661</v>
      </c>
      <c r="BT204" s="40" t="s">
        <v>808</v>
      </c>
      <c r="BU204" s="21"/>
    </row>
    <row r="205" spans="1:73" ht="12.9"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 customHeight="1">
      <c r="A207" s="3" t="s">
        <v>121</v>
      </c>
      <c r="C207" s="3" t="s">
        <v>801</v>
      </c>
      <c r="X207" s="800"/>
      <c r="Y207" s="909"/>
      <c r="Z207" s="801"/>
      <c r="AA207" s="801"/>
      <c r="AB207" s="801"/>
      <c r="AC207" s="801"/>
      <c r="AD207" s="801"/>
      <c r="AE207" s="801"/>
      <c r="AF207" s="801"/>
      <c r="AG207" s="801"/>
      <c r="AH207" s="801"/>
      <c r="AI207" s="801"/>
      <c r="AJ207" s="801"/>
      <c r="AK207" s="802"/>
      <c r="BC207" t="s">
        <v>2272</v>
      </c>
      <c r="BN207" s="30" t="s">
        <v>1</v>
      </c>
      <c r="BT207" s="40" t="s">
        <v>810</v>
      </c>
    </row>
    <row r="208" spans="1:73" ht="12.9" customHeight="1">
      <c r="C208" s="29"/>
      <c r="D208" s="1093" t="s">
        <v>2343</v>
      </c>
      <c r="E208" s="1093"/>
      <c r="F208" s="1093"/>
      <c r="G208" s="1093"/>
      <c r="H208" s="1093"/>
      <c r="I208" s="1093"/>
      <c r="J208" s="1093"/>
      <c r="K208" s="1093"/>
      <c r="L208" s="1093"/>
      <c r="M208" s="1093"/>
      <c r="X208" s="800"/>
      <c r="Y208" s="910"/>
      <c r="Z208" s="801"/>
      <c r="AA208" s="801"/>
      <c r="AB208" s="801"/>
      <c r="AC208" s="801"/>
      <c r="AD208" s="801"/>
      <c r="AE208" s="801"/>
      <c r="AF208" s="801"/>
      <c r="AG208" s="801"/>
      <c r="AH208" s="801"/>
      <c r="AI208" s="801"/>
      <c r="AJ208" s="801"/>
      <c r="AK208" s="802"/>
      <c r="BC208" t="s">
        <v>1432</v>
      </c>
      <c r="BN208" s="30" t="s">
        <v>2</v>
      </c>
      <c r="BT208" s="40" t="s">
        <v>811</v>
      </c>
    </row>
    <row r="209" spans="1:72" ht="12.9" customHeight="1">
      <c r="C209" s="12"/>
      <c r="X209" s="800"/>
      <c r="Y209" s="910"/>
      <c r="Z209" s="801"/>
      <c r="AA209" s="801"/>
      <c r="AB209" s="801"/>
      <c r="AC209" s="801"/>
      <c r="AD209" s="801"/>
      <c r="AE209" s="801"/>
      <c r="AF209" s="801"/>
      <c r="AG209" s="801"/>
      <c r="AH209" s="801"/>
      <c r="AI209" s="801"/>
      <c r="AJ209" s="801"/>
      <c r="AK209" s="802"/>
      <c r="BC209" t="s">
        <v>73</v>
      </c>
      <c r="BN209" s="30" t="s">
        <v>3</v>
      </c>
      <c r="BT209" s="40" t="s">
        <v>812</v>
      </c>
    </row>
    <row r="210" spans="1:72" ht="12.9" customHeight="1">
      <c r="A210" s="3" t="s">
        <v>122</v>
      </c>
      <c r="C210" s="3" t="s">
        <v>1147</v>
      </c>
      <c r="X210" s="800"/>
      <c r="Y210" s="910"/>
      <c r="Z210" s="801"/>
      <c r="AA210" s="801"/>
      <c r="AB210" s="801"/>
      <c r="AC210" s="801"/>
      <c r="AD210" s="801"/>
      <c r="AE210" s="801"/>
      <c r="AF210" s="801"/>
      <c r="AG210" s="801"/>
      <c r="AH210" s="801"/>
      <c r="AI210" s="801"/>
      <c r="AJ210" s="801"/>
      <c r="AK210" s="802"/>
      <c r="BN210" s="30" t="s">
        <v>4</v>
      </c>
      <c r="BT210" s="40" t="s">
        <v>813</v>
      </c>
    </row>
    <row r="211" spans="1:72" ht="12.9" customHeight="1">
      <c r="C211" s="29"/>
      <c r="D211" s="1342" t="s">
        <v>1149</v>
      </c>
      <c r="E211" s="1093"/>
      <c r="F211" s="1093"/>
      <c r="G211" s="1093"/>
      <c r="H211" s="1093"/>
      <c r="I211" s="1093"/>
      <c r="J211" s="1093"/>
      <c r="K211" s="1093"/>
      <c r="L211" s="1093"/>
      <c r="M211" s="1093"/>
      <c r="N211" s="1093"/>
      <c r="O211" s="1093"/>
      <c r="P211" s="1093"/>
      <c r="X211" s="800"/>
      <c r="Y211" s="1350" t="s">
        <v>481</v>
      </c>
      <c r="Z211" s="1350"/>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 customHeight="1">
      <c r="A213" s="3" t="s">
        <v>124</v>
      </c>
      <c r="C213" s="3" t="s">
        <v>1423</v>
      </c>
      <c r="AX213" t="s">
        <v>2005</v>
      </c>
      <c r="BC213" t="s">
        <v>625</v>
      </c>
      <c r="BN213" s="30" t="s">
        <v>6</v>
      </c>
      <c r="BT213" s="40" t="s">
        <v>815</v>
      </c>
    </row>
    <row r="214" spans="1:72" ht="12.9" customHeight="1">
      <c r="C214" s="29"/>
      <c r="D214" s="1363" t="s">
        <v>663</v>
      </c>
      <c r="E214" s="1363"/>
      <c r="F214" s="1363"/>
      <c r="G214" s="1363"/>
      <c r="H214" s="1363"/>
      <c r="I214" s="1363"/>
      <c r="J214" s="1363"/>
      <c r="AX214" t="s">
        <v>2006</v>
      </c>
      <c r="BC214" t="s">
        <v>629</v>
      </c>
      <c r="BN214" s="30" t="s">
        <v>442</v>
      </c>
      <c r="BT214" s="40" t="s">
        <v>816</v>
      </c>
    </row>
    <row r="215" spans="1:72" ht="12.9" customHeight="1">
      <c r="C215"/>
      <c r="D215" s="35"/>
      <c r="E215" s="41" t="s">
        <v>2297</v>
      </c>
      <c r="S215" s="1346">
        <v>27</v>
      </c>
      <c r="T215" s="1346"/>
      <c r="V215" s="1355">
        <f>IFERROR(S215/AG441,"")</f>
        <v>0.50943396226415094</v>
      </c>
      <c r="W215" s="1355"/>
      <c r="AX215" t="s">
        <v>2007</v>
      </c>
      <c r="BC215" t="s">
        <v>626</v>
      </c>
    </row>
    <row r="216" spans="1:72" ht="12.9" customHeight="1">
      <c r="C216"/>
      <c r="D216" s="35"/>
      <c r="E216" s="933" t="s">
        <v>2292</v>
      </c>
      <c r="AX216" t="s">
        <v>2008</v>
      </c>
      <c r="BC216" t="s">
        <v>743</v>
      </c>
    </row>
    <row r="217" spans="1:72" ht="12.9" customHeight="1">
      <c r="C217"/>
      <c r="E217" s="1429" t="s">
        <v>1422</v>
      </c>
      <c r="F217" s="1429"/>
      <c r="G217" s="1429"/>
      <c r="H217" s="1429"/>
      <c r="I217" s="1429"/>
      <c r="J217" s="1429"/>
      <c r="K217" s="1429"/>
      <c r="L217" s="1429"/>
      <c r="M217" s="1429"/>
      <c r="N217" s="1429"/>
      <c r="O217" s="1429"/>
      <c r="P217" s="1429"/>
      <c r="Q217" s="1429"/>
      <c r="R217" s="1429"/>
      <c r="S217" s="1429"/>
      <c r="T217" s="1429"/>
      <c r="U217" s="1429"/>
      <c r="V217" s="1429"/>
      <c r="W217" s="1429"/>
      <c r="X217" s="1429"/>
      <c r="Y217" s="1429"/>
      <c r="Z217" s="1429"/>
      <c r="AA217" s="49"/>
      <c r="AB217" s="49"/>
      <c r="AC217" s="49"/>
      <c r="AD217" s="49"/>
      <c r="AE217" s="49"/>
      <c r="AF217" s="49"/>
      <c r="AX217" s="41" t="s">
        <v>2010</v>
      </c>
      <c r="BC217" t="s">
        <v>627</v>
      </c>
    </row>
    <row r="218" spans="1:72" ht="12.9" customHeight="1">
      <c r="C218"/>
      <c r="E218" s="41" t="s">
        <v>1946</v>
      </c>
      <c r="AA218" s="49"/>
      <c r="AC218" s="1340" t="s">
        <v>2344</v>
      </c>
      <c r="AD218" s="1340"/>
      <c r="AE218" s="1340"/>
      <c r="AF218" s="1340"/>
      <c r="AG218" s="1340"/>
      <c r="AH218" s="1340"/>
      <c r="AI218" s="1340"/>
      <c r="AJ218" s="1340"/>
      <c r="AK218" s="1340"/>
      <c r="AL218" s="1340"/>
      <c r="AM218" s="1340"/>
      <c r="BC218" t="s">
        <v>628</v>
      </c>
      <c r="BI218" s="39"/>
    </row>
    <row r="219" spans="1:72" ht="12.9" customHeight="1">
      <c r="C219"/>
      <c r="E219" s="41" t="s">
        <v>1947</v>
      </c>
      <c r="AA219" s="49"/>
      <c r="AC219" s="1340"/>
      <c r="AD219" s="1340"/>
      <c r="AE219" s="1340"/>
      <c r="AF219" s="1340"/>
      <c r="AG219" s="1340"/>
      <c r="AH219" s="1340"/>
      <c r="AI219" s="1340"/>
      <c r="AJ219" s="1340"/>
      <c r="AK219" s="1340"/>
      <c r="AL219" s="1340"/>
      <c r="AM219" s="134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42" t="s">
        <v>2043</v>
      </c>
      <c r="E223" s="1342"/>
      <c r="F223" s="1342"/>
      <c r="G223" s="1342"/>
      <c r="H223" s="1342"/>
      <c r="I223" s="1342"/>
      <c r="J223" s="1342"/>
      <c r="K223" s="1342"/>
      <c r="L223" s="1342"/>
      <c r="M223" s="1342"/>
      <c r="N223" s="1342"/>
      <c r="O223" s="1342"/>
      <c r="P223" s="1342"/>
      <c r="Q223" s="1342"/>
      <c r="R223" s="1342"/>
      <c r="S223" s="1342"/>
      <c r="T223" s="1342"/>
      <c r="U223" s="1342"/>
      <c r="V223" s="1342"/>
      <c r="W223" s="1342"/>
      <c r="X223" s="1342"/>
      <c r="Y223" s="1342"/>
      <c r="Z223" s="1342"/>
      <c r="AA223" s="1342"/>
      <c r="AB223" s="1342"/>
      <c r="AC223" s="1342"/>
      <c r="AD223" s="1342"/>
      <c r="AE223" s="1342"/>
      <c r="AF223" s="1342"/>
      <c r="AG223" s="1342"/>
      <c r="AH223" s="1342"/>
      <c r="AI223" s="1342"/>
      <c r="AJ223" s="21"/>
      <c r="AK223" s="21"/>
      <c r="AL223" s="21"/>
    </row>
    <row r="224" spans="1:72" ht="12.9" customHeight="1">
      <c r="C224"/>
      <c r="AJ224" s="5"/>
    </row>
    <row r="225" spans="1:59" ht="12.9" customHeight="1">
      <c r="C225"/>
      <c r="D225" t="s">
        <v>556</v>
      </c>
      <c r="O225" s="1144">
        <v>13</v>
      </c>
      <c r="P225" s="1144"/>
    </row>
    <row r="226" spans="1:59" ht="12.9" customHeight="1">
      <c r="C226"/>
      <c r="D226" t="s">
        <v>557</v>
      </c>
      <c r="O226" s="1144">
        <v>27</v>
      </c>
      <c r="P226" s="1144"/>
      <c r="BB226" s="5" t="s">
        <v>637</v>
      </c>
      <c r="BG226" s="407">
        <f>IF(AND(AND($M$251="for profit",$M$259="for profit",$M$267="nonprofit")),2,0)</f>
        <v>0</v>
      </c>
    </row>
    <row r="227" spans="1:59" ht="12.9" customHeight="1">
      <c r="C227"/>
      <c r="D227" t="s">
        <v>558</v>
      </c>
      <c r="O227" s="1144">
        <v>14</v>
      </c>
      <c r="P227" s="1144"/>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1177</v>
      </c>
      <c r="U229" s="357" t="s">
        <v>1178</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094" t="s">
        <v>494</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2.9"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449" t="str">
        <f>H15</f>
        <v>Linc Housing Corporation (as Sole Member and Manager of Linc I Street Apts LLC, the Managing General Partner of Linc I Street Apts, LP)</v>
      </c>
      <c r="N235" s="1449"/>
      <c r="O235" s="1449"/>
      <c r="P235" s="1449"/>
      <c r="Q235" s="1449"/>
      <c r="R235" s="1449"/>
      <c r="S235" s="1449"/>
      <c r="T235" s="1449"/>
      <c r="U235" s="1449"/>
      <c r="V235" s="1449"/>
      <c r="W235" s="1449"/>
      <c r="X235" s="1449"/>
      <c r="Y235" s="1449"/>
      <c r="Z235" s="1449"/>
      <c r="AA235" s="1449"/>
      <c r="AB235" s="1449"/>
      <c r="AC235" s="1449"/>
      <c r="AD235" s="1449"/>
      <c r="AE235" s="1449"/>
      <c r="AF235" s="1449"/>
      <c r="AG235" s="1449"/>
      <c r="AH235" s="1449"/>
      <c r="AI235" s="1449"/>
      <c r="AJ235" s="1449"/>
      <c r="AK235" s="1449"/>
      <c r="BB235" s="3"/>
      <c r="BG235" s="5"/>
    </row>
    <row r="236" spans="1:59" ht="12.9" customHeight="1">
      <c r="C236"/>
      <c r="D236" s="5" t="s">
        <v>371</v>
      </c>
      <c r="E236" s="5"/>
      <c r="F236" s="5"/>
      <c r="G236" s="5"/>
      <c r="H236" s="5"/>
      <c r="I236" s="5"/>
      <c r="J236" s="5"/>
      <c r="K236" s="5"/>
      <c r="M236" s="1093" t="s">
        <v>2345</v>
      </c>
      <c r="N236" s="1093"/>
      <c r="O236" s="1093"/>
      <c r="P236" s="1093"/>
      <c r="Q236" s="1093"/>
      <c r="R236" s="1093"/>
      <c r="S236" s="1093"/>
      <c r="T236" s="1093"/>
      <c r="U236" s="1093"/>
      <c r="V236" s="1093"/>
      <c r="W236" s="1093"/>
      <c r="X236" s="1093"/>
      <c r="Y236" s="1093"/>
      <c r="Z236" s="1093"/>
      <c r="AA236" s="1093"/>
      <c r="AB236" s="1093"/>
      <c r="AC236" s="1093"/>
      <c r="AD236" s="1093"/>
      <c r="AE236" s="1093"/>
      <c r="AM236" s="41"/>
      <c r="AN236" s="41"/>
      <c r="BB236" t="s">
        <v>636</v>
      </c>
      <c r="BG236" s="407">
        <f>IF(AND(AND($M$251="nonprofit",$M$259="nonprofit",$M$267="nonprofit")),1,0)</f>
        <v>0</v>
      </c>
    </row>
    <row r="237" spans="1:59" ht="12.9" customHeight="1">
      <c r="C237"/>
      <c r="D237" s="5" t="s">
        <v>429</v>
      </c>
      <c r="E237" s="5"/>
      <c r="M237" s="1093" t="s">
        <v>2333</v>
      </c>
      <c r="N237" s="1093"/>
      <c r="O237" s="1093"/>
      <c r="P237" s="1093"/>
      <c r="Q237" s="1093"/>
      <c r="R237" s="1093"/>
      <c r="S237" s="1093"/>
      <c r="T237" s="1093"/>
      <c r="V237" s="42" t="s">
        <v>372</v>
      </c>
      <c r="W237" s="1335" t="s">
        <v>2346</v>
      </c>
      <c r="X237" s="1335"/>
      <c r="Y237" s="5" t="s">
        <v>432</v>
      </c>
      <c r="AC237" s="1093">
        <v>90807</v>
      </c>
      <c r="AD237" s="1093"/>
      <c r="AE237" s="1093"/>
      <c r="AN237" s="41"/>
      <c r="BB237" t="s">
        <v>636</v>
      </c>
      <c r="BG237" s="407">
        <f>IF(AND(AND($M$251="nonprofit",$M$259="nonprofit",$M$267="(select one)")),1,0)</f>
        <v>0</v>
      </c>
    </row>
    <row r="238" spans="1:59" ht="12.9" customHeight="1">
      <c r="C238"/>
      <c r="D238" s="5" t="s">
        <v>373</v>
      </c>
      <c r="E238" s="5"/>
      <c r="F238" s="5"/>
      <c r="G238" s="5"/>
      <c r="H238" s="5"/>
      <c r="I238" s="5"/>
      <c r="J238" s="5"/>
      <c r="K238" s="28"/>
      <c r="M238" s="1093" t="s">
        <v>2334</v>
      </c>
      <c r="N238" s="1093"/>
      <c r="O238" s="1093"/>
      <c r="P238" s="1093"/>
      <c r="Q238" s="1093"/>
      <c r="R238" s="1093"/>
      <c r="S238" s="1093"/>
      <c r="T238" s="1093"/>
      <c r="U238" s="1093"/>
      <c r="V238" s="1093"/>
      <c r="W238" s="1093"/>
      <c r="X238" s="1093"/>
      <c r="Y238" s="1093"/>
      <c r="Z238" s="1093"/>
      <c r="AA238" s="1093"/>
      <c r="AB238" s="1093"/>
      <c r="AC238" s="1093"/>
      <c r="AD238" s="1093"/>
      <c r="AE238" s="1093"/>
      <c r="AI238" s="5"/>
      <c r="AJ238" s="5"/>
      <c r="AK238" s="5"/>
      <c r="AL238" s="5"/>
      <c r="AN238" s="41"/>
      <c r="BB238" t="s">
        <v>636</v>
      </c>
      <c r="BG238" s="407">
        <f>IF(AND(AND($M$251="nonprofit",$M$259="(select one)",$M$267="(select one)")),1,0)</f>
        <v>1</v>
      </c>
    </row>
    <row r="239" spans="1:59" ht="12.9" customHeight="1">
      <c r="C239"/>
      <c r="D239" s="5" t="s">
        <v>374</v>
      </c>
      <c r="E239" s="5"/>
      <c r="F239" s="5"/>
      <c r="M239" s="1096" t="s">
        <v>2347</v>
      </c>
      <c r="N239" s="1096"/>
      <c r="O239" s="1096"/>
      <c r="P239" s="1096"/>
      <c r="Q239" s="1096"/>
      <c r="R239" s="1096"/>
      <c r="S239" s="5" t="s">
        <v>817</v>
      </c>
      <c r="T239" s="5"/>
      <c r="U239" s="1335"/>
      <c r="V239" s="1335"/>
      <c r="W239" s="1335"/>
      <c r="X239" s="5" t="s">
        <v>375</v>
      </c>
      <c r="Z239" s="1096"/>
      <c r="AA239" s="1096"/>
      <c r="AB239" s="1096"/>
      <c r="AC239" s="1096"/>
      <c r="AD239" s="1096"/>
      <c r="AE239" s="1096"/>
      <c r="AM239" s="41"/>
      <c r="AN239" s="41"/>
      <c r="BB239" t="s">
        <v>1008</v>
      </c>
      <c r="BG239" s="407">
        <f>IF(AND(AND($M$251="for profit",$M$259="for profit",$M$267="for profit")),3,0)</f>
        <v>0</v>
      </c>
    </row>
    <row r="240" spans="1:59" ht="12.9" customHeight="1">
      <c r="C240"/>
      <c r="D240" s="5" t="s">
        <v>376</v>
      </c>
      <c r="E240" s="5"/>
      <c r="F240" s="5"/>
      <c r="M240" s="1098" t="s">
        <v>2348</v>
      </c>
      <c r="N240" s="1098"/>
      <c r="O240" s="1098"/>
      <c r="P240" s="1098"/>
      <c r="Q240" s="1098"/>
      <c r="R240" s="1098"/>
      <c r="S240" s="1098"/>
      <c r="T240" s="1098"/>
      <c r="U240" s="1098"/>
      <c r="V240" s="1098"/>
      <c r="W240" s="1098"/>
      <c r="X240" s="1098"/>
      <c r="Y240" s="1098"/>
      <c r="Z240" s="1098"/>
      <c r="AA240" s="1098"/>
      <c r="AB240" s="1098"/>
      <c r="AC240" s="1098"/>
      <c r="AD240" s="1098"/>
      <c r="AE240" s="1098"/>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065" t="s">
        <v>493</v>
      </c>
      <c r="N241" s="1065"/>
      <c r="O241" s="1065"/>
      <c r="P241" s="1065"/>
      <c r="Q241" s="1065"/>
      <c r="R241" s="1065"/>
      <c r="S241" s="1065"/>
      <c r="T241" s="1065"/>
      <c r="U241" s="5" t="s">
        <v>1143</v>
      </c>
      <c r="AA241" s="1095" t="s">
        <v>2349</v>
      </c>
      <c r="AB241" s="1095"/>
      <c r="AC241" s="1095"/>
      <c r="AD241" s="1095"/>
      <c r="AE241" s="1095"/>
      <c r="AF241" s="1095"/>
      <c r="AG241" s="1095"/>
      <c r="AH241" s="1095"/>
      <c r="AI241" s="1095"/>
      <c r="AJ241" s="1095"/>
      <c r="AK241" s="1095"/>
      <c r="AL241" s="41"/>
      <c r="AM241" s="5"/>
      <c r="AN241" s="41"/>
      <c r="AO241" s="41"/>
      <c r="BB241" t="s">
        <v>1008</v>
      </c>
      <c r="BG241" s="408">
        <f>IF(AND(AND($M$251="for profit",$M$259="(select one)",$M$267="(select one)")),3,0)</f>
        <v>0</v>
      </c>
    </row>
    <row r="242" spans="1:67" ht="12.9" customHeight="1">
      <c r="C242"/>
      <c r="D242" t="s">
        <v>630</v>
      </c>
      <c r="M242" s="1342"/>
      <c r="N242" s="1066"/>
      <c r="O242" s="1066"/>
      <c r="P242" s="1066"/>
      <c r="Q242" s="1066"/>
      <c r="R242" s="1066"/>
      <c r="S242" s="1066"/>
      <c r="T242" s="1066"/>
      <c r="U242" s="1066"/>
      <c r="V242" s="1066"/>
      <c r="W242" s="1066"/>
      <c r="X242" s="1066"/>
      <c r="Y242" s="1066"/>
      <c r="Z242" s="1066"/>
      <c r="AA242" s="1066"/>
      <c r="AB242" s="1066"/>
      <c r="AC242" s="1066"/>
      <c r="AD242" s="1066"/>
      <c r="AE242" s="1066"/>
      <c r="AF242" s="934" t="str">
        <f>IF(AND(M241="other",M242=""),"!","")</f>
        <v/>
      </c>
      <c r="AG242" s="934"/>
      <c r="AH242" s="5"/>
      <c r="AI242" s="5"/>
      <c r="AJ242" s="5"/>
      <c r="AK242" s="41"/>
      <c r="AL242" s="41"/>
    </row>
    <row r="243" spans="1:67" ht="12.9" customHeight="1">
      <c r="C243"/>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1465</v>
      </c>
      <c r="D245" s="5" t="s">
        <v>631</v>
      </c>
      <c r="E245" s="5"/>
      <c r="F245" s="5"/>
      <c r="G245" s="5"/>
      <c r="H245" s="5"/>
      <c r="I245" s="5"/>
      <c r="J245" s="5"/>
      <c r="K245" s="5"/>
      <c r="L245" s="5"/>
      <c r="M245" s="1341" t="s">
        <v>2350</v>
      </c>
      <c r="N245" s="1341"/>
      <c r="O245" s="1341"/>
      <c r="P245" s="1341"/>
      <c r="Q245" s="1341"/>
      <c r="R245" s="1341"/>
      <c r="S245" s="1341"/>
      <c r="T245" s="1341"/>
      <c r="U245" s="1341"/>
      <c r="V245" s="1341"/>
      <c r="W245" s="1341"/>
      <c r="X245" s="1341"/>
      <c r="Y245" s="1341"/>
      <c r="Z245" s="1341"/>
      <c r="AA245" s="1341"/>
      <c r="AB245" s="1341"/>
      <c r="AC245" s="1341"/>
      <c r="AD245" s="1341"/>
      <c r="AE245" s="1341"/>
      <c r="AF245" s="1345" t="s">
        <v>2351</v>
      </c>
      <c r="AG245" s="1345"/>
      <c r="AH245" s="1345"/>
      <c r="AI245" s="1345"/>
      <c r="AJ245" s="1345"/>
      <c r="AK245" s="1345"/>
      <c r="AM245" s="5"/>
      <c r="AN245" s="41"/>
      <c r="BB245" s="5" t="s">
        <v>891</v>
      </c>
      <c r="BH245">
        <v>2</v>
      </c>
      <c r="BI245" t="s">
        <v>743</v>
      </c>
      <c r="BO245" s="409" t="str">
        <f>IFERROR(VLOOKUP(AZ260,BH244:BI246,2,FALSE),"")</f>
        <v>Nonprofit</v>
      </c>
    </row>
    <row r="246" spans="1:67" ht="12.9" customHeight="1">
      <c r="A246" s="28"/>
      <c r="B246" s="5"/>
      <c r="C246" s="5"/>
      <c r="D246" s="5" t="s">
        <v>371</v>
      </c>
      <c r="E246" s="5"/>
      <c r="F246" s="5"/>
      <c r="G246" s="5"/>
      <c r="H246" s="5"/>
      <c r="I246" s="5"/>
      <c r="J246" s="5"/>
      <c r="K246" s="5"/>
      <c r="L246" s="5"/>
      <c r="M246" s="1093" t="str">
        <f>M236</f>
        <v>3590 Elm Avenue</v>
      </c>
      <c r="N246" s="1093"/>
      <c r="O246" s="1093"/>
      <c r="P246" s="1093"/>
      <c r="Q246" s="1093"/>
      <c r="R246" s="1093"/>
      <c r="S246" s="1093"/>
      <c r="T246" s="1093"/>
      <c r="U246" s="1093"/>
      <c r="V246" s="1093"/>
      <c r="W246" s="1093"/>
      <c r="X246" s="1093"/>
      <c r="Y246" s="1093"/>
      <c r="Z246" s="1093"/>
      <c r="AA246" s="1093"/>
      <c r="AB246" s="1093"/>
      <c r="AC246" s="1093"/>
      <c r="AD246" s="1093"/>
      <c r="AE246" s="1093"/>
      <c r="AL246" s="5"/>
      <c r="AN246" s="41"/>
      <c r="BB246" s="5" t="s">
        <v>453</v>
      </c>
      <c r="BH246">
        <v>3</v>
      </c>
      <c r="BI246" t="s">
        <v>635</v>
      </c>
    </row>
    <row r="247" spans="1:67" ht="12.9" customHeight="1">
      <c r="A247" s="28"/>
      <c r="B247" s="5"/>
      <c r="C247" s="5"/>
      <c r="D247" s="5" t="s">
        <v>429</v>
      </c>
      <c r="E247" s="5"/>
      <c r="M247" s="1093" t="str">
        <f>M237</f>
        <v>Long Beach</v>
      </c>
      <c r="N247" s="1093"/>
      <c r="O247" s="1093"/>
      <c r="P247" s="1093"/>
      <c r="Q247" s="1093"/>
      <c r="R247" s="1093"/>
      <c r="S247" s="1093"/>
      <c r="T247" s="1093"/>
      <c r="V247" s="42" t="s">
        <v>372</v>
      </c>
      <c r="W247" s="1335" t="str">
        <f>W237</f>
        <v>CA</v>
      </c>
      <c r="X247" s="1335"/>
      <c r="Y247" s="5" t="s">
        <v>432</v>
      </c>
      <c r="AC247" s="1093">
        <f>AC237</f>
        <v>90807</v>
      </c>
      <c r="AD247" s="1093"/>
      <c r="AE247" s="1093"/>
      <c r="AN247" s="41"/>
    </row>
    <row r="248" spans="1:67" ht="12.9" customHeight="1">
      <c r="A248" s="28"/>
      <c r="B248" s="5"/>
      <c r="C248" s="5"/>
      <c r="D248" s="5" t="s">
        <v>373</v>
      </c>
      <c r="E248" s="5"/>
      <c r="F248" s="5"/>
      <c r="G248" s="5"/>
      <c r="H248" s="5"/>
      <c r="I248" s="5"/>
      <c r="J248" s="5"/>
      <c r="K248" s="5"/>
      <c r="L248" s="28"/>
      <c r="M248" s="1093" t="str">
        <f>M238</f>
        <v>Anders Plett</v>
      </c>
      <c r="N248" s="1093"/>
      <c r="O248" s="1093"/>
      <c r="P248" s="1093"/>
      <c r="Q248" s="1093"/>
      <c r="R248" s="1093"/>
      <c r="S248" s="1093"/>
      <c r="T248" s="1093"/>
      <c r="U248" s="1093"/>
      <c r="V248" s="1093"/>
      <c r="W248" s="1093"/>
      <c r="X248" s="1093"/>
      <c r="Y248" s="1093"/>
      <c r="Z248" s="1093"/>
      <c r="AA248" s="1093"/>
      <c r="AB248" s="1093"/>
      <c r="AC248" s="1093"/>
      <c r="AD248" s="1093"/>
      <c r="AE248" s="1093"/>
      <c r="AJ248" s="5"/>
      <c r="AK248" s="5"/>
      <c r="AL248" s="5"/>
      <c r="AN248" s="41"/>
    </row>
    <row r="249" spans="1:67" ht="12.9" customHeight="1">
      <c r="A249" s="28"/>
      <c r="B249" s="5"/>
      <c r="C249" s="5"/>
      <c r="D249" s="5" t="s">
        <v>374</v>
      </c>
      <c r="E249" s="5"/>
      <c r="F249" s="5"/>
      <c r="M249" s="1096" t="str">
        <f>M239</f>
        <v>562-684-1100</v>
      </c>
      <c r="N249" s="1096"/>
      <c r="O249" s="1096"/>
      <c r="P249" s="1096"/>
      <c r="Q249" s="1096"/>
      <c r="R249" s="1096"/>
      <c r="S249" s="5" t="s">
        <v>817</v>
      </c>
      <c r="T249" s="5"/>
      <c r="U249" s="1335"/>
      <c r="V249" s="1335"/>
      <c r="W249" s="1335"/>
      <c r="X249" s="5" t="s">
        <v>375</v>
      </c>
      <c r="Z249" s="1096"/>
      <c r="AA249" s="1096"/>
      <c r="AB249" s="1096"/>
      <c r="AC249" s="1096"/>
      <c r="AD249" s="1096"/>
      <c r="AE249" s="1096"/>
      <c r="AM249" s="5"/>
      <c r="AN249" s="41"/>
    </row>
    <row r="250" spans="1:67" ht="12.9" customHeight="1">
      <c r="A250" s="28"/>
      <c r="B250" s="5"/>
      <c r="C250" s="5"/>
      <c r="D250" s="5" t="s">
        <v>376</v>
      </c>
      <c r="E250" s="5"/>
      <c r="F250" s="5"/>
      <c r="M250" s="1098" t="str">
        <f>M240</f>
        <v>aplett@linchousing.org</v>
      </c>
      <c r="N250" s="1098"/>
      <c r="O250" s="1098"/>
      <c r="P250" s="1098"/>
      <c r="Q250" s="1098"/>
      <c r="R250" s="1098"/>
      <c r="S250" s="1098"/>
      <c r="T250" s="1098"/>
      <c r="U250" s="1098"/>
      <c r="V250" s="1098"/>
      <c r="W250" s="1098"/>
      <c r="X250" s="1098"/>
      <c r="Y250" s="1098"/>
      <c r="Z250" s="1098"/>
      <c r="AA250" s="1098"/>
      <c r="AB250" s="1098"/>
      <c r="AC250" s="1098"/>
      <c r="AD250" s="1098"/>
      <c r="AE250" s="1098"/>
      <c r="AG250" s="5"/>
      <c r="AH250" s="5"/>
      <c r="AI250" s="5"/>
      <c r="AJ250" s="5"/>
      <c r="AK250" s="5"/>
      <c r="AL250" s="5"/>
    </row>
    <row r="251" spans="1:67" ht="12.9" customHeight="1">
      <c r="A251" s="18"/>
      <c r="B251" s="5"/>
      <c r="C251" s="62"/>
      <c r="D251" s="5" t="s">
        <v>634</v>
      </c>
      <c r="E251" s="5"/>
      <c r="F251" s="5"/>
      <c r="G251" s="5"/>
      <c r="H251" s="5"/>
      <c r="I251" s="5"/>
      <c r="J251" s="5"/>
      <c r="K251" s="5"/>
      <c r="L251" s="5"/>
      <c r="M251" s="1065" t="s">
        <v>633</v>
      </c>
      <c r="N251" s="1065"/>
      <c r="O251" s="1065"/>
      <c r="P251" s="1065"/>
      <c r="Q251" s="1065"/>
      <c r="R251" s="1065"/>
      <c r="S251" s="1065"/>
      <c r="T251" s="1065"/>
      <c r="U251" s="5" t="s">
        <v>1143</v>
      </c>
      <c r="AA251" s="1095" t="str">
        <f>AA241</f>
        <v>Linc Housing Corporation</v>
      </c>
      <c r="AB251" s="1095"/>
      <c r="AC251" s="1095"/>
      <c r="AD251" s="1095"/>
      <c r="AE251" s="1095"/>
      <c r="AF251" s="1095"/>
      <c r="AG251" s="1095"/>
      <c r="AH251" s="1095"/>
      <c r="AI251" s="1095"/>
      <c r="AJ251" s="1095"/>
      <c r="AK251" s="109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1466</v>
      </c>
      <c r="D253" s="5" t="s">
        <v>1211</v>
      </c>
      <c r="E253" s="5"/>
      <c r="F253" s="5"/>
      <c r="G253" s="5"/>
      <c r="H253" s="5"/>
      <c r="I253" s="5"/>
      <c r="J253" s="5"/>
      <c r="K253" s="5"/>
      <c r="L253" s="5"/>
      <c r="M253" s="1341" t="s">
        <v>2394</v>
      </c>
      <c r="N253" s="1341"/>
      <c r="O253" s="1341"/>
      <c r="P253" s="1341"/>
      <c r="Q253" s="1341"/>
      <c r="R253" s="1341"/>
      <c r="S253" s="1341"/>
      <c r="T253" s="1341"/>
      <c r="U253" s="1341"/>
      <c r="V253" s="1341"/>
      <c r="W253" s="1341"/>
      <c r="X253" s="1341"/>
      <c r="Y253" s="1341"/>
      <c r="Z253" s="1341"/>
      <c r="AA253" s="1341"/>
      <c r="AB253" s="1341"/>
      <c r="AC253" s="1341"/>
      <c r="AD253" s="1341"/>
      <c r="AE253" s="1341"/>
      <c r="AF253" s="1345" t="s">
        <v>78</v>
      </c>
      <c r="AG253" s="1345"/>
      <c r="AH253" s="1345"/>
      <c r="AI253" s="1345"/>
      <c r="AJ253" s="1345"/>
      <c r="AK253" s="1345"/>
      <c r="AM253" s="5"/>
    </row>
    <row r="254" spans="1:67" ht="12.9" customHeight="1">
      <c r="A254" s="28"/>
      <c r="B254" s="5"/>
      <c r="C254" s="5"/>
      <c r="D254" s="5" t="s">
        <v>371</v>
      </c>
      <c r="E254" s="5"/>
      <c r="F254" s="5"/>
      <c r="G254" s="5"/>
      <c r="H254" s="5"/>
      <c r="I254" s="5"/>
      <c r="J254" s="5"/>
      <c r="K254" s="5"/>
      <c r="L254" s="5"/>
      <c r="M254" s="1093"/>
      <c r="N254" s="1093"/>
      <c r="O254" s="1093"/>
      <c r="P254" s="1093"/>
      <c r="Q254" s="1093"/>
      <c r="R254" s="1093"/>
      <c r="S254" s="1093"/>
      <c r="T254" s="1093"/>
      <c r="U254" s="1093"/>
      <c r="V254" s="1093"/>
      <c r="W254" s="1093"/>
      <c r="X254" s="1093"/>
      <c r="Y254" s="1093"/>
      <c r="Z254" s="1093"/>
      <c r="AA254" s="1093"/>
      <c r="AB254" s="1093"/>
      <c r="AC254" s="1093"/>
      <c r="AD254" s="1093"/>
      <c r="AE254" s="1093"/>
      <c r="AL254" s="5"/>
    </row>
    <row r="255" spans="1:67" ht="12.9" customHeight="1">
      <c r="A255" s="28"/>
      <c r="B255" s="5"/>
      <c r="C255" s="5"/>
      <c r="D255" s="5" t="s">
        <v>429</v>
      </c>
      <c r="E255" s="5"/>
      <c r="M255" s="1093"/>
      <c r="N255" s="1093"/>
      <c r="O255" s="1093"/>
      <c r="P255" s="1093"/>
      <c r="Q255" s="1093"/>
      <c r="R255" s="1093"/>
      <c r="S255" s="1093"/>
      <c r="T255" s="1093"/>
      <c r="V255" s="42" t="s">
        <v>372</v>
      </c>
      <c r="W255" s="1335"/>
      <c r="X255" s="1335"/>
      <c r="Y255" s="5" t="s">
        <v>432</v>
      </c>
      <c r="AC255" s="1093"/>
      <c r="AD255" s="1093"/>
      <c r="AE255" s="1093"/>
    </row>
    <row r="256" spans="1:67" ht="12.9" customHeight="1">
      <c r="A256" s="28"/>
      <c r="B256" s="5"/>
      <c r="C256" s="5"/>
      <c r="D256" s="5" t="s">
        <v>373</v>
      </c>
      <c r="E256" s="5"/>
      <c r="F256" s="5"/>
      <c r="G256" s="5"/>
      <c r="H256" s="5"/>
      <c r="I256" s="5"/>
      <c r="J256" s="5"/>
      <c r="K256" s="5"/>
      <c r="L256" s="28"/>
      <c r="M256" s="1093"/>
      <c r="N256" s="1093"/>
      <c r="O256" s="1093"/>
      <c r="P256" s="1093"/>
      <c r="Q256" s="1093"/>
      <c r="R256" s="1093"/>
      <c r="S256" s="1093"/>
      <c r="T256" s="1093"/>
      <c r="U256" s="1093"/>
      <c r="V256" s="1093"/>
      <c r="W256" s="1093"/>
      <c r="X256" s="1093"/>
      <c r="Y256" s="1093"/>
      <c r="Z256" s="1093"/>
      <c r="AA256" s="1093"/>
      <c r="AB256" s="1093"/>
      <c r="AC256" s="1093"/>
      <c r="AD256" s="1093"/>
      <c r="AE256" s="1093"/>
      <c r="AJ256" s="5"/>
      <c r="AK256" s="5"/>
      <c r="AL256" s="5"/>
    </row>
    <row r="257" spans="1:53" ht="12.9" customHeight="1">
      <c r="A257" s="28"/>
      <c r="B257" s="5"/>
      <c r="C257" s="5"/>
      <c r="D257" s="5" t="s">
        <v>374</v>
      </c>
      <c r="E257" s="5"/>
      <c r="F257" s="5"/>
      <c r="M257" s="1096"/>
      <c r="N257" s="1096"/>
      <c r="O257" s="1096"/>
      <c r="P257" s="1096"/>
      <c r="Q257" s="1096"/>
      <c r="R257" s="1096"/>
      <c r="S257" s="5" t="s">
        <v>817</v>
      </c>
      <c r="T257" s="5"/>
      <c r="U257" s="1335"/>
      <c r="V257" s="1335"/>
      <c r="W257" s="1335"/>
      <c r="X257" s="5" t="s">
        <v>375</v>
      </c>
      <c r="Z257" s="1096"/>
      <c r="AA257" s="1096"/>
      <c r="AB257" s="1096"/>
      <c r="AC257" s="1096"/>
      <c r="AD257" s="1096"/>
      <c r="AE257" s="1096"/>
      <c r="BA257" s="43"/>
    </row>
    <row r="258" spans="1:53" ht="12.9" customHeight="1">
      <c r="A258" s="28"/>
      <c r="B258" s="5"/>
      <c r="C258" s="5"/>
      <c r="D258" s="5" t="s">
        <v>376</v>
      </c>
      <c r="E258" s="5"/>
      <c r="F258" s="5"/>
      <c r="M258" s="1098"/>
      <c r="N258" s="1098"/>
      <c r="O258" s="1098"/>
      <c r="P258" s="1098"/>
      <c r="Q258" s="1098"/>
      <c r="R258" s="1098"/>
      <c r="S258" s="1098"/>
      <c r="T258" s="1098"/>
      <c r="U258" s="1098"/>
      <c r="V258" s="1098"/>
      <c r="W258" s="1098"/>
      <c r="X258" s="1098"/>
      <c r="Y258" s="1098"/>
      <c r="Z258" s="1098"/>
      <c r="AA258" s="1098"/>
      <c r="AB258" s="1098"/>
      <c r="AC258" s="1098"/>
      <c r="AD258" s="1098"/>
      <c r="AE258" s="1098"/>
      <c r="AG258" s="5"/>
      <c r="AH258" s="5"/>
      <c r="AI258" s="5"/>
      <c r="AJ258" s="5"/>
      <c r="AK258" s="5"/>
      <c r="AL258" s="5"/>
    </row>
    <row r="259" spans="1:53" ht="12.9" customHeight="1">
      <c r="A259" s="18"/>
      <c r="B259" s="5"/>
      <c r="C259" s="62"/>
      <c r="D259" s="5" t="s">
        <v>634</v>
      </c>
      <c r="E259" s="5"/>
      <c r="F259" s="5"/>
      <c r="G259" s="5"/>
      <c r="H259" s="5"/>
      <c r="I259" s="5"/>
      <c r="J259" s="5"/>
      <c r="K259" s="5"/>
      <c r="L259" s="5"/>
      <c r="M259" s="1065" t="s">
        <v>78</v>
      </c>
      <c r="N259" s="1065"/>
      <c r="O259" s="1065"/>
      <c r="P259" s="1065"/>
      <c r="Q259" s="1065"/>
      <c r="R259" s="1065"/>
      <c r="S259" s="1065"/>
      <c r="T259" s="1065"/>
      <c r="U259" s="5" t="s">
        <v>1143</v>
      </c>
      <c r="AA259" s="1095"/>
      <c r="AB259" s="1095"/>
      <c r="AC259" s="1095"/>
      <c r="AD259" s="1095"/>
      <c r="AE259" s="1095"/>
      <c r="AF259" s="1095"/>
      <c r="AG259" s="1095"/>
      <c r="AH259" s="1095"/>
      <c r="AI259" s="1095"/>
      <c r="AJ259" s="1095"/>
      <c r="AK259" s="109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1873</v>
      </c>
      <c r="D261" s="5" t="s">
        <v>631</v>
      </c>
      <c r="E261" s="5"/>
      <c r="F261" s="5"/>
      <c r="G261" s="5"/>
      <c r="H261" s="5"/>
      <c r="I261" s="5"/>
      <c r="J261" s="5"/>
      <c r="K261" s="5"/>
      <c r="L261" s="5"/>
      <c r="M261" s="1345" t="s">
        <v>2394</v>
      </c>
      <c r="N261" s="1345"/>
      <c r="O261" s="1345"/>
      <c r="P261" s="1345"/>
      <c r="Q261" s="1345"/>
      <c r="R261" s="1345"/>
      <c r="S261" s="1345"/>
      <c r="T261" s="1345"/>
      <c r="U261" s="1345"/>
      <c r="V261" s="1345"/>
      <c r="W261" s="1345"/>
      <c r="X261" s="1345"/>
      <c r="Y261" s="1345"/>
      <c r="Z261" s="1345"/>
      <c r="AA261" s="1345"/>
      <c r="AB261" s="1345"/>
      <c r="AC261" s="1345"/>
      <c r="AD261" s="1345"/>
      <c r="AE261" s="1345"/>
      <c r="AF261" s="1345" t="s">
        <v>78</v>
      </c>
      <c r="AG261" s="1345"/>
      <c r="AH261" s="1345"/>
      <c r="AI261" s="1345"/>
      <c r="AJ261" s="1345"/>
      <c r="AK261" s="1345"/>
      <c r="AL261" s="41"/>
    </row>
    <row r="262" spans="1:53" ht="12.9" customHeight="1">
      <c r="A262" s="18"/>
      <c r="B262" s="5"/>
      <c r="C262" s="5"/>
      <c r="D262" s="5" t="s">
        <v>371</v>
      </c>
      <c r="E262" s="5"/>
      <c r="F262" s="5"/>
      <c r="G262" s="5"/>
      <c r="H262" s="5"/>
      <c r="I262" s="5"/>
      <c r="J262" s="5"/>
      <c r="K262" s="5"/>
      <c r="L262" s="5"/>
      <c r="M262" s="1093"/>
      <c r="N262" s="1093"/>
      <c r="O262" s="1093"/>
      <c r="P262" s="1093"/>
      <c r="Q262" s="1093"/>
      <c r="R262" s="1093"/>
      <c r="S262" s="1093"/>
      <c r="T262" s="1093"/>
      <c r="U262" s="1093"/>
      <c r="V262" s="1093"/>
      <c r="W262" s="1093"/>
      <c r="X262" s="1093"/>
      <c r="Y262" s="1093"/>
      <c r="Z262" s="1093"/>
      <c r="AA262" s="1093"/>
      <c r="AB262" s="1093"/>
      <c r="AC262" s="1093"/>
      <c r="AD262" s="1093"/>
      <c r="AE262" s="1093"/>
      <c r="AL262" s="41"/>
      <c r="BA262" s="43"/>
    </row>
    <row r="263" spans="1:53" ht="12.9" customHeight="1">
      <c r="A263" s="18"/>
      <c r="B263" s="5"/>
      <c r="C263" s="5"/>
      <c r="D263" s="5" t="s">
        <v>429</v>
      </c>
      <c r="E263" s="5"/>
      <c r="M263" s="1093"/>
      <c r="N263" s="1093"/>
      <c r="O263" s="1093"/>
      <c r="P263" s="1093"/>
      <c r="Q263" s="1093"/>
      <c r="R263" s="1093"/>
      <c r="S263" s="1093"/>
      <c r="T263" s="1093"/>
      <c r="V263" s="42" t="s">
        <v>372</v>
      </c>
      <c r="W263" s="1335"/>
      <c r="X263" s="1335"/>
      <c r="Y263" s="5" t="s">
        <v>432</v>
      </c>
      <c r="AC263" s="1093"/>
      <c r="AD263" s="1093"/>
      <c r="AE263" s="1093"/>
      <c r="AL263" s="41"/>
      <c r="BA263" s="43"/>
    </row>
    <row r="264" spans="1:53" ht="12.9" customHeight="1">
      <c r="A264" s="18"/>
      <c r="B264" s="5"/>
      <c r="C264" s="5"/>
      <c r="D264" s="5" t="s">
        <v>373</v>
      </c>
      <c r="E264" s="5"/>
      <c r="F264" s="5"/>
      <c r="G264" s="5"/>
      <c r="H264" s="5"/>
      <c r="I264" s="5"/>
      <c r="J264" s="5"/>
      <c r="K264" s="5"/>
      <c r="L264" s="28"/>
      <c r="M264" s="1093"/>
      <c r="N264" s="1093"/>
      <c r="O264" s="1093"/>
      <c r="P264" s="1093"/>
      <c r="Q264" s="1093"/>
      <c r="R264" s="1093"/>
      <c r="S264" s="1093"/>
      <c r="T264" s="1093"/>
      <c r="U264" s="1093"/>
      <c r="V264" s="1093"/>
      <c r="W264" s="1093"/>
      <c r="X264" s="1093"/>
      <c r="Y264" s="1093"/>
      <c r="Z264" s="1093"/>
      <c r="AA264" s="1093"/>
      <c r="AB264" s="1093"/>
      <c r="AC264" s="1093"/>
      <c r="AD264" s="1093"/>
      <c r="AE264" s="1093"/>
      <c r="AJ264" s="5"/>
      <c r="AK264" s="5"/>
      <c r="AL264" s="41"/>
      <c r="BA264" s="43"/>
    </row>
    <row r="265" spans="1:53" ht="12.9" customHeight="1">
      <c r="A265" s="18"/>
      <c r="B265" s="5"/>
      <c r="C265" s="5"/>
      <c r="D265" s="5" t="s">
        <v>374</v>
      </c>
      <c r="E265" s="5"/>
      <c r="F265" s="5"/>
      <c r="M265" s="1096"/>
      <c r="N265" s="1096"/>
      <c r="O265" s="1096"/>
      <c r="P265" s="1096"/>
      <c r="Q265" s="1096"/>
      <c r="R265" s="1096"/>
      <c r="S265" s="5" t="s">
        <v>817</v>
      </c>
      <c r="T265" s="5"/>
      <c r="U265" s="1335"/>
      <c r="V265" s="1335"/>
      <c r="W265" s="1335"/>
      <c r="X265" s="5" t="s">
        <v>375</v>
      </c>
      <c r="Z265" s="1096"/>
      <c r="AA265" s="1096"/>
      <c r="AB265" s="1096"/>
      <c r="AC265" s="1096"/>
      <c r="AD265" s="1096"/>
      <c r="AE265" s="1096"/>
      <c r="AL265" s="41"/>
      <c r="BA265" s="43"/>
    </row>
    <row r="266" spans="1:53" ht="12.9" customHeight="1">
      <c r="A266" s="18"/>
      <c r="B266" s="5"/>
      <c r="C266" s="5"/>
      <c r="D266" s="5" t="s">
        <v>376</v>
      </c>
      <c r="E266" s="5"/>
      <c r="F266" s="5"/>
      <c r="M266" s="1098"/>
      <c r="N266" s="1098"/>
      <c r="O266" s="1098"/>
      <c r="P266" s="1098"/>
      <c r="Q266" s="1098"/>
      <c r="R266" s="1098"/>
      <c r="S266" s="1098"/>
      <c r="T266" s="1098"/>
      <c r="U266" s="1098"/>
      <c r="V266" s="1098"/>
      <c r="W266" s="1098"/>
      <c r="X266" s="1098"/>
      <c r="Y266" s="1098"/>
      <c r="Z266" s="1098"/>
      <c r="AA266" s="1098"/>
      <c r="AB266" s="1098"/>
      <c r="AC266" s="1098"/>
      <c r="AD266" s="1098"/>
      <c r="AE266" s="1098"/>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65" t="s">
        <v>78</v>
      </c>
      <c r="N267" s="1065"/>
      <c r="O267" s="1065"/>
      <c r="P267" s="1065"/>
      <c r="Q267" s="1065"/>
      <c r="R267" s="1065"/>
      <c r="S267" s="1065"/>
      <c r="T267" s="1065"/>
      <c r="U267" s="5" t="s">
        <v>1143</v>
      </c>
      <c r="AA267" s="1095"/>
      <c r="AB267" s="1095"/>
      <c r="AC267" s="1095"/>
      <c r="AD267" s="1095"/>
      <c r="AE267" s="1095"/>
      <c r="AF267" s="1095"/>
      <c r="AG267" s="1095"/>
      <c r="AH267" s="1095"/>
      <c r="AI267" s="1095"/>
      <c r="AJ267" s="1095"/>
      <c r="AK267" s="1095"/>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097" t="str">
        <f>BO245</f>
        <v>Nonprofit</v>
      </c>
      <c r="U269" s="1097"/>
      <c r="V269" s="1097"/>
      <c r="W269" s="1097"/>
      <c r="X269" s="1097"/>
      <c r="Z269" s="471" t="s">
        <v>1212</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 customHeight="1">
      <c r="A272" s="5"/>
      <c r="B272" s="45">
        <v>0</v>
      </c>
      <c r="C272"/>
      <c r="D272" s="1093" t="s">
        <v>891</v>
      </c>
      <c r="E272" s="1093"/>
      <c r="F272" s="1093"/>
      <c r="G272" s="1093"/>
      <c r="H272" s="1093"/>
      <c r="J272" t="s">
        <v>890</v>
      </c>
      <c r="X272" s="1364"/>
      <c r="Y272" s="1364"/>
      <c r="Z272" s="1364"/>
      <c r="AA272" s="1364"/>
      <c r="AB272" s="1364"/>
      <c r="AC272" s="1364"/>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345" t="s">
        <v>2349</v>
      </c>
      <c r="M276" s="1345"/>
      <c r="N276" s="1345"/>
      <c r="O276" s="1345"/>
      <c r="P276" s="1345"/>
      <c r="Q276" s="1345"/>
      <c r="R276" s="1345"/>
      <c r="S276" s="1345"/>
      <c r="T276" s="1345"/>
      <c r="U276" s="1345"/>
      <c r="V276" s="1345"/>
      <c r="W276" s="1345"/>
      <c r="X276" s="1345"/>
      <c r="Y276" s="1345"/>
      <c r="Z276" s="1345"/>
      <c r="AA276" s="1345"/>
      <c r="AB276" s="1345"/>
      <c r="AC276" s="1345"/>
      <c r="AD276" s="1345"/>
      <c r="AE276" s="1345"/>
      <c r="AF276" s="1345"/>
      <c r="AG276" s="1345"/>
      <c r="AH276" s="1345"/>
      <c r="AI276" s="1345"/>
      <c r="AJ276" s="1345"/>
      <c r="AK276" s="41"/>
      <c r="AL276" s="41"/>
      <c r="BA276" s="43"/>
    </row>
    <row r="277" spans="1:53" ht="12.9" customHeight="1">
      <c r="C277"/>
      <c r="D277" s="5" t="s">
        <v>371</v>
      </c>
      <c r="E277" s="5"/>
      <c r="F277" s="5"/>
      <c r="G277" s="5"/>
      <c r="H277" s="5"/>
      <c r="I277" s="5"/>
      <c r="J277" s="5"/>
      <c r="K277" s="5"/>
      <c r="L277" s="1093" t="str">
        <f>M236</f>
        <v>3590 Elm Avenue</v>
      </c>
      <c r="M277" s="1093"/>
      <c r="N277" s="1093"/>
      <c r="O277" s="1093"/>
      <c r="P277" s="1093"/>
      <c r="Q277" s="1093"/>
      <c r="R277" s="1093"/>
      <c r="S277" s="1093"/>
      <c r="T277" s="1093"/>
      <c r="U277" s="1093"/>
      <c r="V277" s="1093"/>
      <c r="W277" s="1093"/>
      <c r="X277" s="1093"/>
      <c r="Y277" s="1093"/>
      <c r="Z277" s="1093"/>
      <c r="AA277" s="1093"/>
      <c r="AB277" s="1093"/>
      <c r="AC277" s="1093"/>
      <c r="AD277" s="1093"/>
      <c r="AK277" s="41"/>
      <c r="AL277" s="41"/>
      <c r="BA277" s="43"/>
    </row>
    <row r="278" spans="1:53" ht="12.9" customHeight="1">
      <c r="C278"/>
      <c r="D278" s="5" t="s">
        <v>429</v>
      </c>
      <c r="E278" s="5"/>
      <c r="L278" s="1093" t="str">
        <f>M237</f>
        <v>Long Beach</v>
      </c>
      <c r="M278" s="1093"/>
      <c r="N278" s="1093"/>
      <c r="O278" s="1093"/>
      <c r="P278" s="1093"/>
      <c r="Q278" s="1093"/>
      <c r="R278" s="1093"/>
      <c r="S278" s="1093"/>
      <c r="U278" s="42" t="s">
        <v>372</v>
      </c>
      <c r="V278" s="1336" t="s">
        <v>2346</v>
      </c>
      <c r="W278" s="1335"/>
      <c r="X278" s="5" t="s">
        <v>432</v>
      </c>
      <c r="AB278" s="1093">
        <v>90807</v>
      </c>
      <c r="AC278" s="1093"/>
      <c r="AD278" s="1093"/>
      <c r="AK278" s="41"/>
      <c r="AL278" s="41"/>
      <c r="BA278" s="43"/>
    </row>
    <row r="279" spans="1:53" ht="12.9" customHeight="1">
      <c r="C279"/>
      <c r="D279" s="5" t="s">
        <v>373</v>
      </c>
      <c r="E279" s="5"/>
      <c r="F279" s="5"/>
      <c r="G279" s="5"/>
      <c r="H279" s="5"/>
      <c r="I279" s="5"/>
      <c r="J279" s="5"/>
      <c r="K279" s="28"/>
      <c r="L279" s="1093" t="s">
        <v>2352</v>
      </c>
      <c r="M279" s="1093"/>
      <c r="N279" s="1093"/>
      <c r="O279" s="1093"/>
      <c r="P279" s="1093"/>
      <c r="Q279" s="1093"/>
      <c r="R279" s="1093"/>
      <c r="S279" s="1093"/>
      <c r="T279" s="1093"/>
      <c r="U279" s="1093"/>
      <c r="V279" s="1093"/>
      <c r="W279" s="1093"/>
      <c r="X279" s="1093"/>
      <c r="Y279" s="1093"/>
      <c r="Z279" s="1093"/>
      <c r="AA279" s="1093"/>
      <c r="AB279" s="1093"/>
      <c r="AC279" s="1093"/>
      <c r="AD279" s="1093"/>
      <c r="AI279" s="5"/>
      <c r="AJ279" s="5"/>
      <c r="AK279" s="41"/>
      <c r="AL279" s="41"/>
      <c r="BA279" s="43"/>
    </row>
    <row r="280" spans="1:53" ht="12.9" customHeight="1">
      <c r="C280"/>
      <c r="D280" s="5" t="s">
        <v>374</v>
      </c>
      <c r="E280" s="5"/>
      <c r="F280" s="5"/>
      <c r="L280" s="1064" t="s">
        <v>2490</v>
      </c>
      <c r="M280" s="1096"/>
      <c r="N280" s="1096"/>
      <c r="O280" s="1096"/>
      <c r="P280" s="1096"/>
      <c r="Q280" s="1096"/>
      <c r="R280" s="5" t="s">
        <v>817</v>
      </c>
      <c r="S280" s="5"/>
      <c r="T280" s="1335"/>
      <c r="U280" s="1335"/>
      <c r="V280" s="1335"/>
      <c r="W280" s="5" t="s">
        <v>375</v>
      </c>
      <c r="Y280" s="1096"/>
      <c r="Z280" s="1096"/>
      <c r="AA280" s="1096"/>
      <c r="AB280" s="1096"/>
      <c r="AC280" s="1096"/>
      <c r="AD280" s="1096"/>
      <c r="BA280" s="43"/>
    </row>
    <row r="281" spans="1:53" ht="12.9" customHeight="1">
      <c r="C281"/>
      <c r="D281" s="5" t="s">
        <v>376</v>
      </c>
      <c r="E281" s="5"/>
      <c r="F281" s="5"/>
      <c r="L281" s="1098" t="s">
        <v>2353</v>
      </c>
      <c r="M281" s="1098"/>
      <c r="N281" s="1098"/>
      <c r="O281" s="1098"/>
      <c r="P281" s="1098"/>
      <c r="Q281" s="1098"/>
      <c r="R281" s="1098"/>
      <c r="S281" s="1098"/>
      <c r="T281" s="1098"/>
      <c r="U281" s="1098"/>
      <c r="V281" s="1098"/>
      <c r="W281" s="1098"/>
      <c r="X281" s="1098"/>
      <c r="Y281" s="1098"/>
      <c r="Z281" s="1098"/>
      <c r="AA281" s="1098"/>
      <c r="AB281" s="1098"/>
      <c r="AC281" s="1098"/>
      <c r="AD281" s="1098"/>
      <c r="AF281" s="5"/>
      <c r="AG281" s="5"/>
      <c r="AH281" s="5"/>
      <c r="AI281" s="5"/>
      <c r="AJ281" s="5"/>
      <c r="BA281" s="43"/>
    </row>
    <row r="282" spans="1:53" ht="12.9" customHeight="1">
      <c r="C282"/>
      <c r="D282" s="41" t="s">
        <v>185</v>
      </c>
      <c r="E282" s="41"/>
      <c r="F282" s="41"/>
      <c r="G282" s="41"/>
      <c r="H282" s="41"/>
      <c r="I282" s="41"/>
      <c r="L282" s="1336" t="s">
        <v>2354</v>
      </c>
      <c r="M282" s="1336"/>
      <c r="N282" s="1336"/>
      <c r="O282" s="1336"/>
      <c r="P282" s="1336"/>
      <c r="Q282" s="1336"/>
      <c r="R282" s="1336"/>
      <c r="S282" s="1336"/>
      <c r="T282" s="1336"/>
      <c r="U282" s="1336"/>
      <c r="V282" s="1336"/>
      <c r="W282" s="1336"/>
      <c r="X282" s="1336"/>
      <c r="Y282" s="1336"/>
      <c r="Z282" s="1336"/>
      <c r="AA282" s="1336"/>
      <c r="AB282" s="1336"/>
      <c r="AC282" s="1336"/>
      <c r="AD282" s="1336"/>
      <c r="AK282" s="41"/>
      <c r="AL282" s="41"/>
      <c r="BA282" s="43"/>
    </row>
    <row r="283" spans="1:53" ht="12.9" customHeight="1">
      <c r="C283"/>
      <c r="L283" s="4" t="s">
        <v>186</v>
      </c>
      <c r="BA283" s="43"/>
    </row>
    <row r="284" spans="1:53" ht="12.9" customHeight="1">
      <c r="A284" s="1094" t="s">
        <v>495</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2.9"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66" t="s">
        <v>2349</v>
      </c>
      <c r="I289" s="1066"/>
      <c r="J289" s="1066"/>
      <c r="K289" s="1066"/>
      <c r="L289" s="1066"/>
      <c r="M289" s="1066"/>
      <c r="N289" s="1066"/>
      <c r="O289" s="1066"/>
      <c r="P289" s="1066"/>
      <c r="Q289" s="1066"/>
      <c r="R289" s="1066"/>
      <c r="T289" s="41" t="s">
        <v>744</v>
      </c>
      <c r="V289" s="41"/>
      <c r="W289" s="41"/>
      <c r="X289" s="41"/>
      <c r="Y289" s="41"/>
      <c r="AA289" s="1066" t="s">
        <v>2356</v>
      </c>
      <c r="AB289" s="1066"/>
      <c r="AC289" s="1066"/>
      <c r="AD289" s="1066"/>
      <c r="AE289" s="1066"/>
      <c r="AF289" s="1066"/>
      <c r="AG289" s="1066"/>
      <c r="AH289" s="1066"/>
      <c r="AI289" s="1066"/>
      <c r="AJ289" s="1066"/>
      <c r="AK289" s="1066"/>
      <c r="BA289" s="43"/>
    </row>
    <row r="290" spans="2:53" ht="12.9" customHeight="1">
      <c r="B290" s="41" t="s">
        <v>698</v>
      </c>
      <c r="C290" s="41"/>
      <c r="D290" s="41"/>
      <c r="E290" s="41"/>
      <c r="F290" s="41"/>
      <c r="H290" s="1065" t="s">
        <v>2345</v>
      </c>
      <c r="I290" s="1065"/>
      <c r="J290" s="1065"/>
      <c r="K290" s="1065"/>
      <c r="L290" s="1065"/>
      <c r="M290" s="1065"/>
      <c r="N290" s="1065"/>
      <c r="O290" s="1065"/>
      <c r="P290" s="1065"/>
      <c r="Q290" s="1065"/>
      <c r="R290" s="1065"/>
      <c r="T290" s="41" t="s">
        <v>698</v>
      </c>
      <c r="V290" s="41"/>
      <c r="W290" s="41"/>
      <c r="X290" s="41"/>
      <c r="Y290" s="41"/>
      <c r="AA290" s="1065" t="s">
        <v>2357</v>
      </c>
      <c r="AB290" s="1065"/>
      <c r="AC290" s="1065"/>
      <c r="AD290" s="1065"/>
      <c r="AE290" s="1065"/>
      <c r="AF290" s="1065"/>
      <c r="AG290" s="1065"/>
      <c r="AH290" s="1065"/>
      <c r="AI290" s="1065"/>
      <c r="AJ290" s="1065"/>
      <c r="AK290" s="1065"/>
      <c r="BA290" s="43"/>
    </row>
    <row r="291" spans="2:53" ht="12.9" customHeight="1">
      <c r="B291" s="41" t="s">
        <v>700</v>
      </c>
      <c r="C291" s="41"/>
      <c r="D291" s="41"/>
      <c r="E291" s="41"/>
      <c r="F291" s="41"/>
      <c r="H291" s="1065" t="s">
        <v>2355</v>
      </c>
      <c r="I291" s="1065"/>
      <c r="J291" s="1065"/>
      <c r="K291" s="1065"/>
      <c r="L291" s="1065"/>
      <c r="M291" s="1065"/>
      <c r="N291" s="1065"/>
      <c r="O291" s="1065"/>
      <c r="P291" s="1065"/>
      <c r="Q291" s="1065"/>
      <c r="R291" s="1065"/>
      <c r="T291" s="41" t="s">
        <v>699</v>
      </c>
      <c r="V291" s="41"/>
      <c r="W291" s="41"/>
      <c r="X291" s="41"/>
      <c r="Y291" s="41"/>
      <c r="AA291" s="1065" t="s">
        <v>2358</v>
      </c>
      <c r="AB291" s="1065"/>
      <c r="AC291" s="1065"/>
      <c r="AD291" s="1065"/>
      <c r="AE291" s="1065"/>
      <c r="AF291" s="1065"/>
      <c r="AG291" s="1065"/>
      <c r="AH291" s="1065"/>
      <c r="AI291" s="1065"/>
      <c r="AJ291" s="1065"/>
      <c r="AK291" s="1065"/>
      <c r="BA291" s="43"/>
    </row>
    <row r="292" spans="2:53" ht="12.9" customHeight="1">
      <c r="B292" s="41" t="s">
        <v>373</v>
      </c>
      <c r="C292" s="41"/>
      <c r="D292" s="41"/>
      <c r="E292" s="41"/>
      <c r="F292" s="41"/>
      <c r="H292" s="1065" t="str">
        <f>M238</f>
        <v>Anders Plett</v>
      </c>
      <c r="I292" s="1065"/>
      <c r="J292" s="1065"/>
      <c r="K292" s="1065"/>
      <c r="L292" s="1065"/>
      <c r="M292" s="1065"/>
      <c r="N292" s="1065"/>
      <c r="O292" s="1065"/>
      <c r="P292" s="1065"/>
      <c r="Q292" s="1065"/>
      <c r="R292" s="1065"/>
      <c r="T292" s="41" t="s">
        <v>373</v>
      </c>
      <c r="V292" s="41"/>
      <c r="W292" s="41"/>
      <c r="X292" s="41"/>
      <c r="Y292" s="41"/>
      <c r="AA292" s="1065" t="s">
        <v>2359</v>
      </c>
      <c r="AB292" s="1065"/>
      <c r="AC292" s="1065"/>
      <c r="AD292" s="1065"/>
      <c r="AE292" s="1065"/>
      <c r="AF292" s="1065"/>
      <c r="AG292" s="1065"/>
      <c r="AH292" s="1065"/>
      <c r="AI292" s="1065"/>
      <c r="AJ292" s="1065"/>
      <c r="AK292" s="1065"/>
      <c r="BA292" s="43"/>
    </row>
    <row r="293" spans="2:53" ht="12.9" customHeight="1">
      <c r="B293" s="41" t="s">
        <v>374</v>
      </c>
      <c r="C293" s="41"/>
      <c r="D293" s="41"/>
      <c r="E293" s="41"/>
      <c r="F293" s="41"/>
      <c r="G293" s="41"/>
      <c r="H293" s="1095" t="s">
        <v>2347</v>
      </c>
      <c r="I293" s="1095"/>
      <c r="J293" s="1095"/>
      <c r="K293" s="1095"/>
      <c r="L293" s="1095"/>
      <c r="M293" s="1095"/>
      <c r="N293" s="5" t="s">
        <v>817</v>
      </c>
      <c r="O293" s="5"/>
      <c r="P293" s="1093"/>
      <c r="Q293" s="1093"/>
      <c r="R293" s="1093"/>
      <c r="S293" s="41"/>
      <c r="T293" s="41" t="s">
        <v>374</v>
      </c>
      <c r="V293" s="41"/>
      <c r="W293" s="41"/>
      <c r="X293" s="41"/>
      <c r="Y293" s="41"/>
      <c r="AA293" s="1095" t="s">
        <v>2360</v>
      </c>
      <c r="AB293" s="1095"/>
      <c r="AC293" s="1095"/>
      <c r="AD293" s="1095"/>
      <c r="AE293" s="1095"/>
      <c r="AF293" s="1095"/>
      <c r="AG293" s="5" t="s">
        <v>817</v>
      </c>
      <c r="AH293" s="5"/>
      <c r="AI293" s="1093"/>
      <c r="AJ293" s="1093"/>
      <c r="AK293" s="1093"/>
      <c r="BA293" s="43"/>
    </row>
    <row r="294" spans="2:53" ht="12.9" customHeight="1">
      <c r="B294" s="41" t="s">
        <v>375</v>
      </c>
      <c r="C294" s="41"/>
      <c r="D294" s="41"/>
      <c r="E294" s="41"/>
      <c r="F294" s="41"/>
      <c r="G294" s="41"/>
      <c r="H294" s="1096" t="s">
        <v>123</v>
      </c>
      <c r="I294" s="1096"/>
      <c r="J294" s="1096"/>
      <c r="K294" s="1096"/>
      <c r="L294" s="1096"/>
      <c r="M294" s="1096"/>
      <c r="N294" s="5"/>
      <c r="O294" s="5"/>
      <c r="P294" s="44"/>
      <c r="Q294" s="44"/>
      <c r="R294" s="44"/>
      <c r="S294" s="41"/>
      <c r="T294" s="41" t="s">
        <v>375</v>
      </c>
      <c r="V294" s="41"/>
      <c r="W294" s="41"/>
      <c r="X294" s="41"/>
      <c r="Y294" s="41"/>
      <c r="AA294" s="1096" t="s">
        <v>123</v>
      </c>
      <c r="AB294" s="1096"/>
      <c r="AC294" s="1096"/>
      <c r="AD294" s="1096"/>
      <c r="AE294" s="1096"/>
      <c r="AF294" s="1096"/>
      <c r="AG294" s="5"/>
      <c r="AH294" s="5"/>
      <c r="AI294" s="44"/>
      <c r="AJ294" s="44"/>
      <c r="AK294" s="44"/>
      <c r="BA294" s="43"/>
    </row>
    <row r="295" spans="2:53" ht="12.9" customHeight="1">
      <c r="B295" s="41" t="s">
        <v>701</v>
      </c>
      <c r="C295" s="41"/>
      <c r="D295" s="41"/>
      <c r="E295" s="41"/>
      <c r="F295" s="41"/>
      <c r="G295" s="41"/>
      <c r="H295" s="1065" t="str">
        <f>M240</f>
        <v>aplett@linchousing.org</v>
      </c>
      <c r="I295" s="1065"/>
      <c r="J295" s="1065"/>
      <c r="K295" s="1065"/>
      <c r="L295" s="1065"/>
      <c r="M295" s="1065"/>
      <c r="N295" s="1066"/>
      <c r="O295" s="1066"/>
      <c r="P295" s="1066"/>
      <c r="Q295" s="1066"/>
      <c r="R295" s="1066"/>
      <c r="S295" s="41"/>
      <c r="T295" s="41" t="s">
        <v>701</v>
      </c>
      <c r="V295" s="41"/>
      <c r="W295" s="41"/>
      <c r="X295" s="41"/>
      <c r="Y295" s="41"/>
      <c r="AA295" s="1065" t="s">
        <v>2361</v>
      </c>
      <c r="AB295" s="1065"/>
      <c r="AC295" s="1065"/>
      <c r="AD295" s="1065"/>
      <c r="AE295" s="1065"/>
      <c r="AF295" s="1065"/>
      <c r="AG295" s="1066"/>
      <c r="AH295" s="1066"/>
      <c r="AI295" s="1066"/>
      <c r="AJ295" s="1066"/>
      <c r="AK295" s="106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066" t="s">
        <v>2362</v>
      </c>
      <c r="I297" s="1066"/>
      <c r="J297" s="1066"/>
      <c r="K297" s="1066"/>
      <c r="L297" s="1066"/>
      <c r="M297" s="1066"/>
      <c r="N297" s="1066"/>
      <c r="O297" s="1066"/>
      <c r="P297" s="1066"/>
      <c r="Q297" s="1066"/>
      <c r="R297" s="1066"/>
      <c r="T297" s="41" t="s">
        <v>35</v>
      </c>
      <c r="V297" s="41"/>
      <c r="W297" s="41"/>
      <c r="X297" s="41"/>
      <c r="Y297" s="41"/>
      <c r="AA297" s="1066" t="s">
        <v>2368</v>
      </c>
      <c r="AB297" s="1066"/>
      <c r="AC297" s="1066"/>
      <c r="AD297" s="1066"/>
      <c r="AE297" s="1066"/>
      <c r="AF297" s="1066"/>
      <c r="AG297" s="1066"/>
      <c r="AH297" s="1066"/>
      <c r="AI297" s="1066"/>
      <c r="AJ297" s="1066"/>
      <c r="AK297" s="1066"/>
      <c r="BA297" s="43"/>
    </row>
    <row r="298" spans="2:53" ht="12.9" customHeight="1">
      <c r="B298" s="41" t="s">
        <v>698</v>
      </c>
      <c r="C298" s="41"/>
      <c r="D298" s="41"/>
      <c r="E298" s="41"/>
      <c r="F298" s="41"/>
      <c r="H298" s="1065" t="s">
        <v>2363</v>
      </c>
      <c r="I298" s="1065"/>
      <c r="J298" s="1065"/>
      <c r="K298" s="1065"/>
      <c r="L298" s="1065"/>
      <c r="M298" s="1065"/>
      <c r="N298" s="1065"/>
      <c r="O298" s="1065"/>
      <c r="P298" s="1065"/>
      <c r="Q298" s="1065"/>
      <c r="R298" s="1065"/>
      <c r="T298" s="41" t="s">
        <v>698</v>
      </c>
      <c r="V298" s="41"/>
      <c r="W298" s="41"/>
      <c r="X298" s="41"/>
      <c r="Y298" s="41"/>
      <c r="AA298" s="1065"/>
      <c r="AB298" s="1065"/>
      <c r="AC298" s="1065"/>
      <c r="AD298" s="1065"/>
      <c r="AE298" s="1065"/>
      <c r="AF298" s="1065"/>
      <c r="AG298" s="1065"/>
      <c r="AH298" s="1065"/>
      <c r="AI298" s="1065"/>
      <c r="AJ298" s="1065"/>
      <c r="AK298" s="1065"/>
      <c r="BA298" s="43"/>
    </row>
    <row r="299" spans="2:53" ht="12.9" customHeight="1">
      <c r="B299" s="41" t="s">
        <v>700</v>
      </c>
      <c r="C299" s="41"/>
      <c r="D299" s="41"/>
      <c r="E299" s="41"/>
      <c r="F299" s="41"/>
      <c r="H299" s="1065" t="s">
        <v>2364</v>
      </c>
      <c r="I299" s="1065"/>
      <c r="J299" s="1065"/>
      <c r="K299" s="1065"/>
      <c r="L299" s="1065"/>
      <c r="M299" s="1065"/>
      <c r="N299" s="1065"/>
      <c r="O299" s="1065"/>
      <c r="P299" s="1065"/>
      <c r="Q299" s="1065"/>
      <c r="R299" s="1065"/>
      <c r="T299" s="41" t="s">
        <v>699</v>
      </c>
      <c r="V299" s="41"/>
      <c r="W299" s="41"/>
      <c r="X299" s="41"/>
      <c r="Y299" s="41"/>
      <c r="AA299" s="1065"/>
      <c r="AB299" s="1065"/>
      <c r="AC299" s="1065"/>
      <c r="AD299" s="1065"/>
      <c r="AE299" s="1065"/>
      <c r="AF299" s="1065"/>
      <c r="AG299" s="1065"/>
      <c r="AH299" s="1065"/>
      <c r="AI299" s="1065"/>
      <c r="AJ299" s="1065"/>
      <c r="AK299" s="1065"/>
      <c r="BA299" s="43"/>
    </row>
    <row r="300" spans="2:53" ht="12.9" customHeight="1">
      <c r="B300" s="41" t="s">
        <v>373</v>
      </c>
      <c r="C300" s="41"/>
      <c r="D300" s="41"/>
      <c r="E300" s="41"/>
      <c r="F300" s="41"/>
      <c r="H300" s="1065" t="s">
        <v>2365</v>
      </c>
      <c r="I300" s="1065"/>
      <c r="J300" s="1065"/>
      <c r="K300" s="1065"/>
      <c r="L300" s="1065"/>
      <c r="M300" s="1065"/>
      <c r="N300" s="1065"/>
      <c r="O300" s="1065"/>
      <c r="P300" s="1065"/>
      <c r="Q300" s="1065"/>
      <c r="R300" s="1065"/>
      <c r="T300" s="41" t="s">
        <v>373</v>
      </c>
      <c r="V300" s="41"/>
      <c r="W300" s="41"/>
      <c r="X300" s="41"/>
      <c r="Y300" s="41"/>
      <c r="AA300" s="1065"/>
      <c r="AB300" s="1065"/>
      <c r="AC300" s="1065"/>
      <c r="AD300" s="1065"/>
      <c r="AE300" s="1065"/>
      <c r="AF300" s="1065"/>
      <c r="AG300" s="1065"/>
      <c r="AH300" s="1065"/>
      <c r="AI300" s="1065"/>
      <c r="AJ300" s="1065"/>
      <c r="AK300" s="1065"/>
      <c r="BA300" s="43"/>
    </row>
    <row r="301" spans="2:53" ht="12.9" customHeight="1">
      <c r="B301" s="41" t="s">
        <v>374</v>
      </c>
      <c r="C301" s="41"/>
      <c r="D301" s="41"/>
      <c r="E301" s="41"/>
      <c r="F301" s="41"/>
      <c r="G301" s="41"/>
      <c r="H301" s="1095" t="s">
        <v>2366</v>
      </c>
      <c r="I301" s="1095"/>
      <c r="J301" s="1095"/>
      <c r="K301" s="1095"/>
      <c r="L301" s="1095"/>
      <c r="M301" s="1095"/>
      <c r="N301" s="5" t="s">
        <v>817</v>
      </c>
      <c r="O301" s="5"/>
      <c r="P301" s="1093"/>
      <c r="Q301" s="1093"/>
      <c r="R301" s="1093"/>
      <c r="S301" s="41"/>
      <c r="T301" s="41" t="s">
        <v>374</v>
      </c>
      <c r="V301" s="41"/>
      <c r="W301" s="41"/>
      <c r="X301" s="41"/>
      <c r="Y301" s="41"/>
      <c r="AA301" s="1095"/>
      <c r="AB301" s="1095"/>
      <c r="AC301" s="1095"/>
      <c r="AD301" s="1095"/>
      <c r="AE301" s="1095"/>
      <c r="AF301" s="1095"/>
      <c r="AG301" s="5" t="s">
        <v>817</v>
      </c>
      <c r="AH301" s="5"/>
      <c r="AI301" s="1093"/>
      <c r="AJ301" s="1093"/>
      <c r="AK301" s="1093"/>
      <c r="BA301" s="43"/>
    </row>
    <row r="302" spans="2:53" ht="12.9" customHeight="1">
      <c r="B302" s="41" t="s">
        <v>375</v>
      </c>
      <c r="C302" s="41"/>
      <c r="D302" s="41"/>
      <c r="E302" s="41"/>
      <c r="F302" s="41"/>
      <c r="G302" s="41"/>
      <c r="H302" s="1096" t="s">
        <v>123</v>
      </c>
      <c r="I302" s="1096"/>
      <c r="J302" s="1096"/>
      <c r="K302" s="1096"/>
      <c r="L302" s="1096"/>
      <c r="M302" s="1096"/>
      <c r="N302" s="5"/>
      <c r="O302" s="5"/>
      <c r="P302" s="44"/>
      <c r="Q302" s="44"/>
      <c r="R302" s="44"/>
      <c r="S302" s="41"/>
      <c r="T302" s="41" t="s">
        <v>375</v>
      </c>
      <c r="V302" s="41"/>
      <c r="W302" s="41"/>
      <c r="X302" s="41"/>
      <c r="Y302" s="41"/>
      <c r="AA302" s="1096"/>
      <c r="AB302" s="1096"/>
      <c r="AC302" s="1096"/>
      <c r="AD302" s="1096"/>
      <c r="AE302" s="1096"/>
      <c r="AF302" s="1096"/>
      <c r="AG302" s="5"/>
      <c r="AH302" s="5"/>
      <c r="AI302" s="44"/>
      <c r="AJ302" s="44"/>
      <c r="AK302" s="44"/>
      <c r="BA302" s="43"/>
    </row>
    <row r="303" spans="2:53" ht="12.9" customHeight="1">
      <c r="B303" s="41" t="s">
        <v>701</v>
      </c>
      <c r="C303" s="41"/>
      <c r="D303" s="41"/>
      <c r="E303" s="41"/>
      <c r="F303" s="41"/>
      <c r="G303" s="41"/>
      <c r="H303" s="1065" t="s">
        <v>2367</v>
      </c>
      <c r="I303" s="1065"/>
      <c r="J303" s="1065"/>
      <c r="K303" s="1065"/>
      <c r="L303" s="1065"/>
      <c r="M303" s="1065"/>
      <c r="N303" s="1066"/>
      <c r="O303" s="1066"/>
      <c r="P303" s="1066"/>
      <c r="Q303" s="1066"/>
      <c r="R303" s="1066"/>
      <c r="S303" s="41"/>
      <c r="T303" s="41" t="s">
        <v>701</v>
      </c>
      <c r="V303" s="41"/>
      <c r="W303" s="41"/>
      <c r="X303" s="41"/>
      <c r="Y303" s="41"/>
      <c r="AA303" s="1065"/>
      <c r="AB303" s="1065"/>
      <c r="AC303" s="1065"/>
      <c r="AD303" s="1065"/>
      <c r="AE303" s="1065"/>
      <c r="AF303" s="1065"/>
      <c r="AG303" s="1066"/>
      <c r="AH303" s="1066"/>
      <c r="AI303" s="1066"/>
      <c r="AJ303" s="1066"/>
      <c r="AK303" s="1066"/>
      <c r="BA303" s="43"/>
    </row>
    <row r="304" spans="2:53" ht="12.9" customHeight="1">
      <c r="C304"/>
      <c r="BA304" s="43"/>
    </row>
    <row r="305" spans="2:53" ht="12.9" customHeight="1">
      <c r="B305" s="41" t="s">
        <v>702</v>
      </c>
      <c r="C305" s="41"/>
      <c r="D305" s="41"/>
      <c r="E305" s="41"/>
      <c r="F305" s="41"/>
      <c r="H305" s="1066" t="s">
        <v>2362</v>
      </c>
      <c r="I305" s="1066"/>
      <c r="J305" s="1066"/>
      <c r="K305" s="1066"/>
      <c r="L305" s="1066"/>
      <c r="M305" s="1066"/>
      <c r="N305" s="1066"/>
      <c r="O305" s="1066"/>
      <c r="P305" s="1066"/>
      <c r="Q305" s="1066"/>
      <c r="R305" s="1066"/>
      <c r="T305" s="5" t="s">
        <v>1104</v>
      </c>
      <c r="V305" s="41"/>
      <c r="W305" s="41"/>
      <c r="X305" s="41"/>
      <c r="Y305" s="41"/>
      <c r="AA305" s="1066" t="s">
        <v>2368</v>
      </c>
      <c r="AB305" s="1066"/>
      <c r="AC305" s="1066"/>
      <c r="AD305" s="1066"/>
      <c r="AE305" s="1066"/>
      <c r="AF305" s="1066"/>
      <c r="AG305" s="1066"/>
      <c r="AH305" s="1066"/>
      <c r="AI305" s="1066"/>
      <c r="AJ305" s="1066"/>
      <c r="AK305" s="1066"/>
      <c r="BA305" s="43"/>
    </row>
    <row r="306" spans="2:53" ht="12.9" customHeight="1">
      <c r="B306" s="41" t="s">
        <v>698</v>
      </c>
      <c r="C306" s="41"/>
      <c r="D306" s="41"/>
      <c r="E306" s="41"/>
      <c r="F306" s="41"/>
      <c r="H306" s="1065" t="s">
        <v>2363</v>
      </c>
      <c r="I306" s="1065"/>
      <c r="J306" s="1065"/>
      <c r="K306" s="1065"/>
      <c r="L306" s="1065"/>
      <c r="M306" s="1065"/>
      <c r="N306" s="1065"/>
      <c r="O306" s="1065"/>
      <c r="P306" s="1065"/>
      <c r="Q306" s="1065"/>
      <c r="R306" s="1065"/>
      <c r="T306" s="41" t="s">
        <v>698</v>
      </c>
      <c r="V306" s="41"/>
      <c r="W306" s="41"/>
      <c r="X306" s="41"/>
      <c r="Y306" s="41"/>
      <c r="AA306" s="1065"/>
      <c r="AB306" s="1065"/>
      <c r="AC306" s="1065"/>
      <c r="AD306" s="1065"/>
      <c r="AE306" s="1065"/>
      <c r="AF306" s="1065"/>
      <c r="AG306" s="1065"/>
      <c r="AH306" s="1065"/>
      <c r="AI306" s="1065"/>
      <c r="AJ306" s="1065"/>
      <c r="AK306" s="1065"/>
      <c r="BA306" s="43"/>
    </row>
    <row r="307" spans="2:53" ht="12.9" customHeight="1">
      <c r="B307" s="41" t="s">
        <v>700</v>
      </c>
      <c r="C307" s="41"/>
      <c r="D307" s="41"/>
      <c r="E307" s="41"/>
      <c r="F307" s="41"/>
      <c r="H307" s="1065" t="s">
        <v>2364</v>
      </c>
      <c r="I307" s="1065"/>
      <c r="J307" s="1065"/>
      <c r="K307" s="1065"/>
      <c r="L307" s="1065"/>
      <c r="M307" s="1065"/>
      <c r="N307" s="1065"/>
      <c r="O307" s="1065"/>
      <c r="P307" s="1065"/>
      <c r="Q307" s="1065"/>
      <c r="R307" s="1065"/>
      <c r="T307" s="41" t="s">
        <v>699</v>
      </c>
      <c r="V307" s="41"/>
      <c r="W307" s="41"/>
      <c r="X307" s="41"/>
      <c r="Y307" s="41"/>
      <c r="AA307" s="1065"/>
      <c r="AB307" s="1065"/>
      <c r="AC307" s="1065"/>
      <c r="AD307" s="1065"/>
      <c r="AE307" s="1065"/>
      <c r="AF307" s="1065"/>
      <c r="AG307" s="1065"/>
      <c r="AH307" s="1065"/>
      <c r="AI307" s="1065"/>
      <c r="AJ307" s="1065"/>
      <c r="AK307" s="1065"/>
      <c r="BA307" s="43"/>
    </row>
    <row r="308" spans="2:53" ht="12.9" customHeight="1">
      <c r="B308" s="41" t="s">
        <v>373</v>
      </c>
      <c r="C308" s="41"/>
      <c r="D308" s="41"/>
      <c r="E308" s="41"/>
      <c r="F308" s="41"/>
      <c r="H308" s="1065" t="s">
        <v>2365</v>
      </c>
      <c r="I308" s="1065"/>
      <c r="J308" s="1065"/>
      <c r="K308" s="1065"/>
      <c r="L308" s="1065"/>
      <c r="M308" s="1065"/>
      <c r="N308" s="1065"/>
      <c r="O308" s="1065"/>
      <c r="P308" s="1065"/>
      <c r="Q308" s="1065"/>
      <c r="R308" s="1065"/>
      <c r="T308" s="41" t="s">
        <v>373</v>
      </c>
      <c r="V308" s="41"/>
      <c r="W308" s="41"/>
      <c r="X308" s="41"/>
      <c r="Y308" s="41"/>
      <c r="AA308" s="1065"/>
      <c r="AB308" s="1065"/>
      <c r="AC308" s="1065"/>
      <c r="AD308" s="1065"/>
      <c r="AE308" s="1065"/>
      <c r="AF308" s="1065"/>
      <c r="AG308" s="1065"/>
      <c r="AH308" s="1065"/>
      <c r="AI308" s="1065"/>
      <c r="AJ308" s="1065"/>
      <c r="AK308" s="1065"/>
      <c r="BA308" s="43"/>
    </row>
    <row r="309" spans="2:53" ht="12.9" customHeight="1">
      <c r="B309" s="41" t="s">
        <v>374</v>
      </c>
      <c r="C309" s="41"/>
      <c r="D309" s="41"/>
      <c r="E309" s="41"/>
      <c r="F309" s="41"/>
      <c r="G309" s="41"/>
      <c r="H309" s="1095" t="s">
        <v>2366</v>
      </c>
      <c r="I309" s="1095"/>
      <c r="J309" s="1095"/>
      <c r="K309" s="1095"/>
      <c r="L309" s="1095"/>
      <c r="M309" s="1095"/>
      <c r="N309" s="5" t="s">
        <v>817</v>
      </c>
      <c r="O309" s="5"/>
      <c r="P309" s="1093"/>
      <c r="Q309" s="1093"/>
      <c r="R309" s="1093"/>
      <c r="S309" s="41"/>
      <c r="T309" s="41" t="s">
        <v>374</v>
      </c>
      <c r="V309" s="41"/>
      <c r="W309" s="41"/>
      <c r="X309" s="41"/>
      <c r="Y309" s="41"/>
      <c r="AA309" s="1095"/>
      <c r="AB309" s="1095"/>
      <c r="AC309" s="1095"/>
      <c r="AD309" s="1095"/>
      <c r="AE309" s="1095"/>
      <c r="AF309" s="1095"/>
      <c r="AG309" s="5" t="s">
        <v>817</v>
      </c>
      <c r="AH309" s="5"/>
      <c r="AI309" s="1093"/>
      <c r="AJ309" s="1093"/>
      <c r="AK309" s="1093"/>
      <c r="BA309" s="43"/>
    </row>
    <row r="310" spans="2:53" ht="12.9" customHeight="1">
      <c r="B310" s="41" t="s">
        <v>375</v>
      </c>
      <c r="C310" s="41"/>
      <c r="D310" s="41"/>
      <c r="E310" s="41"/>
      <c r="F310" s="41"/>
      <c r="G310" s="41"/>
      <c r="H310" s="1096" t="s">
        <v>123</v>
      </c>
      <c r="I310" s="1096"/>
      <c r="J310" s="1096"/>
      <c r="K310" s="1096"/>
      <c r="L310" s="1096"/>
      <c r="M310" s="1096"/>
      <c r="N310" s="5"/>
      <c r="O310" s="5"/>
      <c r="P310" s="44"/>
      <c r="Q310" s="44"/>
      <c r="R310" s="44"/>
      <c r="S310" s="41"/>
      <c r="T310" s="41" t="s">
        <v>375</v>
      </c>
      <c r="V310" s="41"/>
      <c r="W310" s="41"/>
      <c r="X310" s="41"/>
      <c r="Y310" s="41"/>
      <c r="AA310" s="1096"/>
      <c r="AB310" s="1096"/>
      <c r="AC310" s="1096"/>
      <c r="AD310" s="1096"/>
      <c r="AE310" s="1096"/>
      <c r="AF310" s="1096"/>
      <c r="AG310" s="5"/>
      <c r="AH310" s="5"/>
      <c r="AI310" s="44"/>
      <c r="AJ310" s="44"/>
      <c r="AK310" s="44"/>
      <c r="BA310" s="43"/>
    </row>
    <row r="311" spans="2:53" ht="12.9" customHeight="1">
      <c r="B311" s="41" t="s">
        <v>701</v>
      </c>
      <c r="C311" s="41"/>
      <c r="D311" s="41"/>
      <c r="E311" s="41"/>
      <c r="F311" s="41"/>
      <c r="G311" s="41"/>
      <c r="H311" s="1065" t="s">
        <v>2367</v>
      </c>
      <c r="I311" s="1065"/>
      <c r="J311" s="1065"/>
      <c r="K311" s="1065"/>
      <c r="L311" s="1065"/>
      <c r="M311" s="1065"/>
      <c r="N311" s="1066"/>
      <c r="O311" s="1066"/>
      <c r="P311" s="1066"/>
      <c r="Q311" s="1066"/>
      <c r="R311" s="1066"/>
      <c r="S311" s="41"/>
      <c r="T311" s="41" t="s">
        <v>701</v>
      </c>
      <c r="V311" s="41"/>
      <c r="W311" s="41"/>
      <c r="X311" s="41"/>
      <c r="Y311" s="41"/>
      <c r="AA311" s="1065"/>
      <c r="AB311" s="1065"/>
      <c r="AC311" s="1065"/>
      <c r="AD311" s="1065"/>
      <c r="AE311" s="1065"/>
      <c r="AF311" s="1065"/>
      <c r="AG311" s="1066"/>
      <c r="AH311" s="1066"/>
      <c r="AI311" s="1066"/>
      <c r="AJ311" s="1066"/>
      <c r="AK311" s="1066"/>
      <c r="BA311" s="43"/>
    </row>
    <row r="312" spans="2:53" ht="12.9" customHeight="1">
      <c r="C312"/>
      <c r="BA312" s="43"/>
    </row>
    <row r="313" spans="2:53" ht="12.9" customHeight="1">
      <c r="B313" s="5" t="s">
        <v>1145</v>
      </c>
      <c r="C313" s="41"/>
      <c r="D313" s="41"/>
      <c r="E313" s="41"/>
      <c r="F313" s="41"/>
      <c r="H313" s="1066" t="s">
        <v>2369</v>
      </c>
      <c r="I313" s="1066"/>
      <c r="J313" s="1066"/>
      <c r="K313" s="1066"/>
      <c r="L313" s="1066"/>
      <c r="M313" s="1066"/>
      <c r="N313" s="1066"/>
      <c r="O313" s="1066"/>
      <c r="P313" s="1066"/>
      <c r="Q313" s="1066"/>
      <c r="R313" s="1066"/>
      <c r="T313" s="41" t="s">
        <v>36</v>
      </c>
      <c r="V313" s="41"/>
      <c r="W313" s="41"/>
      <c r="X313" s="41"/>
      <c r="Y313" s="41"/>
      <c r="AA313" s="1066" t="s">
        <v>2382</v>
      </c>
      <c r="AB313" s="1066"/>
      <c r="AC313" s="1066"/>
      <c r="AD313" s="1066"/>
      <c r="AE313" s="1066"/>
      <c r="AF313" s="1066"/>
      <c r="AG313" s="1066"/>
      <c r="AH313" s="1066"/>
      <c r="AI313" s="1066"/>
      <c r="AJ313" s="1066"/>
      <c r="AK313" s="1066"/>
      <c r="BA313" s="43"/>
    </row>
    <row r="314" spans="2:53" ht="12.9" customHeight="1">
      <c r="B314" s="41" t="s">
        <v>698</v>
      </c>
      <c r="C314" s="41"/>
      <c r="D314" s="41"/>
      <c r="E314" s="41"/>
      <c r="F314" s="41"/>
      <c r="H314" s="1065" t="s">
        <v>2370</v>
      </c>
      <c r="I314" s="1065"/>
      <c r="J314" s="1065"/>
      <c r="K314" s="1065"/>
      <c r="L314" s="1065"/>
      <c r="M314" s="1065"/>
      <c r="N314" s="1065"/>
      <c r="O314" s="1065"/>
      <c r="P314" s="1065"/>
      <c r="Q314" s="1065"/>
      <c r="R314" s="1065"/>
      <c r="T314" s="41" t="s">
        <v>698</v>
      </c>
      <c r="V314" s="41"/>
      <c r="W314" s="41"/>
      <c r="X314" s="41"/>
      <c r="Y314" s="41"/>
      <c r="AA314" s="1065" t="s">
        <v>2383</v>
      </c>
      <c r="AB314" s="1065"/>
      <c r="AC314" s="1065"/>
      <c r="AD314" s="1065"/>
      <c r="AE314" s="1065"/>
      <c r="AF314" s="1065"/>
      <c r="AG314" s="1065"/>
      <c r="AH314" s="1065"/>
      <c r="AI314" s="1065"/>
      <c r="AJ314" s="1065"/>
      <c r="AK314" s="1065"/>
      <c r="BA314" s="43"/>
    </row>
    <row r="315" spans="2:53" ht="12.9" customHeight="1">
      <c r="B315" s="41" t="s">
        <v>700</v>
      </c>
      <c r="C315" s="41"/>
      <c r="D315" s="41"/>
      <c r="E315" s="41"/>
      <c r="F315" s="41"/>
      <c r="H315" s="1065" t="s">
        <v>2371</v>
      </c>
      <c r="I315" s="1065"/>
      <c r="J315" s="1065"/>
      <c r="K315" s="1065"/>
      <c r="L315" s="1065"/>
      <c r="M315" s="1065"/>
      <c r="N315" s="1065"/>
      <c r="O315" s="1065"/>
      <c r="P315" s="1065"/>
      <c r="Q315" s="1065"/>
      <c r="R315" s="1065"/>
      <c r="T315" s="41" t="s">
        <v>699</v>
      </c>
      <c r="V315" s="41"/>
      <c r="W315" s="41"/>
      <c r="X315" s="41"/>
      <c r="Y315" s="41"/>
      <c r="AA315" s="1065" t="s">
        <v>2384</v>
      </c>
      <c r="AB315" s="1065"/>
      <c r="AC315" s="1065"/>
      <c r="AD315" s="1065"/>
      <c r="AE315" s="1065"/>
      <c r="AF315" s="1065"/>
      <c r="AG315" s="1065"/>
      <c r="AH315" s="1065"/>
      <c r="AI315" s="1065"/>
      <c r="AJ315" s="1065"/>
      <c r="AK315" s="1065"/>
      <c r="BA315" s="43"/>
    </row>
    <row r="316" spans="2:53" ht="12.9" customHeight="1">
      <c r="B316" s="41" t="s">
        <v>373</v>
      </c>
      <c r="C316" s="41"/>
      <c r="D316" s="41"/>
      <c r="E316" s="41"/>
      <c r="F316" s="41"/>
      <c r="H316" s="1065" t="s">
        <v>2372</v>
      </c>
      <c r="I316" s="1065"/>
      <c r="J316" s="1065"/>
      <c r="K316" s="1065"/>
      <c r="L316" s="1065"/>
      <c r="M316" s="1065"/>
      <c r="N316" s="1065"/>
      <c r="O316" s="1065"/>
      <c r="P316" s="1065"/>
      <c r="Q316" s="1065"/>
      <c r="R316" s="1065"/>
      <c r="T316" s="41" t="s">
        <v>373</v>
      </c>
      <c r="V316" s="41"/>
      <c r="W316" s="41"/>
      <c r="X316" s="41"/>
      <c r="Y316" s="41"/>
      <c r="AA316" s="1065" t="s">
        <v>2385</v>
      </c>
      <c r="AB316" s="1065"/>
      <c r="AC316" s="1065"/>
      <c r="AD316" s="1065"/>
      <c r="AE316" s="1065"/>
      <c r="AF316" s="1065"/>
      <c r="AG316" s="1065"/>
      <c r="AH316" s="1065"/>
      <c r="AI316" s="1065"/>
      <c r="AJ316" s="1065"/>
      <c r="AK316" s="1065"/>
      <c r="BA316" s="43"/>
    </row>
    <row r="317" spans="2:53" ht="12.9" customHeight="1">
      <c r="B317" s="41" t="s">
        <v>374</v>
      </c>
      <c r="C317" s="41"/>
      <c r="D317" s="41"/>
      <c r="E317" s="41"/>
      <c r="F317" s="41"/>
      <c r="G317" s="41"/>
      <c r="H317" s="1095" t="s">
        <v>2373</v>
      </c>
      <c r="I317" s="1095"/>
      <c r="J317" s="1095"/>
      <c r="K317" s="1095"/>
      <c r="L317" s="1095"/>
      <c r="M317" s="1095"/>
      <c r="N317" s="5" t="s">
        <v>817</v>
      </c>
      <c r="O317" s="5"/>
      <c r="P317" s="1093"/>
      <c r="Q317" s="1093"/>
      <c r="R317" s="1093"/>
      <c r="S317" s="41"/>
      <c r="T317" s="41" t="s">
        <v>374</v>
      </c>
      <c r="V317" s="41"/>
      <c r="W317" s="41"/>
      <c r="X317" s="41"/>
      <c r="Y317" s="41"/>
      <c r="AA317" s="1064" t="s">
        <v>2386</v>
      </c>
      <c r="AB317" s="1064"/>
      <c r="AC317" s="1064"/>
      <c r="AD317" s="1064"/>
      <c r="AE317" s="1064"/>
      <c r="AF317" s="1064"/>
      <c r="AG317" s="5" t="s">
        <v>817</v>
      </c>
      <c r="AH317" s="5"/>
      <c r="AI317" s="1093"/>
      <c r="AJ317" s="1093"/>
      <c r="AK317" s="1093"/>
      <c r="BA317" s="43"/>
    </row>
    <row r="318" spans="2:53" ht="12.9" customHeight="1">
      <c r="B318" s="41" t="s">
        <v>375</v>
      </c>
      <c r="C318" s="41"/>
      <c r="D318" s="41"/>
      <c r="E318" s="41"/>
      <c r="F318" s="41"/>
      <c r="G318" s="41"/>
      <c r="H318" s="1096" t="s">
        <v>2374</v>
      </c>
      <c r="I318" s="1096"/>
      <c r="J318" s="1096"/>
      <c r="K318" s="1096"/>
      <c r="L318" s="1096"/>
      <c r="M318" s="1096"/>
      <c r="N318" s="5"/>
      <c r="O318" s="5"/>
      <c r="P318" s="44"/>
      <c r="Q318" s="44"/>
      <c r="R318" s="44"/>
      <c r="S318" s="41"/>
      <c r="T318" s="41" t="s">
        <v>375</v>
      </c>
      <c r="V318" s="41"/>
      <c r="W318" s="41"/>
      <c r="X318" s="41"/>
      <c r="Y318" s="41"/>
      <c r="AA318" s="1064" t="s">
        <v>123</v>
      </c>
      <c r="AB318" s="1064"/>
      <c r="AC318" s="1064"/>
      <c r="AD318" s="1064"/>
      <c r="AE318" s="1064"/>
      <c r="AF318" s="1064"/>
      <c r="AG318" s="5"/>
      <c r="AH318" s="5"/>
      <c r="AI318" s="44"/>
      <c r="AJ318" s="44"/>
      <c r="AK318" s="44"/>
      <c r="BA318" s="43"/>
    </row>
    <row r="319" spans="2:53" ht="12.9" customHeight="1">
      <c r="B319" s="41" t="s">
        <v>701</v>
      </c>
      <c r="C319" s="41"/>
      <c r="D319" s="41"/>
      <c r="E319" s="41"/>
      <c r="F319" s="41"/>
      <c r="G319" s="41"/>
      <c r="H319" s="1065" t="s">
        <v>2375</v>
      </c>
      <c r="I319" s="1065"/>
      <c r="J319" s="1065"/>
      <c r="K319" s="1065"/>
      <c r="L319" s="1065"/>
      <c r="M319" s="1065"/>
      <c r="N319" s="1066"/>
      <c r="O319" s="1066"/>
      <c r="P319" s="1066"/>
      <c r="Q319" s="1066"/>
      <c r="R319" s="1066"/>
      <c r="S319" s="41"/>
      <c r="T319" s="41" t="s">
        <v>701</v>
      </c>
      <c r="V319" s="41"/>
      <c r="W319" s="41"/>
      <c r="X319" s="41"/>
      <c r="Y319" s="41"/>
      <c r="AA319" s="1065" t="s">
        <v>2387</v>
      </c>
      <c r="AB319" s="1065"/>
      <c r="AC319" s="1065"/>
      <c r="AD319" s="1065"/>
      <c r="AE319" s="1065"/>
      <c r="AF319" s="1065"/>
      <c r="AG319" s="1066"/>
      <c r="AH319" s="1066"/>
      <c r="AI319" s="1066"/>
      <c r="AJ319" s="1066"/>
      <c r="AK319" s="1066"/>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1146</v>
      </c>
      <c r="C321" s="41"/>
      <c r="D321" s="41"/>
      <c r="E321" s="41"/>
      <c r="F321" s="41"/>
      <c r="H321" s="1066" t="s">
        <v>2376</v>
      </c>
      <c r="I321" s="1066"/>
      <c r="J321" s="1066"/>
      <c r="K321" s="1066"/>
      <c r="L321" s="1066"/>
      <c r="M321" s="1066"/>
      <c r="N321" s="1066"/>
      <c r="O321" s="1066"/>
      <c r="P321" s="1066"/>
      <c r="Q321" s="1066"/>
      <c r="R321" s="1066"/>
      <c r="T321" s="41" t="s">
        <v>37</v>
      </c>
      <c r="V321" s="41"/>
      <c r="W321" s="41"/>
      <c r="X321" s="41"/>
      <c r="Y321" s="41"/>
      <c r="AA321" s="1066" t="s">
        <v>2388</v>
      </c>
      <c r="AB321" s="1066"/>
      <c r="AC321" s="1066"/>
      <c r="AD321" s="1066"/>
      <c r="AE321" s="1066"/>
      <c r="AF321" s="1066"/>
      <c r="AG321" s="1066"/>
      <c r="AH321" s="1066"/>
      <c r="AI321" s="1066"/>
      <c r="AJ321" s="1066"/>
      <c r="AK321" s="1066"/>
      <c r="BA321" s="43"/>
    </row>
    <row r="322" spans="2:53" ht="12.9" customHeight="1">
      <c r="B322" s="41" t="s">
        <v>698</v>
      </c>
      <c r="C322" s="41"/>
      <c r="D322" s="41"/>
      <c r="E322" s="41"/>
      <c r="F322" s="41"/>
      <c r="H322" s="1065" t="s">
        <v>2377</v>
      </c>
      <c r="I322" s="1065"/>
      <c r="J322" s="1065"/>
      <c r="K322" s="1065"/>
      <c r="L322" s="1065"/>
      <c r="M322" s="1065"/>
      <c r="N322" s="1065"/>
      <c r="O322" s="1065"/>
      <c r="P322" s="1065"/>
      <c r="Q322" s="1065"/>
      <c r="R322" s="1065"/>
      <c r="T322" s="41" t="s">
        <v>698</v>
      </c>
      <c r="V322" s="41"/>
      <c r="W322" s="41"/>
      <c r="X322" s="41"/>
      <c r="Y322" s="41"/>
      <c r="AA322" s="1065" t="s">
        <v>2389</v>
      </c>
      <c r="AB322" s="1065"/>
      <c r="AC322" s="1065"/>
      <c r="AD322" s="1065"/>
      <c r="AE322" s="1065"/>
      <c r="AF322" s="1065"/>
      <c r="AG322" s="1065"/>
      <c r="AH322" s="1065"/>
      <c r="AI322" s="1065"/>
      <c r="AJ322" s="1065"/>
      <c r="AK322" s="1065"/>
      <c r="BA322" s="43"/>
    </row>
    <row r="323" spans="2:53" ht="12.9" customHeight="1">
      <c r="B323" s="41" t="s">
        <v>700</v>
      </c>
      <c r="C323" s="41"/>
      <c r="D323" s="41"/>
      <c r="E323" s="41"/>
      <c r="F323" s="41"/>
      <c r="H323" s="1065" t="s">
        <v>2378</v>
      </c>
      <c r="I323" s="1065"/>
      <c r="J323" s="1065"/>
      <c r="K323" s="1065"/>
      <c r="L323" s="1065"/>
      <c r="M323" s="1065"/>
      <c r="N323" s="1065"/>
      <c r="O323" s="1065"/>
      <c r="P323" s="1065"/>
      <c r="Q323" s="1065"/>
      <c r="R323" s="1065"/>
      <c r="T323" s="41" t="s">
        <v>699</v>
      </c>
      <c r="V323" s="41"/>
      <c r="W323" s="41"/>
      <c r="X323" s="41"/>
      <c r="Y323" s="41"/>
      <c r="AA323" s="1065" t="s">
        <v>2390</v>
      </c>
      <c r="AB323" s="1065"/>
      <c r="AC323" s="1065"/>
      <c r="AD323" s="1065"/>
      <c r="AE323" s="1065"/>
      <c r="AF323" s="1065"/>
      <c r="AG323" s="1065"/>
      <c r="AH323" s="1065"/>
      <c r="AI323" s="1065"/>
      <c r="AJ323" s="1065"/>
      <c r="AK323" s="1065"/>
      <c r="BA323" s="43"/>
    </row>
    <row r="324" spans="2:53" ht="12.9" customHeight="1">
      <c r="B324" s="41" t="s">
        <v>373</v>
      </c>
      <c r="C324" s="41"/>
      <c r="D324" s="41"/>
      <c r="E324" s="41"/>
      <c r="F324" s="41"/>
      <c r="H324" s="1065" t="s">
        <v>2379</v>
      </c>
      <c r="I324" s="1065"/>
      <c r="J324" s="1065"/>
      <c r="K324" s="1065"/>
      <c r="L324" s="1065"/>
      <c r="M324" s="1065"/>
      <c r="N324" s="1065"/>
      <c r="O324" s="1065"/>
      <c r="P324" s="1065"/>
      <c r="Q324" s="1065"/>
      <c r="R324" s="1065"/>
      <c r="T324" s="41" t="s">
        <v>373</v>
      </c>
      <c r="V324" s="41"/>
      <c r="W324" s="41"/>
      <c r="X324" s="41"/>
      <c r="Y324" s="41"/>
      <c r="AA324" s="1065" t="s">
        <v>2391</v>
      </c>
      <c r="AB324" s="1065"/>
      <c r="AC324" s="1065"/>
      <c r="AD324" s="1065"/>
      <c r="AE324" s="1065"/>
      <c r="AF324" s="1065"/>
      <c r="AG324" s="1065"/>
      <c r="AH324" s="1065"/>
      <c r="AI324" s="1065"/>
      <c r="AJ324" s="1065"/>
      <c r="AK324" s="1065"/>
      <c r="BA324" s="43"/>
    </row>
    <row r="325" spans="2:53" ht="12.9" customHeight="1">
      <c r="B325" s="41" t="s">
        <v>374</v>
      </c>
      <c r="C325" s="41"/>
      <c r="D325" s="41"/>
      <c r="E325" s="41"/>
      <c r="F325" s="41"/>
      <c r="G325" s="41"/>
      <c r="H325" s="1095" t="s">
        <v>2380</v>
      </c>
      <c r="I325" s="1095"/>
      <c r="J325" s="1095"/>
      <c r="K325" s="1095"/>
      <c r="L325" s="1095"/>
      <c r="M325" s="1095"/>
      <c r="N325" s="5" t="s">
        <v>817</v>
      </c>
      <c r="O325" s="5"/>
      <c r="P325" s="1093">
        <v>413</v>
      </c>
      <c r="Q325" s="1093"/>
      <c r="R325" s="1093"/>
      <c r="S325" s="41"/>
      <c r="T325" s="41" t="s">
        <v>374</v>
      </c>
      <c r="V325" s="41"/>
      <c r="W325" s="41"/>
      <c r="X325" s="41"/>
      <c r="Y325" s="41"/>
      <c r="AA325" s="1067" t="s">
        <v>2392</v>
      </c>
      <c r="AB325" s="1067"/>
      <c r="AC325" s="1067"/>
      <c r="AD325" s="1067"/>
      <c r="AE325" s="1067"/>
      <c r="AF325" s="1067"/>
      <c r="AG325" s="5" t="s">
        <v>817</v>
      </c>
      <c r="AH325" s="5"/>
      <c r="AI325" s="1093"/>
      <c r="AJ325" s="1093"/>
      <c r="AK325" s="1093"/>
      <c r="BA325" s="43"/>
    </row>
    <row r="326" spans="2:53" ht="12.9" customHeight="1">
      <c r="B326" s="41" t="s">
        <v>375</v>
      </c>
      <c r="C326" s="41"/>
      <c r="D326" s="41"/>
      <c r="E326" s="41"/>
      <c r="F326" s="41"/>
      <c r="G326" s="41"/>
      <c r="H326" s="1096" t="s">
        <v>123</v>
      </c>
      <c r="I326" s="1096"/>
      <c r="J326" s="1096"/>
      <c r="K326" s="1096"/>
      <c r="L326" s="1096"/>
      <c r="M326" s="1096"/>
      <c r="N326" s="5"/>
      <c r="O326" s="5"/>
      <c r="P326" s="44"/>
      <c r="Q326" s="44"/>
      <c r="R326" s="44"/>
      <c r="S326" s="41"/>
      <c r="T326" s="41" t="s">
        <v>375</v>
      </c>
      <c r="V326" s="41"/>
      <c r="W326" s="41"/>
      <c r="X326" s="41"/>
      <c r="Y326" s="41"/>
      <c r="AA326" s="1064" t="s">
        <v>123</v>
      </c>
      <c r="AB326" s="1096"/>
      <c r="AC326" s="1096"/>
      <c r="AD326" s="1096"/>
      <c r="AE326" s="1096"/>
      <c r="AF326" s="1096"/>
      <c r="AG326" s="5"/>
      <c r="AH326" s="5"/>
      <c r="AI326" s="44"/>
      <c r="AJ326" s="44"/>
      <c r="AK326" s="44"/>
      <c r="BA326" s="43"/>
    </row>
    <row r="327" spans="2:53" ht="12.9" customHeight="1">
      <c r="B327" s="41" t="s">
        <v>701</v>
      </c>
      <c r="C327" s="41"/>
      <c r="D327" s="41"/>
      <c r="E327" s="41"/>
      <c r="F327" s="41"/>
      <c r="G327" s="41"/>
      <c r="H327" s="1065" t="s">
        <v>2381</v>
      </c>
      <c r="I327" s="1065"/>
      <c r="J327" s="1065"/>
      <c r="K327" s="1065"/>
      <c r="L327" s="1065"/>
      <c r="M327" s="1065"/>
      <c r="N327" s="1066"/>
      <c r="O327" s="1066"/>
      <c r="P327" s="1066"/>
      <c r="Q327" s="1066"/>
      <c r="R327" s="1066"/>
      <c r="S327" s="41"/>
      <c r="T327" s="41" t="s">
        <v>701</v>
      </c>
      <c r="V327" s="41"/>
      <c r="W327" s="41"/>
      <c r="X327" s="41"/>
      <c r="Y327" s="41"/>
      <c r="AA327" s="1065" t="s">
        <v>2393</v>
      </c>
      <c r="AB327" s="1065"/>
      <c r="AC327" s="1065"/>
      <c r="AD327" s="1065"/>
      <c r="AE327" s="1065"/>
      <c r="AF327" s="1065"/>
      <c r="AG327" s="1066"/>
      <c r="AH327" s="1066"/>
      <c r="AI327" s="1066"/>
      <c r="AJ327" s="1066"/>
      <c r="AK327" s="1066"/>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66" t="s">
        <v>2395</v>
      </c>
      <c r="I329" s="1066"/>
      <c r="J329" s="1066"/>
      <c r="K329" s="1066"/>
      <c r="L329" s="1066"/>
      <c r="M329" s="1066"/>
      <c r="N329" s="1066"/>
      <c r="O329" s="1066"/>
      <c r="P329" s="1066"/>
      <c r="Q329" s="1066"/>
      <c r="R329" s="1066"/>
      <c r="T329" s="5" t="s">
        <v>1105</v>
      </c>
      <c r="V329" s="41"/>
      <c r="W329" s="41"/>
      <c r="X329" s="41"/>
      <c r="Y329" s="41"/>
      <c r="AA329" s="1066" t="s">
        <v>2398</v>
      </c>
      <c r="AB329" s="1066"/>
      <c r="AC329" s="1066"/>
      <c r="AD329" s="1066"/>
      <c r="AE329" s="1066"/>
      <c r="AF329" s="1066"/>
      <c r="AG329" s="1066"/>
      <c r="AH329" s="1066"/>
      <c r="AI329" s="1066"/>
      <c r="AJ329" s="1066"/>
      <c r="AK329" s="1066"/>
      <c r="BA329" s="43"/>
    </row>
    <row r="330" spans="2:53" ht="12.9" customHeight="1">
      <c r="B330" s="41" t="s">
        <v>698</v>
      </c>
      <c r="C330" s="41"/>
      <c r="D330" s="41"/>
      <c r="E330" s="41"/>
      <c r="F330" s="41"/>
      <c r="H330" s="1065" t="s">
        <v>2396</v>
      </c>
      <c r="I330" s="1065"/>
      <c r="J330" s="1065"/>
      <c r="K330" s="1065"/>
      <c r="L330" s="1065"/>
      <c r="M330" s="1065"/>
      <c r="N330" s="1065"/>
      <c r="O330" s="1065"/>
      <c r="P330" s="1065"/>
      <c r="Q330" s="1065"/>
      <c r="R330" s="1065"/>
      <c r="T330" s="41" t="s">
        <v>698</v>
      </c>
      <c r="V330" s="41"/>
      <c r="W330" s="41"/>
      <c r="X330" s="41"/>
      <c r="Y330" s="41"/>
      <c r="AA330" s="1065" t="s">
        <v>2399</v>
      </c>
      <c r="AB330" s="1065"/>
      <c r="AC330" s="1065"/>
      <c r="AD330" s="1065"/>
      <c r="AE330" s="1065"/>
      <c r="AF330" s="1065"/>
      <c r="AG330" s="1065"/>
      <c r="AH330" s="1065"/>
      <c r="AI330" s="1065"/>
      <c r="AJ330" s="1065"/>
      <c r="AK330" s="1065"/>
      <c r="BA330" s="43"/>
    </row>
    <row r="331" spans="2:53" ht="12.9" customHeight="1">
      <c r="B331" s="41" t="s">
        <v>700</v>
      </c>
      <c r="C331" s="41"/>
      <c r="D331" s="41"/>
      <c r="E331" s="41"/>
      <c r="F331" s="41"/>
      <c r="G331" s="41"/>
      <c r="H331" s="1065" t="s">
        <v>2358</v>
      </c>
      <c r="I331" s="1065"/>
      <c r="J331" s="1065"/>
      <c r="K331" s="1065"/>
      <c r="L331" s="1065"/>
      <c r="M331" s="1065"/>
      <c r="N331" s="1065"/>
      <c r="O331" s="1065"/>
      <c r="P331" s="1065"/>
      <c r="Q331" s="1065"/>
      <c r="R331" s="1065"/>
      <c r="T331" s="41" t="s">
        <v>699</v>
      </c>
      <c r="V331" s="41"/>
      <c r="W331" s="41"/>
      <c r="X331" s="41"/>
      <c r="Y331" s="41"/>
      <c r="AA331" s="1065" t="s">
        <v>2400</v>
      </c>
      <c r="AB331" s="1065"/>
      <c r="AC331" s="1065"/>
      <c r="AD331" s="1065"/>
      <c r="AE331" s="1065"/>
      <c r="AF331" s="1065"/>
      <c r="AG331" s="1065"/>
      <c r="AH331" s="1065"/>
      <c r="AI331" s="1065"/>
      <c r="AJ331" s="1065"/>
      <c r="AK331" s="1065"/>
      <c r="BA331" s="43"/>
    </row>
    <row r="332" spans="2:53" ht="12.9" customHeight="1">
      <c r="B332" s="41" t="s">
        <v>373</v>
      </c>
      <c r="C332" s="41"/>
      <c r="D332" s="41"/>
      <c r="E332" s="41"/>
      <c r="F332" s="41"/>
      <c r="H332" s="1065" t="s">
        <v>2397</v>
      </c>
      <c r="I332" s="1065"/>
      <c r="J332" s="1065"/>
      <c r="K332" s="1065"/>
      <c r="L332" s="1065"/>
      <c r="M332" s="1065"/>
      <c r="N332" s="1065"/>
      <c r="O332" s="1065"/>
      <c r="P332" s="1065"/>
      <c r="Q332" s="1065"/>
      <c r="R332" s="1065"/>
      <c r="T332" s="41" t="s">
        <v>373</v>
      </c>
      <c r="V332" s="41"/>
      <c r="W332" s="41"/>
      <c r="X332" s="41"/>
      <c r="Y332" s="41"/>
      <c r="AA332" s="1065" t="s">
        <v>2401</v>
      </c>
      <c r="AB332" s="1065"/>
      <c r="AC332" s="1065"/>
      <c r="AD332" s="1065"/>
      <c r="AE332" s="1065"/>
      <c r="AF332" s="1065"/>
      <c r="AG332" s="1065"/>
      <c r="AH332" s="1065"/>
      <c r="AI332" s="1065"/>
      <c r="AJ332" s="1065"/>
      <c r="AK332" s="1065"/>
      <c r="BA332" s="43"/>
    </row>
    <row r="333" spans="2:53" ht="12.9" customHeight="1">
      <c r="B333" s="41" t="s">
        <v>374</v>
      </c>
      <c r="C333" s="41"/>
      <c r="D333" s="41"/>
      <c r="E333" s="41"/>
      <c r="F333" s="41"/>
      <c r="G333" s="41"/>
      <c r="H333" s="1095" t="s">
        <v>2402</v>
      </c>
      <c r="I333" s="1095"/>
      <c r="J333" s="1095"/>
      <c r="K333" s="1095"/>
      <c r="L333" s="1095"/>
      <c r="M333" s="1095"/>
      <c r="N333" s="5" t="s">
        <v>817</v>
      </c>
      <c r="O333" s="5"/>
      <c r="P333" s="1093"/>
      <c r="Q333" s="1093"/>
      <c r="R333" s="1093"/>
      <c r="T333" s="41" t="s">
        <v>374</v>
      </c>
      <c r="V333" s="41"/>
      <c r="W333" s="41"/>
      <c r="X333" s="41"/>
      <c r="Y333" s="41"/>
      <c r="AA333" s="1095" t="s">
        <v>2405</v>
      </c>
      <c r="AB333" s="1095"/>
      <c r="AC333" s="1095"/>
      <c r="AD333" s="1095"/>
      <c r="AE333" s="1095"/>
      <c r="AF333" s="1095"/>
      <c r="AG333" s="5" t="s">
        <v>817</v>
      </c>
      <c r="AH333" s="5"/>
      <c r="AI333" s="1093"/>
      <c r="AJ333" s="1093"/>
      <c r="AK333" s="1093"/>
      <c r="BA333" s="43"/>
    </row>
    <row r="334" spans="2:53" ht="12.9" customHeight="1">
      <c r="B334" s="41" t="s">
        <v>375</v>
      </c>
      <c r="C334" s="41"/>
      <c r="D334" s="41"/>
      <c r="E334" s="41"/>
      <c r="F334" s="41"/>
      <c r="G334" s="41"/>
      <c r="H334" s="1096" t="s">
        <v>2403</v>
      </c>
      <c r="I334" s="1096"/>
      <c r="J334" s="1096"/>
      <c r="K334" s="1096"/>
      <c r="L334" s="1096"/>
      <c r="M334" s="1096"/>
      <c r="N334" s="5"/>
      <c r="O334" s="5"/>
      <c r="P334" s="44"/>
      <c r="Q334" s="44"/>
      <c r="R334" s="44"/>
      <c r="T334" s="41" t="s">
        <v>375</v>
      </c>
      <c r="V334" s="41"/>
      <c r="W334" s="41"/>
      <c r="X334" s="41"/>
      <c r="Y334" s="41"/>
      <c r="AA334" s="1096" t="s">
        <v>123</v>
      </c>
      <c r="AB334" s="1096"/>
      <c r="AC334" s="1096"/>
      <c r="AD334" s="1096"/>
      <c r="AE334" s="1096"/>
      <c r="AF334" s="1096"/>
      <c r="AG334" s="5"/>
      <c r="AH334" s="5"/>
      <c r="AI334" s="44"/>
      <c r="AJ334" s="44"/>
      <c r="AK334" s="44"/>
      <c r="BA334" s="43"/>
    </row>
    <row r="335" spans="2:53" ht="12.9" customHeight="1">
      <c r="B335" s="41" t="s">
        <v>701</v>
      </c>
      <c r="C335" s="41"/>
      <c r="D335" s="41"/>
      <c r="E335" s="41"/>
      <c r="F335" s="41"/>
      <c r="G335" s="41"/>
      <c r="H335" s="1065" t="s">
        <v>2404</v>
      </c>
      <c r="I335" s="1065"/>
      <c r="J335" s="1065"/>
      <c r="K335" s="1065"/>
      <c r="L335" s="1065"/>
      <c r="M335" s="1065"/>
      <c r="N335" s="1066"/>
      <c r="O335" s="1066"/>
      <c r="P335" s="1066"/>
      <c r="Q335" s="1066"/>
      <c r="R335" s="1066"/>
      <c r="T335" s="41" t="s">
        <v>701</v>
      </c>
      <c r="V335" s="41"/>
      <c r="W335" s="41"/>
      <c r="X335" s="41"/>
      <c r="Y335" s="41"/>
      <c r="AA335" s="1065" t="s">
        <v>2406</v>
      </c>
      <c r="AB335" s="1065"/>
      <c r="AC335" s="1065"/>
      <c r="AD335" s="1065"/>
      <c r="AE335" s="1065"/>
      <c r="AF335" s="1065"/>
      <c r="AG335" s="1066"/>
      <c r="AH335" s="1066"/>
      <c r="AI335" s="1066"/>
      <c r="AJ335" s="1066"/>
      <c r="AK335" s="106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66" t="s">
        <v>2394</v>
      </c>
      <c r="I337" s="1066"/>
      <c r="J337" s="1066"/>
      <c r="K337" s="1066"/>
      <c r="L337" s="1066"/>
      <c r="M337" s="1066"/>
      <c r="N337" s="1066"/>
      <c r="O337" s="1066"/>
      <c r="P337" s="1066"/>
      <c r="Q337" s="1066"/>
      <c r="R337" s="1066"/>
      <c r="T337" s="358" t="s">
        <v>1144</v>
      </c>
      <c r="AA337" s="1066" t="s">
        <v>2394</v>
      </c>
      <c r="AB337" s="1066"/>
      <c r="AC337" s="1066"/>
      <c r="AD337" s="1066"/>
      <c r="AE337" s="1066"/>
      <c r="AF337" s="1066"/>
      <c r="AG337" s="1066"/>
      <c r="AH337" s="1066"/>
      <c r="AI337" s="1066"/>
      <c r="AJ337" s="1066"/>
      <c r="AK337" s="1066"/>
      <c r="BA337" s="43"/>
    </row>
    <row r="338" spans="2:53" ht="12.9" customHeight="1">
      <c r="B338" s="358" t="s">
        <v>698</v>
      </c>
      <c r="C338" s="358"/>
      <c r="D338" s="358"/>
      <c r="E338" s="358"/>
      <c r="F338" s="358"/>
      <c r="G338" s="358"/>
      <c r="H338" s="1065"/>
      <c r="I338" s="1065"/>
      <c r="J338" s="1065"/>
      <c r="K338" s="1065"/>
      <c r="L338" s="1065"/>
      <c r="M338" s="1065"/>
      <c r="N338" s="1065"/>
      <c r="O338" s="1065"/>
      <c r="P338" s="1065"/>
      <c r="Q338" s="1065"/>
      <c r="R338" s="1065"/>
      <c r="T338" s="41" t="s">
        <v>698</v>
      </c>
      <c r="AA338" s="1065"/>
      <c r="AB338" s="1065"/>
      <c r="AC338" s="1065"/>
      <c r="AD338" s="1065"/>
      <c r="AE338" s="1065"/>
      <c r="AF338" s="1065"/>
      <c r="AG338" s="1065"/>
      <c r="AH338" s="1065"/>
      <c r="AI338" s="1065"/>
      <c r="AJ338" s="1065"/>
      <c r="AK338" s="1065"/>
      <c r="BA338" s="43"/>
    </row>
    <row r="339" spans="2:53" ht="12.9" customHeight="1">
      <c r="B339" s="358" t="s">
        <v>700</v>
      </c>
      <c r="C339" s="358"/>
      <c r="D339" s="358"/>
      <c r="E339" s="358"/>
      <c r="F339" s="358"/>
      <c r="G339" s="358"/>
      <c r="H339" s="1065"/>
      <c r="I339" s="1065"/>
      <c r="J339" s="1065"/>
      <c r="K339" s="1065"/>
      <c r="L339" s="1065"/>
      <c r="M339" s="1065"/>
      <c r="N339" s="1065"/>
      <c r="O339" s="1065"/>
      <c r="P339" s="1065"/>
      <c r="Q339" s="1065"/>
      <c r="R339" s="1065"/>
      <c r="T339" s="41" t="s">
        <v>699</v>
      </c>
      <c r="AA339" s="1065"/>
      <c r="AB339" s="1065"/>
      <c r="AC339" s="1065"/>
      <c r="AD339" s="1065"/>
      <c r="AE339" s="1065"/>
      <c r="AF339" s="1065"/>
      <c r="AG339" s="1065"/>
      <c r="AH339" s="1065"/>
      <c r="AI339" s="1065"/>
      <c r="AJ339" s="1065"/>
      <c r="AK339" s="1065"/>
    </row>
    <row r="340" spans="2:53" ht="12.9" customHeight="1">
      <c r="B340" s="358" t="s">
        <v>373</v>
      </c>
      <c r="C340" s="358"/>
      <c r="D340" s="358"/>
      <c r="E340" s="358"/>
      <c r="F340" s="358"/>
      <c r="G340" s="358"/>
      <c r="H340" s="1065"/>
      <c r="I340" s="1065"/>
      <c r="J340" s="1065"/>
      <c r="K340" s="1065"/>
      <c r="L340" s="1065"/>
      <c r="M340" s="1065"/>
      <c r="N340" s="1065"/>
      <c r="O340" s="1065"/>
      <c r="P340" s="1065"/>
      <c r="Q340" s="1065"/>
      <c r="R340" s="1065"/>
      <c r="T340" s="41" t="s">
        <v>373</v>
      </c>
      <c r="AA340" s="1065"/>
      <c r="AB340" s="1065"/>
      <c r="AC340" s="1065"/>
      <c r="AD340" s="1065"/>
      <c r="AE340" s="1065"/>
      <c r="AF340" s="1065"/>
      <c r="AG340" s="1065"/>
      <c r="AH340" s="1065"/>
      <c r="AI340" s="1065"/>
      <c r="AJ340" s="1065"/>
      <c r="AK340" s="1065"/>
    </row>
    <row r="341" spans="2:53" ht="12.9" customHeight="1">
      <c r="B341" s="358" t="s">
        <v>374</v>
      </c>
      <c r="C341" s="358"/>
      <c r="D341" s="358"/>
      <c r="E341" s="358"/>
      <c r="F341" s="358"/>
      <c r="G341" s="358"/>
      <c r="H341" s="1095"/>
      <c r="I341" s="1095"/>
      <c r="J341" s="1095"/>
      <c r="K341" s="1095"/>
      <c r="L341" s="1095"/>
      <c r="M341" s="1095"/>
      <c r="N341" s="5" t="s">
        <v>817</v>
      </c>
      <c r="O341" s="5"/>
      <c r="P341" s="1093"/>
      <c r="Q341" s="1093"/>
      <c r="R341" s="1093"/>
      <c r="T341" s="41" t="s">
        <v>374</v>
      </c>
      <c r="AA341" s="1095"/>
      <c r="AB341" s="1095"/>
      <c r="AC341" s="1095"/>
      <c r="AD341" s="1095"/>
      <c r="AE341" s="1095"/>
      <c r="AF341" s="1095"/>
      <c r="AG341" s="5" t="s">
        <v>817</v>
      </c>
      <c r="AH341" s="5"/>
      <c r="AI341" s="1093"/>
      <c r="AJ341" s="1093"/>
      <c r="AK341" s="1093"/>
    </row>
    <row r="342" spans="2:53" ht="12.9" customHeight="1">
      <c r="B342" s="358" t="s">
        <v>375</v>
      </c>
      <c r="C342" s="358"/>
      <c r="D342" s="358"/>
      <c r="E342" s="358"/>
      <c r="F342" s="358"/>
      <c r="G342" s="358"/>
      <c r="H342" s="1096"/>
      <c r="I342" s="1096"/>
      <c r="J342" s="1096"/>
      <c r="K342" s="1096"/>
      <c r="L342" s="1096"/>
      <c r="M342" s="1096"/>
      <c r="N342" s="5"/>
      <c r="O342" s="5"/>
      <c r="P342" s="44"/>
      <c r="Q342" s="44"/>
      <c r="R342" s="44"/>
      <c r="T342" s="41" t="s">
        <v>375</v>
      </c>
      <c r="AA342" s="1096"/>
      <c r="AB342" s="1096"/>
      <c r="AC342" s="1096"/>
      <c r="AD342" s="1096"/>
      <c r="AE342" s="1096"/>
      <c r="AF342" s="1096"/>
      <c r="AG342" s="5"/>
      <c r="AH342" s="5"/>
      <c r="AI342" s="44"/>
      <c r="AJ342" s="44"/>
      <c r="AK342" s="44"/>
    </row>
    <row r="343" spans="2:53" ht="12.9" customHeight="1">
      <c r="B343" s="358" t="s">
        <v>701</v>
      </c>
      <c r="C343" s="358"/>
      <c r="D343" s="358"/>
      <c r="E343" s="358"/>
      <c r="F343" s="358"/>
      <c r="G343" s="358"/>
      <c r="H343" s="1065"/>
      <c r="I343" s="1065"/>
      <c r="J343" s="1065"/>
      <c r="K343" s="1065"/>
      <c r="L343" s="1065"/>
      <c r="M343" s="1065"/>
      <c r="N343" s="1066"/>
      <c r="O343" s="1066"/>
      <c r="P343" s="1066"/>
      <c r="Q343" s="1066"/>
      <c r="R343" s="1066"/>
      <c r="T343" s="41" t="s">
        <v>701</v>
      </c>
      <c r="AA343" s="1065"/>
      <c r="AB343" s="1065"/>
      <c r="AC343" s="1065"/>
      <c r="AD343" s="1065"/>
      <c r="AE343" s="1065"/>
      <c r="AF343" s="1065"/>
      <c r="AG343" s="1066"/>
      <c r="AH343" s="1066"/>
      <c r="AI343" s="1066"/>
      <c r="AJ343" s="1066"/>
      <c r="AK343" s="1066"/>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2301</v>
      </c>
      <c r="P345" s="1066" t="s">
        <v>2349</v>
      </c>
      <c r="Q345" s="1066"/>
      <c r="R345" s="1066"/>
      <c r="S345" s="1066"/>
      <c r="T345" s="1066"/>
      <c r="U345" s="1066"/>
      <c r="V345" s="1066"/>
      <c r="W345" s="1066"/>
      <c r="X345" s="1066"/>
      <c r="Y345" s="1066"/>
      <c r="Z345" s="1066"/>
    </row>
    <row r="346" spans="2:53" ht="12.9" customHeight="1">
      <c r="C346" s="358"/>
      <c r="D346" s="358"/>
      <c r="E346" s="358"/>
      <c r="F346" s="358"/>
      <c r="G346" s="358"/>
      <c r="I346" s="358" t="s">
        <v>698</v>
      </c>
      <c r="P346" s="1065" t="str">
        <f>L277</f>
        <v>3590 Elm Avenue</v>
      </c>
      <c r="Q346" s="1065"/>
      <c r="R346" s="1065"/>
      <c r="S346" s="1065"/>
      <c r="T346" s="1065"/>
      <c r="U346" s="1065"/>
      <c r="V346" s="1065"/>
      <c r="W346" s="1065"/>
      <c r="X346" s="1065"/>
      <c r="Y346" s="1065"/>
      <c r="Z346" s="1065"/>
    </row>
    <row r="347" spans="2:53" ht="12.9" customHeight="1">
      <c r="C347" s="358"/>
      <c r="D347" s="358"/>
      <c r="E347" s="358"/>
      <c r="F347" s="358"/>
      <c r="G347" s="358"/>
      <c r="I347" s="358" t="s">
        <v>700</v>
      </c>
      <c r="P347" s="1065" t="s">
        <v>2355</v>
      </c>
      <c r="Q347" s="1065"/>
      <c r="R347" s="1065"/>
      <c r="S347" s="1065"/>
      <c r="T347" s="1065"/>
      <c r="U347" s="1065"/>
      <c r="V347" s="1065"/>
      <c r="W347" s="1065"/>
      <c r="X347" s="1065"/>
      <c r="Y347" s="1065"/>
      <c r="Z347" s="1065"/>
    </row>
    <row r="348" spans="2:53" ht="12.9" customHeight="1">
      <c r="C348" s="358"/>
      <c r="D348" s="358"/>
      <c r="E348" s="358"/>
      <c r="F348" s="358"/>
      <c r="G348" s="358"/>
      <c r="I348" s="358" t="s">
        <v>373</v>
      </c>
      <c r="P348" s="1065" t="s">
        <v>2407</v>
      </c>
      <c r="Q348" s="1065"/>
      <c r="R348" s="1065"/>
      <c r="S348" s="1065"/>
      <c r="T348" s="1065"/>
      <c r="U348" s="1065"/>
      <c r="V348" s="1065"/>
      <c r="W348" s="1065"/>
      <c r="X348" s="1065"/>
      <c r="Y348" s="1065"/>
      <c r="Z348" s="1065"/>
    </row>
    <row r="349" spans="2:53" ht="12.9" customHeight="1">
      <c r="C349" s="358"/>
      <c r="D349" s="358"/>
      <c r="E349" s="358"/>
      <c r="F349" s="358"/>
      <c r="G349" s="358"/>
      <c r="I349" s="358" t="s">
        <v>374</v>
      </c>
      <c r="P349" s="1095" t="s">
        <v>2347</v>
      </c>
      <c r="Q349" s="1095"/>
      <c r="R349" s="1095"/>
      <c r="S349" s="1095"/>
      <c r="T349" s="1095"/>
      <c r="U349" s="1095"/>
      <c r="V349" s="5" t="s">
        <v>817</v>
      </c>
      <c r="W349" s="5"/>
      <c r="X349" s="1093"/>
      <c r="Y349" s="1093"/>
      <c r="Z349" s="1093"/>
    </row>
    <row r="350" spans="2:53" ht="12.9" customHeight="1">
      <c r="C350" s="358"/>
      <c r="D350" s="358"/>
      <c r="E350" s="358"/>
      <c r="F350" s="358"/>
      <c r="G350" s="358"/>
      <c r="I350" s="358" t="s">
        <v>375</v>
      </c>
      <c r="P350" s="1096" t="s">
        <v>123</v>
      </c>
      <c r="Q350" s="1096"/>
      <c r="R350" s="1096"/>
      <c r="S350" s="1096"/>
      <c r="T350" s="1096"/>
      <c r="U350" s="1096"/>
      <c r="V350" s="5"/>
      <c r="W350" s="5"/>
      <c r="X350" s="44"/>
      <c r="Y350" s="44"/>
      <c r="Z350" s="44"/>
    </row>
    <row r="351" spans="2:53" ht="12.9" customHeight="1">
      <c r="C351" s="358"/>
      <c r="D351" s="358"/>
      <c r="E351" s="358"/>
      <c r="F351" s="358"/>
      <c r="G351" s="358"/>
      <c r="I351" s="358" t="s">
        <v>701</v>
      </c>
      <c r="P351" s="1065" t="s">
        <v>2408</v>
      </c>
      <c r="Q351" s="1065"/>
      <c r="R351" s="1065"/>
      <c r="S351" s="1065"/>
      <c r="T351" s="1065"/>
      <c r="U351" s="1065"/>
      <c r="V351" s="1066"/>
      <c r="W351" s="1066"/>
      <c r="X351" s="1066"/>
      <c r="Y351" s="1066"/>
      <c r="Z351" s="1066"/>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94" t="s">
        <v>496</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2.9"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44" t="s">
        <v>107</v>
      </c>
      <c r="N357" s="1144"/>
      <c r="P357" t="s">
        <v>1948</v>
      </c>
      <c r="AJ357" s="1144" t="s">
        <v>123</v>
      </c>
      <c r="AK357" s="1144"/>
    </row>
    <row r="358" spans="1:46" ht="12.9" customHeight="1">
      <c r="C358"/>
      <c r="D358" s="41" t="s">
        <v>1876</v>
      </c>
      <c r="M358" s="1144" t="s">
        <v>123</v>
      </c>
      <c r="N358" s="1144"/>
      <c r="P358" s="41" t="s">
        <v>1949</v>
      </c>
      <c r="AJ358" s="1303"/>
      <c r="AK358" s="1303"/>
    </row>
    <row r="359" spans="1:46" ht="12.9" customHeight="1">
      <c r="C359"/>
      <c r="D359" t="s">
        <v>312</v>
      </c>
      <c r="M359" s="1144" t="s">
        <v>123</v>
      </c>
      <c r="N359" s="1144"/>
      <c r="P359" t="s">
        <v>1950</v>
      </c>
      <c r="AJ359" s="1144" t="s">
        <v>123</v>
      </c>
      <c r="AK359" s="1144"/>
    </row>
    <row r="360" spans="1:46" ht="12.9" customHeight="1">
      <c r="C360"/>
      <c r="D360" t="s">
        <v>313</v>
      </c>
      <c r="M360" s="1144" t="s">
        <v>123</v>
      </c>
      <c r="N360" s="1144"/>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44" t="s">
        <v>123</v>
      </c>
      <c r="O365" s="1144"/>
      <c r="P365" s="49"/>
      <c r="Q365" s="49"/>
      <c r="R365" s="49"/>
      <c r="S365" s="49"/>
      <c r="T365" s="49"/>
      <c r="U365" s="49"/>
      <c r="V365" s="49"/>
      <c r="W365" s="49"/>
      <c r="X365" s="49"/>
      <c r="Y365" s="49"/>
      <c r="Z365" s="49"/>
      <c r="AC365" s="49"/>
      <c r="AD365" s="49"/>
      <c r="AE365" s="49"/>
    </row>
    <row r="366" spans="1:46" ht="12.9" customHeight="1">
      <c r="C366"/>
      <c r="E366" t="s">
        <v>732</v>
      </c>
      <c r="Y366" s="1144" t="s">
        <v>123</v>
      </c>
      <c r="Z366" s="1144"/>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44" t="s">
        <v>123</v>
      </c>
      <c r="K368" s="1144"/>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2" t="s">
        <v>314</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123</v>
      </c>
    </row>
    <row r="370" spans="4:57" customFormat="1" ht="12.9"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481</v>
      </c>
    </row>
    <row r="371" spans="4:57" customFormat="1" ht="12.9" customHeight="1">
      <c r="E371" s="5" t="s">
        <v>589</v>
      </c>
      <c r="F371" s="5"/>
      <c r="G371" s="5"/>
      <c r="H371" s="5"/>
      <c r="I371" s="5"/>
      <c r="J371" s="5"/>
      <c r="K371" s="5"/>
      <c r="L371" s="5"/>
      <c r="N371" s="1142"/>
      <c r="O371" s="1142"/>
      <c r="P371" s="1142"/>
      <c r="Q371" s="1142"/>
      <c r="R371" s="5"/>
      <c r="U371" s="5" t="s">
        <v>590</v>
      </c>
      <c r="V371" s="5"/>
      <c r="W371" s="5"/>
      <c r="X371" s="5"/>
      <c r="Y371" s="5"/>
      <c r="Z371" s="5"/>
      <c r="AA371" s="5"/>
      <c r="AB371" s="5"/>
      <c r="AC371" s="1142"/>
      <c r="AD371" s="1142"/>
      <c r="AE371" s="1142"/>
      <c r="AF371" s="1142"/>
      <c r="BE371" t="s">
        <v>107</v>
      </c>
    </row>
    <row r="372" spans="4:57" customFormat="1" ht="12.9" customHeight="1">
      <c r="E372" s="5" t="s">
        <v>591</v>
      </c>
      <c r="F372" s="5"/>
      <c r="G372" s="5"/>
      <c r="H372" s="5"/>
      <c r="I372" s="5"/>
      <c r="J372" s="5"/>
      <c r="K372" s="5"/>
      <c r="L372" s="5"/>
      <c r="N372" s="1142"/>
      <c r="O372" s="1142"/>
      <c r="P372" s="1142"/>
      <c r="Q372" s="1142"/>
      <c r="R372" s="5"/>
      <c r="U372" s="5" t="s">
        <v>592</v>
      </c>
      <c r="V372" s="5"/>
      <c r="W372" s="5"/>
      <c r="X372" s="5"/>
      <c r="Y372" s="5"/>
      <c r="Z372" s="5"/>
      <c r="AA372" s="5"/>
      <c r="AB372" s="5"/>
      <c r="AC372" s="1142"/>
      <c r="AD372" s="1142"/>
      <c r="AE372" s="1142"/>
      <c r="AF372" s="1142"/>
    </row>
    <row r="373" spans="4:57" customFormat="1" ht="12.9" customHeight="1">
      <c r="E373" s="5" t="s">
        <v>63</v>
      </c>
      <c r="F373" s="5"/>
      <c r="G373" s="5"/>
      <c r="H373" s="5"/>
      <c r="I373" s="5"/>
      <c r="J373" s="5"/>
      <c r="K373" s="5"/>
      <c r="L373" s="5"/>
      <c r="N373" s="1142"/>
      <c r="O373" s="1142"/>
      <c r="P373" s="1142"/>
      <c r="Q373" s="1142"/>
      <c r="R373" s="5"/>
      <c r="V373" s="5"/>
      <c r="W373" s="5"/>
      <c r="X373" s="5"/>
      <c r="Y373" s="5"/>
      <c r="Z373" s="5"/>
      <c r="AA373" s="5"/>
      <c r="AB373" s="5"/>
    </row>
    <row r="374" spans="4:57" customFormat="1" ht="12.9" customHeight="1">
      <c r="E374" s="5" t="s">
        <v>64</v>
      </c>
      <c r="F374" s="5"/>
      <c r="G374" s="5"/>
      <c r="H374" s="5"/>
      <c r="I374" s="5"/>
      <c r="J374" s="5"/>
      <c r="K374" s="5"/>
      <c r="L374" s="5"/>
      <c r="N374" s="1146"/>
      <c r="O374" s="1146"/>
      <c r="P374" s="1146"/>
      <c r="Q374" s="1146"/>
      <c r="R374" s="1146"/>
      <c r="S374" s="1146"/>
      <c r="T374" s="1146"/>
      <c r="U374" s="1146"/>
      <c r="V374" s="1146"/>
      <c r="W374" s="1146"/>
      <c r="X374" s="1146"/>
      <c r="Y374" s="1146"/>
      <c r="Z374" s="1146"/>
      <c r="AA374" s="1146"/>
      <c r="AB374" s="1146"/>
      <c r="AC374" s="1146"/>
      <c r="AD374" s="1146"/>
      <c r="AE374" s="1146"/>
      <c r="AF374" s="1146"/>
    </row>
    <row r="375" spans="4:57" customFormat="1" ht="12.9" customHeight="1">
      <c r="E375" s="5"/>
      <c r="F375" s="5"/>
      <c r="G375" s="5"/>
      <c r="H375" s="5"/>
      <c r="I375" s="5"/>
      <c r="J375" s="5"/>
      <c r="K375" s="5"/>
      <c r="L375" s="5"/>
      <c r="N375" s="1147"/>
      <c r="O375" s="1147"/>
      <c r="P375" s="1147"/>
      <c r="Q375" s="1147"/>
      <c r="R375" s="1147"/>
      <c r="S375" s="1147"/>
      <c r="T375" s="1147"/>
      <c r="U375" s="1147"/>
      <c r="V375" s="1147"/>
      <c r="W375" s="1147"/>
      <c r="X375" s="1147"/>
      <c r="Y375" s="1147"/>
      <c r="Z375" s="1147"/>
      <c r="AA375" s="1147"/>
      <c r="AB375" s="1147"/>
      <c r="AC375" s="1147"/>
      <c r="AD375" s="1147"/>
      <c r="AE375" s="1147"/>
      <c r="AF375" s="1147"/>
    </row>
    <row r="376" spans="4:57" customFormat="1" ht="12.9" customHeight="1">
      <c r="E376" s="5"/>
      <c r="F376" s="5"/>
      <c r="G376" s="5"/>
      <c r="H376" s="5"/>
      <c r="I376" s="5"/>
      <c r="J376" s="5"/>
      <c r="K376" s="5"/>
      <c r="L376" s="5"/>
    </row>
    <row r="377" spans="4:57" customFormat="1" ht="12.9"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2094</v>
      </c>
      <c r="F378" s="358"/>
      <c r="G378" s="358"/>
      <c r="H378" s="358"/>
      <c r="I378" s="358"/>
      <c r="J378" s="358"/>
      <c r="K378" s="358"/>
      <c r="L378" s="358"/>
      <c r="M378" s="358"/>
      <c r="O378" s="358"/>
      <c r="P378" s="935" t="s">
        <v>2090</v>
      </c>
      <c r="Q378" s="358" t="s">
        <v>230</v>
      </c>
      <c r="R378" s="358"/>
      <c r="S378" s="1371"/>
      <c r="T378" s="1371"/>
      <c r="U378" s="367" t="s">
        <v>231</v>
      </c>
      <c r="V378" s="1371"/>
      <c r="W378" s="1371"/>
      <c r="X378" s="358"/>
      <c r="Z378" s="358"/>
      <c r="AA378" s="935" t="s">
        <v>2090</v>
      </c>
      <c r="AB378" s="358" t="s">
        <v>230</v>
      </c>
      <c r="AC378" s="358"/>
      <c r="AD378" s="1371"/>
      <c r="AE378" s="1371"/>
      <c r="AF378" s="367" t="s">
        <v>231</v>
      </c>
      <c r="AG378" s="1371"/>
      <c r="AH378" s="1371"/>
    </row>
    <row r="379" spans="4:57" customFormat="1" ht="12.9" customHeight="1">
      <c r="D379" s="358"/>
      <c r="E379" s="358" t="s">
        <v>1234</v>
      </c>
      <c r="F379" s="358"/>
      <c r="G379" s="358"/>
      <c r="H379" s="358"/>
      <c r="I379" s="358"/>
      <c r="J379" s="358"/>
      <c r="K379" s="358"/>
      <c r="L379" s="358"/>
      <c r="M379" s="358"/>
      <c r="N379" s="1371"/>
      <c r="O379" s="1371"/>
      <c r="P379" s="137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1" t="s">
        <v>123</v>
      </c>
      <c r="AH380" s="1141"/>
    </row>
    <row r="381" spans="4:57" customFormat="1" ht="12.9"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1" t="s">
        <v>123</v>
      </c>
      <c r="AH381" s="1141"/>
    </row>
    <row r="382" spans="4:57" customFormat="1" ht="12.9" customHeight="1">
      <c r="D382" s="358"/>
      <c r="E382" s="358"/>
      <c r="F382" s="358"/>
      <c r="G382" s="502" t="s">
        <v>1284</v>
      </c>
      <c r="H382" s="358"/>
      <c r="I382" s="358"/>
      <c r="J382" s="358"/>
      <c r="K382" s="358"/>
      <c r="L382" s="358"/>
      <c r="M382" s="358"/>
      <c r="N382" s="358"/>
      <c r="O382" s="358"/>
      <c r="P382" s="358"/>
      <c r="Q382" s="358"/>
      <c r="R382" s="358"/>
      <c r="S382" s="358"/>
      <c r="T382" s="358"/>
      <c r="U382" s="358"/>
      <c r="V382" s="1141" t="s">
        <v>123</v>
      </c>
      <c r="W382" s="1141"/>
      <c r="X382" s="358"/>
      <c r="Y382" s="448" t="s">
        <v>1235</v>
      </c>
      <c r="Z382" s="358"/>
      <c r="AA382" s="358"/>
      <c r="AB382" s="358"/>
      <c r="AC382" s="358"/>
      <c r="AD382" s="358"/>
      <c r="AE382" s="358"/>
      <c r="AF382" s="358"/>
      <c r="AG382" s="358"/>
      <c r="AH382" s="358"/>
    </row>
    <row r="383" spans="4:57" customFormat="1" ht="12.9" customHeight="1">
      <c r="D383" s="358"/>
      <c r="E383" s="358" t="s">
        <v>1236</v>
      </c>
      <c r="F383" s="358"/>
      <c r="G383" s="358"/>
      <c r="H383" s="358"/>
      <c r="I383" s="358"/>
      <c r="J383" s="358"/>
      <c r="K383" s="358"/>
      <c r="L383" s="358"/>
      <c r="M383" s="358"/>
      <c r="N383" s="358"/>
      <c r="O383" s="358"/>
      <c r="P383" s="358"/>
      <c r="Q383" s="358"/>
      <c r="R383" s="358"/>
      <c r="S383" s="358"/>
      <c r="T383" s="358"/>
      <c r="U383" s="358"/>
      <c r="V383" s="1141" t="s">
        <v>123</v>
      </c>
      <c r="W383" s="1141"/>
      <c r="X383" s="358"/>
      <c r="Y383" s="358" t="s">
        <v>1237</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066" t="s">
        <v>2336</v>
      </c>
      <c r="K386" s="1066"/>
      <c r="L386" s="1066"/>
      <c r="M386" s="1066"/>
      <c r="N386" s="1066"/>
      <c r="O386" s="1066"/>
      <c r="P386" s="1066"/>
      <c r="Q386" s="1066"/>
      <c r="R386" s="1066"/>
      <c r="S386" s="1066"/>
      <c r="T386" s="1066"/>
      <c r="U386" s="1066"/>
      <c r="V386" s="12" t="s">
        <v>709</v>
      </c>
      <c r="W386" s="12"/>
      <c r="X386" s="12"/>
      <c r="Y386" s="12"/>
      <c r="Z386" s="12"/>
      <c r="AA386" s="12"/>
      <c r="AB386" s="12"/>
      <c r="AC386" s="1066" t="s">
        <v>2337</v>
      </c>
      <c r="AD386" s="1066"/>
      <c r="AE386" s="1066"/>
      <c r="AF386" s="1066"/>
      <c r="AG386" s="1066"/>
      <c r="AH386" s="1066"/>
      <c r="AI386" s="1066"/>
      <c r="AJ386" s="1066"/>
    </row>
    <row r="387" spans="1:36" ht="12.9" customHeight="1">
      <c r="C387"/>
      <c r="D387" s="41" t="s">
        <v>1951</v>
      </c>
      <c r="J387" s="1065" t="s">
        <v>2337</v>
      </c>
      <c r="K387" s="1065"/>
      <c r="L387" s="1065"/>
      <c r="M387" s="1065"/>
      <c r="N387" s="1065"/>
      <c r="O387" s="1065"/>
      <c r="P387" s="1065"/>
      <c r="Q387" s="1065"/>
      <c r="R387" s="1065"/>
      <c r="S387" s="1065"/>
      <c r="T387" s="1065"/>
      <c r="U387" s="1065"/>
      <c r="V387" s="41" t="s">
        <v>1951</v>
      </c>
      <c r="W387" s="12"/>
      <c r="X387" s="12"/>
      <c r="Y387" s="12"/>
      <c r="Z387" s="12"/>
      <c r="AA387" s="12"/>
      <c r="AB387" s="12"/>
      <c r="AC387" s="1066"/>
      <c r="AD387" s="1066"/>
      <c r="AE387" s="1066"/>
      <c r="AF387" s="1066"/>
      <c r="AG387" s="1066"/>
      <c r="AH387" s="1066"/>
      <c r="AI387" s="1066"/>
      <c r="AJ387" s="1066"/>
    </row>
    <row r="388" spans="1:36" ht="12.9" customHeight="1">
      <c r="C388"/>
      <c r="D388" s="41" t="s">
        <v>543</v>
      </c>
      <c r="J388" s="1065" t="str">
        <f>O158</f>
        <v>City Manager</v>
      </c>
      <c r="K388" s="1065"/>
      <c r="L388" s="1065"/>
      <c r="M388" s="1065"/>
      <c r="N388" s="1065"/>
      <c r="O388" s="1065"/>
      <c r="P388" s="1065"/>
      <c r="Q388" s="1065"/>
      <c r="R388" s="1065"/>
      <c r="S388" s="1065"/>
      <c r="T388" s="1065"/>
      <c r="U388" s="1065"/>
      <c r="V388" s="41" t="s">
        <v>543</v>
      </c>
      <c r="W388" s="12"/>
      <c r="X388" s="12"/>
      <c r="Y388" s="12"/>
      <c r="Z388" s="12"/>
      <c r="AA388" s="12"/>
      <c r="AB388" s="12"/>
      <c r="AC388" s="1066" t="s">
        <v>544</v>
      </c>
      <c r="AD388" s="1066"/>
      <c r="AE388" s="1066"/>
      <c r="AF388" s="1066"/>
      <c r="AG388" s="1066"/>
      <c r="AH388" s="1066"/>
      <c r="AI388" s="1066"/>
      <c r="AJ388" s="1066"/>
    </row>
    <row r="389" spans="1:36" ht="12.9" customHeight="1">
      <c r="C389"/>
      <c r="D389" t="s">
        <v>1952</v>
      </c>
      <c r="J389" s="1148" t="s">
        <v>2409</v>
      </c>
      <c r="K389" s="1148"/>
      <c r="L389" s="1148"/>
      <c r="M389" s="1148"/>
      <c r="N389" s="1148"/>
      <c r="O389" s="1148"/>
      <c r="P389" s="1148"/>
      <c r="Q389" s="1148"/>
      <c r="R389" s="1148"/>
      <c r="S389" s="1148"/>
      <c r="T389" s="1148"/>
      <c r="U389" s="1148"/>
      <c r="V389" s="1066"/>
      <c r="W389" s="1066"/>
      <c r="X389" s="1066"/>
      <c r="Y389" s="1066"/>
      <c r="Z389" s="1066"/>
      <c r="AA389" s="1066"/>
      <c r="AB389" s="1066"/>
      <c r="AC389" s="1066"/>
      <c r="AD389" s="1066"/>
      <c r="AE389" s="1066"/>
      <c r="AF389" s="1066"/>
      <c r="AG389" s="1066"/>
      <c r="AH389" s="1066"/>
      <c r="AI389" s="1066"/>
      <c r="AJ389" s="1066"/>
    </row>
    <row r="390" spans="1:36" ht="12.9" customHeight="1">
      <c r="C390"/>
      <c r="D390" t="s">
        <v>553</v>
      </c>
      <c r="Q390" s="1433">
        <v>45385</v>
      </c>
      <c r="R390" s="1433"/>
      <c r="S390" s="1433"/>
      <c r="T390" s="1433"/>
      <c r="U390" s="1433"/>
      <c r="V390" t="s">
        <v>167</v>
      </c>
      <c r="AI390" s="1144" t="s">
        <v>481</v>
      </c>
      <c r="AJ390" s="1144"/>
    </row>
    <row r="391" spans="1:36" ht="12.9" customHeight="1">
      <c r="C391"/>
      <c r="D391" t="s">
        <v>554</v>
      </c>
      <c r="Q391" s="1273">
        <v>46191</v>
      </c>
      <c r="R391" s="1448"/>
      <c r="S391" s="1448"/>
      <c r="T391" s="1448"/>
      <c r="U391" s="1448"/>
      <c r="W391" s="29" t="s">
        <v>20</v>
      </c>
      <c r="AG391" s="1155" t="s">
        <v>123</v>
      </c>
      <c r="AH391" s="1155"/>
      <c r="AI391" s="1155"/>
      <c r="AJ391" s="1155"/>
    </row>
    <row r="392" spans="1:36" ht="12.9" customHeight="1">
      <c r="C392"/>
      <c r="D392" t="s">
        <v>273</v>
      </c>
      <c r="Q392" s="1143">
        <v>5</v>
      </c>
      <c r="R392" s="1143"/>
      <c r="S392" s="1143"/>
      <c r="T392" s="1143"/>
      <c r="U392" s="1143"/>
      <c r="V392" s="41" t="s">
        <v>1953</v>
      </c>
      <c r="AG392" s="1283">
        <v>46191</v>
      </c>
      <c r="AH392" s="1283"/>
      <c r="AI392" s="1283"/>
      <c r="AJ392" s="1283"/>
    </row>
    <row r="393" spans="1:36" ht="12.9" customHeight="1">
      <c r="C393"/>
      <c r="D393" t="s">
        <v>374</v>
      </c>
      <c r="I393" s="1067" t="s">
        <v>2339</v>
      </c>
      <c r="J393" s="1067"/>
      <c r="K393" s="1067"/>
      <c r="L393" s="1067"/>
      <c r="M393" s="1067"/>
      <c r="N393" s="1067"/>
      <c r="Q393" s="41" t="s">
        <v>817</v>
      </c>
      <c r="S393" s="1171"/>
      <c r="T393" s="1171"/>
      <c r="U393" s="1171"/>
      <c r="V393" t="s">
        <v>19</v>
      </c>
      <c r="AI393" s="1144" t="s">
        <v>481</v>
      </c>
      <c r="AJ393" s="1144"/>
    </row>
    <row r="394" spans="1:36" ht="12.9" customHeight="1">
      <c r="C394"/>
      <c r="D394" t="s">
        <v>168</v>
      </c>
      <c r="Q394" s="1202">
        <v>0</v>
      </c>
      <c r="R394" s="1202"/>
      <c r="S394" s="1202"/>
      <c r="T394" s="1202"/>
      <c r="U394" s="1202"/>
      <c r="V394" t="s">
        <v>169</v>
      </c>
      <c r="AG394" s="1155">
        <v>0</v>
      </c>
      <c r="AH394" s="1155"/>
      <c r="AI394" s="1155"/>
      <c r="AJ394" s="1155"/>
    </row>
    <row r="395" spans="1:36" ht="12.9" customHeight="1">
      <c r="C395"/>
      <c r="D395" t="s">
        <v>25</v>
      </c>
      <c r="Q395" s="1447"/>
      <c r="R395" s="1447"/>
      <c r="S395" s="1447"/>
      <c r="T395" s="1447"/>
      <c r="U395" s="1447"/>
      <c r="V395" t="s">
        <v>1675</v>
      </c>
      <c r="AG395" s="1155">
        <v>0</v>
      </c>
      <c r="AH395" s="1155"/>
      <c r="AI395" s="1155"/>
      <c r="AJ395" s="1155"/>
    </row>
    <row r="396" spans="1:36" ht="12.9" customHeight="1">
      <c r="C396"/>
      <c r="D396" t="s">
        <v>1954</v>
      </c>
      <c r="AG396" s="1155">
        <v>0</v>
      </c>
      <c r="AH396" s="1155"/>
      <c r="AI396" s="1155"/>
      <c r="AJ396" s="1155"/>
    </row>
    <row r="397" spans="1:36" ht="12.9" customHeight="1">
      <c r="C397"/>
      <c r="AG397" s="828"/>
      <c r="AH397" s="828"/>
      <c r="AI397" s="828"/>
      <c r="AJ397" s="828"/>
    </row>
    <row r="398" spans="1:36" ht="12.9" customHeight="1">
      <c r="C398"/>
      <c r="D398" s="41" t="s">
        <v>2190</v>
      </c>
      <c r="AG398" s="828"/>
      <c r="AH398" s="828"/>
      <c r="AI398" s="1144" t="s">
        <v>481</v>
      </c>
      <c r="AJ398" s="1144"/>
    </row>
    <row r="399" spans="1:36" ht="12.9" customHeight="1">
      <c r="C399"/>
      <c r="D399" s="41" t="s">
        <v>1955</v>
      </c>
      <c r="T399" s="1174"/>
      <c r="U399" s="1174"/>
      <c r="V399" s="1174"/>
      <c r="W399" s="1174"/>
      <c r="X399" s="1174"/>
      <c r="Y399" s="1174"/>
      <c r="Z399" s="1174"/>
      <c r="AA399" s="1174"/>
      <c r="AB399" s="1174"/>
      <c r="AC399" s="1174"/>
      <c r="AD399" s="1174"/>
      <c r="AE399" s="1174"/>
      <c r="AF399" s="1174"/>
      <c r="AG399" s="1174"/>
      <c r="AH399" s="1174"/>
      <c r="AI399" s="1174"/>
      <c r="AJ399" s="1174"/>
    </row>
    <row r="400" spans="1:36" ht="12.9" customHeight="1">
      <c r="C400"/>
      <c r="D400" s="41" t="s">
        <v>1956</v>
      </c>
      <c r="T400" s="1174"/>
      <c r="U400" s="1174"/>
      <c r="V400" s="1174"/>
      <c r="W400" s="1174"/>
      <c r="X400" s="1174"/>
      <c r="Y400" s="1174"/>
      <c r="Z400" s="1174"/>
      <c r="AA400" s="1174"/>
      <c r="AB400" s="1174"/>
      <c r="AC400" s="1174"/>
      <c r="AD400" s="1174"/>
      <c r="AE400" s="1174"/>
      <c r="AF400" s="1174"/>
      <c r="AG400" s="1174"/>
      <c r="AH400" s="1174"/>
      <c r="AI400" s="1174"/>
      <c r="AJ400" s="1174"/>
    </row>
    <row r="401" spans="1:36" ht="12.9" customHeight="1">
      <c r="C401"/>
      <c r="AG401" s="828"/>
      <c r="AH401" s="828"/>
      <c r="AI401" s="828"/>
      <c r="AJ401" s="828"/>
    </row>
    <row r="402" spans="1:36" ht="12.9" customHeight="1">
      <c r="C402"/>
      <c r="D402" s="41" t="s">
        <v>1957</v>
      </c>
      <c r="S402" s="1174" t="s">
        <v>481</v>
      </c>
      <c r="T402" s="1174"/>
      <c r="U402" s="1174"/>
      <c r="V402" t="s">
        <v>1958</v>
      </c>
      <c r="AG402" s="1432"/>
      <c r="AH402" s="1432"/>
      <c r="AI402" s="1432"/>
      <c r="AJ402" s="1432"/>
    </row>
    <row r="403" spans="1:36" ht="12.9" customHeight="1">
      <c r="C403"/>
      <c r="D403" s="41" t="s">
        <v>1959</v>
      </c>
      <c r="S403" s="1174" t="s">
        <v>123</v>
      </c>
      <c r="T403" s="1174"/>
      <c r="U403" s="1174"/>
      <c r="V403" t="s">
        <v>1960</v>
      </c>
      <c r="AE403" s="1512"/>
      <c r="AF403" s="1512"/>
      <c r="AG403" s="1512"/>
      <c r="AH403" s="1512"/>
      <c r="AI403" s="1512"/>
      <c r="AJ403" s="1512"/>
    </row>
    <row r="404" spans="1:36" ht="12.9" customHeight="1">
      <c r="C404"/>
      <c r="D404" s="41" t="s">
        <v>1961</v>
      </c>
      <c r="K404" s="1340"/>
      <c r="L404" s="1340"/>
      <c r="M404" s="1340"/>
      <c r="N404" s="1340"/>
      <c r="O404" s="1340"/>
      <c r="P404" s="1340"/>
      <c r="Q404" s="1340"/>
      <c r="R404" s="1340"/>
      <c r="S404" s="1340"/>
      <c r="T404" s="1340"/>
      <c r="U404" s="1340"/>
      <c r="V404" s="1340"/>
      <c r="W404" s="1340"/>
      <c r="X404" s="1340"/>
      <c r="Y404" s="1340"/>
      <c r="Z404" s="1340"/>
      <c r="AA404" s="1340"/>
      <c r="AB404" s="1340"/>
      <c r="AC404" s="1340"/>
      <c r="AD404" s="1340"/>
      <c r="AE404" s="1340"/>
      <c r="AF404" s="1340"/>
      <c r="AG404" s="1340"/>
      <c r="AH404" s="1340"/>
      <c r="AI404" s="1340"/>
      <c r="AJ404" s="1340"/>
    </row>
    <row r="405" spans="1:36" ht="12.9" customHeight="1">
      <c r="C405"/>
      <c r="D405" s="41" t="s">
        <v>1962</v>
      </c>
      <c r="K405" s="1340"/>
      <c r="L405" s="1340"/>
      <c r="M405" s="1340"/>
      <c r="N405" s="1340"/>
      <c r="O405" s="1340"/>
      <c r="P405" s="1340"/>
      <c r="Q405" s="1340"/>
      <c r="R405" s="1340"/>
      <c r="S405" s="1340"/>
      <c r="T405" s="1340"/>
      <c r="U405" s="1340"/>
      <c r="V405" s="1340"/>
      <c r="W405" s="1340"/>
      <c r="X405" s="1340"/>
      <c r="Y405" s="1340"/>
      <c r="Z405" s="1340"/>
      <c r="AA405" s="1340"/>
      <c r="AB405" s="1340"/>
      <c r="AC405" s="1340"/>
      <c r="AD405" s="1340"/>
      <c r="AE405" s="1340"/>
      <c r="AF405" s="1340"/>
      <c r="AG405" s="1340"/>
      <c r="AH405" s="1340"/>
      <c r="AI405" s="1340"/>
      <c r="AJ405" s="1340"/>
    </row>
    <row r="406" spans="1:36" ht="12.9" customHeight="1">
      <c r="C406"/>
      <c r="D406" s="41" t="s">
        <v>1963</v>
      </c>
      <c r="E406" s="810"/>
      <c r="F406" s="810"/>
      <c r="G406" s="810"/>
      <c r="H406" s="810"/>
      <c r="I406" s="810"/>
      <c r="J406" s="810"/>
      <c r="K406" s="810"/>
      <c r="L406" s="810"/>
      <c r="M406" s="810"/>
      <c r="N406" s="810"/>
      <c r="O406" s="810"/>
      <c r="P406" s="810"/>
      <c r="Q406" s="810"/>
      <c r="R406" s="810"/>
      <c r="S406" s="1434" t="s">
        <v>1964</v>
      </c>
      <c r="T406" s="1434"/>
      <c r="U406" s="1434"/>
      <c r="V406" s="1434"/>
      <c r="W406" s="1434"/>
      <c r="X406" s="1434"/>
      <c r="Y406" s="1434"/>
      <c r="Z406" s="1434"/>
      <c r="AA406" s="1434"/>
      <c r="AB406" s="1434"/>
      <c r="AC406" s="1434"/>
      <c r="AD406" s="1434"/>
      <c r="AE406" s="1434"/>
      <c r="AF406" s="1434"/>
      <c r="AG406" s="1434"/>
      <c r="AH406" s="1434"/>
      <c r="AI406" s="1434"/>
      <c r="AJ406" s="1434"/>
    </row>
    <row r="407" spans="1:36" ht="12.9" customHeight="1">
      <c r="C407"/>
      <c r="D407" s="989" t="s">
        <v>1965</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 customHeight="1">
      <c r="C409"/>
      <c r="AG409" s="828"/>
      <c r="AH409" s="828"/>
      <c r="AI409" s="828"/>
      <c r="AJ409" s="828"/>
    </row>
    <row r="410" spans="1:36" ht="12.9" customHeight="1">
      <c r="A410" s="3" t="s">
        <v>121</v>
      </c>
      <c r="B410" s="3"/>
      <c r="C410" s="3" t="s">
        <v>898</v>
      </c>
    </row>
    <row r="411" spans="1:36" ht="12.9" customHeight="1">
      <c r="C411"/>
      <c r="D411" s="3" t="s">
        <v>1726</v>
      </c>
      <c r="I411" s="1342" t="s">
        <v>2410</v>
      </c>
      <c r="J411" s="1342"/>
      <c r="K411" s="1342"/>
      <c r="L411" s="1342"/>
      <c r="M411" s="1342"/>
      <c r="N411" s="1342"/>
      <c r="O411" s="1342"/>
      <c r="P411" s="1342"/>
      <c r="Q411" s="1342"/>
      <c r="R411" s="1342"/>
      <c r="S411" s="1342"/>
      <c r="T411" s="1342"/>
      <c r="U411" s="1342"/>
      <c r="V411" s="1342"/>
      <c r="W411" s="1342"/>
      <c r="X411" s="1342"/>
      <c r="Y411" s="1342"/>
      <c r="Z411" s="1342"/>
      <c r="AA411" s="1342"/>
      <c r="AB411" s="1342"/>
      <c r="AC411" s="1342"/>
      <c r="AD411" s="1342"/>
    </row>
    <row r="412" spans="1:36" ht="12.9" customHeight="1">
      <c r="C412"/>
      <c r="E412" t="s">
        <v>854</v>
      </c>
      <c r="R412" s="1144" t="s">
        <v>107</v>
      </c>
      <c r="S412" s="1144"/>
      <c r="T412" t="s">
        <v>290</v>
      </c>
      <c r="AD412" s="1142">
        <v>4</v>
      </c>
      <c r="AE412" s="1142"/>
    </row>
    <row r="413" spans="1:36" ht="12.9" customHeight="1">
      <c r="C413"/>
      <c r="E413" t="s">
        <v>855</v>
      </c>
      <c r="R413" s="1144" t="s">
        <v>123</v>
      </c>
      <c r="S413" s="1144"/>
      <c r="T413" t="s">
        <v>290</v>
      </c>
      <c r="AD413" s="1142">
        <v>0</v>
      </c>
      <c r="AE413" s="1142"/>
    </row>
    <row r="414" spans="1:36" ht="12.9" customHeight="1">
      <c r="C414"/>
      <c r="E414" t="s">
        <v>856</v>
      </c>
      <c r="S414" s="1144" t="s">
        <v>123</v>
      </c>
      <c r="T414" s="1144"/>
    </row>
    <row r="415" spans="1:36" ht="12.9" customHeight="1">
      <c r="C415"/>
      <c r="E415" t="s">
        <v>282</v>
      </c>
      <c r="H415" s="1580" t="s">
        <v>561</v>
      </c>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c r="AF415" s="1580"/>
      <c r="AG415" s="1580"/>
      <c r="AH415" s="1580"/>
      <c r="AI415" s="1580"/>
      <c r="AJ415" s="1580"/>
    </row>
    <row r="416" spans="1:36" ht="12.9" customHeight="1">
      <c r="C416"/>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F416" s="1581"/>
      <c r="AG416" s="1581"/>
      <c r="AH416" s="1581"/>
      <c r="AI416" s="1581"/>
      <c r="AJ416" s="1581"/>
    </row>
    <row r="417" spans="1:36" ht="12.9" customHeight="1">
      <c r="C417"/>
    </row>
    <row r="418" spans="1:36" ht="12.9" customHeight="1">
      <c r="A418" s="3" t="s">
        <v>122</v>
      </c>
      <c r="B418" s="3"/>
      <c r="C418" s="3"/>
      <c r="D418" s="3" t="s">
        <v>901</v>
      </c>
      <c r="AE418" s="5"/>
      <c r="AF418" s="3" t="s">
        <v>1213</v>
      </c>
    </row>
    <row r="419" spans="1:36" ht="12.9" customHeight="1">
      <c r="C419"/>
      <c r="E419" s="1499"/>
      <c r="F419" s="1499"/>
      <c r="G419" s="1499"/>
      <c r="H419" s="18" t="s">
        <v>902</v>
      </c>
      <c r="I419" s="1499"/>
      <c r="J419" s="1499"/>
      <c r="K419" s="1499"/>
      <c r="L419" t="s">
        <v>903</v>
      </c>
      <c r="N419" s="34" t="s">
        <v>850</v>
      </c>
      <c r="P419" s="1501">
        <v>0.51652893</v>
      </c>
      <c r="Q419" s="1501"/>
      <c r="R419" s="1501"/>
      <c r="S419" t="s">
        <v>904</v>
      </c>
      <c r="W419" s="1502">
        <f>IF(E419&gt;0,(E419*I419),(P419*43560))</f>
        <v>22500.000190800001</v>
      </c>
      <c r="X419" s="1502"/>
      <c r="Y419" s="1502"/>
      <c r="Z419" t="s">
        <v>905</v>
      </c>
      <c r="AF419" s="1446" cm="1">
        <f t="array" ref="AF419">_xlfn.IFS(P419&gt;0,(AG438/P419),W419&gt;0,(AG438/(W419/43560)),TRUE,0)</f>
        <v>104.54399911346688</v>
      </c>
      <c r="AG419" s="1446"/>
      <c r="AH419" s="1446"/>
    </row>
    <row r="420" spans="1:36" ht="12.9" customHeight="1">
      <c r="C420"/>
      <c r="E420" t="s">
        <v>202</v>
      </c>
    </row>
    <row r="421" spans="1:36" ht="12.9" customHeight="1">
      <c r="C421"/>
      <c r="E421" s="1441"/>
      <c r="F421" s="1441"/>
      <c r="G421" s="1441"/>
      <c r="H421" s="1441"/>
      <c r="I421" s="1441"/>
      <c r="J421" s="1441"/>
      <c r="K421" s="1441"/>
      <c r="L421" s="1441"/>
      <c r="M421" s="1441"/>
      <c r="N421" s="1441"/>
      <c r="O421" s="1441"/>
      <c r="P421" s="1441"/>
      <c r="Q421" s="1441"/>
      <c r="R421" s="1441"/>
      <c r="S421" s="1441"/>
      <c r="T421" s="1441"/>
      <c r="U421" s="1441"/>
      <c r="V421" s="1441"/>
      <c r="W421" s="1441"/>
      <c r="X421" s="1441"/>
      <c r="Y421" s="1441"/>
      <c r="Z421" s="1441"/>
      <c r="AA421" s="1441"/>
      <c r="AB421" s="1441"/>
      <c r="AC421" s="1441"/>
      <c r="AD421" s="1441"/>
      <c r="AE421" s="1441"/>
      <c r="AF421" s="1441"/>
      <c r="AG421" s="1441"/>
      <c r="AH421" s="1441"/>
      <c r="AI421" s="1441"/>
      <c r="AJ421" s="1441"/>
    </row>
    <row r="422" spans="1:36" ht="12.9" customHeight="1">
      <c r="C422"/>
      <c r="E422" s="268" t="s">
        <v>1966</v>
      </c>
      <c r="F422" s="29"/>
      <c r="G422" s="29"/>
      <c r="H422" s="29"/>
      <c r="I422" s="1437">
        <f>P419</f>
        <v>0.51652893</v>
      </c>
      <c r="J422" s="1437"/>
      <c r="K422" s="1437"/>
      <c r="L422" s="29"/>
      <c r="M422" s="268"/>
      <c r="N422" s="29"/>
      <c r="O422" s="29"/>
      <c r="P422" s="1511">
        <f>(CQ636+CS641+CQ655)/I422</f>
        <v>104.54399911346688</v>
      </c>
      <c r="Q422" s="1511"/>
      <c r="R422" s="1511"/>
      <c r="S422" s="268" t="s">
        <v>1967</v>
      </c>
      <c r="T422" s="29"/>
      <c r="U422" s="29"/>
      <c r="V422" s="29"/>
      <c r="W422" s="29"/>
      <c r="X422" s="29"/>
      <c r="Y422" s="875"/>
      <c r="Z422" s="875"/>
      <c r="AA422" s="875"/>
      <c r="AB422" s="875"/>
      <c r="AC422" s="875"/>
      <c r="AD422" s="875"/>
      <c r="AE422" s="875"/>
      <c r="AF422" s="875"/>
      <c r="AG422" s="875"/>
      <c r="AH422" s="875"/>
      <c r="AI422" s="875"/>
      <c r="AJ422" s="875"/>
    </row>
    <row r="423" spans="1:36" ht="12.9" customHeight="1">
      <c r="C423"/>
    </row>
    <row r="424" spans="1:36" ht="12.9" customHeight="1">
      <c r="A424" s="3" t="s">
        <v>124</v>
      </c>
      <c r="B424" s="3"/>
      <c r="C424" s="3"/>
      <c r="D424" s="3" t="s">
        <v>907</v>
      </c>
    </row>
    <row r="425" spans="1:36" ht="12.9" customHeight="1">
      <c r="C425"/>
      <c r="E425" t="s">
        <v>450</v>
      </c>
      <c r="P425" s="1144">
        <v>2</v>
      </c>
      <c r="Q425" s="1144"/>
      <c r="S425" t="s">
        <v>133</v>
      </c>
      <c r="AE425" s="1144">
        <v>2</v>
      </c>
      <c r="AF425" s="1144"/>
    </row>
    <row r="426" spans="1:36" ht="12.9" customHeight="1">
      <c r="C426"/>
      <c r="E426" t="s">
        <v>134</v>
      </c>
      <c r="P426" s="1144">
        <v>0</v>
      </c>
      <c r="Q426" s="1144"/>
      <c r="S426" t="s">
        <v>725</v>
      </c>
      <c r="AE426" s="1144" t="s">
        <v>123</v>
      </c>
      <c r="AF426" s="1144"/>
    </row>
    <row r="427" spans="1:36" ht="12.9" customHeight="1">
      <c r="C427"/>
      <c r="F427" s="36" t="s">
        <v>220</v>
      </c>
    </row>
    <row r="428" spans="1:36" ht="12.9" customHeight="1">
      <c r="C428"/>
      <c r="F428" s="1353" t="s">
        <v>2394</v>
      </c>
      <c r="G428" s="1353"/>
      <c r="H428" s="1353"/>
      <c r="I428" s="1353"/>
      <c r="J428" s="1353"/>
      <c r="K428" s="1353"/>
      <c r="L428" s="1353"/>
      <c r="M428" s="1353"/>
      <c r="N428" s="1353"/>
      <c r="O428" s="1353"/>
      <c r="P428" s="1353"/>
      <c r="Q428" s="1353"/>
      <c r="R428" s="1353"/>
      <c r="S428" s="1353"/>
      <c r="T428" s="1353"/>
      <c r="U428" s="1353"/>
      <c r="V428" s="1353"/>
      <c r="W428" s="1353"/>
      <c r="X428" s="1353"/>
      <c r="Y428" s="1353"/>
      <c r="Z428" s="1353"/>
      <c r="AA428" s="1353"/>
      <c r="AB428" s="1353"/>
      <c r="AC428" s="1353"/>
      <c r="AD428" s="1353"/>
      <c r="AE428" s="1353"/>
      <c r="AF428" s="1353"/>
      <c r="AG428" s="1353"/>
      <c r="AH428" s="1353"/>
    </row>
    <row r="429" spans="1:36" ht="12.9" customHeight="1">
      <c r="C429"/>
      <c r="F429" s="1354"/>
      <c r="G429" s="1354"/>
      <c r="H429" s="1354"/>
      <c r="I429" s="1354"/>
      <c r="J429" s="1354"/>
      <c r="K429" s="1354"/>
      <c r="L429" s="1354"/>
      <c r="M429" s="1354"/>
      <c r="N429" s="1354"/>
      <c r="O429" s="1354"/>
      <c r="P429" s="1354"/>
      <c r="Q429" s="1354"/>
      <c r="R429" s="1354"/>
      <c r="S429" s="1354"/>
      <c r="T429" s="1354"/>
      <c r="U429" s="1354"/>
      <c r="V429" s="1354"/>
      <c r="W429" s="1354"/>
      <c r="X429" s="1354"/>
      <c r="Y429" s="1354"/>
      <c r="Z429" s="1354"/>
      <c r="AA429" s="1354"/>
      <c r="AB429" s="1354"/>
      <c r="AC429" s="1354"/>
      <c r="AD429" s="1354"/>
      <c r="AE429" s="1354"/>
      <c r="AF429" s="1354"/>
      <c r="AG429" s="1354"/>
      <c r="AH429" s="1354"/>
    </row>
    <row r="430" spans="1:36" ht="12.9" customHeight="1">
      <c r="C430"/>
      <c r="E430" t="s">
        <v>857</v>
      </c>
      <c r="P430" s="1"/>
      <c r="Q430" s="1144" t="s">
        <v>481</v>
      </c>
      <c r="R430" s="1144"/>
      <c r="AE430" s="1"/>
      <c r="AF430" s="1"/>
    </row>
    <row r="431" spans="1:36" ht="12.9" customHeight="1">
      <c r="C431"/>
      <c r="F431" t="s">
        <v>858</v>
      </c>
      <c r="P431" s="1"/>
      <c r="Q431" s="1"/>
      <c r="AE431" s="1144" t="s">
        <v>123</v>
      </c>
      <c r="AF431" s="1358"/>
    </row>
    <row r="432" spans="1:36" ht="12.9" customHeight="1">
      <c r="C432"/>
    </row>
    <row r="433" spans="1:36" ht="12.9" customHeight="1">
      <c r="A433" s="3"/>
      <c r="B433" s="3"/>
      <c r="C433" s="3"/>
      <c r="E433" s="5" t="s">
        <v>79</v>
      </c>
      <c r="Z433" s="1144" t="s">
        <v>481</v>
      </c>
      <c r="AA433" s="1144"/>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44" t="s">
        <v>123</v>
      </c>
      <c r="AA435" s="1144"/>
    </row>
    <row r="436" spans="1:36" ht="12.9" customHeight="1">
      <c r="C436"/>
    </row>
    <row r="437" spans="1:36" ht="12.9" customHeight="1">
      <c r="A437" s="3" t="s">
        <v>366</v>
      </c>
      <c r="B437" s="3"/>
      <c r="C437" s="3"/>
      <c r="D437" s="3" t="s">
        <v>171</v>
      </c>
      <c r="AF437" s="54"/>
    </row>
    <row r="438" spans="1:36" ht="12.9" customHeight="1">
      <c r="C438"/>
      <c r="D438" s="1210" t="s">
        <v>355</v>
      </c>
      <c r="E438" s="1211"/>
      <c r="F438" s="1211"/>
      <c r="G438" s="1211"/>
      <c r="H438" s="1211"/>
      <c r="I438" s="1211"/>
      <c r="J438" s="1211"/>
      <c r="K438" s="1211"/>
      <c r="L438" s="1211"/>
      <c r="M438" s="1211"/>
      <c r="N438" s="1211"/>
      <c r="O438" s="1211"/>
      <c r="P438" s="1211"/>
      <c r="Q438" s="1211"/>
      <c r="R438" s="1211"/>
      <c r="S438" s="1211"/>
      <c r="T438" s="1211"/>
      <c r="U438" s="1211"/>
      <c r="V438" s="1211"/>
      <c r="W438" s="1211"/>
      <c r="X438" s="1211"/>
      <c r="Y438" s="1211"/>
      <c r="Z438" s="1211"/>
      <c r="AA438" s="1211"/>
      <c r="AB438" s="1211"/>
      <c r="AC438" s="1211"/>
      <c r="AD438" s="1211"/>
      <c r="AE438" s="1211"/>
      <c r="AF438" s="1440"/>
      <c r="AG438" s="1500">
        <v>54</v>
      </c>
      <c r="AH438" s="1500"/>
      <c r="AI438" s="1500"/>
      <c r="AJ438" s="1500"/>
    </row>
    <row r="439" spans="1:36" ht="12.9" customHeight="1">
      <c r="C439"/>
      <c r="D439" s="1498" t="s">
        <v>2254</v>
      </c>
      <c r="E439" s="1162"/>
      <c r="F439" s="1162"/>
      <c r="G439" s="1162"/>
      <c r="H439" s="1162"/>
      <c r="I439" s="1162"/>
      <c r="J439" s="1162"/>
      <c r="K439" s="1162"/>
      <c r="L439" s="1162"/>
      <c r="M439" s="1162"/>
      <c r="N439" s="1162"/>
      <c r="O439" s="1162"/>
      <c r="P439" s="1162"/>
      <c r="Q439" s="1162"/>
      <c r="R439" s="1162"/>
      <c r="S439" s="1162"/>
      <c r="T439" s="1162"/>
      <c r="U439" s="1162"/>
      <c r="V439" s="1162"/>
      <c r="W439" s="1162"/>
      <c r="X439" s="1162"/>
      <c r="Y439" s="1162"/>
      <c r="Z439" s="1162"/>
      <c r="AA439" s="1162"/>
      <c r="AB439" s="1162"/>
      <c r="AC439" s="1162"/>
      <c r="AD439" s="1162"/>
      <c r="AE439" s="1162"/>
      <c r="AF439" s="1163"/>
      <c r="AG439" s="1503">
        <v>0</v>
      </c>
      <c r="AH439" s="1504"/>
      <c r="AI439" s="1504"/>
      <c r="AJ439" s="1504"/>
    </row>
    <row r="440" spans="1:36" ht="12.9" customHeight="1">
      <c r="C440"/>
      <c r="D440" s="1161" t="s">
        <v>1367</v>
      </c>
      <c r="E440" s="1162"/>
      <c r="F440" s="1162"/>
      <c r="G440" s="1162"/>
      <c r="H440" s="1162"/>
      <c r="I440" s="1162"/>
      <c r="J440" s="1162"/>
      <c r="K440" s="1162"/>
      <c r="L440" s="1162"/>
      <c r="M440" s="1162"/>
      <c r="N440" s="1162"/>
      <c r="O440" s="1162"/>
      <c r="P440" s="1162"/>
      <c r="Q440" s="1162"/>
      <c r="R440" s="1162"/>
      <c r="S440" s="1162"/>
      <c r="T440" s="1162"/>
      <c r="U440" s="1162"/>
      <c r="V440" s="1162"/>
      <c r="W440" s="1162"/>
      <c r="X440" s="1162"/>
      <c r="Y440" s="1162"/>
      <c r="Z440" s="1162"/>
      <c r="AA440" s="1162"/>
      <c r="AB440" s="1162"/>
      <c r="AC440" s="1162"/>
      <c r="AD440" s="1162"/>
      <c r="AE440" s="1162"/>
      <c r="AF440" s="1163"/>
      <c r="AG440" s="1500">
        <v>53</v>
      </c>
      <c r="AH440" s="1500"/>
      <c r="AI440" s="1500"/>
      <c r="AJ440" s="1500"/>
    </row>
    <row r="441" spans="1:36" ht="12.9" customHeight="1">
      <c r="C441"/>
      <c r="D441" s="1161" t="s">
        <v>1364</v>
      </c>
      <c r="E441" s="1162"/>
      <c r="F441" s="1162"/>
      <c r="G441" s="1162"/>
      <c r="H441" s="1162"/>
      <c r="I441" s="1162"/>
      <c r="J441" s="1162"/>
      <c r="K441" s="1162"/>
      <c r="L441" s="1162"/>
      <c r="M441" s="1162"/>
      <c r="N441" s="1162"/>
      <c r="O441" s="1162"/>
      <c r="P441" s="1162"/>
      <c r="Q441" s="1162"/>
      <c r="R441" s="1162"/>
      <c r="S441" s="1162"/>
      <c r="T441" s="1162"/>
      <c r="U441" s="1162"/>
      <c r="V441" s="1162"/>
      <c r="W441" s="1162"/>
      <c r="X441" s="1162"/>
      <c r="Y441" s="1162"/>
      <c r="Z441" s="1162"/>
      <c r="AA441" s="1162"/>
      <c r="AB441" s="1162"/>
      <c r="AC441" s="1162"/>
      <c r="AD441" s="1162"/>
      <c r="AE441" s="1162"/>
      <c r="AF441" s="1163"/>
      <c r="AG441" s="1500">
        <f>AG440</f>
        <v>53</v>
      </c>
      <c r="AH441" s="1500"/>
      <c r="AI441" s="1500"/>
      <c r="AJ441" s="1500"/>
    </row>
    <row r="442" spans="1:36" ht="12.9" customHeight="1">
      <c r="C442"/>
      <c r="D442" s="1161" t="s">
        <v>1368</v>
      </c>
      <c r="E442" s="1162"/>
      <c r="F442" s="1162"/>
      <c r="G442" s="1162"/>
      <c r="H442" s="1162"/>
      <c r="I442" s="1162"/>
      <c r="J442" s="1162"/>
      <c r="K442" s="1162"/>
      <c r="L442" s="1162"/>
      <c r="M442" s="1162"/>
      <c r="N442" s="1162"/>
      <c r="O442" s="1162"/>
      <c r="P442" s="1162"/>
      <c r="Q442" s="1162"/>
      <c r="R442" s="1162"/>
      <c r="S442" s="1162"/>
      <c r="T442" s="1162"/>
      <c r="U442" s="1162"/>
      <c r="V442" s="1162"/>
      <c r="W442" s="1162"/>
      <c r="X442" s="1162"/>
      <c r="Y442" s="1162"/>
      <c r="Z442" s="1162"/>
      <c r="AA442" s="1162"/>
      <c r="AB442" s="1162"/>
      <c r="AC442" s="1162"/>
      <c r="AD442" s="1162"/>
      <c r="AE442" s="1162"/>
      <c r="AF442" s="1163"/>
      <c r="AG442" s="1172">
        <f>IF(ISERROR(AG441/AG440),"",AG441/AG440)</f>
        <v>1</v>
      </c>
      <c r="AH442" s="1172"/>
      <c r="AI442" s="1172"/>
      <c r="AJ442" s="1172"/>
    </row>
    <row r="443" spans="1:36" ht="12.9" customHeight="1">
      <c r="C443"/>
      <c r="D443" s="1161" t="s">
        <v>1366</v>
      </c>
      <c r="E443" s="1162"/>
      <c r="F443" s="1162"/>
      <c r="G443" s="1162"/>
      <c r="H443" s="1162"/>
      <c r="I443" s="1162"/>
      <c r="J443" s="1162"/>
      <c r="K443" s="1162"/>
      <c r="L443" s="1162"/>
      <c r="M443" s="1162"/>
      <c r="N443" s="1162"/>
      <c r="O443" s="1162"/>
      <c r="P443" s="1162"/>
      <c r="Q443" s="1162"/>
      <c r="R443" s="1162"/>
      <c r="S443" s="1162"/>
      <c r="T443" s="1162"/>
      <c r="U443" s="1162"/>
      <c r="V443" s="1162"/>
      <c r="W443" s="1162"/>
      <c r="X443" s="1162"/>
      <c r="Y443" s="1162"/>
      <c r="Z443" s="1162"/>
      <c r="AA443" s="1162"/>
      <c r="AB443" s="1162"/>
      <c r="AC443" s="1162"/>
      <c r="AD443" s="1162"/>
      <c r="AE443" s="1162"/>
      <c r="AF443" s="1163"/>
      <c r="AG443" s="1475">
        <f>33835-1240</f>
        <v>32595</v>
      </c>
      <c r="AH443" s="1475"/>
      <c r="AI443" s="1475"/>
      <c r="AJ443" s="1475"/>
    </row>
    <row r="444" spans="1:36" ht="12.9" customHeight="1">
      <c r="C444"/>
      <c r="D444" s="1161" t="s">
        <v>1365</v>
      </c>
      <c r="E444" s="1162"/>
      <c r="F444" s="1162"/>
      <c r="G444" s="1162"/>
      <c r="H444" s="1162"/>
      <c r="I444" s="1162"/>
      <c r="J444" s="1162"/>
      <c r="K444" s="1162"/>
      <c r="L444" s="1162"/>
      <c r="M444" s="1162"/>
      <c r="N444" s="1162"/>
      <c r="O444" s="1162"/>
      <c r="P444" s="1162"/>
      <c r="Q444" s="1162"/>
      <c r="R444" s="1162"/>
      <c r="S444" s="1162"/>
      <c r="T444" s="1162"/>
      <c r="U444" s="1162"/>
      <c r="V444" s="1162"/>
      <c r="W444" s="1162"/>
      <c r="X444" s="1162"/>
      <c r="Y444" s="1162"/>
      <c r="Z444" s="1162"/>
      <c r="AA444" s="1162"/>
      <c r="AB444" s="1162"/>
      <c r="AC444" s="1162"/>
      <c r="AD444" s="1162"/>
      <c r="AE444" s="1162"/>
      <c r="AF444" s="1163"/>
      <c r="AG444" s="1475">
        <f>33835-1240</f>
        <v>32595</v>
      </c>
      <c r="AH444" s="1475"/>
      <c r="AI444" s="1475"/>
      <c r="AJ444" s="1475"/>
    </row>
    <row r="445" spans="1:36" ht="12.9" customHeight="1">
      <c r="C445"/>
      <c r="D445" s="1161" t="s">
        <v>1371</v>
      </c>
      <c r="E445" s="1162"/>
      <c r="F445" s="1162"/>
      <c r="G445" s="1162"/>
      <c r="H445" s="1162"/>
      <c r="I445" s="1162"/>
      <c r="J445" s="1162"/>
      <c r="K445" s="1162"/>
      <c r="L445" s="1162"/>
      <c r="M445" s="1162"/>
      <c r="N445" s="1162"/>
      <c r="O445" s="1162"/>
      <c r="P445" s="1162"/>
      <c r="Q445" s="1162"/>
      <c r="R445" s="1162"/>
      <c r="S445" s="1162"/>
      <c r="T445" s="1162"/>
      <c r="U445" s="1162"/>
      <c r="V445" s="1162"/>
      <c r="W445" s="1162"/>
      <c r="X445" s="1162"/>
      <c r="Y445" s="1162"/>
      <c r="Z445" s="1162"/>
      <c r="AA445" s="1162"/>
      <c r="AB445" s="1162"/>
      <c r="AC445" s="1162"/>
      <c r="AD445" s="1162"/>
      <c r="AE445" s="1162"/>
      <c r="AF445" s="1163"/>
      <c r="AG445" s="1172">
        <f>IF(ISERROR(AG444/AG443),"",AG444/AG443)</f>
        <v>1</v>
      </c>
      <c r="AH445" s="1172"/>
      <c r="AI445" s="1172"/>
      <c r="AJ445" s="1172"/>
    </row>
    <row r="446" spans="1:36" ht="12.9" customHeight="1">
      <c r="C446"/>
      <c r="D446" s="1161" t="s">
        <v>1369</v>
      </c>
      <c r="E446" s="1162"/>
      <c r="F446" s="1162"/>
      <c r="G446" s="1162"/>
      <c r="H446" s="1162"/>
      <c r="I446" s="1162"/>
      <c r="J446" s="1162"/>
      <c r="K446" s="1162"/>
      <c r="L446" s="1162"/>
      <c r="M446" s="1162"/>
      <c r="N446" s="1162"/>
      <c r="O446" s="1162"/>
      <c r="P446" s="1162"/>
      <c r="Q446" s="1162"/>
      <c r="R446" s="1162"/>
      <c r="S446" s="1162"/>
      <c r="T446" s="1162"/>
      <c r="U446" s="1162"/>
      <c r="V446" s="1162"/>
      <c r="W446" s="1162"/>
      <c r="X446" s="1162"/>
      <c r="Y446" s="1162"/>
      <c r="Z446" s="1162"/>
      <c r="AA446" s="1162"/>
      <c r="AB446" s="1162"/>
      <c r="AC446" s="1162"/>
      <c r="AD446" s="1162"/>
      <c r="AE446" s="1162"/>
      <c r="AF446" s="1163"/>
      <c r="AG446" s="1172">
        <f>MIN(IF(AG442&gt;AG445,AG445,AG442),1)</f>
        <v>1</v>
      </c>
      <c r="AH446" s="1172"/>
      <c r="AI446" s="1172"/>
      <c r="AJ446" s="1172"/>
    </row>
    <row r="447" spans="1:36" ht="12.9" customHeight="1">
      <c r="C447"/>
      <c r="D447" s="1498" t="s">
        <v>2096</v>
      </c>
      <c r="E447" s="1211"/>
      <c r="F447" s="1211"/>
      <c r="G447" s="1211"/>
      <c r="H447" s="1211"/>
      <c r="I447" s="1211"/>
      <c r="J447" s="1211"/>
      <c r="K447" s="1211"/>
      <c r="L447" s="1211"/>
      <c r="M447" s="1211"/>
      <c r="N447" s="1211"/>
      <c r="O447" s="1211"/>
      <c r="P447" s="1211"/>
      <c r="Q447" s="1211"/>
      <c r="R447" s="1211"/>
      <c r="S447" s="1211"/>
      <c r="T447" s="1211"/>
      <c r="U447" s="1211"/>
      <c r="V447" s="1211"/>
      <c r="W447" s="1211"/>
      <c r="X447" s="1211"/>
      <c r="Y447" s="1211"/>
      <c r="Z447" s="1211"/>
      <c r="AA447" s="1211"/>
      <c r="AB447" s="1211"/>
      <c r="AC447" s="1211"/>
      <c r="AD447" s="1211"/>
      <c r="AE447" s="1211"/>
      <c r="AF447" s="1440"/>
      <c r="AG447" s="1475">
        <v>1000</v>
      </c>
      <c r="AH447" s="1475"/>
      <c r="AI447" s="1475"/>
      <c r="AJ447" s="1475"/>
    </row>
    <row r="448" spans="1:36" ht="12.9" customHeight="1">
      <c r="C448"/>
      <c r="D448" s="1161" t="s">
        <v>207</v>
      </c>
      <c r="E448" s="1162"/>
      <c r="F448" s="1162"/>
      <c r="G448" s="1162"/>
      <c r="H448" s="1162"/>
      <c r="I448" s="1162"/>
      <c r="J448" s="1162"/>
      <c r="K448" s="1162"/>
      <c r="L448" s="1162"/>
      <c r="M448" s="1162"/>
      <c r="N448" s="1162"/>
      <c r="O448" s="1162"/>
      <c r="P448" s="1162"/>
      <c r="Q448" s="1162"/>
      <c r="R448" s="1162"/>
      <c r="S448" s="1162"/>
      <c r="T448" s="1162"/>
      <c r="U448" s="1162"/>
      <c r="V448" s="1162"/>
      <c r="W448" s="1162"/>
      <c r="X448" s="1162"/>
      <c r="Y448" s="1162"/>
      <c r="Z448" s="1162"/>
      <c r="AA448" s="1162"/>
      <c r="AB448" s="1162"/>
      <c r="AC448" s="1162"/>
      <c r="AD448" s="1162"/>
      <c r="AE448" s="1162"/>
      <c r="AF448" s="1163"/>
      <c r="AG448" s="1475">
        <v>0</v>
      </c>
      <c r="AH448" s="1475"/>
      <c r="AI448" s="1475"/>
      <c r="AJ448" s="1475"/>
    </row>
    <row r="449" spans="1:36" ht="12.9" customHeight="1">
      <c r="C449"/>
      <c r="D449" s="1498" t="s">
        <v>1727</v>
      </c>
      <c r="E449" s="1162"/>
      <c r="F449" s="1162"/>
      <c r="G449" s="1162"/>
      <c r="H449" s="1162"/>
      <c r="I449" s="1162"/>
      <c r="J449" s="1162"/>
      <c r="K449" s="1162"/>
      <c r="L449" s="1162"/>
      <c r="M449" s="1162"/>
      <c r="N449" s="1162"/>
      <c r="O449" s="1162"/>
      <c r="P449" s="1162"/>
      <c r="Q449" s="1162"/>
      <c r="R449" s="1162"/>
      <c r="S449" s="1162"/>
      <c r="T449" s="1162"/>
      <c r="U449" s="1162"/>
      <c r="V449" s="1162"/>
      <c r="W449" s="1162"/>
      <c r="X449" s="1162"/>
      <c r="Y449" s="1162"/>
      <c r="Z449" s="1162"/>
      <c r="AA449" s="1162"/>
      <c r="AB449" s="1162"/>
      <c r="AC449" s="1162"/>
      <c r="AD449" s="1162"/>
      <c r="AE449" s="1162"/>
      <c r="AF449" s="1163"/>
      <c r="AG449" s="1475">
        <f>3100+1240</f>
        <v>4340</v>
      </c>
      <c r="AH449" s="1475"/>
      <c r="AI449" s="1475"/>
      <c r="AJ449" s="1475"/>
    </row>
    <row r="450" spans="1:36" ht="12.9" customHeight="1">
      <c r="C450"/>
      <c r="D450" s="1161" t="s">
        <v>1370</v>
      </c>
      <c r="E450" s="1162"/>
      <c r="F450" s="1162"/>
      <c r="G450" s="1162"/>
      <c r="H450" s="1162"/>
      <c r="I450" s="1162"/>
      <c r="J450" s="1162"/>
      <c r="K450" s="1162"/>
      <c r="L450" s="1162"/>
      <c r="M450" s="1162"/>
      <c r="N450" s="1162"/>
      <c r="O450" s="1162"/>
      <c r="P450" s="1162"/>
      <c r="Q450" s="1162"/>
      <c r="R450" s="1162"/>
      <c r="S450" s="1162"/>
      <c r="T450" s="1162"/>
      <c r="U450" s="1162"/>
      <c r="V450" s="1162"/>
      <c r="W450" s="1162"/>
      <c r="X450" s="1162"/>
      <c r="Y450" s="1162"/>
      <c r="Z450" s="1162"/>
      <c r="AA450" s="1162"/>
      <c r="AB450" s="1162"/>
      <c r="AC450" s="1162"/>
      <c r="AD450" s="1162"/>
      <c r="AE450" s="1162"/>
      <c r="AF450" s="1163"/>
      <c r="AG450" s="1475">
        <v>0</v>
      </c>
      <c r="AH450" s="1475"/>
      <c r="AI450" s="1475"/>
      <c r="AJ450" s="1475"/>
    </row>
    <row r="451" spans="1:36" ht="12.9" customHeight="1">
      <c r="C451"/>
      <c r="D451" s="1161" t="s">
        <v>1372</v>
      </c>
      <c r="E451" s="1162"/>
      <c r="F451" s="1162"/>
      <c r="G451" s="1162"/>
      <c r="H451" s="1162"/>
      <c r="I451" s="1162"/>
      <c r="J451" s="1162"/>
      <c r="K451" s="1162"/>
      <c r="L451" s="1162"/>
      <c r="M451" s="1162"/>
      <c r="N451" s="1162"/>
      <c r="O451" s="1162"/>
      <c r="P451" s="1162"/>
      <c r="Q451" s="1162"/>
      <c r="R451" s="1162"/>
      <c r="S451" s="1162"/>
      <c r="T451" s="1162"/>
      <c r="U451" s="1162"/>
      <c r="V451" s="1162"/>
      <c r="W451" s="1162"/>
      <c r="X451" s="1162"/>
      <c r="Y451" s="1162"/>
      <c r="Z451" s="1162"/>
      <c r="AA451" s="1162"/>
      <c r="AB451" s="1162"/>
      <c r="AC451" s="1162"/>
      <c r="AD451" s="1162"/>
      <c r="AE451" s="1162"/>
      <c r="AF451" s="1163"/>
      <c r="AG451" s="1436">
        <f>AG443+AG447+AG449+AG450</f>
        <v>37935</v>
      </c>
      <c r="AH451" s="1436"/>
      <c r="AI451" s="1436"/>
      <c r="AJ451" s="1436"/>
    </row>
    <row r="452" spans="1:36" ht="12.9" customHeight="1">
      <c r="C452"/>
      <c r="D452" s="1438" t="s">
        <v>1728</v>
      </c>
      <c r="E452" s="1438"/>
      <c r="F452" s="1438"/>
      <c r="G452" s="1438"/>
      <c r="H452" s="1438"/>
      <c r="I452" s="1438"/>
      <c r="J452" s="1438"/>
      <c r="K452" s="1438"/>
      <c r="L452" s="1438"/>
      <c r="M452" s="1438"/>
      <c r="N452" s="1438"/>
      <c r="O452" s="1438"/>
      <c r="P452" s="1438"/>
      <c r="Q452" s="1438"/>
      <c r="R452" s="1438"/>
      <c r="S452" s="1438"/>
      <c r="T452" s="1438"/>
      <c r="U452" s="1438"/>
      <c r="V452" s="1438"/>
      <c r="W452" s="1438"/>
      <c r="X452" s="1438"/>
      <c r="Y452" s="1438"/>
      <c r="Z452" s="1438"/>
      <c r="AA452" s="1438"/>
      <c r="AB452" s="1438"/>
      <c r="AC452" s="1438"/>
      <c r="AD452" s="1438"/>
      <c r="AE452" s="1438"/>
      <c r="AF452" s="1438"/>
      <c r="AG452" s="1438"/>
      <c r="AH452" s="1438"/>
      <c r="AI452" s="1438"/>
      <c r="AJ452" s="1438"/>
    </row>
    <row r="453" spans="1:36" ht="12.9" customHeight="1">
      <c r="C453"/>
      <c r="D453" s="1439"/>
      <c r="E453" s="1439"/>
      <c r="F453" s="1439"/>
      <c r="G453" s="1439"/>
      <c r="H453" s="1439"/>
      <c r="I453" s="1439"/>
      <c r="J453" s="1439"/>
      <c r="K453" s="1439"/>
      <c r="L453" s="1439"/>
      <c r="M453" s="1439"/>
      <c r="N453" s="1439"/>
      <c r="O453" s="1439"/>
      <c r="P453" s="1439"/>
      <c r="Q453" s="1439"/>
      <c r="R453" s="1439"/>
      <c r="S453" s="1439"/>
      <c r="T453" s="1439"/>
      <c r="U453" s="1439"/>
      <c r="V453" s="1439"/>
      <c r="W453" s="1439"/>
      <c r="X453" s="1439"/>
      <c r="Y453" s="1439"/>
      <c r="Z453" s="1439"/>
      <c r="AA453" s="1439"/>
      <c r="AB453" s="1439"/>
      <c r="AC453" s="1439"/>
      <c r="AD453" s="1439"/>
      <c r="AE453" s="1439"/>
      <c r="AF453" s="1439"/>
      <c r="AG453" s="1439"/>
      <c r="AH453" s="1439"/>
      <c r="AI453" s="1439"/>
      <c r="AJ453" s="1439"/>
    </row>
    <row r="454" spans="1:36" ht="12.9" customHeight="1">
      <c r="C454"/>
      <c r="D454" s="1479"/>
      <c r="E454" s="1479"/>
      <c r="F454" s="1479"/>
      <c r="G454" s="1479"/>
      <c r="H454" s="1479"/>
      <c r="I454" s="1479"/>
      <c r="J454" s="1479"/>
      <c r="K454" s="1479"/>
      <c r="L454" s="1479"/>
      <c r="M454" s="1479"/>
      <c r="N454" s="1479"/>
      <c r="O454" s="1479"/>
      <c r="P454" s="1479"/>
      <c r="Q454" s="1479"/>
      <c r="R454" s="1479"/>
      <c r="S454" s="1479"/>
      <c r="T454" s="1479"/>
      <c r="U454" s="1479"/>
      <c r="V454" s="1479"/>
      <c r="W454" s="1479"/>
      <c r="X454" s="1479"/>
      <c r="Y454" s="1479"/>
      <c r="Z454" s="1479"/>
      <c r="AA454" s="1479"/>
      <c r="AB454" s="1479"/>
      <c r="AC454" s="1479"/>
      <c r="AD454" s="1479"/>
      <c r="AE454" s="1479"/>
      <c r="AF454" s="1479"/>
      <c r="AG454" s="1479"/>
      <c r="AH454" s="1479"/>
      <c r="AI454" s="1479"/>
      <c r="AJ454" s="1479"/>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45">
        <f>IF(AG438=0,"",'Sources and Uses Budget'!B104/Application!AG438)</f>
        <v>675960.74074074079</v>
      </c>
      <c r="AD455" s="1445"/>
      <c r="AE455" s="1445"/>
      <c r="AF455" s="1445"/>
      <c r="AG455" s="1435"/>
      <c r="AH455" s="1435"/>
      <c r="AI455" s="1435"/>
      <c r="AJ455" s="1435"/>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45">
        <f>IF(AG438=0,"",'Sources and Uses Budget'!C104/Application!AG438)</f>
        <v>675960.74074074079</v>
      </c>
      <c r="AD456" s="1445"/>
      <c r="AE456" s="1445"/>
      <c r="AF456" s="1445"/>
      <c r="AG456" s="1435"/>
      <c r="AH456" s="1435"/>
      <c r="AI456" s="1435"/>
      <c r="AJ456" s="1435"/>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45">
        <f>IF(AG438=0,"",('Sources and Uses Budget'!S106+'Sources and Uses Budget'!T106)/Application!AG438)</f>
        <v>634706.4444444445</v>
      </c>
      <c r="AD457" s="1445"/>
      <c r="AE457" s="1445"/>
      <c r="AF457" s="1445"/>
      <c r="AG457" s="359"/>
      <c r="AH457" s="359"/>
      <c r="AI457" s="359"/>
      <c r="AJ457" s="359"/>
    </row>
    <row r="458" spans="1:36" ht="12.9" customHeight="1">
      <c r="C458"/>
      <c r="D458" s="370"/>
      <c r="E458" s="305"/>
      <c r="F458" s="158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2"/>
      <c r="H458" s="1582"/>
      <c r="I458" s="1582"/>
      <c r="J458" s="1582"/>
      <c r="K458" s="1582"/>
      <c r="L458" s="1582"/>
      <c r="M458" s="1582"/>
      <c r="N458" s="1582"/>
      <c r="O458" s="1582"/>
      <c r="P458" s="1582"/>
      <c r="Q458" s="1582"/>
      <c r="R458" s="1582"/>
      <c r="S458" s="1582"/>
      <c r="T458" s="1582"/>
      <c r="U458" s="1582"/>
      <c r="V458" s="1582"/>
      <c r="W458" s="1582"/>
      <c r="X458" s="1582"/>
      <c r="Y458" s="1582"/>
      <c r="Z458" s="1582"/>
      <c r="AA458" s="1582"/>
      <c r="AB458" s="1582"/>
      <c r="AC458" s="291"/>
      <c r="AD458" s="291"/>
      <c r="AE458" s="291"/>
      <c r="AF458" s="291"/>
      <c r="AG458" s="359"/>
      <c r="AH458" s="359"/>
      <c r="AI458" s="359"/>
      <c r="AJ458" s="359"/>
    </row>
    <row r="459" spans="1:36" ht="12.9" customHeight="1">
      <c r="C459"/>
      <c r="D459" s="370"/>
      <c r="E459" s="305"/>
      <c r="F459" s="1582"/>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42" t="s">
        <v>2089</v>
      </c>
      <c r="E468" s="1443"/>
      <c r="F468" s="1443"/>
      <c r="G468" s="1443"/>
      <c r="H468" s="1443"/>
      <c r="I468" s="1443"/>
      <c r="J468" s="1443"/>
      <c r="K468" s="1443"/>
      <c r="L468" s="1443"/>
      <c r="M468" s="1443"/>
      <c r="N468" s="1443"/>
      <c r="O468" s="1443"/>
      <c r="P468" s="1443"/>
      <c r="Q468" s="1443"/>
      <c r="R468" s="1443"/>
      <c r="S468" s="1443"/>
      <c r="T468" s="1443"/>
      <c r="U468" s="1443"/>
      <c r="V468" s="1444"/>
      <c r="W468" s="1152">
        <v>0</v>
      </c>
      <c r="X468" s="1153"/>
      <c r="Y468" s="1154"/>
      <c r="Z468" s="308"/>
      <c r="AA468" s="308"/>
      <c r="AB468" s="308"/>
      <c r="AC468" s="308"/>
      <c r="AD468" s="308"/>
      <c r="AE468" s="308"/>
      <c r="AF468" s="308"/>
      <c r="AG468" s="308"/>
      <c r="AH468" s="308"/>
      <c r="AI468" s="308"/>
      <c r="AJ468" s="41"/>
      <c r="AK468" s="41"/>
      <c r="AL468" s="41"/>
    </row>
    <row r="469" spans="1:97" ht="12.9" customHeight="1">
      <c r="A469" s="41"/>
      <c r="B469" s="41"/>
      <c r="C469" s="41"/>
      <c r="D469" s="1442" t="s">
        <v>212</v>
      </c>
      <c r="E469" s="1443"/>
      <c r="F469" s="1443"/>
      <c r="G469" s="1443"/>
      <c r="H469" s="1443"/>
      <c r="I469" s="1443"/>
      <c r="J469" s="1443"/>
      <c r="K469" s="1443"/>
      <c r="L469" s="1443"/>
      <c r="M469" s="1443"/>
      <c r="N469" s="1443"/>
      <c r="O469" s="1443"/>
      <c r="P469" s="1443"/>
      <c r="Q469" s="1443"/>
      <c r="R469" s="1443"/>
      <c r="S469" s="1443"/>
      <c r="T469" s="1443"/>
      <c r="U469" s="1443"/>
      <c r="V469" s="1444"/>
      <c r="W469" s="1152">
        <v>0</v>
      </c>
      <c r="X469" s="1153"/>
      <c r="Y469" s="1154"/>
      <c r="Z469" s="308"/>
      <c r="AA469" s="308"/>
      <c r="AB469" s="308"/>
      <c r="AC469" s="308"/>
      <c r="AD469" s="308"/>
      <c r="AE469" s="308"/>
      <c r="AF469" s="308"/>
      <c r="AG469" s="308"/>
      <c r="AH469" s="308"/>
      <c r="AI469" s="308"/>
      <c r="AJ469" s="41"/>
      <c r="AK469" s="41"/>
      <c r="AL469" s="41"/>
    </row>
    <row r="470" spans="1:97" ht="12.9" customHeight="1">
      <c r="A470" s="41"/>
      <c r="B470" s="41"/>
      <c r="C470" s="41"/>
      <c r="D470" s="1442" t="s">
        <v>213</v>
      </c>
      <c r="E470" s="1443"/>
      <c r="F470" s="1443"/>
      <c r="G470" s="1443"/>
      <c r="H470" s="1443"/>
      <c r="I470" s="1443"/>
      <c r="J470" s="1443"/>
      <c r="K470" s="1443"/>
      <c r="L470" s="1443"/>
      <c r="M470" s="1443"/>
      <c r="N470" s="1443"/>
      <c r="O470" s="1443"/>
      <c r="P470" s="1443"/>
      <c r="Q470" s="1443"/>
      <c r="R470" s="1443"/>
      <c r="S470" s="1443"/>
      <c r="T470" s="1443"/>
      <c r="U470" s="1443"/>
      <c r="V470" s="1444"/>
      <c r="W470" s="1152">
        <v>0</v>
      </c>
      <c r="X470" s="1153"/>
      <c r="Y470" s="1154"/>
      <c r="Z470" s="308"/>
      <c r="AA470" s="308"/>
      <c r="AB470" s="308"/>
      <c r="AC470" s="308"/>
      <c r="AD470" s="308"/>
      <c r="AE470" s="308"/>
      <c r="AF470" s="308"/>
      <c r="AG470" s="308"/>
      <c r="AH470" s="308"/>
      <c r="AI470" s="308"/>
      <c r="AJ470" s="41"/>
      <c r="AK470" s="41"/>
      <c r="AL470" s="41"/>
    </row>
    <row r="471" spans="1:97" ht="12.9" customHeight="1">
      <c r="A471" s="41"/>
      <c r="B471" s="41"/>
      <c r="C471" s="41"/>
      <c r="D471" s="1442" t="s">
        <v>215</v>
      </c>
      <c r="E471" s="1443"/>
      <c r="F471" s="1443"/>
      <c r="G471" s="1443"/>
      <c r="H471" s="1443"/>
      <c r="I471" s="1443"/>
      <c r="J471" s="1443"/>
      <c r="K471" s="1443"/>
      <c r="L471" s="1443"/>
      <c r="M471" s="1443"/>
      <c r="N471" s="1443"/>
      <c r="O471" s="1443"/>
      <c r="P471" s="1443"/>
      <c r="Q471" s="1443"/>
      <c r="R471" s="1443"/>
      <c r="S471" s="1443"/>
      <c r="T471" s="1443"/>
      <c r="U471" s="1443"/>
      <c r="V471" s="1444"/>
      <c r="W471" s="1152">
        <v>0</v>
      </c>
      <c r="X471" s="1153"/>
      <c r="Y471" s="1154"/>
      <c r="Z471" s="308"/>
      <c r="AA471" s="308"/>
      <c r="AB471" s="308"/>
      <c r="AC471" s="308"/>
      <c r="AD471" s="308"/>
      <c r="AE471" s="308"/>
      <c r="AF471" s="308"/>
      <c r="AG471" s="308"/>
      <c r="AH471" s="308"/>
      <c r="AI471" s="308"/>
      <c r="AJ471" s="41"/>
      <c r="AK471" s="41"/>
      <c r="AL471" s="41"/>
    </row>
    <row r="472" spans="1:97" ht="12.9" customHeight="1">
      <c r="A472" s="41"/>
      <c r="B472" s="41"/>
      <c r="C472" s="41"/>
      <c r="D472" s="1476" t="s">
        <v>1108</v>
      </c>
      <c r="E472" s="1443"/>
      <c r="F472" s="1443"/>
      <c r="G472" s="1443"/>
      <c r="H472" s="1443"/>
      <c r="I472" s="1443"/>
      <c r="J472" s="1443"/>
      <c r="K472" s="1443"/>
      <c r="L472" s="1443"/>
      <c r="M472" s="1443"/>
      <c r="N472" s="1443"/>
      <c r="O472" s="1443"/>
      <c r="P472" s="1443"/>
      <c r="Q472" s="1443"/>
      <c r="R472" s="1443"/>
      <c r="S472" s="1443"/>
      <c r="T472" s="1443"/>
      <c r="U472" s="1443"/>
      <c r="V472" s="1444"/>
      <c r="W472" s="1152">
        <v>0</v>
      </c>
      <c r="X472" s="1153"/>
      <c r="Y472" s="1154"/>
      <c r="Z472" s="308"/>
      <c r="AA472" s="308"/>
      <c r="AB472" s="308"/>
      <c r="AC472" s="308"/>
      <c r="AD472" s="308"/>
      <c r="AE472" s="308"/>
      <c r="AF472" s="308"/>
      <c r="AG472" s="308"/>
      <c r="AH472" s="308"/>
      <c r="AI472" s="308"/>
      <c r="AJ472" s="41"/>
      <c r="AK472" s="41"/>
      <c r="AL472" s="41"/>
    </row>
    <row r="473" spans="1:97" ht="12.9" customHeight="1">
      <c r="A473" s="41"/>
      <c r="B473" s="41"/>
      <c r="C473" s="41"/>
      <c r="D473" s="1442" t="s">
        <v>219</v>
      </c>
      <c r="E473" s="1443"/>
      <c r="F473" s="1443"/>
      <c r="G473" s="1443"/>
      <c r="H473" s="1443"/>
      <c r="I473" s="1443"/>
      <c r="J473" s="1443"/>
      <c r="K473" s="1443"/>
      <c r="L473" s="1443"/>
      <c r="M473" s="1443"/>
      <c r="N473" s="1443"/>
      <c r="O473" s="1443"/>
      <c r="P473" s="1443"/>
      <c r="Q473" s="1443"/>
      <c r="R473" s="1443"/>
      <c r="S473" s="1443"/>
      <c r="T473" s="1443"/>
      <c r="U473" s="1443"/>
      <c r="V473" s="1444"/>
      <c r="W473" s="1152">
        <v>0</v>
      </c>
      <c r="X473" s="1153"/>
      <c r="Y473" s="1154"/>
      <c r="Z473" s="308"/>
      <c r="AA473" s="308"/>
      <c r="AB473" s="308"/>
      <c r="AC473" s="308"/>
      <c r="AD473" s="308"/>
      <c r="AE473" s="308"/>
      <c r="AF473" s="308"/>
      <c r="AG473" s="308"/>
      <c r="AH473" s="308"/>
      <c r="AI473" s="308"/>
      <c r="AJ473" s="41"/>
      <c r="AK473" s="41"/>
      <c r="AL473" s="41"/>
    </row>
    <row r="474" spans="1:97" ht="12.9" customHeight="1">
      <c r="A474" s="554"/>
      <c r="B474" s="554"/>
      <c r="C474" s="554"/>
      <c r="D474" s="1476" t="s">
        <v>1307</v>
      </c>
      <c r="E474" s="1477"/>
      <c r="F474" s="1477"/>
      <c r="G474" s="1477"/>
      <c r="H474" s="1477"/>
      <c r="I474" s="1477"/>
      <c r="J474" s="1477"/>
      <c r="K474" s="1477"/>
      <c r="L474" s="1477"/>
      <c r="M474" s="1477"/>
      <c r="N474" s="1477"/>
      <c r="O474" s="1477"/>
      <c r="P474" s="1477"/>
      <c r="Q474" s="1477"/>
      <c r="R474" s="1477"/>
      <c r="S474" s="1477"/>
      <c r="T474" s="1477"/>
      <c r="U474" s="1477"/>
      <c r="V474" s="1478"/>
      <c r="W474" s="1480">
        <v>0</v>
      </c>
      <c r="X474" s="1481"/>
      <c r="Y474" s="1482"/>
      <c r="Z474" s="555"/>
      <c r="AA474" s="555"/>
      <c r="AB474" s="555"/>
      <c r="AC474" s="555"/>
      <c r="AD474" s="556"/>
      <c r="AE474" s="556"/>
      <c r="AF474" s="556"/>
      <c r="AG474" s="556"/>
      <c r="AH474" s="556"/>
      <c r="AI474" s="556"/>
      <c r="AJ474" s="359"/>
    </row>
    <row r="475" spans="1:97" ht="12.9" customHeight="1">
      <c r="A475" s="554"/>
      <c r="B475" s="554"/>
      <c r="C475" s="554"/>
      <c r="D475" s="1442" t="s">
        <v>2262</v>
      </c>
      <c r="E475" s="1443"/>
      <c r="F475" s="1443"/>
      <c r="G475" s="1443"/>
      <c r="H475" s="1443"/>
      <c r="I475" s="1443"/>
      <c r="J475" s="1443"/>
      <c r="K475" s="1443"/>
      <c r="L475" s="1443"/>
      <c r="M475" s="1443"/>
      <c r="N475" s="1443"/>
      <c r="O475" s="1443"/>
      <c r="P475" s="1443"/>
      <c r="Q475" s="1443"/>
      <c r="R475" s="1443"/>
      <c r="S475" s="1443"/>
      <c r="T475" s="1443"/>
      <c r="U475" s="1443"/>
      <c r="V475" s="1444"/>
      <c r="W475" s="1480">
        <v>0</v>
      </c>
      <c r="X475" s="1481"/>
      <c r="Y475" s="1482"/>
      <c r="Z475" s="555"/>
      <c r="AA475" s="555"/>
      <c r="AB475" s="555"/>
      <c r="AC475" s="555"/>
      <c r="AD475" s="556"/>
      <c r="AE475" s="556"/>
      <c r="AF475" s="556"/>
      <c r="AG475" s="556"/>
      <c r="AH475" s="556"/>
      <c r="AI475" s="556"/>
      <c r="AJ475" s="359"/>
    </row>
    <row r="476" spans="1:97" ht="12.9" customHeight="1">
      <c r="A476" s="41"/>
      <c r="B476" s="41"/>
      <c r="C476" s="41"/>
      <c r="D476" s="1442" t="s">
        <v>2199</v>
      </c>
      <c r="E476" s="1477"/>
      <c r="F476" s="1477"/>
      <c r="G476" s="1477"/>
      <c r="H476" s="1477"/>
      <c r="I476" s="1477"/>
      <c r="J476" s="1477"/>
      <c r="K476" s="1477"/>
      <c r="L476" s="1477"/>
      <c r="M476" s="1477"/>
      <c r="N476" s="1477"/>
      <c r="O476" s="1477"/>
      <c r="P476" s="1477"/>
      <c r="Q476" s="1477"/>
      <c r="R476" s="1477"/>
      <c r="S476" s="1477"/>
      <c r="T476" s="1477"/>
      <c r="U476" s="1477"/>
      <c r="V476" s="1478"/>
      <c r="W476" s="1480">
        <v>0</v>
      </c>
      <c r="X476" s="1481"/>
      <c r="Y476" s="148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282</v>
      </c>
      <c r="E477" s="413"/>
      <c r="F477" s="414"/>
      <c r="G477" s="1176" t="s">
        <v>2411</v>
      </c>
      <c r="H477" s="1177"/>
      <c r="I477" s="1177"/>
      <c r="J477" s="1177"/>
      <c r="K477" s="1177"/>
      <c r="L477" s="1177"/>
      <c r="M477" s="1177"/>
      <c r="N477" s="1177"/>
      <c r="O477" s="1177"/>
      <c r="P477" s="1177"/>
      <c r="Q477" s="1177"/>
      <c r="R477" s="1177"/>
      <c r="S477" s="1177"/>
      <c r="T477" s="1177"/>
      <c r="U477" s="1177"/>
      <c r="V477" s="1178"/>
      <c r="W477" s="1152">
        <v>53</v>
      </c>
      <c r="X477" s="1153"/>
      <c r="Y477" s="1154"/>
      <c r="Z477" s="308"/>
      <c r="AA477" s="308"/>
      <c r="AB477" s="308"/>
      <c r="AC477" s="308"/>
      <c r="AD477" s="308"/>
      <c r="AE477" s="308"/>
      <c r="AF477" s="308"/>
      <c r="AG477" s="308"/>
      <c r="AH477" s="308"/>
      <c r="AI477" s="308"/>
      <c r="AJ477" s="41"/>
      <c r="AK477" s="41"/>
      <c r="AL477" s="41"/>
    </row>
    <row r="478" spans="1:97" ht="12.9" customHeight="1">
      <c r="A478" s="41"/>
      <c r="B478" s="41"/>
      <c r="C478" s="41"/>
      <c r="D478" s="944" t="s">
        <v>1308</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 customHeight="1">
      <c r="A479" s="41"/>
      <c r="B479" s="41"/>
      <c r="C479" s="41"/>
      <c r="D479" s="1496" t="s">
        <v>2412</v>
      </c>
      <c r="E479" s="1496"/>
      <c r="F479" s="1496"/>
      <c r="G479" s="1496"/>
      <c r="H479" s="1496"/>
      <c r="I479" s="1496"/>
      <c r="J479" s="1496"/>
      <c r="K479" s="1496"/>
      <c r="L479" s="1496"/>
      <c r="M479" s="1496"/>
      <c r="N479" s="1496"/>
      <c r="O479" s="1496"/>
      <c r="P479" s="1496"/>
      <c r="Q479" s="1496"/>
      <c r="R479" s="1496"/>
      <c r="S479" s="1496"/>
      <c r="T479" s="1496"/>
      <c r="U479" s="1496"/>
      <c r="V479" s="1496"/>
      <c r="W479" s="1496"/>
      <c r="X479" s="1496"/>
      <c r="Y479" s="149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497"/>
      <c r="E480" s="1497"/>
      <c r="F480" s="1497"/>
      <c r="G480" s="1497"/>
      <c r="H480" s="1497"/>
      <c r="I480" s="1497"/>
      <c r="J480" s="1497"/>
      <c r="K480" s="1497"/>
      <c r="L480" s="1497"/>
      <c r="M480" s="1497"/>
      <c r="N480" s="1497"/>
      <c r="O480" s="1497"/>
      <c r="P480" s="1497"/>
      <c r="Q480" s="1497"/>
      <c r="R480" s="1497"/>
      <c r="S480" s="1497"/>
      <c r="T480" s="1497"/>
      <c r="U480" s="1497"/>
      <c r="V480" s="1497"/>
      <c r="W480" s="1497"/>
      <c r="X480" s="1497"/>
      <c r="Y480" s="149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497"/>
      <c r="E481" s="1497"/>
      <c r="F481" s="1497"/>
      <c r="G481" s="1497"/>
      <c r="H481" s="1497"/>
      <c r="I481" s="1497"/>
      <c r="J481" s="1497"/>
      <c r="K481" s="1497"/>
      <c r="L481" s="1497"/>
      <c r="M481" s="1497"/>
      <c r="N481" s="1497"/>
      <c r="O481" s="1497"/>
      <c r="P481" s="1497"/>
      <c r="Q481" s="1497"/>
      <c r="R481" s="1497"/>
      <c r="S481" s="1497"/>
      <c r="T481" s="1497"/>
      <c r="U481" s="1497"/>
      <c r="V481" s="1497"/>
      <c r="W481" s="1497"/>
      <c r="X481" s="1497"/>
      <c r="Y481" s="149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94" t="s">
        <v>1027</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58" t="s">
        <v>237</v>
      </c>
      <c r="R489" s="1159"/>
      <c r="S489" s="1159"/>
      <c r="T489" s="1159"/>
      <c r="U489" s="1159"/>
      <c r="V489" s="1159"/>
      <c r="W489" s="1159"/>
      <c r="X489" s="1159"/>
      <c r="Y489" s="1159"/>
      <c r="Z489" s="1159"/>
      <c r="AA489" s="1159"/>
      <c r="AB489" s="1159"/>
      <c r="AC489" s="1159"/>
      <c r="AD489" s="1159"/>
      <c r="AE489" s="1159"/>
      <c r="AF489" s="1159"/>
      <c r="AG489" s="1159"/>
      <c r="AH489" s="1159"/>
      <c r="AI489" s="1159"/>
      <c r="AJ489" s="1159"/>
      <c r="AK489" s="116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156" t="s">
        <v>2413</v>
      </c>
      <c r="R490" s="1065"/>
      <c r="S490" s="1065"/>
      <c r="T490" s="1065"/>
      <c r="U490" s="1065"/>
      <c r="V490" s="1065"/>
      <c r="W490" s="1065"/>
      <c r="X490" s="1065"/>
      <c r="Y490" s="1065"/>
      <c r="Z490" s="1065"/>
      <c r="AA490" s="1065"/>
      <c r="AB490" s="1065"/>
      <c r="AC490" s="1065"/>
      <c r="AD490" s="1065"/>
      <c r="AE490" s="1065"/>
      <c r="AF490" s="1065"/>
      <c r="AG490" s="1065"/>
      <c r="AH490" s="1065"/>
      <c r="AI490" s="1065"/>
      <c r="AJ490" s="1065"/>
      <c r="AK490" s="115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156" t="s">
        <v>2414</v>
      </c>
      <c r="R491" s="1065"/>
      <c r="S491" s="1065"/>
      <c r="T491" s="1065"/>
      <c r="U491" s="1065"/>
      <c r="V491" s="1065"/>
      <c r="W491" s="1065"/>
      <c r="X491" s="1065"/>
      <c r="Y491" s="1065"/>
      <c r="Z491" s="1065"/>
      <c r="AA491" s="1065"/>
      <c r="AB491" s="1065"/>
      <c r="AC491" s="1065"/>
      <c r="AD491" s="1065"/>
      <c r="AE491" s="1065"/>
      <c r="AF491" s="1065"/>
      <c r="AG491" s="1065"/>
      <c r="AH491" s="1065"/>
      <c r="AI491" s="1065"/>
      <c r="AJ491" s="1065"/>
      <c r="AK491" s="115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156" t="s">
        <v>2414</v>
      </c>
      <c r="R492" s="1065"/>
      <c r="S492" s="1065"/>
      <c r="T492" s="1065"/>
      <c r="U492" s="1065"/>
      <c r="V492" s="1065"/>
      <c r="W492" s="1065"/>
      <c r="X492" s="1065"/>
      <c r="Y492" s="1065"/>
      <c r="Z492" s="1065"/>
      <c r="AA492" s="1065"/>
      <c r="AB492" s="1065"/>
      <c r="AC492" s="1065"/>
      <c r="AD492" s="1065"/>
      <c r="AE492" s="1065"/>
      <c r="AF492" s="1065"/>
      <c r="AG492" s="1065"/>
      <c r="AH492" s="1065"/>
      <c r="AI492" s="1065"/>
      <c r="AJ492" s="1065"/>
      <c r="AK492" s="115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5" t="s">
        <v>241</v>
      </c>
      <c r="C493" s="1506"/>
      <c r="D493" s="1506"/>
      <c r="E493" s="1506"/>
      <c r="F493" s="1506"/>
      <c r="G493" s="1506"/>
      <c r="H493" s="1506"/>
      <c r="I493" s="1506"/>
      <c r="J493" s="1506"/>
      <c r="K493" s="1506"/>
      <c r="L493" s="1506"/>
      <c r="M493" s="1506"/>
      <c r="N493" s="1506"/>
      <c r="O493" s="1506"/>
      <c r="P493" s="1507"/>
      <c r="Q493" s="1483" t="s">
        <v>107</v>
      </c>
      <c r="R493" s="1484"/>
      <c r="S493" s="1487" t="s">
        <v>2415</v>
      </c>
      <c r="T493" s="1488"/>
      <c r="U493" s="1488"/>
      <c r="V493" s="1488"/>
      <c r="W493" s="1488"/>
      <c r="X493" s="1488"/>
      <c r="Y493" s="1488"/>
      <c r="Z493" s="1488"/>
      <c r="AA493" s="1488"/>
      <c r="AB493" s="1488"/>
      <c r="AC493" s="1488"/>
      <c r="AD493" s="1488"/>
      <c r="AE493" s="1488"/>
      <c r="AF493" s="1488"/>
      <c r="AG493" s="1488"/>
      <c r="AH493" s="1488"/>
      <c r="AI493" s="1488"/>
      <c r="AJ493" s="1488"/>
      <c r="AK493" s="14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8"/>
      <c r="C494" s="1509"/>
      <c r="D494" s="1509"/>
      <c r="E494" s="1509"/>
      <c r="F494" s="1509"/>
      <c r="G494" s="1509"/>
      <c r="H494" s="1509"/>
      <c r="I494" s="1509"/>
      <c r="J494" s="1509"/>
      <c r="K494" s="1509"/>
      <c r="L494" s="1509"/>
      <c r="M494" s="1509"/>
      <c r="N494" s="1509"/>
      <c r="O494" s="1509"/>
      <c r="P494" s="1510"/>
      <c r="Q494" s="1485"/>
      <c r="R494" s="1486"/>
      <c r="S494" s="1490"/>
      <c r="T494" s="1491"/>
      <c r="U494" s="1491"/>
      <c r="V494" s="1491"/>
      <c r="W494" s="1491"/>
      <c r="X494" s="1491"/>
      <c r="Y494" s="1491"/>
      <c r="Z494" s="1491"/>
      <c r="AA494" s="1491"/>
      <c r="AB494" s="1491"/>
      <c r="AC494" s="1491"/>
      <c r="AD494" s="1491"/>
      <c r="AE494" s="1491"/>
      <c r="AF494" s="1491"/>
      <c r="AG494" s="1491"/>
      <c r="AH494" s="1491"/>
      <c r="AI494" s="1491"/>
      <c r="AJ494" s="1491"/>
      <c r="AK494" s="149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9" t="s">
        <v>2195</v>
      </c>
      <c r="C495" s="811"/>
      <c r="D495" s="811"/>
      <c r="E495" s="811"/>
      <c r="F495" s="811"/>
      <c r="G495" s="811"/>
      <c r="H495" s="811"/>
      <c r="I495" s="811"/>
      <c r="J495" s="811"/>
      <c r="K495" s="811"/>
      <c r="L495" s="811"/>
      <c r="M495" s="811"/>
      <c r="N495" s="811"/>
      <c r="O495" s="811"/>
      <c r="P495" s="811"/>
      <c r="Q495" s="1493" t="s">
        <v>481</v>
      </c>
      <c r="R495" s="1494"/>
      <c r="S495" s="1494"/>
      <c r="T495" s="1494"/>
      <c r="U495" s="1494"/>
      <c r="V495" s="1494"/>
      <c r="W495" s="1494"/>
      <c r="X495" s="1494"/>
      <c r="Y495" s="1494"/>
      <c r="Z495" s="1494"/>
      <c r="AA495" s="1494"/>
      <c r="AB495" s="1494"/>
      <c r="AC495" s="1494"/>
      <c r="AD495" s="1494"/>
      <c r="AE495" s="1494"/>
      <c r="AF495" s="1494"/>
      <c r="AG495" s="1494"/>
      <c r="AH495" s="1494"/>
      <c r="AI495" s="1494"/>
      <c r="AJ495" s="1494"/>
      <c r="AK495" s="149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156" t="s">
        <v>2416</v>
      </c>
      <c r="R496" s="1065"/>
      <c r="S496" s="1065"/>
      <c r="T496" s="1065"/>
      <c r="U496" s="1065"/>
      <c r="V496" s="1065"/>
      <c r="W496" s="1065"/>
      <c r="X496" s="1065"/>
      <c r="Y496" s="1065"/>
      <c r="Z496" s="1065"/>
      <c r="AA496" s="1065"/>
      <c r="AB496" s="1065"/>
      <c r="AC496" s="1065"/>
      <c r="AD496" s="1065"/>
      <c r="AE496" s="1065"/>
      <c r="AF496" s="1065"/>
      <c r="AG496" s="1065"/>
      <c r="AH496" s="1065"/>
      <c r="AI496" s="1065"/>
      <c r="AJ496" s="1065"/>
      <c r="AK496" s="115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156">
        <v>0</v>
      </c>
      <c r="R497" s="1065"/>
      <c r="S497" s="1065"/>
      <c r="T497" s="1065"/>
      <c r="U497" s="1065"/>
      <c r="V497" s="1065"/>
      <c r="W497" s="1065"/>
      <c r="X497" s="1065"/>
      <c r="Y497" s="1065"/>
      <c r="Z497" s="1065"/>
      <c r="AA497" s="1065"/>
      <c r="AB497" s="1065"/>
      <c r="AC497" s="1065"/>
      <c r="AD497" s="1065"/>
      <c r="AE497" s="1065"/>
      <c r="AF497" s="1065"/>
      <c r="AG497" s="1065"/>
      <c r="AH497" s="1065"/>
      <c r="AI497" s="1065"/>
      <c r="AJ497" s="1065"/>
      <c r="AK497" s="11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1969</v>
      </c>
      <c r="C498" s="9"/>
      <c r="D498" s="9"/>
      <c r="E498" s="9"/>
      <c r="F498" s="9"/>
      <c r="G498" s="9"/>
      <c r="H498" s="9"/>
      <c r="I498" s="9"/>
      <c r="J498" s="9"/>
      <c r="K498" s="9"/>
      <c r="L498" s="9"/>
      <c r="M498" s="9"/>
      <c r="N498" s="9"/>
      <c r="O498" s="9"/>
      <c r="P498" s="9"/>
      <c r="Q498" s="1156">
        <v>3</v>
      </c>
      <c r="R498" s="1065"/>
      <c r="S498" s="1065"/>
      <c r="T498" s="1065"/>
      <c r="U498" s="1065"/>
      <c r="V498" s="1065"/>
      <c r="W498" s="1065"/>
      <c r="X498" s="1065"/>
      <c r="Y498" s="1065"/>
      <c r="Z498" s="1065"/>
      <c r="AA498" s="1065"/>
      <c r="AB498" s="1065"/>
      <c r="AC498" s="1065"/>
      <c r="AD498" s="1065"/>
      <c r="AE498" s="1065"/>
      <c r="AF498" s="1065"/>
      <c r="AG498" s="1065"/>
      <c r="AH498" s="1065"/>
      <c r="AI498" s="1065"/>
      <c r="AJ498" s="1065"/>
      <c r="AK498" s="11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1970</v>
      </c>
      <c r="C499" s="9"/>
      <c r="D499" s="9"/>
      <c r="E499" s="9"/>
      <c r="F499" s="9"/>
      <c r="G499" s="9"/>
      <c r="H499" s="9"/>
      <c r="I499" s="9"/>
      <c r="J499" s="9"/>
      <c r="K499" s="9"/>
      <c r="L499" s="9"/>
      <c r="M499" s="1302">
        <v>0</v>
      </c>
      <c r="N499" s="1303"/>
      <c r="O499" s="1303"/>
      <c r="P499" s="1304"/>
      <c r="Q499" s="212" t="s">
        <v>1971</v>
      </c>
      <c r="R499" s="9"/>
      <c r="S499" s="9"/>
      <c r="T499" s="9"/>
      <c r="U499" s="9"/>
      <c r="V499" s="9"/>
      <c r="W499" s="9"/>
      <c r="X499" s="9"/>
      <c r="Y499" s="9"/>
      <c r="Z499" s="9"/>
      <c r="AA499" s="9"/>
      <c r="AB499" s="9"/>
      <c r="AC499" s="9"/>
      <c r="AD499" s="9"/>
      <c r="AE499" s="9"/>
      <c r="AF499" s="9"/>
      <c r="AG499" s="9"/>
      <c r="AH499" s="1302">
        <v>3</v>
      </c>
      <c r="AI499" s="1303"/>
      <c r="AJ499" s="1303"/>
      <c r="AK499" s="130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8" t="s">
        <v>245</v>
      </c>
      <c r="AD503" s="1159"/>
      <c r="AE503" s="1159"/>
      <c r="AF503" s="1159"/>
      <c r="AG503" s="1159"/>
      <c r="AH503" s="1159"/>
      <c r="AI503" s="1159"/>
      <c r="AJ503" s="1159"/>
      <c r="AK503" s="11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8" t="s">
        <v>246</v>
      </c>
      <c r="AD504" s="1159"/>
      <c r="AE504" s="1159"/>
      <c r="AF504" s="1159"/>
      <c r="AG504" s="56" t="s">
        <v>247</v>
      </c>
      <c r="AH504" s="1159" t="s">
        <v>248</v>
      </c>
      <c r="AI504" s="1159"/>
      <c r="AJ504" s="1159"/>
      <c r="AK504" s="11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284" t="s">
        <v>249</v>
      </c>
      <c r="C505" s="1285"/>
      <c r="D505" s="1285"/>
      <c r="E505" s="1285"/>
      <c r="F505" s="1285"/>
      <c r="G505" s="1285"/>
      <c r="H505" s="1286"/>
      <c r="I505" s="7" t="s">
        <v>670</v>
      </c>
      <c r="J505" s="7"/>
      <c r="K505" s="7"/>
      <c r="L505" s="7"/>
      <c r="M505" s="7"/>
      <c r="N505" s="7"/>
      <c r="O505" s="7"/>
      <c r="P505" s="7"/>
      <c r="Q505" s="7"/>
      <c r="R505" s="7"/>
      <c r="S505" s="7"/>
      <c r="T505" s="7"/>
      <c r="U505" s="7"/>
      <c r="V505" s="7"/>
      <c r="W505" s="7"/>
      <c r="AC505" s="1145">
        <v>6</v>
      </c>
      <c r="AD505" s="1142"/>
      <c r="AE505" s="1142"/>
      <c r="AF505" s="1142"/>
      <c r="AG505" s="18" t="s">
        <v>247</v>
      </c>
      <c r="AH505" s="1148">
        <v>2023</v>
      </c>
      <c r="AI505" s="1148"/>
      <c r="AJ505" s="1148"/>
      <c r="AK505" s="114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287"/>
      <c r="C506" s="1288"/>
      <c r="D506" s="1288"/>
      <c r="E506" s="1288"/>
      <c r="F506" s="1288"/>
      <c r="G506" s="1288"/>
      <c r="H506" s="1289"/>
      <c r="I506" s="54" t="s">
        <v>671</v>
      </c>
      <c r="J506" s="54"/>
      <c r="K506" s="54"/>
      <c r="L506" s="54"/>
      <c r="M506" s="54"/>
      <c r="N506" s="54"/>
      <c r="O506" s="54"/>
      <c r="P506" s="54"/>
      <c r="Q506" s="54"/>
      <c r="R506" s="54"/>
      <c r="S506" s="54"/>
      <c r="T506" s="54"/>
      <c r="U506" s="54"/>
      <c r="V506" s="54"/>
      <c r="W506" s="54"/>
      <c r="X506" s="54"/>
      <c r="Y506" s="54"/>
      <c r="Z506" s="54"/>
      <c r="AA506" s="54"/>
      <c r="AB506" s="54"/>
      <c r="AC506" s="1145">
        <v>12</v>
      </c>
      <c r="AD506" s="1142"/>
      <c r="AE506" s="1142"/>
      <c r="AF506" s="1142"/>
      <c r="AG506" s="47" t="s">
        <v>247</v>
      </c>
      <c r="AH506" s="1148">
        <v>2025</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284" t="s">
        <v>672</v>
      </c>
      <c r="C507" s="1285"/>
      <c r="D507" s="1285"/>
      <c r="E507" s="1285"/>
      <c r="F507" s="1285"/>
      <c r="G507" s="1285"/>
      <c r="H507" s="1286"/>
      <c r="I507" s="7" t="s">
        <v>673</v>
      </c>
      <c r="J507" s="7"/>
      <c r="K507" s="7"/>
      <c r="L507" s="7"/>
      <c r="M507" s="7"/>
      <c r="N507" s="7"/>
      <c r="O507" s="7"/>
      <c r="P507" s="7"/>
      <c r="Q507" s="7"/>
      <c r="R507" s="7"/>
      <c r="S507" s="7"/>
      <c r="T507" s="7"/>
      <c r="U507" s="7"/>
      <c r="V507" s="7"/>
      <c r="W507" s="7"/>
      <c r="AC507" s="1145" t="s">
        <v>123</v>
      </c>
      <c r="AD507" s="1142"/>
      <c r="AE507" s="1142"/>
      <c r="AF507" s="1142"/>
      <c r="AG507" s="18" t="s">
        <v>247</v>
      </c>
      <c r="AH507" s="1148"/>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287"/>
      <c r="C508" s="1288"/>
      <c r="D508" s="1288"/>
      <c r="E508" s="1288"/>
      <c r="F508" s="1288"/>
      <c r="G508" s="1288"/>
      <c r="H508" s="1289"/>
      <c r="I508" t="s">
        <v>674</v>
      </c>
      <c r="AC508" s="1145" t="s">
        <v>123</v>
      </c>
      <c r="AD508" s="1142"/>
      <c r="AE508" s="1142"/>
      <c r="AF508" s="1142"/>
      <c r="AG508" s="18" t="s">
        <v>247</v>
      </c>
      <c r="AH508" s="1148"/>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287"/>
      <c r="C509" s="1288"/>
      <c r="D509" s="1288"/>
      <c r="E509" s="1288"/>
      <c r="F509" s="1288"/>
      <c r="G509" s="1288"/>
      <c r="H509" s="1289"/>
      <c r="I509" t="s">
        <v>675</v>
      </c>
      <c r="AC509" s="1145">
        <v>1</v>
      </c>
      <c r="AD509" s="1142"/>
      <c r="AE509" s="1142"/>
      <c r="AF509" s="1142"/>
      <c r="AG509" s="18" t="s">
        <v>247</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287"/>
      <c r="C510" s="1288"/>
      <c r="D510" s="1288"/>
      <c r="E510" s="1288"/>
      <c r="F510" s="1288"/>
      <c r="G510" s="1288"/>
      <c r="H510" s="1289"/>
      <c r="I510" t="s">
        <v>676</v>
      </c>
      <c r="AC510" s="1145">
        <v>12</v>
      </c>
      <c r="AD510" s="1142"/>
      <c r="AE510" s="1142"/>
      <c r="AF510" s="1142"/>
      <c r="AG510" s="18" t="s">
        <v>247</v>
      </c>
      <c r="AH510" s="1148">
        <v>2025</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287"/>
      <c r="C511" s="1288"/>
      <c r="D511" s="1288"/>
      <c r="E511" s="1288"/>
      <c r="F511" s="1288"/>
      <c r="G511" s="1288"/>
      <c r="H511" s="1289"/>
      <c r="I511" s="41" t="s">
        <v>677</v>
      </c>
      <c r="AC511" s="1071">
        <v>12</v>
      </c>
      <c r="AD511" s="1072"/>
      <c r="AE511" s="1072"/>
      <c r="AF511" s="1072"/>
      <c r="AG511" s="18" t="s">
        <v>247</v>
      </c>
      <c r="AH511" s="1148">
        <v>2025</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287"/>
      <c r="C512" s="1288"/>
      <c r="D512" s="1288"/>
      <c r="E512" s="1288"/>
      <c r="F512" s="1288"/>
      <c r="G512" s="1288"/>
      <c r="H512" s="1289"/>
      <c r="I512" s="407" t="s">
        <v>282</v>
      </c>
      <c r="J512" s="54"/>
      <c r="K512" s="54"/>
      <c r="L512" s="1173" t="s">
        <v>2417</v>
      </c>
      <c r="M512" s="1174"/>
      <c r="N512" s="1174"/>
      <c r="O512" s="1174"/>
      <c r="P512" s="1174"/>
      <c r="Q512" s="1174"/>
      <c r="R512" s="1174"/>
      <c r="S512" s="1174"/>
      <c r="T512" s="1174"/>
      <c r="U512" s="1174"/>
      <c r="V512" s="1174"/>
      <c r="W512" s="1174"/>
      <c r="X512" s="1174"/>
      <c r="Y512" s="1174"/>
      <c r="Z512" s="1174"/>
      <c r="AA512" s="1174"/>
      <c r="AB512" s="1175"/>
      <c r="AC512" s="1450">
        <v>1</v>
      </c>
      <c r="AD512" s="1339"/>
      <c r="AE512" s="1339"/>
      <c r="AF512" s="1339"/>
      <c r="AG512" s="47" t="s">
        <v>247</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287"/>
      <c r="C513" s="1288"/>
      <c r="D513" s="1288"/>
      <c r="E513" s="1288"/>
      <c r="F513" s="1288"/>
      <c r="G513" s="1288"/>
      <c r="H513" s="1289"/>
      <c r="I513" s="41" t="s">
        <v>1972</v>
      </c>
      <c r="AC513" s="1431" t="s">
        <v>481</v>
      </c>
      <c r="AD513" s="1431"/>
      <c r="AE513" s="1431"/>
      <c r="AF513" s="1431"/>
      <c r="AG513" s="18"/>
      <c r="AH513" s="1150"/>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287"/>
      <c r="C514" s="1288"/>
      <c r="D514" s="1288"/>
      <c r="E514" s="1288"/>
      <c r="F514" s="1288"/>
      <c r="G514" s="1288"/>
      <c r="H514" s="1289"/>
      <c r="I514" t="s">
        <v>1973</v>
      </c>
      <c r="AC514" s="1071"/>
      <c r="AD514" s="1072"/>
      <c r="AE514" s="1072"/>
      <c r="AF514" s="1073"/>
      <c r="AG514" s="18"/>
      <c r="AH514" s="1150"/>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87"/>
      <c r="C515" s="1288"/>
      <c r="D515" s="1288"/>
      <c r="E515" s="1288"/>
      <c r="F515" s="1288"/>
      <c r="G515" s="1288"/>
      <c r="H515" s="1289"/>
      <c r="I515" t="s">
        <v>1974</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287"/>
      <c r="C516" s="1288"/>
      <c r="D516" s="1288"/>
      <c r="E516" s="1288"/>
      <c r="F516" s="1288"/>
      <c r="G516" s="1288"/>
      <c r="H516" s="1289"/>
      <c r="I516" s="834" t="s">
        <v>1975</v>
      </c>
      <c r="J516" s="54"/>
      <c r="K516" s="54"/>
      <c r="L516" s="54"/>
      <c r="M516" s="54"/>
      <c r="N516" s="54"/>
      <c r="O516" s="54"/>
      <c r="P516" s="54"/>
      <c r="Q516" s="54"/>
      <c r="R516" s="54"/>
      <c r="S516" s="54"/>
      <c r="T516" s="54"/>
      <c r="U516" s="54"/>
      <c r="V516" s="54"/>
      <c r="W516" s="54"/>
      <c r="X516" s="54"/>
      <c r="Y516" s="54"/>
      <c r="Z516" s="54"/>
      <c r="AA516" s="54"/>
      <c r="AB516" s="54"/>
      <c r="AC516" s="1472"/>
      <c r="AD516" s="1473"/>
      <c r="AE516" s="1473"/>
      <c r="AF516" s="1474"/>
      <c r="AG516" s="47"/>
      <c r="AH516" s="1333"/>
      <c r="AI516" s="1333"/>
      <c r="AJ516" s="1333"/>
      <c r="AK516" s="133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284" t="s">
        <v>678</v>
      </c>
      <c r="C517" s="1285"/>
      <c r="D517" s="1285"/>
      <c r="E517" s="1285"/>
      <c r="F517" s="1285"/>
      <c r="G517" s="1285"/>
      <c r="H517" s="1286"/>
      <c r="I517" s="7" t="s">
        <v>679</v>
      </c>
      <c r="J517" s="7"/>
      <c r="K517" s="7"/>
      <c r="L517" s="7"/>
      <c r="M517" s="7"/>
      <c r="N517" s="7"/>
      <c r="O517" s="7"/>
      <c r="P517" s="7"/>
      <c r="Q517" s="7"/>
      <c r="R517" s="7"/>
      <c r="S517" s="7"/>
      <c r="T517" s="7"/>
      <c r="U517" s="7"/>
      <c r="V517" s="7"/>
      <c r="W517" s="7"/>
      <c r="AC517" s="1145">
        <v>3</v>
      </c>
      <c r="AD517" s="1142"/>
      <c r="AE517" s="1142"/>
      <c r="AF517" s="1142"/>
      <c r="AG517" s="18" t="s">
        <v>247</v>
      </c>
      <c r="AH517" s="1148">
        <v>2025</v>
      </c>
      <c r="AI517" s="1148"/>
      <c r="AJ517" s="1148"/>
      <c r="AK517" s="1149"/>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287"/>
      <c r="C518" s="1288"/>
      <c r="D518" s="1288"/>
      <c r="E518" s="1288"/>
      <c r="F518" s="1288"/>
      <c r="G518" s="1288"/>
      <c r="H518" s="1289"/>
      <c r="I518" t="s">
        <v>680</v>
      </c>
      <c r="AC518" s="1145">
        <v>3</v>
      </c>
      <c r="AD518" s="1142"/>
      <c r="AE518" s="1142"/>
      <c r="AF518" s="1142"/>
      <c r="AG518" s="18" t="s">
        <v>247</v>
      </c>
      <c r="AH518" s="1148">
        <v>2025</v>
      </c>
      <c r="AI518" s="1148"/>
      <c r="AJ518" s="1148"/>
      <c r="AK518" s="1149"/>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287"/>
      <c r="C519" s="1288"/>
      <c r="D519" s="1288"/>
      <c r="E519" s="1288"/>
      <c r="F519" s="1288"/>
      <c r="G519" s="1288"/>
      <c r="H519" s="1289"/>
      <c r="I519" s="54" t="s">
        <v>681</v>
      </c>
      <c r="J519" s="54"/>
      <c r="K519" s="54"/>
      <c r="L519" s="54"/>
      <c r="M519" s="54"/>
      <c r="N519" s="54"/>
      <c r="O519" s="54"/>
      <c r="P519" s="54"/>
      <c r="Q519" s="54"/>
      <c r="R519" s="54"/>
      <c r="S519" s="54"/>
      <c r="T519" s="54"/>
      <c r="U519" s="54"/>
      <c r="V519" s="54"/>
      <c r="W519" s="54"/>
      <c r="X519" s="54"/>
      <c r="Y519" s="54"/>
      <c r="Z519" s="54"/>
      <c r="AA519" s="54"/>
      <c r="AB519" s="54"/>
      <c r="AC519" s="1145">
        <v>12</v>
      </c>
      <c r="AD519" s="1142"/>
      <c r="AE519" s="1142"/>
      <c r="AF519" s="1142"/>
      <c r="AG519" s="47" t="s">
        <v>247</v>
      </c>
      <c r="AH519" s="1148">
        <v>2025</v>
      </c>
      <c r="AI519" s="1148"/>
      <c r="AJ519" s="1148"/>
      <c r="AK519" s="1149"/>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284" t="s">
        <v>682</v>
      </c>
      <c r="C520" s="1285"/>
      <c r="D520" s="1285"/>
      <c r="E520" s="1285"/>
      <c r="F520" s="1285"/>
      <c r="G520" s="1285"/>
      <c r="H520" s="1286"/>
      <c r="I520" s="7" t="s">
        <v>679</v>
      </c>
      <c r="J520" s="7"/>
      <c r="K520" s="7"/>
      <c r="L520" s="7"/>
      <c r="M520" s="7"/>
      <c r="N520" s="7"/>
      <c r="O520" s="7"/>
      <c r="P520" s="7"/>
      <c r="Q520" s="7"/>
      <c r="R520" s="7"/>
      <c r="S520" s="7"/>
      <c r="T520" s="7"/>
      <c r="U520" s="7"/>
      <c r="V520" s="7"/>
      <c r="W520" s="7"/>
      <c r="X520" s="7"/>
      <c r="Y520" s="7"/>
      <c r="Z520" s="7"/>
      <c r="AA520" s="7"/>
      <c r="AB520" s="7"/>
      <c r="AC520" s="1323">
        <v>3</v>
      </c>
      <c r="AD520" s="1324"/>
      <c r="AE520" s="1324"/>
      <c r="AF520" s="1324"/>
      <c r="AG520" s="228" t="s">
        <v>247</v>
      </c>
      <c r="AH520" s="1148">
        <v>2025</v>
      </c>
      <c r="AI520" s="1148"/>
      <c r="AJ520" s="1148"/>
      <c r="AK520" s="1149"/>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287"/>
      <c r="C521" s="1288"/>
      <c r="D521" s="1288"/>
      <c r="E521" s="1288"/>
      <c r="F521" s="1288"/>
      <c r="G521" s="1288"/>
      <c r="H521" s="1289"/>
      <c r="I521" t="s">
        <v>680</v>
      </c>
      <c r="AC521" s="1145">
        <v>3</v>
      </c>
      <c r="AD521" s="1142"/>
      <c r="AE521" s="1142"/>
      <c r="AF521" s="1142"/>
      <c r="AG521" s="18" t="s">
        <v>247</v>
      </c>
      <c r="AH521" s="1148">
        <v>2025</v>
      </c>
      <c r="AI521" s="1148"/>
      <c r="AJ521" s="1148"/>
      <c r="AK521" s="1149"/>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290"/>
      <c r="C522" s="1291"/>
      <c r="D522" s="1291"/>
      <c r="E522" s="1291"/>
      <c r="F522" s="1291"/>
      <c r="G522" s="1291"/>
      <c r="H522" s="1292"/>
      <c r="I522" s="54" t="s">
        <v>681</v>
      </c>
      <c r="J522" s="54"/>
      <c r="K522" s="54"/>
      <c r="L522" s="54"/>
      <c r="M522" s="54"/>
      <c r="N522" s="54"/>
      <c r="O522" s="54"/>
      <c r="P522" s="54"/>
      <c r="Q522" s="54"/>
      <c r="R522" s="54"/>
      <c r="S522" s="54"/>
      <c r="T522" s="54"/>
      <c r="U522" s="54"/>
      <c r="V522" s="54"/>
      <c r="W522" s="54"/>
      <c r="X522" s="54"/>
      <c r="Y522" s="54"/>
      <c r="Z522" s="54"/>
      <c r="AA522" s="54"/>
      <c r="AB522" s="54"/>
      <c r="AC522" s="1145">
        <v>9</v>
      </c>
      <c r="AD522" s="1142"/>
      <c r="AE522" s="1142"/>
      <c r="AF522" s="1142"/>
      <c r="AG522" s="47" t="s">
        <v>247</v>
      </c>
      <c r="AH522" s="1148">
        <v>2027</v>
      </c>
      <c r="AI522" s="1148"/>
      <c r="AJ522" s="1148"/>
      <c r="AK522" s="1149"/>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284" t="s">
        <v>683</v>
      </c>
      <c r="C523" s="1285"/>
      <c r="D523" s="1285"/>
      <c r="E523" s="1285"/>
      <c r="F523" s="1285"/>
      <c r="G523" s="1285"/>
      <c r="H523" s="1286"/>
      <c r="I523" s="6" t="s">
        <v>684</v>
      </c>
      <c r="J523" s="7"/>
      <c r="K523" s="7"/>
      <c r="L523" s="7"/>
      <c r="M523" s="7"/>
      <c r="N523" s="7"/>
      <c r="O523" s="1173" t="str">
        <f>C558</f>
        <v>Alliance Housing Fund</v>
      </c>
      <c r="P523" s="1174"/>
      <c r="Q523" s="1174"/>
      <c r="R523" s="1174"/>
      <c r="S523" s="1174"/>
      <c r="T523" s="1174"/>
      <c r="U523" s="1174"/>
      <c r="V523" s="1174"/>
      <c r="W523" s="1174"/>
      <c r="X523" s="1174"/>
      <c r="Y523" s="1174"/>
      <c r="Z523" s="1174"/>
      <c r="AA523" s="1174"/>
      <c r="AB523" s="64"/>
      <c r="AC523" s="1323" t="s">
        <v>123</v>
      </c>
      <c r="AD523" s="1324"/>
      <c r="AE523" s="1324"/>
      <c r="AF523" s="1324"/>
      <c r="AG523" s="228" t="s">
        <v>247</v>
      </c>
      <c r="AH523" s="1148"/>
      <c r="AI523" s="1148"/>
      <c r="AJ523" s="1148"/>
      <c r="AK523" s="1149"/>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287"/>
      <c r="C524" s="1288"/>
      <c r="D524" s="1288"/>
      <c r="E524" s="1288"/>
      <c r="F524" s="1288"/>
      <c r="G524" s="1288"/>
      <c r="H524" s="1289"/>
      <c r="I524" s="202" t="s">
        <v>685</v>
      </c>
      <c r="AB524" s="71"/>
      <c r="AC524" s="1145">
        <v>6</v>
      </c>
      <c r="AD524" s="1142"/>
      <c r="AE524" s="1142"/>
      <c r="AF524" s="1142"/>
      <c r="AG524" s="18" t="s">
        <v>247</v>
      </c>
      <c r="AH524" s="1148">
        <v>2024</v>
      </c>
      <c r="AI524" s="1148"/>
      <c r="AJ524" s="1148"/>
      <c r="AK524" s="1149"/>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287"/>
      <c r="C525" s="1288"/>
      <c r="D525" s="1288"/>
      <c r="E525" s="1288"/>
      <c r="F525" s="1288"/>
      <c r="G525" s="1288"/>
      <c r="H525" s="1289"/>
      <c r="I525" s="53" t="s">
        <v>686</v>
      </c>
      <c r="J525" s="54"/>
      <c r="K525" s="54"/>
      <c r="L525" s="54"/>
      <c r="M525" s="54"/>
      <c r="N525" s="54"/>
      <c r="O525" s="54"/>
      <c r="P525" s="54"/>
      <c r="Q525" s="54"/>
      <c r="R525" s="54"/>
      <c r="S525" s="54"/>
      <c r="T525" s="54"/>
      <c r="U525" s="54"/>
      <c r="V525" s="54"/>
      <c r="W525" s="54"/>
      <c r="X525" s="54"/>
      <c r="Y525" s="54"/>
      <c r="Z525" s="54"/>
      <c r="AA525" s="54"/>
      <c r="AB525" s="55"/>
      <c r="AC525" s="1145">
        <v>10</v>
      </c>
      <c r="AD525" s="1142"/>
      <c r="AE525" s="1142"/>
      <c r="AF525" s="1142"/>
      <c r="AG525" s="47" t="s">
        <v>247</v>
      </c>
      <c r="AH525" s="1148">
        <v>2024</v>
      </c>
      <c r="AI525" s="1148"/>
      <c r="AJ525" s="1148"/>
      <c r="AK525" s="1149"/>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287"/>
      <c r="C526" s="1288"/>
      <c r="D526" s="1288"/>
      <c r="E526" s="1288"/>
      <c r="F526" s="1288"/>
      <c r="G526" s="1288"/>
      <c r="H526" s="1289"/>
      <c r="I526" s="7" t="s">
        <v>687</v>
      </c>
      <c r="J526" s="7"/>
      <c r="K526" s="7"/>
      <c r="L526" s="7"/>
      <c r="M526" s="7"/>
      <c r="N526" s="7"/>
      <c r="O526" s="1173" t="str">
        <f>C559</f>
        <v>REAP: Regional Competitiveness Grant</v>
      </c>
      <c r="P526" s="1174"/>
      <c r="Q526" s="1174"/>
      <c r="R526" s="1174"/>
      <c r="S526" s="1174"/>
      <c r="T526" s="1174"/>
      <c r="U526" s="1174"/>
      <c r="V526" s="1174"/>
      <c r="W526" s="1174"/>
      <c r="X526" s="1174"/>
      <c r="Y526" s="1174"/>
      <c r="Z526" s="1174"/>
      <c r="AA526" s="1174"/>
      <c r="AC526" s="1145" t="s">
        <v>123</v>
      </c>
      <c r="AD526" s="1142"/>
      <c r="AE526" s="1142"/>
      <c r="AF526" s="1142"/>
      <c r="AG526" s="18" t="s">
        <v>247</v>
      </c>
      <c r="AH526" s="1148"/>
      <c r="AI526" s="1148"/>
      <c r="AJ526" s="1148"/>
      <c r="AK526" s="1149"/>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287"/>
      <c r="C527" s="1288"/>
      <c r="D527" s="1288"/>
      <c r="E527" s="1288"/>
      <c r="F527" s="1288"/>
      <c r="G527" s="1288"/>
      <c r="H527" s="1289"/>
      <c r="I527" t="s">
        <v>685</v>
      </c>
      <c r="AC527" s="1145">
        <v>12</v>
      </c>
      <c r="AD527" s="1142"/>
      <c r="AE527" s="1142"/>
      <c r="AF527" s="1142"/>
      <c r="AG527" s="18" t="s">
        <v>247</v>
      </c>
      <c r="AH527" s="1148">
        <v>2023</v>
      </c>
      <c r="AI527" s="1148"/>
      <c r="AJ527" s="1148"/>
      <c r="AK527" s="1149"/>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287"/>
      <c r="C528" s="1288"/>
      <c r="D528" s="1288"/>
      <c r="E528" s="1288"/>
      <c r="F528" s="1288"/>
      <c r="G528" s="1288"/>
      <c r="H528" s="1289"/>
      <c r="I528" s="54" t="s">
        <v>686</v>
      </c>
      <c r="J528" s="54"/>
      <c r="K528" s="54"/>
      <c r="L528" s="54"/>
      <c r="M528" s="54"/>
      <c r="N528" s="54"/>
      <c r="O528" s="54"/>
      <c r="P528" s="54"/>
      <c r="Q528" s="54"/>
      <c r="R528" s="54"/>
      <c r="S528" s="54"/>
      <c r="T528" s="54"/>
      <c r="U528" s="54"/>
      <c r="V528" s="54"/>
      <c r="W528" s="54"/>
      <c r="X528" s="54"/>
      <c r="Y528" s="54"/>
      <c r="Z528" s="54"/>
      <c r="AA528" s="54"/>
      <c r="AB528" s="54"/>
      <c r="AC528" s="1145">
        <v>8</v>
      </c>
      <c r="AD528" s="1142"/>
      <c r="AE528" s="1142"/>
      <c r="AF528" s="1142"/>
      <c r="AG528" s="47" t="s">
        <v>247</v>
      </c>
      <c r="AH528" s="1148">
        <v>2024</v>
      </c>
      <c r="AI528" s="1148"/>
      <c r="AJ528" s="1148"/>
      <c r="AK528" s="1149"/>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287"/>
      <c r="C529" s="1288"/>
      <c r="D529" s="1288"/>
      <c r="E529" s="1288"/>
      <c r="F529" s="1288"/>
      <c r="G529" s="1288"/>
      <c r="H529" s="1289"/>
      <c r="I529" s="7" t="s">
        <v>687</v>
      </c>
      <c r="J529" s="7"/>
      <c r="K529" s="7"/>
      <c r="L529" s="7"/>
      <c r="M529" s="7"/>
      <c r="N529" s="7"/>
      <c r="O529" s="1173" t="str">
        <f>C560</f>
        <v>City of Merced PLHA</v>
      </c>
      <c r="P529" s="1174"/>
      <c r="Q529" s="1174"/>
      <c r="R529" s="1174"/>
      <c r="S529" s="1174"/>
      <c r="T529" s="1174"/>
      <c r="U529" s="1174"/>
      <c r="V529" s="1174"/>
      <c r="W529" s="1174"/>
      <c r="X529" s="1174"/>
      <c r="Y529" s="1174"/>
      <c r="Z529" s="1174"/>
      <c r="AA529" s="1174"/>
      <c r="AC529" s="1145" t="s">
        <v>123</v>
      </c>
      <c r="AD529" s="1142"/>
      <c r="AE529" s="1142"/>
      <c r="AF529" s="1142"/>
      <c r="AG529" s="18" t="s">
        <v>247</v>
      </c>
      <c r="AH529" s="1148"/>
      <c r="AI529" s="1148"/>
      <c r="AJ529" s="1148"/>
      <c r="AK529" s="1149"/>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287"/>
      <c r="C530" s="1288"/>
      <c r="D530" s="1288"/>
      <c r="E530" s="1288"/>
      <c r="F530" s="1288"/>
      <c r="G530" s="1288"/>
      <c r="H530" s="1289"/>
      <c r="I530" t="s">
        <v>685</v>
      </c>
      <c r="AC530" s="1145">
        <v>10</v>
      </c>
      <c r="AD530" s="1142"/>
      <c r="AE530" s="1142"/>
      <c r="AF530" s="1142"/>
      <c r="AG530" s="18" t="s">
        <v>247</v>
      </c>
      <c r="AH530" s="1148">
        <v>2022</v>
      </c>
      <c r="AI530" s="1148"/>
      <c r="AJ530" s="1148"/>
      <c r="AK530" s="1149"/>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287"/>
      <c r="C531" s="1288"/>
      <c r="D531" s="1288"/>
      <c r="E531" s="1288"/>
      <c r="F531" s="1288"/>
      <c r="G531" s="1288"/>
      <c r="H531" s="1289"/>
      <c r="I531" s="54" t="s">
        <v>686</v>
      </c>
      <c r="J531" s="54"/>
      <c r="K531" s="54"/>
      <c r="L531" s="54"/>
      <c r="M531" s="54"/>
      <c r="N531" s="54"/>
      <c r="O531" s="54"/>
      <c r="P531" s="54"/>
      <c r="Q531" s="54"/>
      <c r="R531" s="54"/>
      <c r="S531" s="54"/>
      <c r="T531" s="54"/>
      <c r="U531" s="54"/>
      <c r="V531" s="54"/>
      <c r="W531" s="54"/>
      <c r="X531" s="54"/>
      <c r="Y531" s="54"/>
      <c r="Z531" s="54"/>
      <c r="AA531" s="54"/>
      <c r="AB531" s="54"/>
      <c r="AC531" s="1145">
        <v>11</v>
      </c>
      <c r="AD531" s="1142"/>
      <c r="AE531" s="1142"/>
      <c r="AF531" s="1142"/>
      <c r="AG531" s="47" t="s">
        <v>247</v>
      </c>
      <c r="AH531" s="1148">
        <v>2022</v>
      </c>
      <c r="AI531" s="1148"/>
      <c r="AJ531" s="1148"/>
      <c r="AK531" s="1149"/>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287"/>
      <c r="C532" s="1288"/>
      <c r="D532" s="1288"/>
      <c r="E532" s="1288"/>
      <c r="F532" s="1288"/>
      <c r="G532" s="1288"/>
      <c r="H532" s="1289"/>
      <c r="I532" s="7" t="s">
        <v>687</v>
      </c>
      <c r="J532" s="7"/>
      <c r="K532" s="7"/>
      <c r="L532" s="7"/>
      <c r="M532" s="7"/>
      <c r="N532" s="7"/>
      <c r="O532" s="1173" t="str">
        <f>C561</f>
        <v>FHLB AHP</v>
      </c>
      <c r="P532" s="1174"/>
      <c r="Q532" s="1174"/>
      <c r="R532" s="1174"/>
      <c r="S532" s="1174"/>
      <c r="T532" s="1174"/>
      <c r="U532" s="1174"/>
      <c r="V532" s="1174"/>
      <c r="W532" s="1174"/>
      <c r="X532" s="1174"/>
      <c r="Y532" s="1174"/>
      <c r="Z532" s="1174"/>
      <c r="AA532" s="1174"/>
      <c r="AC532" s="1145" t="s">
        <v>123</v>
      </c>
      <c r="AD532" s="1142"/>
      <c r="AE532" s="1142"/>
      <c r="AF532" s="1142"/>
      <c r="AG532" s="18" t="s">
        <v>247</v>
      </c>
      <c r="AH532" s="1148"/>
      <c r="AI532" s="1148"/>
      <c r="AJ532" s="1148"/>
      <c r="AK532" s="1149"/>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287"/>
      <c r="C533" s="1288"/>
      <c r="D533" s="1288"/>
      <c r="E533" s="1288"/>
      <c r="F533" s="1288"/>
      <c r="G533" s="1288"/>
      <c r="H533" s="1289"/>
      <c r="I533" t="s">
        <v>685</v>
      </c>
      <c r="AC533" s="1145">
        <v>3</v>
      </c>
      <c r="AD533" s="1142"/>
      <c r="AE533" s="1142"/>
      <c r="AF533" s="1142"/>
      <c r="AG533" s="18" t="s">
        <v>247</v>
      </c>
      <c r="AH533" s="1148">
        <v>2024</v>
      </c>
      <c r="AI533" s="1148"/>
      <c r="AJ533" s="1148"/>
      <c r="AK533" s="1149"/>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287"/>
      <c r="C534" s="1288"/>
      <c r="D534" s="1288"/>
      <c r="E534" s="1288"/>
      <c r="F534" s="1288"/>
      <c r="G534" s="1288"/>
      <c r="H534" s="1289"/>
      <c r="I534" s="54" t="s">
        <v>686</v>
      </c>
      <c r="J534" s="54"/>
      <c r="K534" s="54"/>
      <c r="L534" s="54"/>
      <c r="M534" s="54"/>
      <c r="N534" s="54"/>
      <c r="O534" s="54"/>
      <c r="P534" s="54"/>
      <c r="Q534" s="54"/>
      <c r="R534" s="54"/>
      <c r="S534" s="54"/>
      <c r="T534" s="54"/>
      <c r="U534" s="54"/>
      <c r="V534" s="54"/>
      <c r="W534" s="54"/>
      <c r="X534" s="54"/>
      <c r="Y534" s="54"/>
      <c r="Z534" s="54"/>
      <c r="AA534" s="54"/>
      <c r="AB534" s="54"/>
      <c r="AC534" s="1145">
        <v>6</v>
      </c>
      <c r="AD534" s="1142"/>
      <c r="AE534" s="1142"/>
      <c r="AF534" s="1142"/>
      <c r="AG534" s="47" t="s">
        <v>247</v>
      </c>
      <c r="AH534" s="1148">
        <v>2024</v>
      </c>
      <c r="AI534" s="1148"/>
      <c r="AJ534" s="1148"/>
      <c r="AK534" s="1149"/>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287"/>
      <c r="C535" s="1288"/>
      <c r="D535" s="1288"/>
      <c r="E535" s="1288"/>
      <c r="F535" s="1288"/>
      <c r="G535" s="1288"/>
      <c r="H535" s="1289"/>
      <c r="I535" s="7" t="s">
        <v>687</v>
      </c>
      <c r="J535" s="7"/>
      <c r="K535" s="7"/>
      <c r="L535" s="7"/>
      <c r="M535" s="7"/>
      <c r="N535" s="7"/>
      <c r="O535" s="1173" t="s">
        <v>561</v>
      </c>
      <c r="P535" s="1174"/>
      <c r="Q535" s="1174"/>
      <c r="R535" s="1174"/>
      <c r="S535" s="1174"/>
      <c r="T535" s="1174"/>
      <c r="U535" s="1174"/>
      <c r="V535" s="1174"/>
      <c r="W535" s="1174"/>
      <c r="X535" s="1174"/>
      <c r="Y535" s="1174"/>
      <c r="Z535" s="1174"/>
      <c r="AA535" s="1174"/>
      <c r="AC535" s="1145" t="s">
        <v>123</v>
      </c>
      <c r="AD535" s="1142"/>
      <c r="AE535" s="1142"/>
      <c r="AF535" s="1142"/>
      <c r="AG535" s="18" t="s">
        <v>247</v>
      </c>
      <c r="AH535" s="1148"/>
      <c r="AI535" s="1148"/>
      <c r="AJ535" s="1148"/>
      <c r="AK535" s="1149"/>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287"/>
      <c r="C536" s="1288"/>
      <c r="D536" s="1288"/>
      <c r="E536" s="1288"/>
      <c r="F536" s="1288"/>
      <c r="G536" s="1288"/>
      <c r="H536" s="1289"/>
      <c r="I536" t="s">
        <v>685</v>
      </c>
      <c r="AC536" s="1145" t="s">
        <v>123</v>
      </c>
      <c r="AD536" s="1142"/>
      <c r="AE536" s="1142"/>
      <c r="AF536" s="1142"/>
      <c r="AG536" s="47" t="s">
        <v>247</v>
      </c>
      <c r="AH536" s="1148"/>
      <c r="AI536" s="1148"/>
      <c r="AJ536" s="1148"/>
      <c r="AK536" s="1149"/>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287"/>
      <c r="C537" s="1288"/>
      <c r="D537" s="1288"/>
      <c r="E537" s="1288"/>
      <c r="F537" s="1288"/>
      <c r="G537" s="1288"/>
      <c r="H537" s="1289"/>
      <c r="I537" s="54" t="s">
        <v>686</v>
      </c>
      <c r="J537" s="54"/>
      <c r="K537" s="54"/>
      <c r="L537" s="54"/>
      <c r="M537" s="54"/>
      <c r="N537" s="54"/>
      <c r="O537" s="54"/>
      <c r="P537" s="54"/>
      <c r="Q537" s="54"/>
      <c r="R537" s="54"/>
      <c r="S537" s="54"/>
      <c r="T537" s="54"/>
      <c r="U537" s="54"/>
      <c r="V537" s="54"/>
      <c r="W537" s="54"/>
      <c r="X537" s="54"/>
      <c r="Y537" s="54"/>
      <c r="Z537" s="54"/>
      <c r="AA537" s="54"/>
      <c r="AB537" s="54"/>
      <c r="AC537" s="1145" t="s">
        <v>123</v>
      </c>
      <c r="AD537" s="1142"/>
      <c r="AE537" s="1142"/>
      <c r="AF537" s="1142"/>
      <c r="AG537" s="18" t="s">
        <v>247</v>
      </c>
      <c r="AH537" s="1148"/>
      <c r="AI537" s="1148"/>
      <c r="AJ537" s="1148"/>
      <c r="AK537" s="1149"/>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287"/>
      <c r="C538" s="1288"/>
      <c r="D538" s="1288"/>
      <c r="E538" s="1288"/>
      <c r="F538" s="1288"/>
      <c r="G538" s="1288"/>
      <c r="H538" s="1289"/>
      <c r="I538" s="7" t="s">
        <v>687</v>
      </c>
      <c r="J538" s="7"/>
      <c r="K538" s="7"/>
      <c r="L538" s="7"/>
      <c r="M538" s="7"/>
      <c r="N538" s="7"/>
      <c r="O538" s="1173" t="s">
        <v>561</v>
      </c>
      <c r="P538" s="1174"/>
      <c r="Q538" s="1174"/>
      <c r="R538" s="1174"/>
      <c r="S538" s="1174"/>
      <c r="T538" s="1174"/>
      <c r="U538" s="1174"/>
      <c r="V538" s="1174"/>
      <c r="W538" s="1174"/>
      <c r="X538" s="1174"/>
      <c r="Y538" s="1174"/>
      <c r="Z538" s="1174"/>
      <c r="AA538" s="1174"/>
      <c r="AC538" s="1145" t="s">
        <v>123</v>
      </c>
      <c r="AD538" s="1142"/>
      <c r="AE538" s="1142"/>
      <c r="AF538" s="1142"/>
      <c r="AG538" s="47" t="s">
        <v>247</v>
      </c>
      <c r="AH538" s="1148"/>
      <c r="AI538" s="1148"/>
      <c r="AJ538" s="1148"/>
      <c r="AK538" s="1149"/>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287"/>
      <c r="C539" s="1288"/>
      <c r="D539" s="1288"/>
      <c r="E539" s="1288"/>
      <c r="F539" s="1288"/>
      <c r="G539" s="1288"/>
      <c r="H539" s="1289"/>
      <c r="I539" t="s">
        <v>685</v>
      </c>
      <c r="AC539" s="1145" t="s">
        <v>123</v>
      </c>
      <c r="AD539" s="1142"/>
      <c r="AE539" s="1142"/>
      <c r="AF539" s="1142"/>
      <c r="AG539" s="18" t="s">
        <v>247</v>
      </c>
      <c r="AH539" s="1148"/>
      <c r="AI539" s="1148"/>
      <c r="AJ539" s="1148"/>
      <c r="AK539" s="1149"/>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287"/>
      <c r="C540" s="1288"/>
      <c r="D540" s="1288"/>
      <c r="E540" s="1288"/>
      <c r="F540" s="1288"/>
      <c r="G540" s="1288"/>
      <c r="H540" s="1289"/>
      <c r="I540" s="54" t="s">
        <v>686</v>
      </c>
      <c r="J540" s="54"/>
      <c r="K540" s="54"/>
      <c r="L540" s="54"/>
      <c r="M540" s="54"/>
      <c r="N540" s="54"/>
      <c r="O540" s="54"/>
      <c r="P540" s="54"/>
      <c r="Q540" s="54"/>
      <c r="R540" s="54"/>
      <c r="S540" s="54"/>
      <c r="T540" s="54"/>
      <c r="U540" s="54"/>
      <c r="V540" s="54"/>
      <c r="W540" s="54"/>
      <c r="X540" s="54"/>
      <c r="Y540" s="54"/>
      <c r="Z540" s="54"/>
      <c r="AA540" s="54"/>
      <c r="AB540" s="54"/>
      <c r="AC540" s="1145" t="s">
        <v>123</v>
      </c>
      <c r="AD540" s="1142"/>
      <c r="AE540" s="1142"/>
      <c r="AF540" s="1142"/>
      <c r="AG540" s="47" t="s">
        <v>247</v>
      </c>
      <c r="AH540" s="1148"/>
      <c r="AI540" s="1148"/>
      <c r="AJ540" s="1148"/>
      <c r="AK540" s="1149"/>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287"/>
      <c r="C541" s="1288"/>
      <c r="D541" s="1288"/>
      <c r="E541" s="1288"/>
      <c r="F541" s="1288"/>
      <c r="G541" s="1288"/>
      <c r="H541" s="1289"/>
      <c r="I541" s="7" t="s">
        <v>734</v>
      </c>
      <c r="J541" s="7"/>
      <c r="K541" s="7"/>
      <c r="L541" s="7"/>
      <c r="M541" s="7"/>
      <c r="N541" s="7"/>
      <c r="O541" s="7"/>
      <c r="P541" s="7"/>
      <c r="Q541" s="7"/>
      <c r="R541" s="7"/>
      <c r="S541" s="7"/>
      <c r="T541" s="7"/>
      <c r="U541" s="7"/>
      <c r="V541" s="7"/>
      <c r="W541" s="7"/>
      <c r="AC541" s="1145">
        <v>3</v>
      </c>
      <c r="AD541" s="1142"/>
      <c r="AE541" s="1142"/>
      <c r="AF541" s="1142"/>
      <c r="AG541" s="47" t="s">
        <v>247</v>
      </c>
      <c r="AH541" s="1148">
        <v>2026</v>
      </c>
      <c r="AI541" s="1148"/>
      <c r="AJ541" s="1148"/>
      <c r="AK541" s="1149"/>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287"/>
      <c r="C542" s="1288"/>
      <c r="D542" s="1288"/>
      <c r="E542" s="1288"/>
      <c r="F542" s="1288"/>
      <c r="G542" s="1288"/>
      <c r="H542" s="1289"/>
      <c r="I542" t="s">
        <v>735</v>
      </c>
      <c r="AC542" s="1145">
        <v>12</v>
      </c>
      <c r="AD542" s="1142"/>
      <c r="AE542" s="1142"/>
      <c r="AF542" s="1142"/>
      <c r="AG542" s="18" t="s">
        <v>247</v>
      </c>
      <c r="AH542" s="1148">
        <v>2025</v>
      </c>
      <c r="AI542" s="1148"/>
      <c r="AJ542" s="1148"/>
      <c r="AK542" s="1149"/>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287"/>
      <c r="C543" s="1288"/>
      <c r="D543" s="1288"/>
      <c r="E543" s="1288"/>
      <c r="F543" s="1288"/>
      <c r="G543" s="1288"/>
      <c r="H543" s="1289"/>
      <c r="I543" t="s">
        <v>736</v>
      </c>
      <c r="AC543" s="1145">
        <v>6</v>
      </c>
      <c r="AD543" s="1142"/>
      <c r="AE543" s="1142"/>
      <c r="AF543" s="1142"/>
      <c r="AG543" s="47" t="s">
        <v>247</v>
      </c>
      <c r="AH543" s="1148">
        <v>2027</v>
      </c>
      <c r="AI543" s="1148"/>
      <c r="AJ543" s="1148"/>
      <c r="AK543" s="1149"/>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287"/>
      <c r="C544" s="1288"/>
      <c r="D544" s="1288"/>
      <c r="E544" s="1288"/>
      <c r="F544" s="1288"/>
      <c r="G544" s="1288"/>
      <c r="H544" s="1289"/>
      <c r="I544" t="s">
        <v>737</v>
      </c>
      <c r="AC544" s="1145">
        <v>6</v>
      </c>
      <c r="AD544" s="1142"/>
      <c r="AE544" s="1142"/>
      <c r="AF544" s="1142"/>
      <c r="AG544" s="47" t="s">
        <v>247</v>
      </c>
      <c r="AH544" s="1148">
        <v>2027</v>
      </c>
      <c r="AI544" s="1148"/>
      <c r="AJ544" s="1148"/>
      <c r="AK544" s="1149"/>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290"/>
      <c r="C545" s="1291"/>
      <c r="D545" s="1291"/>
      <c r="E545" s="1291"/>
      <c r="F545" s="1291"/>
      <c r="G545" s="1291"/>
      <c r="H545" s="1292"/>
      <c r="I545" s="54" t="s">
        <v>1363</v>
      </c>
      <c r="J545" s="54"/>
      <c r="K545" s="54"/>
      <c r="L545" s="54"/>
      <c r="M545" s="54"/>
      <c r="N545" s="54"/>
      <c r="O545" s="54"/>
      <c r="P545" s="54"/>
      <c r="Q545" s="54"/>
      <c r="R545" s="54"/>
      <c r="S545" s="54"/>
      <c r="T545" s="54"/>
      <c r="U545" s="54"/>
      <c r="V545" s="54"/>
      <c r="W545" s="54"/>
      <c r="X545" s="54"/>
      <c r="Y545" s="54"/>
      <c r="Z545" s="54"/>
      <c r="AA545" s="54"/>
      <c r="AB545" s="54"/>
      <c r="AC545" s="1145">
        <v>12</v>
      </c>
      <c r="AD545" s="1142"/>
      <c r="AE545" s="1142"/>
      <c r="AF545" s="1142"/>
      <c r="AG545" s="47" t="s">
        <v>247</v>
      </c>
      <c r="AH545" s="1148">
        <v>2027</v>
      </c>
      <c r="AI545" s="1148"/>
      <c r="AJ545" s="1148"/>
      <c r="AK545" s="1149"/>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9" t="s">
        <v>497</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284" t="s">
        <v>2178</v>
      </c>
      <c r="C554" s="1285"/>
      <c r="D554" s="1285"/>
      <c r="E554" s="1285"/>
      <c r="F554" s="1285"/>
      <c r="G554" s="1285"/>
      <c r="H554" s="1285"/>
      <c r="I554" s="1285"/>
      <c r="J554" s="1285"/>
      <c r="K554" s="1285"/>
      <c r="L554" s="1285"/>
      <c r="M554" s="1170" t="s">
        <v>2152</v>
      </c>
      <c r="N554" s="1170"/>
      <c r="O554" s="1170"/>
      <c r="P554" s="1170"/>
      <c r="Q554" s="1284" t="s">
        <v>439</v>
      </c>
      <c r="R554" s="1285"/>
      <c r="S554" s="1286"/>
      <c r="T554" s="1284" t="s">
        <v>1976</v>
      </c>
      <c r="U554" s="1285"/>
      <c r="V554" s="1286"/>
      <c r="W554" s="1284" t="s">
        <v>739</v>
      </c>
      <c r="X554" s="1285"/>
      <c r="Y554" s="1286"/>
      <c r="Z554" s="1284" t="s">
        <v>1978</v>
      </c>
      <c r="AA554" s="1285"/>
      <c r="AB554" s="1285"/>
      <c r="AC554" s="1285"/>
      <c r="AD554" s="1286"/>
      <c r="AE554" s="1284" t="s">
        <v>1977</v>
      </c>
      <c r="AF554" s="1285"/>
      <c r="AG554" s="1285"/>
      <c r="AH554" s="1286"/>
      <c r="AI554" s="1284" t="s">
        <v>1979</v>
      </c>
      <c r="AJ554" s="1285"/>
      <c r="AK554" s="1285"/>
      <c r="AL554" s="1286"/>
      <c r="AM554" s="1284" t="s">
        <v>740</v>
      </c>
      <c r="AN554" s="1285"/>
      <c r="AO554" s="1285"/>
      <c r="AP554" s="1285"/>
      <c r="AQ554" s="1285"/>
      <c r="AR554" s="1285"/>
      <c r="AS554" s="128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287"/>
      <c r="C555" s="1288"/>
      <c r="D555" s="1288"/>
      <c r="E555" s="1288"/>
      <c r="F555" s="1288"/>
      <c r="G555" s="1288"/>
      <c r="H555" s="1288"/>
      <c r="I555" s="1288"/>
      <c r="J555" s="1288"/>
      <c r="K555" s="1288"/>
      <c r="L555" s="1288"/>
      <c r="M555" s="1170"/>
      <c r="N555" s="1170"/>
      <c r="O555" s="1170"/>
      <c r="P555" s="1170"/>
      <c r="Q555" s="1287"/>
      <c r="R555" s="1288"/>
      <c r="S555" s="1289"/>
      <c r="T555" s="1287"/>
      <c r="U555" s="1288"/>
      <c r="V555" s="1289"/>
      <c r="W555" s="1287"/>
      <c r="X555" s="1288"/>
      <c r="Y555" s="1289"/>
      <c r="Z555" s="1287"/>
      <c r="AA555" s="1288"/>
      <c r="AB555" s="1288"/>
      <c r="AC555" s="1288"/>
      <c r="AD555" s="1289"/>
      <c r="AE555" s="1287"/>
      <c r="AF555" s="1288"/>
      <c r="AG555" s="1288"/>
      <c r="AH555" s="1289"/>
      <c r="AI555" s="1287"/>
      <c r="AJ555" s="1288"/>
      <c r="AK555" s="1288"/>
      <c r="AL555" s="1289"/>
      <c r="AM555" s="1287"/>
      <c r="AN555" s="1288"/>
      <c r="AO555" s="1288"/>
      <c r="AP555" s="1288"/>
      <c r="AQ555" s="1288"/>
      <c r="AR555" s="1288"/>
      <c r="AS555" s="128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290"/>
      <c r="C556" s="1291"/>
      <c r="D556" s="1291"/>
      <c r="E556" s="1291"/>
      <c r="F556" s="1291"/>
      <c r="G556" s="1291"/>
      <c r="H556" s="1291"/>
      <c r="I556" s="1291"/>
      <c r="J556" s="1291"/>
      <c r="K556" s="1291"/>
      <c r="L556" s="1291"/>
      <c r="M556" s="1170"/>
      <c r="N556" s="1170"/>
      <c r="O556" s="1170"/>
      <c r="P556" s="1170"/>
      <c r="Q556" s="1290"/>
      <c r="R556" s="1291"/>
      <c r="S556" s="1292"/>
      <c r="T556" s="1290"/>
      <c r="U556" s="1291"/>
      <c r="V556" s="1292"/>
      <c r="W556" s="1290"/>
      <c r="X556" s="1291"/>
      <c r="Y556" s="1292"/>
      <c r="Z556" s="1290"/>
      <c r="AA556" s="1291"/>
      <c r="AB556" s="1291"/>
      <c r="AC556" s="1291"/>
      <c r="AD556" s="1292"/>
      <c r="AE556" s="1290"/>
      <c r="AF556" s="1291"/>
      <c r="AG556" s="1291"/>
      <c r="AH556" s="1292"/>
      <c r="AI556" s="1290"/>
      <c r="AJ556" s="1291"/>
      <c r="AK556" s="1291"/>
      <c r="AL556" s="1292"/>
      <c r="AM556" s="1290"/>
      <c r="AN556" s="1291"/>
      <c r="AO556" s="1291"/>
      <c r="AP556" s="1291"/>
      <c r="AQ556" s="1291"/>
      <c r="AR556" s="1291"/>
      <c r="AS556" s="129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115" t="s">
        <v>2418</v>
      </c>
      <c r="D557" s="1115"/>
      <c r="E557" s="1115"/>
      <c r="F557" s="1115"/>
      <c r="G557" s="1115"/>
      <c r="H557" s="1115"/>
      <c r="I557" s="1115"/>
      <c r="J557" s="1115"/>
      <c r="K557" s="1115"/>
      <c r="L557" s="1115"/>
      <c r="M557" s="1114" t="s">
        <v>2162</v>
      </c>
      <c r="N557" s="1114"/>
      <c r="O557" s="1114"/>
      <c r="P557" s="1114"/>
      <c r="Q557" s="1117">
        <v>24</v>
      </c>
      <c r="R557" s="1117"/>
      <c r="S557" s="1118"/>
      <c r="T557" s="1116"/>
      <c r="U557" s="1117"/>
      <c r="V557" s="1118"/>
      <c r="W557" s="1421">
        <v>7.5999999999999998E-2</v>
      </c>
      <c r="X557" s="1422"/>
      <c r="Y557" s="1423"/>
      <c r="Z557" s="1424" t="s">
        <v>2419</v>
      </c>
      <c r="AA557" s="1424"/>
      <c r="AB557" s="1424"/>
      <c r="AC557" s="1424"/>
      <c r="AD557" s="1424"/>
      <c r="AE557" s="1403">
        <v>1</v>
      </c>
      <c r="AF557" s="1404"/>
      <c r="AG557" s="1404"/>
      <c r="AH557" s="1405"/>
      <c r="AI557" s="1425"/>
      <c r="AJ557" s="1426"/>
      <c r="AK557" s="1426"/>
      <c r="AL557" s="1427"/>
      <c r="AM557" s="1226">
        <v>20471551</v>
      </c>
      <c r="AN557" s="1227"/>
      <c r="AO557" s="1227"/>
      <c r="AP557" s="1227"/>
      <c r="AQ557" s="1227"/>
      <c r="AR557" s="1227"/>
      <c r="AS557" s="1228"/>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115" t="s">
        <v>2420</v>
      </c>
      <c r="D558" s="1115"/>
      <c r="E558" s="1115"/>
      <c r="F558" s="1115"/>
      <c r="G558" s="1115"/>
      <c r="H558" s="1115"/>
      <c r="I558" s="1115"/>
      <c r="J558" s="1115"/>
      <c r="K558" s="1115"/>
      <c r="L558" s="1115"/>
      <c r="M558" s="1114" t="s">
        <v>2164</v>
      </c>
      <c r="N558" s="1114"/>
      <c r="O558" s="1114"/>
      <c r="P558" s="1114"/>
      <c r="Q558" s="1116">
        <f>55*12</f>
        <v>660</v>
      </c>
      <c r="R558" s="1117"/>
      <c r="S558" s="1118"/>
      <c r="T558" s="1116"/>
      <c r="U558" s="1117"/>
      <c r="V558" s="1118"/>
      <c r="W558" s="1421">
        <v>0.03</v>
      </c>
      <c r="X558" s="1422"/>
      <c r="Y558" s="1423"/>
      <c r="Z558" s="1424" t="s">
        <v>2421</v>
      </c>
      <c r="AA558" s="1424"/>
      <c r="AB558" s="1424"/>
      <c r="AC558" s="1424"/>
      <c r="AD558" s="1424"/>
      <c r="AE558" s="1403">
        <v>2</v>
      </c>
      <c r="AF558" s="1404"/>
      <c r="AG558" s="1404"/>
      <c r="AH558" s="1405"/>
      <c r="AI558" s="1425"/>
      <c r="AJ558" s="1426"/>
      <c r="AK558" s="1426"/>
      <c r="AL558" s="1427"/>
      <c r="AM558" s="1226">
        <v>3392621</v>
      </c>
      <c r="AN558" s="1227"/>
      <c r="AO558" s="1227"/>
      <c r="AP558" s="1227"/>
      <c r="AQ558" s="1227"/>
      <c r="AR558" s="1227"/>
      <c r="AS558" s="1228"/>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115" t="s">
        <v>2422</v>
      </c>
      <c r="D559" s="1115"/>
      <c r="E559" s="1115"/>
      <c r="F559" s="1115"/>
      <c r="G559" s="1115"/>
      <c r="H559" s="1115"/>
      <c r="I559" s="1115"/>
      <c r="J559" s="1115"/>
      <c r="K559" s="1115"/>
      <c r="L559" s="1115"/>
      <c r="M559" s="1114" t="s">
        <v>2164</v>
      </c>
      <c r="N559" s="1114"/>
      <c r="O559" s="1114"/>
      <c r="P559" s="1114"/>
      <c r="Q559" s="1116">
        <f t="shared" ref="Q559:Q560" si="1">55*12</f>
        <v>660</v>
      </c>
      <c r="R559" s="1117"/>
      <c r="S559" s="1118"/>
      <c r="T559" s="1116"/>
      <c r="U559" s="1117"/>
      <c r="V559" s="1118"/>
      <c r="W559" s="1421">
        <v>0.03</v>
      </c>
      <c r="X559" s="1422"/>
      <c r="Y559" s="1423"/>
      <c r="Z559" s="1424" t="s">
        <v>2421</v>
      </c>
      <c r="AA559" s="1424"/>
      <c r="AB559" s="1424"/>
      <c r="AC559" s="1424"/>
      <c r="AD559" s="1424"/>
      <c r="AE559" s="1403">
        <v>3</v>
      </c>
      <c r="AF559" s="1404"/>
      <c r="AG559" s="1404"/>
      <c r="AH559" s="1405"/>
      <c r="AI559" s="1425"/>
      <c r="AJ559" s="1426"/>
      <c r="AK559" s="1426"/>
      <c r="AL559" s="1427"/>
      <c r="AM559" s="1226">
        <v>2497538</v>
      </c>
      <c r="AN559" s="1227"/>
      <c r="AO559" s="1227"/>
      <c r="AP559" s="1227"/>
      <c r="AQ559" s="1227"/>
      <c r="AR559" s="1227"/>
      <c r="AS559" s="1228"/>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15" t="s">
        <v>2423</v>
      </c>
      <c r="D560" s="1115"/>
      <c r="E560" s="1115"/>
      <c r="F560" s="1115"/>
      <c r="G560" s="1115"/>
      <c r="H560" s="1115"/>
      <c r="I560" s="1115"/>
      <c r="J560" s="1115"/>
      <c r="K560" s="1115"/>
      <c r="L560" s="1115"/>
      <c r="M560" s="1114" t="s">
        <v>2164</v>
      </c>
      <c r="N560" s="1114"/>
      <c r="O560" s="1114"/>
      <c r="P560" s="1114"/>
      <c r="Q560" s="1116">
        <f t="shared" si="1"/>
        <v>660</v>
      </c>
      <c r="R560" s="1117"/>
      <c r="S560" s="1118"/>
      <c r="T560" s="1116"/>
      <c r="U560" s="1117"/>
      <c r="V560" s="1118"/>
      <c r="W560" s="1421">
        <v>0.03</v>
      </c>
      <c r="X560" s="1422"/>
      <c r="Y560" s="1423"/>
      <c r="Z560" s="1424" t="s">
        <v>2421</v>
      </c>
      <c r="AA560" s="1424"/>
      <c r="AB560" s="1424"/>
      <c r="AC560" s="1424"/>
      <c r="AD560" s="1424"/>
      <c r="AE560" s="1403">
        <v>4</v>
      </c>
      <c r="AF560" s="1404"/>
      <c r="AG560" s="1404"/>
      <c r="AH560" s="1405"/>
      <c r="AI560" s="1425"/>
      <c r="AJ560" s="1426"/>
      <c r="AK560" s="1426"/>
      <c r="AL560" s="1427"/>
      <c r="AM560" s="1226">
        <v>1608830</v>
      </c>
      <c r="AN560" s="1227"/>
      <c r="AO560" s="1227"/>
      <c r="AP560" s="1227"/>
      <c r="AQ560" s="1227"/>
      <c r="AR560" s="1227"/>
      <c r="AS560" s="1228"/>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115" t="s">
        <v>2270</v>
      </c>
      <c r="D561" s="1115"/>
      <c r="E561" s="1115"/>
      <c r="F561" s="1115"/>
      <c r="G561" s="1115"/>
      <c r="H561" s="1115"/>
      <c r="I561" s="1115"/>
      <c r="J561" s="1115"/>
      <c r="K561" s="1115"/>
      <c r="L561" s="1115"/>
      <c r="M561" s="1114" t="s">
        <v>2161</v>
      </c>
      <c r="N561" s="1114"/>
      <c r="O561" s="1114"/>
      <c r="P561" s="1114"/>
      <c r="Q561" s="1116">
        <f>55*12</f>
        <v>660</v>
      </c>
      <c r="R561" s="1117"/>
      <c r="S561" s="1118"/>
      <c r="T561" s="1116"/>
      <c r="U561" s="1117"/>
      <c r="V561" s="1118"/>
      <c r="W561" s="1421">
        <v>0</v>
      </c>
      <c r="X561" s="1422"/>
      <c r="Y561" s="1423"/>
      <c r="Z561" s="1424" t="s">
        <v>2421</v>
      </c>
      <c r="AA561" s="1424"/>
      <c r="AB561" s="1424"/>
      <c r="AC561" s="1424"/>
      <c r="AD561" s="1424"/>
      <c r="AE561" s="1403">
        <v>5</v>
      </c>
      <c r="AF561" s="1404"/>
      <c r="AG561" s="1404"/>
      <c r="AH561" s="1405"/>
      <c r="AI561" s="1425"/>
      <c r="AJ561" s="1426"/>
      <c r="AK561" s="1426"/>
      <c r="AL561" s="1427"/>
      <c r="AM561" s="1226">
        <v>795000</v>
      </c>
      <c r="AN561" s="1227"/>
      <c r="AO561" s="1227"/>
      <c r="AP561" s="1227"/>
      <c r="AQ561" s="1227"/>
      <c r="AR561" s="1227"/>
      <c r="AS561" s="1228"/>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15" t="s">
        <v>2424</v>
      </c>
      <c r="D562" s="1115"/>
      <c r="E562" s="1115"/>
      <c r="F562" s="1115"/>
      <c r="G562" s="1115"/>
      <c r="H562" s="1115"/>
      <c r="I562" s="1115"/>
      <c r="J562" s="1115"/>
      <c r="K562" s="1115"/>
      <c r="L562" s="1115"/>
      <c r="M562" s="1114" t="s">
        <v>2175</v>
      </c>
      <c r="N562" s="1114"/>
      <c r="O562" s="1114"/>
      <c r="P562" s="1114"/>
      <c r="Q562" s="1116"/>
      <c r="R562" s="1117"/>
      <c r="S562" s="1118"/>
      <c r="T562" s="1116"/>
      <c r="U562" s="1117"/>
      <c r="V562" s="1118"/>
      <c r="W562" s="1421"/>
      <c r="X562" s="1422"/>
      <c r="Y562" s="1423"/>
      <c r="Z562" s="1424"/>
      <c r="AA562" s="1424"/>
      <c r="AB562" s="1424"/>
      <c r="AC562" s="1424"/>
      <c r="AD562" s="1424"/>
      <c r="AE562" s="1403"/>
      <c r="AF562" s="1404"/>
      <c r="AG562" s="1404"/>
      <c r="AH562" s="1405"/>
      <c r="AI562" s="1425"/>
      <c r="AJ562" s="1426"/>
      <c r="AK562" s="1426"/>
      <c r="AL562" s="1427"/>
      <c r="AM562" s="1226">
        <v>400000</v>
      </c>
      <c r="AN562" s="1227"/>
      <c r="AO562" s="1227"/>
      <c r="AP562" s="1227"/>
      <c r="AQ562" s="1227"/>
      <c r="AR562" s="1227"/>
      <c r="AS562" s="1228"/>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115" t="s">
        <v>2425</v>
      </c>
      <c r="D563" s="1115"/>
      <c r="E563" s="1115"/>
      <c r="F563" s="1115"/>
      <c r="G563" s="1115"/>
      <c r="H563" s="1115"/>
      <c r="I563" s="1115"/>
      <c r="J563" s="1115"/>
      <c r="K563" s="1115"/>
      <c r="L563" s="1115"/>
      <c r="M563" s="1114" t="s">
        <v>2177</v>
      </c>
      <c r="N563" s="1114"/>
      <c r="O563" s="1114"/>
      <c r="P563" s="1114"/>
      <c r="Q563" s="1116"/>
      <c r="R563" s="1117"/>
      <c r="S563" s="1118"/>
      <c r="T563" s="1116"/>
      <c r="U563" s="1117"/>
      <c r="V563" s="1118"/>
      <c r="W563" s="1421"/>
      <c r="X563" s="1422"/>
      <c r="Y563" s="1423"/>
      <c r="Z563" s="1424"/>
      <c r="AA563" s="1424"/>
      <c r="AB563" s="1424"/>
      <c r="AC563" s="1424"/>
      <c r="AD563" s="1424"/>
      <c r="AE563" s="1403"/>
      <c r="AF563" s="1404"/>
      <c r="AG563" s="1404"/>
      <c r="AH563" s="1405"/>
      <c r="AI563" s="1425"/>
      <c r="AJ563" s="1426"/>
      <c r="AK563" s="1426"/>
      <c r="AL563" s="1427"/>
      <c r="AM563" s="1226">
        <v>416034</v>
      </c>
      <c r="AN563" s="1227"/>
      <c r="AO563" s="1227"/>
      <c r="AP563" s="1227"/>
      <c r="AQ563" s="1227"/>
      <c r="AR563" s="1227"/>
      <c r="AS563" s="1228"/>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115" t="s">
        <v>2426</v>
      </c>
      <c r="D564" s="1115"/>
      <c r="E564" s="1115"/>
      <c r="F564" s="1115"/>
      <c r="G564" s="1115"/>
      <c r="H564" s="1115"/>
      <c r="I564" s="1115"/>
      <c r="J564" s="1115"/>
      <c r="K564" s="1115"/>
      <c r="L564" s="1115"/>
      <c r="M564" s="1114" t="s">
        <v>2159</v>
      </c>
      <c r="N564" s="1114"/>
      <c r="O564" s="1114"/>
      <c r="P564" s="1114"/>
      <c r="Q564" s="1116"/>
      <c r="R564" s="1117"/>
      <c r="S564" s="1118"/>
      <c r="T564" s="1116"/>
      <c r="U564" s="1117"/>
      <c r="V564" s="1118"/>
      <c r="W564" s="1421"/>
      <c r="X564" s="1422"/>
      <c r="Y564" s="1423"/>
      <c r="Z564" s="1424"/>
      <c r="AA564" s="1424"/>
      <c r="AB564" s="1424"/>
      <c r="AC564" s="1424"/>
      <c r="AD564" s="1424"/>
      <c r="AE564" s="1403"/>
      <c r="AF564" s="1404"/>
      <c r="AG564" s="1404"/>
      <c r="AH564" s="1405"/>
      <c r="AI564" s="1425"/>
      <c r="AJ564" s="1426"/>
      <c r="AK564" s="1426"/>
      <c r="AL564" s="1427"/>
      <c r="AM564" s="1226">
        <v>5034970</v>
      </c>
      <c r="AN564" s="1227"/>
      <c r="AO564" s="1227"/>
      <c r="AP564" s="1227"/>
      <c r="AQ564" s="1227"/>
      <c r="AR564" s="1227"/>
      <c r="AS564" s="1228"/>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115" t="s">
        <v>2427</v>
      </c>
      <c r="D565" s="1115"/>
      <c r="E565" s="1115"/>
      <c r="F565" s="1115"/>
      <c r="G565" s="1115"/>
      <c r="H565" s="1115"/>
      <c r="I565" s="1115"/>
      <c r="J565" s="1115"/>
      <c r="K565" s="1115"/>
      <c r="L565" s="1115"/>
      <c r="M565" s="1114" t="s">
        <v>2154</v>
      </c>
      <c r="N565" s="1114"/>
      <c r="O565" s="1114"/>
      <c r="P565" s="1114"/>
      <c r="Q565" s="1116"/>
      <c r="R565" s="1117"/>
      <c r="S565" s="1118"/>
      <c r="T565" s="1116"/>
      <c r="U565" s="1117"/>
      <c r="V565" s="1118"/>
      <c r="W565" s="1421"/>
      <c r="X565" s="1422"/>
      <c r="Y565" s="1423"/>
      <c r="Z565" s="1424"/>
      <c r="AA565" s="1424"/>
      <c r="AB565" s="1424"/>
      <c r="AC565" s="1424"/>
      <c r="AD565" s="1424"/>
      <c r="AE565" s="1403"/>
      <c r="AF565" s="1404"/>
      <c r="AG565" s="1404"/>
      <c r="AH565" s="1405"/>
      <c r="AI565" s="1425"/>
      <c r="AJ565" s="1426"/>
      <c r="AK565" s="1426"/>
      <c r="AL565" s="1427"/>
      <c r="AM565" s="1226">
        <v>1885336</v>
      </c>
      <c r="AN565" s="1227"/>
      <c r="AO565" s="1227"/>
      <c r="AP565" s="1227"/>
      <c r="AQ565" s="1227"/>
      <c r="AR565" s="1227"/>
      <c r="AS565" s="1228"/>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115"/>
      <c r="D566" s="1115"/>
      <c r="E566" s="1115"/>
      <c r="F566" s="1115"/>
      <c r="G566" s="1115"/>
      <c r="H566" s="1115"/>
      <c r="I566" s="1115"/>
      <c r="J566" s="1115"/>
      <c r="K566" s="1115"/>
      <c r="L566" s="1115"/>
      <c r="M566" s="1114" t="s">
        <v>1964</v>
      </c>
      <c r="N566" s="1114"/>
      <c r="O566" s="1114"/>
      <c r="P566" s="1114"/>
      <c r="Q566" s="1116"/>
      <c r="R566" s="1117"/>
      <c r="S566" s="1118"/>
      <c r="T566" s="1116"/>
      <c r="U566" s="1117"/>
      <c r="V566" s="1118"/>
      <c r="W566" s="1421"/>
      <c r="X566" s="1422"/>
      <c r="Y566" s="1423"/>
      <c r="Z566" s="1424" t="s">
        <v>1964</v>
      </c>
      <c r="AA566" s="1424"/>
      <c r="AB566" s="1424"/>
      <c r="AC566" s="1424"/>
      <c r="AD566" s="1424"/>
      <c r="AE566" s="1403"/>
      <c r="AF566" s="1404"/>
      <c r="AG566" s="1404"/>
      <c r="AH566" s="1405"/>
      <c r="AI566" s="1425"/>
      <c r="AJ566" s="1426"/>
      <c r="AK566" s="1426"/>
      <c r="AL566" s="1427"/>
      <c r="AM566" s="1226"/>
      <c r="AN566" s="1227"/>
      <c r="AO566" s="1227"/>
      <c r="AP566" s="1227"/>
      <c r="AQ566" s="1227"/>
      <c r="AR566" s="1227"/>
      <c r="AS566" s="1228"/>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15"/>
      <c r="D567" s="1115"/>
      <c r="E567" s="1115"/>
      <c r="F567" s="1115"/>
      <c r="G567" s="1115"/>
      <c r="H567" s="1115"/>
      <c r="I567" s="1115"/>
      <c r="J567" s="1115"/>
      <c r="K567" s="1115"/>
      <c r="L567" s="1115"/>
      <c r="M567" s="1114" t="s">
        <v>1964</v>
      </c>
      <c r="N567" s="1114"/>
      <c r="O567" s="1114"/>
      <c r="P567" s="1114"/>
      <c r="Q567" s="1116"/>
      <c r="R567" s="1117"/>
      <c r="S567" s="1118"/>
      <c r="T567" s="1116"/>
      <c r="U567" s="1117"/>
      <c r="V567" s="1118"/>
      <c r="W567" s="1421"/>
      <c r="X567" s="1422"/>
      <c r="Y567" s="1423"/>
      <c r="Z567" s="1424" t="s">
        <v>1964</v>
      </c>
      <c r="AA567" s="1424"/>
      <c r="AB567" s="1424"/>
      <c r="AC567" s="1424"/>
      <c r="AD567" s="1424"/>
      <c r="AE567" s="1403"/>
      <c r="AF567" s="1404"/>
      <c r="AG567" s="1404"/>
      <c r="AH567" s="1405"/>
      <c r="AI567" s="1425"/>
      <c r="AJ567" s="1426"/>
      <c r="AK567" s="1426"/>
      <c r="AL567" s="1427"/>
      <c r="AM567" s="1226"/>
      <c r="AN567" s="1227"/>
      <c r="AO567" s="1227"/>
      <c r="AP567" s="1227"/>
      <c r="AQ567" s="1227"/>
      <c r="AR567" s="1227"/>
      <c r="AS567" s="1228"/>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15"/>
      <c r="D568" s="1115"/>
      <c r="E568" s="1115"/>
      <c r="F568" s="1115"/>
      <c r="G568" s="1115"/>
      <c r="H568" s="1115"/>
      <c r="I568" s="1115"/>
      <c r="J568" s="1115"/>
      <c r="K568" s="1115"/>
      <c r="L568" s="1115"/>
      <c r="M568" s="1114" t="s">
        <v>1964</v>
      </c>
      <c r="N568" s="1114"/>
      <c r="O568" s="1114"/>
      <c r="P568" s="1114"/>
      <c r="Q568" s="1116"/>
      <c r="R568" s="1117"/>
      <c r="S568" s="1118"/>
      <c r="T568" s="1116"/>
      <c r="U568" s="1117"/>
      <c r="V568" s="1118"/>
      <c r="W568" s="1421"/>
      <c r="X568" s="1422"/>
      <c r="Y568" s="1423"/>
      <c r="Z568" s="1424" t="s">
        <v>1964</v>
      </c>
      <c r="AA568" s="1424"/>
      <c r="AB568" s="1424"/>
      <c r="AC568" s="1424"/>
      <c r="AD568" s="1424"/>
      <c r="AE568" s="1403"/>
      <c r="AF568" s="1404"/>
      <c r="AG568" s="1404"/>
      <c r="AH568" s="1405"/>
      <c r="AI568" s="1425"/>
      <c r="AJ568" s="1426"/>
      <c r="AK568" s="1426"/>
      <c r="AL568" s="1427"/>
      <c r="AM568" s="1226"/>
      <c r="AN568" s="1227"/>
      <c r="AO568" s="1227"/>
      <c r="AP568" s="1227"/>
      <c r="AQ568" s="1227"/>
      <c r="AR568" s="1227"/>
      <c r="AS568" s="1228"/>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19" t="s">
        <v>356</v>
      </c>
      <c r="C569" s="1120"/>
      <c r="D569" s="1120"/>
      <c r="E569" s="1120"/>
      <c r="F569" s="1120"/>
      <c r="G569" s="1120"/>
      <c r="H569" s="1120"/>
      <c r="I569" s="1120"/>
      <c r="J569" s="1120"/>
      <c r="K569" s="1120"/>
      <c r="L569" s="1120"/>
      <c r="M569" s="1120"/>
      <c r="N569" s="1120"/>
      <c r="O569" s="1120"/>
      <c r="P569" s="1120"/>
      <c r="Q569" s="1120"/>
      <c r="R569" s="1120"/>
      <c r="S569" s="1120"/>
      <c r="T569" s="1120"/>
      <c r="U569" s="1121"/>
      <c r="V569" s="1120"/>
      <c r="W569" s="1120"/>
      <c r="X569" s="1120"/>
      <c r="Y569" s="1120"/>
      <c r="Z569" s="1120"/>
      <c r="AA569" s="1120"/>
      <c r="AB569" s="1120"/>
      <c r="AC569" s="1120"/>
      <c r="AD569" s="1120"/>
      <c r="AE569" s="1120"/>
      <c r="AF569" s="1120"/>
      <c r="AG569" s="1120"/>
      <c r="AH569" s="1120"/>
      <c r="AI569" s="1120"/>
      <c r="AJ569" s="1120"/>
      <c r="AK569" s="1120"/>
      <c r="AL569" s="1122"/>
      <c r="AM569" s="1240">
        <f>SUM(AM557:AS568)</f>
        <v>36501880</v>
      </c>
      <c r="AN569" s="1241"/>
      <c r="AO569" s="1241"/>
      <c r="AP569" s="1241"/>
      <c r="AQ569" s="1241"/>
      <c r="AR569" s="1241"/>
      <c r="AS569" s="124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81</v>
      </c>
      <c r="C571"/>
      <c r="G571" s="1230" t="str">
        <f>C557</f>
        <v>Construction Loan</v>
      </c>
      <c r="H571" s="1230"/>
      <c r="I571" s="1230"/>
      <c r="J571" s="1230"/>
      <c r="K571" s="1230"/>
      <c r="L571" s="1230"/>
      <c r="M571" s="1230"/>
      <c r="N571" s="1230"/>
      <c r="O571" s="1230"/>
      <c r="P571" s="1230"/>
      <c r="Q571" s="1230"/>
      <c r="R571" s="1230"/>
      <c r="S571" s="12"/>
      <c r="T571" s="61" t="s">
        <v>900</v>
      </c>
      <c r="U571" t="s">
        <v>81</v>
      </c>
      <c r="Z571" s="1230" t="str">
        <f>C558</f>
        <v>Alliance Housing Fund</v>
      </c>
      <c r="AA571" s="1230"/>
      <c r="AB571" s="1230"/>
      <c r="AC571" s="1230"/>
      <c r="AD571" s="1230"/>
      <c r="AE571" s="1230"/>
      <c r="AF571" s="1230"/>
      <c r="AG571" s="1230"/>
      <c r="AH571" s="1230"/>
      <c r="AI571" s="1230"/>
      <c r="AJ571" s="1230"/>
      <c r="AK571" s="123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066" t="s">
        <v>2428</v>
      </c>
      <c r="H572" s="1066"/>
      <c r="I572" s="1066"/>
      <c r="J572" s="1066"/>
      <c r="K572" s="1066"/>
      <c r="L572" s="1066"/>
      <c r="M572" s="1066"/>
      <c r="N572" s="1066"/>
      <c r="O572" s="1066"/>
      <c r="P572" s="1066"/>
      <c r="Q572" s="1066"/>
      <c r="R572" s="1066"/>
      <c r="S572" s="12"/>
      <c r="T572" s="4"/>
      <c r="U572" t="s">
        <v>371</v>
      </c>
      <c r="Z572" s="1066" t="s">
        <v>2432</v>
      </c>
      <c r="AA572" s="1066"/>
      <c r="AB572" s="1066"/>
      <c r="AC572" s="1066"/>
      <c r="AD572" s="1066"/>
      <c r="AE572" s="1066"/>
      <c r="AF572" s="1066"/>
      <c r="AG572" s="1066"/>
      <c r="AH572" s="1066"/>
      <c r="AI572" s="1066"/>
      <c r="AJ572" s="1066"/>
      <c r="AK572" s="106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66" t="s">
        <v>2429</v>
      </c>
      <c r="H573" s="1066"/>
      <c r="I573" s="1066"/>
      <c r="J573" s="1066"/>
      <c r="K573" s="1066"/>
      <c r="L573" s="1066"/>
      <c r="M573" s="1066"/>
      <c r="N573" s="1066"/>
      <c r="O573" s="1066"/>
      <c r="P573" s="1066"/>
      <c r="Q573" s="1066"/>
      <c r="R573" s="1066"/>
      <c r="T573" s="4"/>
      <c r="U573" t="s">
        <v>429</v>
      </c>
      <c r="Z573" s="1065" t="s">
        <v>404</v>
      </c>
      <c r="AA573" s="1065"/>
      <c r="AB573" s="1065"/>
      <c r="AC573" s="1065"/>
      <c r="AD573" s="1065"/>
      <c r="AE573" s="1065"/>
      <c r="AF573" s="1065"/>
      <c r="AG573" s="1065"/>
      <c r="AH573" s="1065"/>
      <c r="AI573" s="1065"/>
      <c r="AJ573" s="1065"/>
      <c r="AK573" s="10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066" t="s">
        <v>2430</v>
      </c>
      <c r="H574" s="1066"/>
      <c r="I574" s="1066"/>
      <c r="J574" s="1066"/>
      <c r="K574" s="1066"/>
      <c r="L574" s="1066"/>
      <c r="M574" s="1066"/>
      <c r="N574" s="1066"/>
      <c r="O574" s="1066"/>
      <c r="P574" s="1066"/>
      <c r="Q574" s="1066"/>
      <c r="R574" s="1066"/>
      <c r="S574" s="12"/>
      <c r="T574" s="4"/>
      <c r="U574" t="s">
        <v>832</v>
      </c>
      <c r="Z574" s="1065" t="s">
        <v>2433</v>
      </c>
      <c r="AA574" s="1065"/>
      <c r="AB574" s="1065"/>
      <c r="AC574" s="1065"/>
      <c r="AD574" s="1065"/>
      <c r="AE574" s="1065"/>
      <c r="AF574" s="1065"/>
      <c r="AG574" s="1065"/>
      <c r="AH574" s="1065"/>
      <c r="AI574" s="1065"/>
      <c r="AJ574" s="1065"/>
      <c r="AK574" s="10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064" t="s">
        <v>2445</v>
      </c>
      <c r="H575" s="1096"/>
      <c r="I575" s="1096"/>
      <c r="J575" s="1096"/>
      <c r="K575" s="1096"/>
      <c r="L575" s="1096"/>
      <c r="O575" s="42" t="s">
        <v>817</v>
      </c>
      <c r="P575" s="1335"/>
      <c r="Q575" s="1335"/>
      <c r="R575" s="1335"/>
      <c r="S575" s="14"/>
      <c r="T575" s="4"/>
      <c r="U575" t="s">
        <v>649</v>
      </c>
      <c r="Z575" s="1064" t="s">
        <v>2447</v>
      </c>
      <c r="AA575" s="1096"/>
      <c r="AB575" s="1096"/>
      <c r="AC575" s="1096"/>
      <c r="AD575" s="1096"/>
      <c r="AE575" s="1096"/>
      <c r="AH575" s="42" t="s">
        <v>817</v>
      </c>
      <c r="AI575" s="1335"/>
      <c r="AJ575" s="1335"/>
      <c r="AK575" s="133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066" t="s">
        <v>2431</v>
      </c>
      <c r="I576" s="1066"/>
      <c r="J576" s="1066"/>
      <c r="K576" s="1066"/>
      <c r="L576" s="1066"/>
      <c r="M576" s="1066"/>
      <c r="N576" s="1066"/>
      <c r="O576" s="1066"/>
      <c r="P576" s="1066"/>
      <c r="Q576" s="1066"/>
      <c r="R576" s="1066"/>
      <c r="S576" s="12"/>
      <c r="T576" s="4"/>
      <c r="U576" t="s">
        <v>833</v>
      </c>
      <c r="AA576" s="1066" t="s">
        <v>2434</v>
      </c>
      <c r="AB576" s="1066"/>
      <c r="AC576" s="1066"/>
      <c r="AD576" s="1066"/>
      <c r="AE576" s="1066"/>
      <c r="AF576" s="1066"/>
      <c r="AG576" s="1066"/>
      <c r="AH576" s="1066"/>
      <c r="AI576" s="1066"/>
      <c r="AJ576" s="1066"/>
      <c r="AK576" s="106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44" t="s">
        <v>107</v>
      </c>
      <c r="O577" s="1144"/>
      <c r="T577" s="4"/>
      <c r="U577" t="s">
        <v>835</v>
      </c>
      <c r="AG577" s="1144" t="s">
        <v>107</v>
      </c>
      <c r="AH577" s="114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81</v>
      </c>
      <c r="C579"/>
      <c r="G579" s="1230" t="str">
        <f>C559</f>
        <v>REAP: Regional Competitiveness Grant</v>
      </c>
      <c r="H579" s="1230"/>
      <c r="I579" s="1230"/>
      <c r="J579" s="1230"/>
      <c r="K579" s="1230"/>
      <c r="L579" s="1230"/>
      <c r="M579" s="1230"/>
      <c r="N579" s="1230"/>
      <c r="O579" s="1230"/>
      <c r="P579" s="1230"/>
      <c r="Q579" s="1230"/>
      <c r="R579" s="1230"/>
      <c r="T579" s="61" t="s">
        <v>430</v>
      </c>
      <c r="U579" t="s">
        <v>81</v>
      </c>
      <c r="Z579" s="1230" t="str">
        <f>C560</f>
        <v>City of Merced PLHA</v>
      </c>
      <c r="AA579" s="1230"/>
      <c r="AB579" s="1230"/>
      <c r="AC579" s="1230"/>
      <c r="AD579" s="1230"/>
      <c r="AE579" s="1230"/>
      <c r="AF579" s="1230"/>
      <c r="AG579" s="1230"/>
      <c r="AH579" s="1230"/>
      <c r="AI579" s="1230"/>
      <c r="AJ579" s="1230"/>
      <c r="AK579" s="123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066" t="s">
        <v>2338</v>
      </c>
      <c r="H580" s="1066"/>
      <c r="I580" s="1066"/>
      <c r="J580" s="1066"/>
      <c r="K580" s="1066"/>
      <c r="L580" s="1066"/>
      <c r="M580" s="1066"/>
      <c r="N580" s="1066"/>
      <c r="O580" s="1066"/>
      <c r="P580" s="1066"/>
      <c r="Q580" s="1066"/>
      <c r="R580" s="1066"/>
      <c r="T580" s="4"/>
      <c r="U580" t="s">
        <v>371</v>
      </c>
      <c r="Z580" s="1066" t="s">
        <v>2338</v>
      </c>
      <c r="AA580" s="1066"/>
      <c r="AB580" s="1066"/>
      <c r="AC580" s="1066"/>
      <c r="AD580" s="1066"/>
      <c r="AE580" s="1066"/>
      <c r="AF580" s="1066"/>
      <c r="AG580" s="1066"/>
      <c r="AH580" s="1066"/>
      <c r="AI580" s="1066"/>
      <c r="AJ580" s="1066"/>
      <c r="AK580" s="106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65" t="s">
        <v>404</v>
      </c>
      <c r="H581" s="1065"/>
      <c r="I581" s="1065"/>
      <c r="J581" s="1065"/>
      <c r="K581" s="1065"/>
      <c r="L581" s="1065"/>
      <c r="M581" s="1065"/>
      <c r="N581" s="1065"/>
      <c r="O581" s="1065"/>
      <c r="P581" s="1065"/>
      <c r="Q581" s="1065"/>
      <c r="R581" s="1065"/>
      <c r="T581" s="4"/>
      <c r="U581" t="s">
        <v>429</v>
      </c>
      <c r="Z581" s="1065" t="s">
        <v>404</v>
      </c>
      <c r="AA581" s="1065"/>
      <c r="AB581" s="1065"/>
      <c r="AC581" s="1065"/>
      <c r="AD581" s="1065"/>
      <c r="AE581" s="1065"/>
      <c r="AF581" s="1065"/>
      <c r="AG581" s="1065"/>
      <c r="AH581" s="1065"/>
      <c r="AI581" s="1065"/>
      <c r="AJ581" s="1065"/>
      <c r="AK581" s="10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065" t="s">
        <v>2435</v>
      </c>
      <c r="H582" s="1065"/>
      <c r="I582" s="1065"/>
      <c r="J582" s="1065"/>
      <c r="K582" s="1065"/>
      <c r="L582" s="1065"/>
      <c r="M582" s="1065"/>
      <c r="N582" s="1065"/>
      <c r="O582" s="1065"/>
      <c r="P582" s="1065"/>
      <c r="Q582" s="1065"/>
      <c r="R582" s="1065"/>
      <c r="T582" s="4"/>
      <c r="U582" t="s">
        <v>832</v>
      </c>
      <c r="Z582" s="1065" t="s">
        <v>2435</v>
      </c>
      <c r="AA582" s="1065"/>
      <c r="AB582" s="1065"/>
      <c r="AC582" s="1065"/>
      <c r="AD582" s="1065"/>
      <c r="AE582" s="1065"/>
      <c r="AF582" s="1065"/>
      <c r="AG582" s="1065"/>
      <c r="AH582" s="1065"/>
      <c r="AI582" s="1065"/>
      <c r="AJ582" s="1065"/>
      <c r="AK582" s="10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096" t="s">
        <v>2339</v>
      </c>
      <c r="H583" s="1096"/>
      <c r="I583" s="1096"/>
      <c r="J583" s="1096"/>
      <c r="K583" s="1096"/>
      <c r="L583" s="1096"/>
      <c r="O583" s="42" t="s">
        <v>817</v>
      </c>
      <c r="P583" s="1335"/>
      <c r="Q583" s="1335"/>
      <c r="R583" s="1335"/>
      <c r="T583" s="4"/>
      <c r="U583" t="s">
        <v>649</v>
      </c>
      <c r="Z583" s="1096" t="s">
        <v>2339</v>
      </c>
      <c r="AA583" s="1096"/>
      <c r="AB583" s="1096"/>
      <c r="AC583" s="1096"/>
      <c r="AD583" s="1096"/>
      <c r="AE583" s="1096"/>
      <c r="AH583" s="42" t="s">
        <v>817</v>
      </c>
      <c r="AI583" s="1335"/>
      <c r="AJ583" s="1335"/>
      <c r="AK583" s="133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066" t="s">
        <v>2434</v>
      </c>
      <c r="I584" s="1066"/>
      <c r="J584" s="1066"/>
      <c r="K584" s="1066"/>
      <c r="L584" s="1066"/>
      <c r="M584" s="1066"/>
      <c r="N584" s="1066"/>
      <c r="O584" s="1066"/>
      <c r="P584" s="1066"/>
      <c r="Q584" s="1066"/>
      <c r="R584" s="1066"/>
      <c r="T584" s="4"/>
      <c r="U584" t="s">
        <v>833</v>
      </c>
      <c r="AA584" s="1066" t="s">
        <v>2434</v>
      </c>
      <c r="AB584" s="1066"/>
      <c r="AC584" s="1066"/>
      <c r="AD584" s="1066"/>
      <c r="AE584" s="1066"/>
      <c r="AF584" s="1066"/>
      <c r="AG584" s="1066"/>
      <c r="AH584" s="1066"/>
      <c r="AI584" s="1066"/>
      <c r="AJ584" s="1066"/>
      <c r="AK584" s="106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48" t="s">
        <v>107</v>
      </c>
      <c r="O585" s="1148"/>
      <c r="T585" s="4"/>
      <c r="U585" t="s">
        <v>835</v>
      </c>
      <c r="AG585" s="1148" t="s">
        <v>107</v>
      </c>
      <c r="AH585" s="1148"/>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230" t="str">
        <f>C561</f>
        <v>FHLB AHP</v>
      </c>
      <c r="H587" s="1230"/>
      <c r="I587" s="1230"/>
      <c r="J587" s="1230"/>
      <c r="K587" s="1230"/>
      <c r="L587" s="1230"/>
      <c r="M587" s="1230"/>
      <c r="N587" s="1230"/>
      <c r="O587" s="1230"/>
      <c r="P587" s="1230"/>
      <c r="Q587" s="1230"/>
      <c r="R587" s="1230"/>
      <c r="T587" s="61" t="s">
        <v>433</v>
      </c>
      <c r="U587" t="s">
        <v>81</v>
      </c>
      <c r="Z587" s="1230" t="str">
        <f>C562</f>
        <v>City of Merced-Value of Donated Land</v>
      </c>
      <c r="AA587" s="1230"/>
      <c r="AB587" s="1230"/>
      <c r="AC587" s="1230"/>
      <c r="AD587" s="1230"/>
      <c r="AE587" s="1230"/>
      <c r="AF587" s="1230"/>
      <c r="AG587" s="1230"/>
      <c r="AH587" s="1230"/>
      <c r="AI587" s="1230"/>
      <c r="AJ587" s="1230"/>
      <c r="AK587" s="123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066" t="s">
        <v>2436</v>
      </c>
      <c r="H588" s="1066"/>
      <c r="I588" s="1066"/>
      <c r="J588" s="1066"/>
      <c r="K588" s="1066"/>
      <c r="L588" s="1066"/>
      <c r="M588" s="1066"/>
      <c r="N588" s="1066"/>
      <c r="O588" s="1066"/>
      <c r="P588" s="1066"/>
      <c r="Q588" s="1066"/>
      <c r="R588" s="1066"/>
      <c r="T588" s="4"/>
      <c r="U588" t="s">
        <v>371</v>
      </c>
      <c r="Z588" s="1066" t="s">
        <v>2338</v>
      </c>
      <c r="AA588" s="1066"/>
      <c r="AB588" s="1066"/>
      <c r="AC588" s="1066"/>
      <c r="AD588" s="1066"/>
      <c r="AE588" s="1066"/>
      <c r="AF588" s="1066"/>
      <c r="AG588" s="1066"/>
      <c r="AH588" s="1066"/>
      <c r="AI588" s="1066"/>
      <c r="AJ588" s="1066"/>
      <c r="AK588" s="106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066" t="s">
        <v>113</v>
      </c>
      <c r="H589" s="1066"/>
      <c r="I589" s="1066"/>
      <c r="J589" s="1066"/>
      <c r="K589" s="1066"/>
      <c r="L589" s="1066"/>
      <c r="M589" s="1066"/>
      <c r="N589" s="1066"/>
      <c r="O589" s="1066"/>
      <c r="P589" s="1066"/>
      <c r="Q589" s="1066"/>
      <c r="R589" s="1066"/>
      <c r="T589" s="4"/>
      <c r="U589" t="s">
        <v>429</v>
      </c>
      <c r="Z589" s="1065" t="s">
        <v>404</v>
      </c>
      <c r="AA589" s="1065"/>
      <c r="AB589" s="1065"/>
      <c r="AC589" s="1065"/>
      <c r="AD589" s="1065"/>
      <c r="AE589" s="1065"/>
      <c r="AF589" s="1065"/>
      <c r="AG589" s="1065"/>
      <c r="AH589" s="1065"/>
      <c r="AI589" s="1065"/>
      <c r="AJ589" s="1065"/>
      <c r="AK589" s="10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066" t="s">
        <v>2437</v>
      </c>
      <c r="H590" s="1066"/>
      <c r="I590" s="1066"/>
      <c r="J590" s="1066"/>
      <c r="K590" s="1066"/>
      <c r="L590" s="1066"/>
      <c r="M590" s="1066"/>
      <c r="N590" s="1066"/>
      <c r="O590" s="1066"/>
      <c r="P590" s="1066"/>
      <c r="Q590" s="1066"/>
      <c r="R590" s="1066"/>
      <c r="T590" s="4"/>
      <c r="U590" t="s">
        <v>832</v>
      </c>
      <c r="Z590" s="1065" t="s">
        <v>2435</v>
      </c>
      <c r="AA590" s="1065"/>
      <c r="AB590" s="1065"/>
      <c r="AC590" s="1065"/>
      <c r="AD590" s="1065"/>
      <c r="AE590" s="1065"/>
      <c r="AF590" s="1065"/>
      <c r="AG590" s="1065"/>
      <c r="AH590" s="1065"/>
      <c r="AI590" s="1065"/>
      <c r="AJ590" s="1065"/>
      <c r="AK590" s="10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064" t="s">
        <v>2438</v>
      </c>
      <c r="H591" s="1096"/>
      <c r="I591" s="1096"/>
      <c r="J591" s="1096"/>
      <c r="K591" s="1096"/>
      <c r="L591" s="1096"/>
      <c r="O591" s="42" t="s">
        <v>817</v>
      </c>
      <c r="P591" s="1335"/>
      <c r="Q591" s="1335"/>
      <c r="R591" s="1335"/>
      <c r="T591" s="4"/>
      <c r="U591" t="s">
        <v>649</v>
      </c>
      <c r="Z591" s="1096" t="s">
        <v>2339</v>
      </c>
      <c r="AA591" s="1096"/>
      <c r="AB591" s="1096"/>
      <c r="AC591" s="1096"/>
      <c r="AD591" s="1096"/>
      <c r="AE591" s="1096"/>
      <c r="AH591" s="42" t="s">
        <v>817</v>
      </c>
      <c r="AI591" s="1335"/>
      <c r="AJ591" s="1335"/>
      <c r="AK591" s="133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066" t="s">
        <v>2166</v>
      </c>
      <c r="I592" s="1066"/>
      <c r="J592" s="1066"/>
      <c r="K592" s="1066"/>
      <c r="L592" s="1066"/>
      <c r="M592" s="1066"/>
      <c r="N592" s="1066"/>
      <c r="O592" s="1066"/>
      <c r="P592" s="1066"/>
      <c r="Q592" s="1066"/>
      <c r="R592" s="1066"/>
      <c r="T592" s="4"/>
      <c r="U592" t="s">
        <v>833</v>
      </c>
      <c r="AA592" s="1066" t="s">
        <v>2434</v>
      </c>
      <c r="AB592" s="1066"/>
      <c r="AC592" s="1066"/>
      <c r="AD592" s="1066"/>
      <c r="AE592" s="1066"/>
      <c r="AF592" s="1066"/>
      <c r="AG592" s="1066"/>
      <c r="AH592" s="1066"/>
      <c r="AI592" s="1066"/>
      <c r="AJ592" s="1066"/>
      <c r="AK592" s="106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48" t="s">
        <v>107</v>
      </c>
      <c r="O593" s="1148"/>
      <c r="T593" s="4"/>
      <c r="U593" t="s">
        <v>835</v>
      </c>
      <c r="AG593" s="1148" t="s">
        <v>107</v>
      </c>
      <c r="AH593" s="1148"/>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81</v>
      </c>
      <c r="C595"/>
      <c r="G595" s="1230" t="str">
        <f>C563</f>
        <v>Impact Fee Waiver</v>
      </c>
      <c r="H595" s="1230"/>
      <c r="I595" s="1230"/>
      <c r="J595" s="1230"/>
      <c r="K595" s="1230"/>
      <c r="L595" s="1230"/>
      <c r="M595" s="1230"/>
      <c r="N595" s="1230"/>
      <c r="O595" s="1230"/>
      <c r="P595" s="1230"/>
      <c r="Q595" s="1230"/>
      <c r="R595" s="1230"/>
      <c r="T595" s="61" t="s">
        <v>742</v>
      </c>
      <c r="U595" t="s">
        <v>81</v>
      </c>
      <c r="Z595" s="1230" t="str">
        <f>C564</f>
        <v>Tax Credit Equity</v>
      </c>
      <c r="AA595" s="1230"/>
      <c r="AB595" s="1230"/>
      <c r="AC595" s="1230"/>
      <c r="AD595" s="1230"/>
      <c r="AE595" s="1230"/>
      <c r="AF595" s="1230"/>
      <c r="AG595" s="1230"/>
      <c r="AH595" s="1230"/>
      <c r="AI595" s="1230"/>
      <c r="AJ595" s="1230"/>
      <c r="AK595" s="123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066" t="s">
        <v>2338</v>
      </c>
      <c r="H596" s="1066"/>
      <c r="I596" s="1066"/>
      <c r="J596" s="1066"/>
      <c r="K596" s="1066"/>
      <c r="L596" s="1066"/>
      <c r="M596" s="1066"/>
      <c r="N596" s="1066"/>
      <c r="O596" s="1066"/>
      <c r="P596" s="1066"/>
      <c r="Q596" s="1066"/>
      <c r="R596" s="1066"/>
      <c r="T596" s="4"/>
      <c r="U596" t="s">
        <v>371</v>
      </c>
      <c r="Z596" s="1066" t="s">
        <v>2439</v>
      </c>
      <c r="AA596" s="1066"/>
      <c r="AB596" s="1066"/>
      <c r="AC596" s="1066"/>
      <c r="AD596" s="1066"/>
      <c r="AE596" s="1066"/>
      <c r="AF596" s="1066"/>
      <c r="AG596" s="1066"/>
      <c r="AH596" s="1066"/>
      <c r="AI596" s="1066"/>
      <c r="AJ596" s="1066"/>
      <c r="AK596" s="106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66" t="s">
        <v>404</v>
      </c>
      <c r="H597" s="1066"/>
      <c r="I597" s="1066"/>
      <c r="J597" s="1066"/>
      <c r="K597" s="1066"/>
      <c r="L597" s="1066"/>
      <c r="M597" s="1066"/>
      <c r="N597" s="1066"/>
      <c r="O597" s="1066"/>
      <c r="P597" s="1066"/>
      <c r="Q597" s="1066"/>
      <c r="R597" s="1066"/>
      <c r="S597"/>
      <c r="T597" s="4"/>
      <c r="U597" t="s">
        <v>429</v>
      </c>
      <c r="V597"/>
      <c r="W597"/>
      <c r="X597"/>
      <c r="Y597"/>
      <c r="Z597" s="1065" t="s">
        <v>2440</v>
      </c>
      <c r="AA597" s="1065"/>
      <c r="AB597" s="1065"/>
      <c r="AC597" s="1065"/>
      <c r="AD597" s="1065"/>
      <c r="AE597" s="1065"/>
      <c r="AF597" s="1065"/>
      <c r="AG597" s="1065"/>
      <c r="AH597" s="1065"/>
      <c r="AI597" s="1065"/>
      <c r="AJ597" s="1065"/>
      <c r="AK597" s="10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066" t="s">
        <v>2435</v>
      </c>
      <c r="H598" s="1066"/>
      <c r="I598" s="1066"/>
      <c r="J598" s="1066"/>
      <c r="K598" s="1066"/>
      <c r="L598" s="1066"/>
      <c r="M598" s="1066"/>
      <c r="N598" s="1066"/>
      <c r="O598" s="1066"/>
      <c r="P598" s="1066"/>
      <c r="Q598" s="1066"/>
      <c r="R598" s="1066"/>
      <c r="S598"/>
      <c r="T598" s="4"/>
      <c r="U598" t="s">
        <v>832</v>
      </c>
      <c r="V598"/>
      <c r="W598"/>
      <c r="X598"/>
      <c r="Y598"/>
      <c r="Z598" s="1065" t="s">
        <v>2385</v>
      </c>
      <c r="AA598" s="1065"/>
      <c r="AB598" s="1065"/>
      <c r="AC598" s="1065"/>
      <c r="AD598" s="1065"/>
      <c r="AE598" s="1065"/>
      <c r="AF598" s="1065"/>
      <c r="AG598" s="1065"/>
      <c r="AH598" s="1065"/>
      <c r="AI598" s="1065"/>
      <c r="AJ598" s="1065"/>
      <c r="AK598" s="1065"/>
      <c r="AL598"/>
      <c r="AM598" s="41"/>
      <c r="AN598" s="41"/>
      <c r="AO598" s="41"/>
      <c r="AP598" s="41"/>
      <c r="AQ598" s="41"/>
      <c r="AR598" s="41"/>
      <c r="AS598" s="41"/>
      <c r="AT598" s="41"/>
      <c r="AU598" s="41"/>
      <c r="AV598" s="41"/>
      <c r="AW598" s="41"/>
      <c r="AX598" s="41"/>
      <c r="AY598" s="41"/>
      <c r="AZ598" s="41"/>
      <c r="BN598" s="836" t="s">
        <v>418</v>
      </c>
      <c r="BO598" s="836"/>
      <c r="BP598" s="836"/>
      <c r="BQ598" s="175"/>
      <c r="BR598" s="837"/>
      <c r="BS598" s="836" t="s">
        <v>441</v>
      </c>
      <c r="BT598" s="836"/>
      <c r="BU598" s="836"/>
      <c r="BV598" s="175"/>
      <c r="BW598" s="837"/>
      <c r="BX598" s="837" t="s">
        <v>779</v>
      </c>
      <c r="BY598" s="836"/>
      <c r="BZ598" s="836"/>
      <c r="CA598" s="836"/>
      <c r="CB598" s="836"/>
      <c r="CC598" s="836" t="s">
        <v>780</v>
      </c>
      <c r="CD598" s="836"/>
      <c r="CE598" s="836"/>
      <c r="CF598" s="836"/>
      <c r="CG598" s="836"/>
      <c r="CH598" s="836" t="s">
        <v>781</v>
      </c>
      <c r="CI598" s="836"/>
      <c r="CJ598" s="836"/>
      <c r="CK598" s="836"/>
      <c r="CL598" s="836"/>
      <c r="CM598" s="836" t="s">
        <v>2220</v>
      </c>
      <c r="CN598" s="836"/>
      <c r="CO598" s="836"/>
      <c r="CP598" s="175"/>
      <c r="CQ598" s="837"/>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096" t="s">
        <v>2339</v>
      </c>
      <c r="H599" s="1096"/>
      <c r="I599" s="1096"/>
      <c r="J599" s="1096"/>
      <c r="K599" s="1096"/>
      <c r="L599" s="1096"/>
      <c r="M599"/>
      <c r="N599"/>
      <c r="O599" s="42" t="s">
        <v>817</v>
      </c>
      <c r="P599" s="1335"/>
      <c r="Q599" s="1335"/>
      <c r="R599" s="1335"/>
      <c r="S599"/>
      <c r="T599" s="4"/>
      <c r="U599" t="s">
        <v>649</v>
      </c>
      <c r="V599"/>
      <c r="W599"/>
      <c r="X599"/>
      <c r="Y599"/>
      <c r="Z599" s="1064" t="s">
        <v>2443</v>
      </c>
      <c r="AA599" s="1096"/>
      <c r="AB599" s="1096"/>
      <c r="AC599" s="1096"/>
      <c r="AD599" s="1096"/>
      <c r="AE599" s="1096"/>
      <c r="AF599"/>
      <c r="AG599"/>
      <c r="AH599" s="42" t="s">
        <v>817</v>
      </c>
      <c r="AI599" s="1335"/>
      <c r="AJ599" s="1335"/>
      <c r="AK599" s="1335"/>
      <c r="AL599"/>
      <c r="AZ599" s="5" t="s">
        <v>440</v>
      </c>
      <c r="BA599" s="41"/>
      <c r="BB599" s="41"/>
      <c r="BC599" s="41"/>
      <c r="BD599" s="41"/>
      <c r="BE599" s="212" t="s">
        <v>350</v>
      </c>
      <c r="BF599" s="213"/>
      <c r="BG599" s="1106"/>
      <c r="BH599" s="1109"/>
      <c r="BI599" s="212" t="s">
        <v>351</v>
      </c>
      <c r="BJ599" s="213"/>
      <c r="BK599" s="1106"/>
      <c r="BL599" s="1109"/>
      <c r="BN599" s="1106">
        <f>IF(B703="SRO/Studio",G703,0)</f>
        <v>0</v>
      </c>
      <c r="BO599" s="1107"/>
      <c r="BP599" s="1107"/>
      <c r="BQ599" s="1107"/>
      <c r="BR599" s="1108"/>
      <c r="BS599" s="1106">
        <f>IF(B703="1 Bedroom",G703,0)</f>
        <v>53</v>
      </c>
      <c r="BT599" s="1107"/>
      <c r="BU599" s="1107"/>
      <c r="BV599" s="1107"/>
      <c r="BW599" s="1109"/>
      <c r="BX599" s="1106">
        <f>IF(B703="2 Bedrooms",G703,0)</f>
        <v>0</v>
      </c>
      <c r="BY599" s="1107"/>
      <c r="BZ599" s="1107"/>
      <c r="CA599" s="1107"/>
      <c r="CB599" s="1109"/>
      <c r="CC599" s="1106">
        <f>IF(B703="3 Bedrooms",G703,0)</f>
        <v>0</v>
      </c>
      <c r="CD599" s="1107"/>
      <c r="CE599" s="1107"/>
      <c r="CF599" s="1107"/>
      <c r="CG599" s="1109"/>
      <c r="CH599" s="1106">
        <f>IF(B703="4 Bedrooms",G703,0)</f>
        <v>0</v>
      </c>
      <c r="CI599" s="1107"/>
      <c r="CJ599" s="1107"/>
      <c r="CK599" s="1107"/>
      <c r="CL599" s="1109"/>
      <c r="CM599" s="1110">
        <f>IF(B703="5 Bedrooms",G703,0)</f>
        <v>0</v>
      </c>
      <c r="CN599" s="1111"/>
      <c r="CO599" s="1111"/>
      <c r="CP599" s="1111"/>
      <c r="CQ599" s="1108"/>
      <c r="CS599" s="836" t="s">
        <v>418</v>
      </c>
      <c r="CT599" s="836"/>
      <c r="CU599" s="836"/>
      <c r="CV599" s="836"/>
      <c r="CW599" s="836"/>
      <c r="CX599" s="836" t="s">
        <v>441</v>
      </c>
      <c r="CY599" s="836"/>
      <c r="CZ599" s="175"/>
      <c r="DA599" s="176"/>
      <c r="DB599" s="837"/>
      <c r="DC599" s="836" t="s">
        <v>779</v>
      </c>
      <c r="DD599" s="836"/>
      <c r="DE599" s="836"/>
      <c r="DF599" s="836"/>
      <c r="DG599" s="836"/>
      <c r="DH599" s="836" t="s">
        <v>780</v>
      </c>
      <c r="DI599" s="836"/>
      <c r="DJ599" s="836"/>
      <c r="DK599" s="836"/>
      <c r="DL599" s="836"/>
      <c r="DM599" s="836" t="s">
        <v>790</v>
      </c>
      <c r="DN599" s="836"/>
      <c r="DO599" s="836"/>
      <c r="DP599" s="836"/>
      <c r="DQ599" s="836"/>
      <c r="DR599" s="836" t="s">
        <v>343</v>
      </c>
      <c r="DS599" s="836"/>
      <c r="DT599" s="836"/>
      <c r="DU599" s="836"/>
      <c r="DV599" s="836"/>
    </row>
    <row r="600" spans="1:126" s="5" customFormat="1" ht="12.9" customHeight="1">
      <c r="A600" s="4"/>
      <c r="B600" t="s">
        <v>833</v>
      </c>
      <c r="C600"/>
      <c r="D600"/>
      <c r="E600"/>
      <c r="F600"/>
      <c r="G600"/>
      <c r="H600" s="1066" t="s">
        <v>2434</v>
      </c>
      <c r="I600" s="1066"/>
      <c r="J600" s="1066"/>
      <c r="K600" s="1066"/>
      <c r="L600" s="1066"/>
      <c r="M600" s="1066"/>
      <c r="N600" s="1066"/>
      <c r="O600" s="1066"/>
      <c r="P600" s="1066"/>
      <c r="Q600" s="1066"/>
      <c r="R600" s="1066"/>
      <c r="S600"/>
      <c r="T600" s="4"/>
      <c r="U600" t="s">
        <v>833</v>
      </c>
      <c r="V600"/>
      <c r="W600"/>
      <c r="X600"/>
      <c r="Y600"/>
      <c r="Z600"/>
      <c r="AA600" s="1066" t="s">
        <v>2426</v>
      </c>
      <c r="AB600" s="1066"/>
      <c r="AC600" s="1066"/>
      <c r="AD600" s="1066"/>
      <c r="AE600" s="1066"/>
      <c r="AF600" s="1066"/>
      <c r="AG600" s="1066"/>
      <c r="AH600" s="1066"/>
      <c r="AI600" s="1066"/>
      <c r="AJ600" s="1066"/>
      <c r="AK600" s="1066"/>
      <c r="AL600"/>
      <c r="AZ600" s="5" t="s">
        <v>441</v>
      </c>
      <c r="BA600" s="41"/>
      <c r="BB600" s="41"/>
      <c r="BC600" s="41"/>
      <c r="BD600" s="41"/>
      <c r="BE600" s="1112">
        <f>IF(AND(AH703&lt;=0.5,AH703&gt;=0.36),1,0)</f>
        <v>0</v>
      </c>
      <c r="BF600" s="1113"/>
      <c r="BG600" s="1106">
        <f t="shared" ref="BG600:BG623" si="2">IF(BE600=1,G703,0)</f>
        <v>0</v>
      </c>
      <c r="BH600" s="1109"/>
      <c r="BI600" s="1112">
        <f>IF(AND(AH703&lt;=0.35,AH703&gt;0),1,0)</f>
        <v>1</v>
      </c>
      <c r="BJ600" s="1113"/>
      <c r="BK600" s="1106">
        <f t="shared" ref="BK600:BK623" si="3">IF(BI600=1,G703,0)</f>
        <v>53</v>
      </c>
      <c r="BL600" s="1109"/>
      <c r="BN600" s="1106">
        <f t="shared" ref="BN600:BN633" si="4">IF(B704="SRO/Studio",G704,0)</f>
        <v>0</v>
      </c>
      <c r="BO600" s="1107"/>
      <c r="BP600" s="1107"/>
      <c r="BQ600" s="1107"/>
      <c r="BR600" s="1108"/>
      <c r="BS600" s="1106">
        <f t="shared" ref="BS600:BS633" si="5">IF(B704="1 Bedroom",G704,0)</f>
        <v>0</v>
      </c>
      <c r="BT600" s="1107"/>
      <c r="BU600" s="1107"/>
      <c r="BV600" s="1107"/>
      <c r="BW600" s="1109"/>
      <c r="BX600" s="1106">
        <f t="shared" ref="BX600:BX633" si="6">IF(B704="2 Bedrooms",G704,0)</f>
        <v>0</v>
      </c>
      <c r="BY600" s="1107"/>
      <c r="BZ600" s="1107"/>
      <c r="CA600" s="1107"/>
      <c r="CB600" s="1109"/>
      <c r="CC600" s="1106">
        <f t="shared" ref="CC600:CC633" si="7">IF(B704="3 Bedrooms",G704,0)</f>
        <v>0</v>
      </c>
      <c r="CD600" s="1107"/>
      <c r="CE600" s="1107"/>
      <c r="CF600" s="1107"/>
      <c r="CG600" s="1109"/>
      <c r="CH600" s="1106">
        <f t="shared" ref="CH600:CH633" si="8">IF(B704="4 Bedrooms",G704,0)</f>
        <v>0</v>
      </c>
      <c r="CI600" s="1107"/>
      <c r="CJ600" s="1107"/>
      <c r="CK600" s="1107"/>
      <c r="CL600" s="1109"/>
      <c r="CM600" s="1110">
        <f t="shared" ref="CM600:CM633" si="9">IF(B704="5 Bedrooms",G704,0)</f>
        <v>0</v>
      </c>
      <c r="CN600" s="1111"/>
      <c r="CO600" s="1111"/>
      <c r="CP600" s="1111"/>
      <c r="CQ600" s="1108"/>
      <c r="CS600" s="1103">
        <f>IF(AND(B703="SRO/Studio",AH703&lt;=0.3),G703,0)</f>
        <v>0</v>
      </c>
      <c r="CT600" s="1104"/>
      <c r="CU600" s="1104"/>
      <c r="CV600" s="1104"/>
      <c r="CW600" s="1105"/>
      <c r="CX600" s="1103">
        <f>IF(AND(B703="1 Bedroom",AH703&lt;=0.3),G703,0)</f>
        <v>53</v>
      </c>
      <c r="CY600" s="1104"/>
      <c r="CZ600" s="1104"/>
      <c r="DA600" s="1104"/>
      <c r="DB600" s="1105"/>
      <c r="DC600" s="1103">
        <f>IF(AND(B703="2 Bedrooms",AH703&lt;=0.3),G703,0)</f>
        <v>0</v>
      </c>
      <c r="DD600" s="1104"/>
      <c r="DE600" s="1104"/>
      <c r="DF600" s="1104"/>
      <c r="DG600" s="1105"/>
      <c r="DH600" s="1103">
        <f>IF(AND(B703="3 Bedrooms",AH703&lt;=0.3),G703,0)</f>
        <v>0</v>
      </c>
      <c r="DI600" s="1104"/>
      <c r="DJ600" s="1104"/>
      <c r="DK600" s="1104"/>
      <c r="DL600" s="1105"/>
      <c r="DM600" s="1103">
        <f>IF(AND(B703="4 Bedrooms",AH703&lt;=0.3),G703,0)</f>
        <v>0</v>
      </c>
      <c r="DN600" s="1104"/>
      <c r="DO600" s="1104"/>
      <c r="DP600" s="1104"/>
      <c r="DQ600" s="1105"/>
      <c r="DR600" s="1103">
        <f>IF(AND(B703="5 Bedrooms",AH703&lt;=0.3),G703,0)</f>
        <v>0</v>
      </c>
      <c r="DS600" s="1104"/>
      <c r="DT600" s="1104"/>
      <c r="DU600" s="1104"/>
      <c r="DV600" s="1105"/>
    </row>
    <row r="601" spans="1:126" s="5" customFormat="1" ht="12.9" customHeight="1">
      <c r="A601" s="4"/>
      <c r="B601" t="s">
        <v>835</v>
      </c>
      <c r="C601"/>
      <c r="D601"/>
      <c r="E601"/>
      <c r="F601"/>
      <c r="G601"/>
      <c r="H601"/>
      <c r="I601"/>
      <c r="J601"/>
      <c r="K601"/>
      <c r="L601"/>
      <c r="M601"/>
      <c r="N601" s="1148" t="s">
        <v>107</v>
      </c>
      <c r="O601" s="1148"/>
      <c r="P601"/>
      <c r="Q601"/>
      <c r="R601"/>
      <c r="S601"/>
      <c r="T601" s="4"/>
      <c r="U601" t="s">
        <v>835</v>
      </c>
      <c r="V601"/>
      <c r="W601"/>
      <c r="X601"/>
      <c r="Y601"/>
      <c r="Z601"/>
      <c r="AA601"/>
      <c r="AB601"/>
      <c r="AC601"/>
      <c r="AD601"/>
      <c r="AE601"/>
      <c r="AF601"/>
      <c r="AG601" s="1148" t="s">
        <v>107</v>
      </c>
      <c r="AH601" s="1148"/>
      <c r="AI601"/>
      <c r="AJ601"/>
      <c r="AK601"/>
      <c r="AL601"/>
      <c r="AZ601" s="5" t="s">
        <v>779</v>
      </c>
      <c r="BA601" s="41"/>
      <c r="BB601" s="41"/>
      <c r="BC601" s="41"/>
      <c r="BD601" s="41"/>
      <c r="BE601" s="1112">
        <f t="shared" ref="BE601:BE623" si="10">IF(AND(AH704&lt;=0.5,AH704&gt;=0.36),1,0)</f>
        <v>0</v>
      </c>
      <c r="BF601" s="1113"/>
      <c r="BG601" s="1106">
        <f t="shared" si="2"/>
        <v>0</v>
      </c>
      <c r="BH601" s="1109"/>
      <c r="BI601" s="1112">
        <f t="shared" ref="BI601:BI623" si="11">IF(AND(AH704&lt;=0.35,AH704&gt;0),1,0)</f>
        <v>0</v>
      </c>
      <c r="BJ601" s="1113"/>
      <c r="BK601" s="1106">
        <f t="shared" si="3"/>
        <v>0</v>
      </c>
      <c r="BL601" s="1109"/>
      <c r="BN601" s="1106">
        <f t="shared" si="4"/>
        <v>0</v>
      </c>
      <c r="BO601" s="1107"/>
      <c r="BP601" s="1107"/>
      <c r="BQ601" s="1107"/>
      <c r="BR601" s="1108"/>
      <c r="BS601" s="1106">
        <f t="shared" si="5"/>
        <v>0</v>
      </c>
      <c r="BT601" s="1107"/>
      <c r="BU601" s="1107"/>
      <c r="BV601" s="1107"/>
      <c r="BW601" s="1109"/>
      <c r="BX601" s="1106">
        <f t="shared" si="6"/>
        <v>0</v>
      </c>
      <c r="BY601" s="1107"/>
      <c r="BZ601" s="1107"/>
      <c r="CA601" s="1107"/>
      <c r="CB601" s="1109"/>
      <c r="CC601" s="1106">
        <f t="shared" si="7"/>
        <v>0</v>
      </c>
      <c r="CD601" s="1107"/>
      <c r="CE601" s="1107"/>
      <c r="CF601" s="1107"/>
      <c r="CG601" s="1109"/>
      <c r="CH601" s="1106">
        <f t="shared" si="8"/>
        <v>0</v>
      </c>
      <c r="CI601" s="1107"/>
      <c r="CJ601" s="1107"/>
      <c r="CK601" s="1107"/>
      <c r="CL601" s="1109"/>
      <c r="CM601" s="1110">
        <f t="shared" si="9"/>
        <v>0</v>
      </c>
      <c r="CN601" s="1111"/>
      <c r="CO601" s="1111"/>
      <c r="CP601" s="1111"/>
      <c r="CQ601" s="1108"/>
      <c r="CS601" s="1103">
        <f t="shared" ref="CS601:CS623" si="12">IF(AND(B704="SRO/Studio",AH704&lt;=0.3),G704,0)</f>
        <v>0</v>
      </c>
      <c r="CT601" s="1104"/>
      <c r="CU601" s="1104"/>
      <c r="CV601" s="1104"/>
      <c r="CW601" s="1105"/>
      <c r="CX601" s="1103">
        <f t="shared" ref="CX601:CX623" si="13">IF(AND(B704="1 Bedroom",AH704&lt;=0.3),G704,0)</f>
        <v>0</v>
      </c>
      <c r="CY601" s="1104"/>
      <c r="CZ601" s="1104"/>
      <c r="DA601" s="1104"/>
      <c r="DB601" s="1105"/>
      <c r="DC601" s="1103">
        <f t="shared" ref="DC601:DC623" si="14">IF(AND(B704="2 Bedrooms",AH704&lt;=0.3),G704,0)</f>
        <v>0</v>
      </c>
      <c r="DD601" s="1104"/>
      <c r="DE601" s="1104"/>
      <c r="DF601" s="1104"/>
      <c r="DG601" s="1105"/>
      <c r="DH601" s="1103">
        <f t="shared" ref="DH601:DH623" si="15">IF(AND(B704="3 Bedrooms",AH704&lt;=0.3),G704,0)</f>
        <v>0</v>
      </c>
      <c r="DI601" s="1104"/>
      <c r="DJ601" s="1104"/>
      <c r="DK601" s="1104"/>
      <c r="DL601" s="1105"/>
      <c r="DM601" s="1103">
        <f t="shared" ref="DM601:DM623" si="16">IF(AND(B704="4 Bedrooms",AH704&lt;=0.3),G704,0)</f>
        <v>0</v>
      </c>
      <c r="DN601" s="1104"/>
      <c r="DO601" s="1104"/>
      <c r="DP601" s="1104"/>
      <c r="DQ601" s="1105"/>
      <c r="DR601" s="1103">
        <f t="shared" ref="DR601:DR623" si="17">IF(AND(B704="5 Bedrooms",AH704&lt;=0.3),G704,0)</f>
        <v>0</v>
      </c>
      <c r="DS601" s="1104"/>
      <c r="DT601" s="1104"/>
      <c r="DU601" s="1104"/>
      <c r="DV601" s="1105"/>
    </row>
    <row r="602" spans="1:126" ht="12.9" customHeight="1">
      <c r="C602"/>
      <c r="AZ602" s="5" t="s">
        <v>780</v>
      </c>
      <c r="BA602" s="41"/>
      <c r="BB602" s="41"/>
      <c r="BC602" s="41"/>
      <c r="BD602" s="41"/>
      <c r="BE602" s="1112">
        <f t="shared" si="10"/>
        <v>0</v>
      </c>
      <c r="BF602" s="1113"/>
      <c r="BG602" s="1106">
        <f t="shared" si="2"/>
        <v>0</v>
      </c>
      <c r="BH602" s="1109"/>
      <c r="BI602" s="1112">
        <f t="shared" si="11"/>
        <v>0</v>
      </c>
      <c r="BJ602" s="1113"/>
      <c r="BK602" s="1106">
        <f t="shared" si="3"/>
        <v>0</v>
      </c>
      <c r="BL602" s="1109"/>
      <c r="BN602" s="1106">
        <f t="shared" si="4"/>
        <v>0</v>
      </c>
      <c r="BO602" s="1107"/>
      <c r="BP602" s="1107"/>
      <c r="BQ602" s="1107"/>
      <c r="BR602" s="1108"/>
      <c r="BS602" s="1106">
        <f t="shared" si="5"/>
        <v>0</v>
      </c>
      <c r="BT602" s="1107"/>
      <c r="BU602" s="1107"/>
      <c r="BV602" s="1107"/>
      <c r="BW602" s="1109"/>
      <c r="BX602" s="1106">
        <f t="shared" si="6"/>
        <v>0</v>
      </c>
      <c r="BY602" s="1107"/>
      <c r="BZ602" s="1107"/>
      <c r="CA602" s="1107"/>
      <c r="CB602" s="1109"/>
      <c r="CC602" s="1106">
        <f t="shared" si="7"/>
        <v>0</v>
      </c>
      <c r="CD602" s="1107"/>
      <c r="CE602" s="1107"/>
      <c r="CF602" s="1107"/>
      <c r="CG602" s="1109"/>
      <c r="CH602" s="1106">
        <f t="shared" si="8"/>
        <v>0</v>
      </c>
      <c r="CI602" s="1107"/>
      <c r="CJ602" s="1107"/>
      <c r="CK602" s="1107"/>
      <c r="CL602" s="1109"/>
      <c r="CM602" s="1110">
        <f t="shared" si="9"/>
        <v>0</v>
      </c>
      <c r="CN602" s="1111"/>
      <c r="CO602" s="1111"/>
      <c r="CP602" s="1111"/>
      <c r="CQ602" s="1108"/>
      <c r="CS602" s="1103">
        <f t="shared" si="12"/>
        <v>0</v>
      </c>
      <c r="CT602" s="1104"/>
      <c r="CU602" s="1104"/>
      <c r="CV602" s="1104"/>
      <c r="CW602" s="1105"/>
      <c r="CX602" s="1103">
        <f t="shared" si="13"/>
        <v>0</v>
      </c>
      <c r="CY602" s="1104"/>
      <c r="CZ602" s="1104"/>
      <c r="DA602" s="1104"/>
      <c r="DB602" s="1105"/>
      <c r="DC602" s="1103">
        <f t="shared" si="14"/>
        <v>0</v>
      </c>
      <c r="DD602" s="1104"/>
      <c r="DE602" s="1104"/>
      <c r="DF602" s="1104"/>
      <c r="DG602" s="1105"/>
      <c r="DH602" s="1103">
        <f t="shared" si="15"/>
        <v>0</v>
      </c>
      <c r="DI602" s="1104"/>
      <c r="DJ602" s="1104"/>
      <c r="DK602" s="1104"/>
      <c r="DL602" s="1105"/>
      <c r="DM602" s="1103">
        <f t="shared" si="16"/>
        <v>0</v>
      </c>
      <c r="DN602" s="1104"/>
      <c r="DO602" s="1104"/>
      <c r="DP602" s="1104"/>
      <c r="DQ602" s="1105"/>
      <c r="DR602" s="1103">
        <f t="shared" si="17"/>
        <v>0</v>
      </c>
      <c r="DS602" s="1104"/>
      <c r="DT602" s="1104"/>
      <c r="DU602" s="1104"/>
      <c r="DV602" s="1105"/>
    </row>
    <row r="603" spans="1:126" ht="12.9" customHeight="1">
      <c r="A603" s="61" t="s">
        <v>545</v>
      </c>
      <c r="B603" t="s">
        <v>81</v>
      </c>
      <c r="C603"/>
      <c r="G603" s="1230" t="str">
        <f>C565</f>
        <v>Cost Deferred Until Completion</v>
      </c>
      <c r="H603" s="1230"/>
      <c r="I603" s="1230"/>
      <c r="J603" s="1230"/>
      <c r="K603" s="1230"/>
      <c r="L603" s="1230"/>
      <c r="M603" s="1230"/>
      <c r="N603" s="1230"/>
      <c r="O603" s="1230"/>
      <c r="P603" s="1230"/>
      <c r="Q603" s="1230"/>
      <c r="R603" s="1230"/>
      <c r="T603" s="61" t="s">
        <v>173</v>
      </c>
      <c r="U603" t="s">
        <v>81</v>
      </c>
      <c r="Z603" s="1230">
        <f>C566</f>
        <v>0</v>
      </c>
      <c r="AA603" s="1230"/>
      <c r="AB603" s="1230"/>
      <c r="AC603" s="1230"/>
      <c r="AD603" s="1230"/>
      <c r="AE603" s="1230"/>
      <c r="AF603" s="1230"/>
      <c r="AG603" s="1230"/>
      <c r="AH603" s="1230"/>
      <c r="AI603" s="1230"/>
      <c r="AJ603" s="1230"/>
      <c r="AK603" s="1230"/>
      <c r="AZ603" s="5" t="s">
        <v>781</v>
      </c>
      <c r="BA603" s="41"/>
      <c r="BB603" s="41"/>
      <c r="BC603" s="41"/>
      <c r="BD603" s="41"/>
      <c r="BE603" s="1112">
        <f t="shared" si="10"/>
        <v>0</v>
      </c>
      <c r="BF603" s="1113"/>
      <c r="BG603" s="1106">
        <f t="shared" si="2"/>
        <v>0</v>
      </c>
      <c r="BH603" s="1109"/>
      <c r="BI603" s="1112">
        <f t="shared" si="11"/>
        <v>0</v>
      </c>
      <c r="BJ603" s="1113"/>
      <c r="BK603" s="1106">
        <f t="shared" si="3"/>
        <v>0</v>
      </c>
      <c r="BL603" s="1109"/>
      <c r="BN603" s="1106">
        <f t="shared" si="4"/>
        <v>0</v>
      </c>
      <c r="BO603" s="1107"/>
      <c r="BP603" s="1107"/>
      <c r="BQ603" s="1107"/>
      <c r="BR603" s="1108"/>
      <c r="BS603" s="1106">
        <f t="shared" si="5"/>
        <v>0</v>
      </c>
      <c r="BT603" s="1107"/>
      <c r="BU603" s="1107"/>
      <c r="BV603" s="1107"/>
      <c r="BW603" s="1109"/>
      <c r="BX603" s="1106">
        <f t="shared" si="6"/>
        <v>0</v>
      </c>
      <c r="BY603" s="1107"/>
      <c r="BZ603" s="1107"/>
      <c r="CA603" s="1107"/>
      <c r="CB603" s="1109"/>
      <c r="CC603" s="1106">
        <f t="shared" si="7"/>
        <v>0</v>
      </c>
      <c r="CD603" s="1107"/>
      <c r="CE603" s="1107"/>
      <c r="CF603" s="1107"/>
      <c r="CG603" s="1109"/>
      <c r="CH603" s="1106">
        <f t="shared" si="8"/>
        <v>0</v>
      </c>
      <c r="CI603" s="1107"/>
      <c r="CJ603" s="1107"/>
      <c r="CK603" s="1107"/>
      <c r="CL603" s="1109"/>
      <c r="CM603" s="1110">
        <f t="shared" si="9"/>
        <v>0</v>
      </c>
      <c r="CN603" s="1111"/>
      <c r="CO603" s="1111"/>
      <c r="CP603" s="1111"/>
      <c r="CQ603" s="1108"/>
      <c r="CS603" s="1103">
        <f t="shared" si="12"/>
        <v>0</v>
      </c>
      <c r="CT603" s="1104"/>
      <c r="CU603" s="1104"/>
      <c r="CV603" s="1104"/>
      <c r="CW603" s="1105"/>
      <c r="CX603" s="1103">
        <f t="shared" si="13"/>
        <v>0</v>
      </c>
      <c r="CY603" s="1104"/>
      <c r="CZ603" s="1104"/>
      <c r="DA603" s="1104"/>
      <c r="DB603" s="1105"/>
      <c r="DC603" s="1103">
        <f t="shared" si="14"/>
        <v>0</v>
      </c>
      <c r="DD603" s="1104"/>
      <c r="DE603" s="1104"/>
      <c r="DF603" s="1104"/>
      <c r="DG603" s="1105"/>
      <c r="DH603" s="1103">
        <f t="shared" si="15"/>
        <v>0</v>
      </c>
      <c r="DI603" s="1104"/>
      <c r="DJ603" s="1104"/>
      <c r="DK603" s="1104"/>
      <c r="DL603" s="1105"/>
      <c r="DM603" s="1103">
        <f t="shared" si="16"/>
        <v>0</v>
      </c>
      <c r="DN603" s="1104"/>
      <c r="DO603" s="1104"/>
      <c r="DP603" s="1104"/>
      <c r="DQ603" s="1105"/>
      <c r="DR603" s="1103">
        <f t="shared" si="17"/>
        <v>0</v>
      </c>
      <c r="DS603" s="1104"/>
      <c r="DT603" s="1104"/>
      <c r="DU603" s="1104"/>
      <c r="DV603" s="1105"/>
    </row>
    <row r="604" spans="1:126" ht="12.9" customHeight="1">
      <c r="A604" s="4"/>
      <c r="B604" t="s">
        <v>371</v>
      </c>
      <c r="C604"/>
      <c r="G604" s="1066" t="s">
        <v>2441</v>
      </c>
      <c r="H604" s="1066"/>
      <c r="I604" s="1066"/>
      <c r="J604" s="1066"/>
      <c r="K604" s="1066"/>
      <c r="L604" s="1066"/>
      <c r="M604" s="1066"/>
      <c r="N604" s="1066"/>
      <c r="O604" s="1066"/>
      <c r="P604" s="1066"/>
      <c r="Q604" s="1066"/>
      <c r="R604" s="1066"/>
      <c r="T604" s="4"/>
      <c r="U604" t="s">
        <v>371</v>
      </c>
      <c r="Z604" s="1066"/>
      <c r="AA604" s="1066"/>
      <c r="AB604" s="1066"/>
      <c r="AC604" s="1066"/>
      <c r="AD604" s="1066"/>
      <c r="AE604" s="1066"/>
      <c r="AF604" s="1066"/>
      <c r="AG604" s="1066"/>
      <c r="AH604" s="1066"/>
      <c r="AI604" s="1066"/>
      <c r="AJ604" s="1066"/>
      <c r="AK604" s="1066"/>
      <c r="AZ604" s="5" t="s">
        <v>343</v>
      </c>
      <c r="BA604" s="41"/>
      <c r="BB604" s="41"/>
      <c r="BC604" s="41"/>
      <c r="BD604" s="41"/>
      <c r="BE604" s="1112">
        <f t="shared" si="10"/>
        <v>0</v>
      </c>
      <c r="BF604" s="1113"/>
      <c r="BG604" s="1106">
        <f t="shared" si="2"/>
        <v>0</v>
      </c>
      <c r="BH604" s="1109"/>
      <c r="BI604" s="1112">
        <f t="shared" si="11"/>
        <v>0</v>
      </c>
      <c r="BJ604" s="1113"/>
      <c r="BK604" s="1106">
        <f t="shared" si="3"/>
        <v>0</v>
      </c>
      <c r="BL604" s="1109"/>
      <c r="BN604" s="1106">
        <f t="shared" si="4"/>
        <v>0</v>
      </c>
      <c r="BO604" s="1107"/>
      <c r="BP604" s="1107"/>
      <c r="BQ604" s="1107"/>
      <c r="BR604" s="1108"/>
      <c r="BS604" s="1106">
        <f t="shared" si="5"/>
        <v>0</v>
      </c>
      <c r="BT604" s="1107"/>
      <c r="BU604" s="1107"/>
      <c r="BV604" s="1107"/>
      <c r="BW604" s="1109"/>
      <c r="BX604" s="1106">
        <f t="shared" si="6"/>
        <v>0</v>
      </c>
      <c r="BY604" s="1107"/>
      <c r="BZ604" s="1107"/>
      <c r="CA604" s="1107"/>
      <c r="CB604" s="1109"/>
      <c r="CC604" s="1106">
        <f t="shared" si="7"/>
        <v>0</v>
      </c>
      <c r="CD604" s="1107"/>
      <c r="CE604" s="1107"/>
      <c r="CF604" s="1107"/>
      <c r="CG604" s="1109"/>
      <c r="CH604" s="1106">
        <f t="shared" si="8"/>
        <v>0</v>
      </c>
      <c r="CI604" s="1107"/>
      <c r="CJ604" s="1107"/>
      <c r="CK604" s="1107"/>
      <c r="CL604" s="1109"/>
      <c r="CM604" s="1110">
        <f t="shared" si="9"/>
        <v>0</v>
      </c>
      <c r="CN604" s="1111"/>
      <c r="CO604" s="1111"/>
      <c r="CP604" s="1111"/>
      <c r="CQ604" s="1108"/>
      <c r="CS604" s="1103">
        <f t="shared" si="12"/>
        <v>0</v>
      </c>
      <c r="CT604" s="1104"/>
      <c r="CU604" s="1104"/>
      <c r="CV604" s="1104"/>
      <c r="CW604" s="1105"/>
      <c r="CX604" s="1103">
        <f t="shared" si="13"/>
        <v>0</v>
      </c>
      <c r="CY604" s="1104"/>
      <c r="CZ604" s="1104"/>
      <c r="DA604" s="1104"/>
      <c r="DB604" s="1105"/>
      <c r="DC604" s="1103">
        <f t="shared" si="14"/>
        <v>0</v>
      </c>
      <c r="DD604" s="1104"/>
      <c r="DE604" s="1104"/>
      <c r="DF604" s="1104"/>
      <c r="DG604" s="1105"/>
      <c r="DH604" s="1103">
        <f t="shared" si="15"/>
        <v>0</v>
      </c>
      <c r="DI604" s="1104"/>
      <c r="DJ604" s="1104"/>
      <c r="DK604" s="1104"/>
      <c r="DL604" s="1105"/>
      <c r="DM604" s="1103">
        <f t="shared" si="16"/>
        <v>0</v>
      </c>
      <c r="DN604" s="1104"/>
      <c r="DO604" s="1104"/>
      <c r="DP604" s="1104"/>
      <c r="DQ604" s="1105"/>
      <c r="DR604" s="1103">
        <f t="shared" si="17"/>
        <v>0</v>
      </c>
      <c r="DS604" s="1104"/>
      <c r="DT604" s="1104"/>
      <c r="DU604" s="1104"/>
      <c r="DV604" s="1105"/>
    </row>
    <row r="605" spans="1:126" ht="12.9" customHeight="1">
      <c r="A605" s="4"/>
      <c r="B605" t="s">
        <v>429</v>
      </c>
      <c r="C605"/>
      <c r="G605" s="1066" t="s">
        <v>2355</v>
      </c>
      <c r="H605" s="1066"/>
      <c r="I605" s="1066"/>
      <c r="J605" s="1066"/>
      <c r="K605" s="1066"/>
      <c r="L605" s="1066"/>
      <c r="M605" s="1066"/>
      <c r="N605" s="1066"/>
      <c r="O605" s="1066"/>
      <c r="P605" s="1066"/>
      <c r="Q605" s="1066"/>
      <c r="R605" s="1066"/>
      <c r="T605" s="4"/>
      <c r="U605" t="s">
        <v>429</v>
      </c>
      <c r="Z605" s="1065"/>
      <c r="AA605" s="1065"/>
      <c r="AB605" s="1065"/>
      <c r="AC605" s="1065"/>
      <c r="AD605" s="1065"/>
      <c r="AE605" s="1065"/>
      <c r="AF605" s="1065"/>
      <c r="AG605" s="1065"/>
      <c r="AH605" s="1065"/>
      <c r="AI605" s="1065"/>
      <c r="AJ605" s="1065"/>
      <c r="AK605" s="1065"/>
      <c r="AZ605" s="41"/>
      <c r="BA605" s="41"/>
      <c r="BB605" s="41"/>
      <c r="BC605" s="41"/>
      <c r="BD605" s="41"/>
      <c r="BE605" s="1112">
        <f t="shared" si="10"/>
        <v>0</v>
      </c>
      <c r="BF605" s="1113"/>
      <c r="BG605" s="1106">
        <f t="shared" si="2"/>
        <v>0</v>
      </c>
      <c r="BH605" s="1109"/>
      <c r="BI605" s="1112">
        <f t="shared" si="11"/>
        <v>0</v>
      </c>
      <c r="BJ605" s="1113"/>
      <c r="BK605" s="1106">
        <f t="shared" si="3"/>
        <v>0</v>
      </c>
      <c r="BL605" s="1109"/>
      <c r="BN605" s="1106">
        <f t="shared" si="4"/>
        <v>0</v>
      </c>
      <c r="BO605" s="1107"/>
      <c r="BP605" s="1107"/>
      <c r="BQ605" s="1107"/>
      <c r="BR605" s="1108"/>
      <c r="BS605" s="1106">
        <f t="shared" si="5"/>
        <v>0</v>
      </c>
      <c r="BT605" s="1107"/>
      <c r="BU605" s="1107"/>
      <c r="BV605" s="1107"/>
      <c r="BW605" s="1109"/>
      <c r="BX605" s="1106">
        <f t="shared" si="6"/>
        <v>0</v>
      </c>
      <c r="BY605" s="1107"/>
      <c r="BZ605" s="1107"/>
      <c r="CA605" s="1107"/>
      <c r="CB605" s="1109"/>
      <c r="CC605" s="1106">
        <f t="shared" si="7"/>
        <v>0</v>
      </c>
      <c r="CD605" s="1107"/>
      <c r="CE605" s="1107"/>
      <c r="CF605" s="1107"/>
      <c r="CG605" s="1109"/>
      <c r="CH605" s="1106">
        <f t="shared" si="8"/>
        <v>0</v>
      </c>
      <c r="CI605" s="1107"/>
      <c r="CJ605" s="1107"/>
      <c r="CK605" s="1107"/>
      <c r="CL605" s="1109"/>
      <c r="CM605" s="1110">
        <f t="shared" si="9"/>
        <v>0</v>
      </c>
      <c r="CN605" s="1111"/>
      <c r="CO605" s="1111"/>
      <c r="CP605" s="1111"/>
      <c r="CQ605" s="1108"/>
      <c r="CS605" s="1103">
        <f t="shared" si="12"/>
        <v>0</v>
      </c>
      <c r="CT605" s="1104"/>
      <c r="CU605" s="1104"/>
      <c r="CV605" s="1104"/>
      <c r="CW605" s="1105"/>
      <c r="CX605" s="1103">
        <f t="shared" si="13"/>
        <v>0</v>
      </c>
      <c r="CY605" s="1104"/>
      <c r="CZ605" s="1104"/>
      <c r="DA605" s="1104"/>
      <c r="DB605" s="1105"/>
      <c r="DC605" s="1103">
        <f t="shared" si="14"/>
        <v>0</v>
      </c>
      <c r="DD605" s="1104"/>
      <c r="DE605" s="1104"/>
      <c r="DF605" s="1104"/>
      <c r="DG605" s="1105"/>
      <c r="DH605" s="1103">
        <f t="shared" si="15"/>
        <v>0</v>
      </c>
      <c r="DI605" s="1104"/>
      <c r="DJ605" s="1104"/>
      <c r="DK605" s="1104"/>
      <c r="DL605" s="1105"/>
      <c r="DM605" s="1103">
        <f t="shared" si="16"/>
        <v>0</v>
      </c>
      <c r="DN605" s="1104"/>
      <c r="DO605" s="1104"/>
      <c r="DP605" s="1104"/>
      <c r="DQ605" s="1105"/>
      <c r="DR605" s="1103">
        <f t="shared" si="17"/>
        <v>0</v>
      </c>
      <c r="DS605" s="1104"/>
      <c r="DT605" s="1104"/>
      <c r="DU605" s="1104"/>
      <c r="DV605" s="1105"/>
    </row>
    <row r="606" spans="1:126" ht="12.9" customHeight="1">
      <c r="A606" s="4"/>
      <c r="B606" t="s">
        <v>832</v>
      </c>
      <c r="C606"/>
      <c r="G606" s="1066" t="s">
        <v>2334</v>
      </c>
      <c r="H606" s="1066"/>
      <c r="I606" s="1066"/>
      <c r="J606" s="1066"/>
      <c r="K606" s="1066"/>
      <c r="L606" s="1066"/>
      <c r="M606" s="1066"/>
      <c r="N606" s="1066"/>
      <c r="O606" s="1066"/>
      <c r="P606" s="1066"/>
      <c r="Q606" s="1066"/>
      <c r="R606" s="1066"/>
      <c r="T606" s="4"/>
      <c r="U606" t="s">
        <v>832</v>
      </c>
      <c r="Z606" s="1065"/>
      <c r="AA606" s="1065"/>
      <c r="AB606" s="1065"/>
      <c r="AC606" s="1065"/>
      <c r="AD606" s="1065"/>
      <c r="AE606" s="1065"/>
      <c r="AF606" s="1065"/>
      <c r="AG606" s="1065"/>
      <c r="AH606" s="1065"/>
      <c r="AI606" s="1065"/>
      <c r="AJ606" s="1065"/>
      <c r="AK606" s="1065"/>
      <c r="AZ606" s="41"/>
      <c r="BA606" s="41"/>
      <c r="BB606" s="41"/>
      <c r="BC606" s="41"/>
      <c r="BD606" s="41"/>
      <c r="BE606" s="1112">
        <f t="shared" si="10"/>
        <v>0</v>
      </c>
      <c r="BF606" s="1113"/>
      <c r="BG606" s="1106">
        <f t="shared" si="2"/>
        <v>0</v>
      </c>
      <c r="BH606" s="1109"/>
      <c r="BI606" s="1112">
        <f t="shared" si="11"/>
        <v>0</v>
      </c>
      <c r="BJ606" s="1113"/>
      <c r="BK606" s="1106">
        <f t="shared" si="3"/>
        <v>0</v>
      </c>
      <c r="BL606" s="1109"/>
      <c r="BN606" s="1106">
        <f t="shared" si="4"/>
        <v>0</v>
      </c>
      <c r="BO606" s="1107"/>
      <c r="BP606" s="1107"/>
      <c r="BQ606" s="1107"/>
      <c r="BR606" s="1108"/>
      <c r="BS606" s="1106">
        <f t="shared" si="5"/>
        <v>0</v>
      </c>
      <c r="BT606" s="1107"/>
      <c r="BU606" s="1107"/>
      <c r="BV606" s="1107"/>
      <c r="BW606" s="1109"/>
      <c r="BX606" s="1106">
        <f t="shared" si="6"/>
        <v>0</v>
      </c>
      <c r="BY606" s="1107"/>
      <c r="BZ606" s="1107"/>
      <c r="CA606" s="1107"/>
      <c r="CB606" s="1109"/>
      <c r="CC606" s="1106">
        <f t="shared" si="7"/>
        <v>0</v>
      </c>
      <c r="CD606" s="1107"/>
      <c r="CE606" s="1107"/>
      <c r="CF606" s="1107"/>
      <c r="CG606" s="1109"/>
      <c r="CH606" s="1106">
        <f t="shared" si="8"/>
        <v>0</v>
      </c>
      <c r="CI606" s="1107"/>
      <c r="CJ606" s="1107"/>
      <c r="CK606" s="1107"/>
      <c r="CL606" s="1109"/>
      <c r="CM606" s="1110">
        <f t="shared" si="9"/>
        <v>0</v>
      </c>
      <c r="CN606" s="1111"/>
      <c r="CO606" s="1111"/>
      <c r="CP606" s="1111"/>
      <c r="CQ606" s="1108"/>
      <c r="CS606" s="1103">
        <f t="shared" si="12"/>
        <v>0</v>
      </c>
      <c r="CT606" s="1104"/>
      <c r="CU606" s="1104"/>
      <c r="CV606" s="1104"/>
      <c r="CW606" s="1105"/>
      <c r="CX606" s="1103">
        <f t="shared" si="13"/>
        <v>0</v>
      </c>
      <c r="CY606" s="1104"/>
      <c r="CZ606" s="1104"/>
      <c r="DA606" s="1104"/>
      <c r="DB606" s="1105"/>
      <c r="DC606" s="1103">
        <f t="shared" si="14"/>
        <v>0</v>
      </c>
      <c r="DD606" s="1104"/>
      <c r="DE606" s="1104"/>
      <c r="DF606" s="1104"/>
      <c r="DG606" s="1105"/>
      <c r="DH606" s="1103">
        <f t="shared" si="15"/>
        <v>0</v>
      </c>
      <c r="DI606" s="1104"/>
      <c r="DJ606" s="1104"/>
      <c r="DK606" s="1104"/>
      <c r="DL606" s="1105"/>
      <c r="DM606" s="1103">
        <f t="shared" si="16"/>
        <v>0</v>
      </c>
      <c r="DN606" s="1104"/>
      <c r="DO606" s="1104"/>
      <c r="DP606" s="1104"/>
      <c r="DQ606" s="1105"/>
      <c r="DR606" s="1103">
        <f t="shared" si="17"/>
        <v>0</v>
      </c>
      <c r="DS606" s="1104"/>
      <c r="DT606" s="1104"/>
      <c r="DU606" s="1104"/>
      <c r="DV606" s="1105"/>
    </row>
    <row r="607" spans="1:126" ht="12.9" customHeight="1">
      <c r="A607" s="4"/>
      <c r="B607" t="s">
        <v>649</v>
      </c>
      <c r="C607"/>
      <c r="G607" s="1064" t="s">
        <v>2444</v>
      </c>
      <c r="H607" s="1096"/>
      <c r="I607" s="1096"/>
      <c r="J607" s="1096"/>
      <c r="K607" s="1096"/>
      <c r="L607" s="1096"/>
      <c r="O607" s="42" t="s">
        <v>817</v>
      </c>
      <c r="P607" s="1335"/>
      <c r="Q607" s="1335"/>
      <c r="R607" s="1335"/>
      <c r="T607" s="4"/>
      <c r="U607" t="s">
        <v>649</v>
      </c>
      <c r="Z607" s="1096"/>
      <c r="AA607" s="1096"/>
      <c r="AB607" s="1096"/>
      <c r="AC607" s="1096"/>
      <c r="AD607" s="1096"/>
      <c r="AE607" s="1096"/>
      <c r="AH607" s="42" t="s">
        <v>817</v>
      </c>
      <c r="AI607" s="1335"/>
      <c r="AJ607" s="1335"/>
      <c r="AK607" s="1335"/>
      <c r="AZ607" s="41"/>
      <c r="BA607" s="41"/>
      <c r="BB607" s="41"/>
      <c r="BC607" s="41"/>
      <c r="BD607" s="41"/>
      <c r="BE607" s="1112">
        <f t="shared" si="10"/>
        <v>0</v>
      </c>
      <c r="BF607" s="1113"/>
      <c r="BG607" s="1106">
        <f t="shared" si="2"/>
        <v>0</v>
      </c>
      <c r="BH607" s="1109"/>
      <c r="BI607" s="1112">
        <f t="shared" si="11"/>
        <v>0</v>
      </c>
      <c r="BJ607" s="1113"/>
      <c r="BK607" s="1106">
        <f t="shared" si="3"/>
        <v>0</v>
      </c>
      <c r="BL607" s="1109"/>
      <c r="BN607" s="1106">
        <f t="shared" si="4"/>
        <v>0</v>
      </c>
      <c r="BO607" s="1107"/>
      <c r="BP607" s="1107"/>
      <c r="BQ607" s="1107"/>
      <c r="BR607" s="1108"/>
      <c r="BS607" s="1106">
        <f t="shared" si="5"/>
        <v>0</v>
      </c>
      <c r="BT607" s="1107"/>
      <c r="BU607" s="1107"/>
      <c r="BV607" s="1107"/>
      <c r="BW607" s="1109"/>
      <c r="BX607" s="1106">
        <f t="shared" si="6"/>
        <v>0</v>
      </c>
      <c r="BY607" s="1107"/>
      <c r="BZ607" s="1107"/>
      <c r="CA607" s="1107"/>
      <c r="CB607" s="1109"/>
      <c r="CC607" s="1106">
        <f t="shared" si="7"/>
        <v>0</v>
      </c>
      <c r="CD607" s="1107"/>
      <c r="CE607" s="1107"/>
      <c r="CF607" s="1107"/>
      <c r="CG607" s="1109"/>
      <c r="CH607" s="1106">
        <f t="shared" si="8"/>
        <v>0</v>
      </c>
      <c r="CI607" s="1107"/>
      <c r="CJ607" s="1107"/>
      <c r="CK607" s="1107"/>
      <c r="CL607" s="1109"/>
      <c r="CM607" s="1110">
        <f t="shared" si="9"/>
        <v>0</v>
      </c>
      <c r="CN607" s="1111"/>
      <c r="CO607" s="1111"/>
      <c r="CP607" s="1111"/>
      <c r="CQ607" s="1108"/>
      <c r="CS607" s="1103">
        <f t="shared" si="12"/>
        <v>0</v>
      </c>
      <c r="CT607" s="1104"/>
      <c r="CU607" s="1104"/>
      <c r="CV607" s="1104"/>
      <c r="CW607" s="1105"/>
      <c r="CX607" s="1103">
        <f t="shared" si="13"/>
        <v>0</v>
      </c>
      <c r="CY607" s="1104"/>
      <c r="CZ607" s="1104"/>
      <c r="DA607" s="1104"/>
      <c r="DB607" s="1105"/>
      <c r="DC607" s="1103">
        <f t="shared" si="14"/>
        <v>0</v>
      </c>
      <c r="DD607" s="1104"/>
      <c r="DE607" s="1104"/>
      <c r="DF607" s="1104"/>
      <c r="DG607" s="1105"/>
      <c r="DH607" s="1103">
        <f t="shared" si="15"/>
        <v>0</v>
      </c>
      <c r="DI607" s="1104"/>
      <c r="DJ607" s="1104"/>
      <c r="DK607" s="1104"/>
      <c r="DL607" s="1105"/>
      <c r="DM607" s="1103">
        <f t="shared" si="16"/>
        <v>0</v>
      </c>
      <c r="DN607" s="1104"/>
      <c r="DO607" s="1104"/>
      <c r="DP607" s="1104"/>
      <c r="DQ607" s="1105"/>
      <c r="DR607" s="1103">
        <f t="shared" si="17"/>
        <v>0</v>
      </c>
      <c r="DS607" s="1104"/>
      <c r="DT607" s="1104"/>
      <c r="DU607" s="1104"/>
      <c r="DV607" s="1105"/>
    </row>
    <row r="608" spans="1:126" s="5" customFormat="1" ht="12.9" customHeight="1">
      <c r="A608" s="4"/>
      <c r="B608" t="s">
        <v>833</v>
      </c>
      <c r="C608"/>
      <c r="D608"/>
      <c r="E608"/>
      <c r="F608"/>
      <c r="G608"/>
      <c r="H608" s="1066" t="s">
        <v>2442</v>
      </c>
      <c r="I608" s="1066"/>
      <c r="J608" s="1066"/>
      <c r="K608" s="1066"/>
      <c r="L608" s="1066"/>
      <c r="M608" s="1066"/>
      <c r="N608" s="1066"/>
      <c r="O608" s="1066"/>
      <c r="P608" s="1066"/>
      <c r="Q608" s="1066"/>
      <c r="R608" s="1066"/>
      <c r="S608"/>
      <c r="T608" s="4"/>
      <c r="U608" t="s">
        <v>833</v>
      </c>
      <c r="V608"/>
      <c r="W608"/>
      <c r="X608"/>
      <c r="Y608"/>
      <c r="Z608"/>
      <c r="AA608" s="1066"/>
      <c r="AB608" s="1066"/>
      <c r="AC608" s="1066"/>
      <c r="AD608" s="1066"/>
      <c r="AE608" s="1066"/>
      <c r="AF608" s="1066"/>
      <c r="AG608" s="1066"/>
      <c r="AH608" s="1066"/>
      <c r="AI608" s="1066"/>
      <c r="AJ608" s="1066"/>
      <c r="AK608" s="1066"/>
      <c r="AL608"/>
      <c r="AZ608" s="41"/>
      <c r="BA608" s="41"/>
      <c r="BB608" s="41"/>
      <c r="BC608" s="41"/>
      <c r="BD608" s="41"/>
      <c r="BE608" s="1112">
        <f t="shared" si="10"/>
        <v>0</v>
      </c>
      <c r="BF608" s="1113"/>
      <c r="BG608" s="1106">
        <f t="shared" si="2"/>
        <v>0</v>
      </c>
      <c r="BH608" s="1109"/>
      <c r="BI608" s="1112">
        <f t="shared" si="11"/>
        <v>0</v>
      </c>
      <c r="BJ608" s="1113"/>
      <c r="BK608" s="1106">
        <f t="shared" si="3"/>
        <v>0</v>
      </c>
      <c r="BL608" s="1109"/>
      <c r="BN608" s="1106">
        <f t="shared" si="4"/>
        <v>0</v>
      </c>
      <c r="BO608" s="1107"/>
      <c r="BP608" s="1107"/>
      <c r="BQ608" s="1107"/>
      <c r="BR608" s="1108"/>
      <c r="BS608" s="1106">
        <f t="shared" si="5"/>
        <v>0</v>
      </c>
      <c r="BT608" s="1107"/>
      <c r="BU608" s="1107"/>
      <c r="BV608" s="1107"/>
      <c r="BW608" s="1109"/>
      <c r="BX608" s="1106">
        <f t="shared" si="6"/>
        <v>0</v>
      </c>
      <c r="BY608" s="1107"/>
      <c r="BZ608" s="1107"/>
      <c r="CA608" s="1107"/>
      <c r="CB608" s="1109"/>
      <c r="CC608" s="1106">
        <f t="shared" si="7"/>
        <v>0</v>
      </c>
      <c r="CD608" s="1107"/>
      <c r="CE608" s="1107"/>
      <c r="CF608" s="1107"/>
      <c r="CG608" s="1109"/>
      <c r="CH608" s="1106">
        <f t="shared" si="8"/>
        <v>0</v>
      </c>
      <c r="CI608" s="1107"/>
      <c r="CJ608" s="1107"/>
      <c r="CK608" s="1107"/>
      <c r="CL608" s="1109"/>
      <c r="CM608" s="1110">
        <f t="shared" si="9"/>
        <v>0</v>
      </c>
      <c r="CN608" s="1111"/>
      <c r="CO608" s="1111"/>
      <c r="CP608" s="1111"/>
      <c r="CQ608" s="1108"/>
      <c r="CS608" s="1103">
        <f t="shared" si="12"/>
        <v>0</v>
      </c>
      <c r="CT608" s="1104"/>
      <c r="CU608" s="1104"/>
      <c r="CV608" s="1104"/>
      <c r="CW608" s="1105"/>
      <c r="CX608" s="1103">
        <f t="shared" si="13"/>
        <v>0</v>
      </c>
      <c r="CY608" s="1104"/>
      <c r="CZ608" s="1104"/>
      <c r="DA608" s="1104"/>
      <c r="DB608" s="1105"/>
      <c r="DC608" s="1103">
        <f t="shared" si="14"/>
        <v>0</v>
      </c>
      <c r="DD608" s="1104"/>
      <c r="DE608" s="1104"/>
      <c r="DF608" s="1104"/>
      <c r="DG608" s="1105"/>
      <c r="DH608" s="1103">
        <f t="shared" si="15"/>
        <v>0</v>
      </c>
      <c r="DI608" s="1104"/>
      <c r="DJ608" s="1104"/>
      <c r="DK608" s="1104"/>
      <c r="DL608" s="1105"/>
      <c r="DM608" s="1103">
        <f t="shared" si="16"/>
        <v>0</v>
      </c>
      <c r="DN608" s="1104"/>
      <c r="DO608" s="1104"/>
      <c r="DP608" s="1104"/>
      <c r="DQ608" s="1105"/>
      <c r="DR608" s="1103">
        <f t="shared" si="17"/>
        <v>0</v>
      </c>
      <c r="DS608" s="1104"/>
      <c r="DT608" s="1104"/>
      <c r="DU608" s="1104"/>
      <c r="DV608" s="1105"/>
    </row>
    <row r="609" spans="1:126" s="5" customFormat="1" ht="12.9" customHeight="1">
      <c r="A609" s="4"/>
      <c r="B609" t="s">
        <v>835</v>
      </c>
      <c r="C609"/>
      <c r="D609"/>
      <c r="E609"/>
      <c r="F609"/>
      <c r="G609"/>
      <c r="H609"/>
      <c r="I609"/>
      <c r="J609"/>
      <c r="K609"/>
      <c r="L609"/>
      <c r="M609"/>
      <c r="N609" s="1148" t="s">
        <v>107</v>
      </c>
      <c r="O609" s="1148"/>
      <c r="P609"/>
      <c r="Q609"/>
      <c r="R609"/>
      <c r="S609"/>
      <c r="T609" s="4"/>
      <c r="U609" t="s">
        <v>835</v>
      </c>
      <c r="V609"/>
      <c r="W609"/>
      <c r="X609"/>
      <c r="Y609"/>
      <c r="Z609"/>
      <c r="AA609"/>
      <c r="AB609"/>
      <c r="AC609"/>
      <c r="AD609"/>
      <c r="AE609"/>
      <c r="AF609"/>
      <c r="AG609" s="1148" t="s">
        <v>481</v>
      </c>
      <c r="AH609" s="1148"/>
      <c r="AI609"/>
      <c r="AJ609"/>
      <c r="AK609"/>
      <c r="AL609"/>
      <c r="AZ609" s="41"/>
      <c r="BA609" s="41"/>
      <c r="BB609" s="41"/>
      <c r="BC609" s="41"/>
      <c r="BD609" s="41"/>
      <c r="BE609" s="1112">
        <f t="shared" si="10"/>
        <v>0</v>
      </c>
      <c r="BF609" s="1113"/>
      <c r="BG609" s="1106">
        <f t="shared" si="2"/>
        <v>0</v>
      </c>
      <c r="BH609" s="1109"/>
      <c r="BI609" s="1112">
        <f t="shared" si="11"/>
        <v>0</v>
      </c>
      <c r="BJ609" s="1113"/>
      <c r="BK609" s="1106">
        <f t="shared" si="3"/>
        <v>0</v>
      </c>
      <c r="BL609" s="1109"/>
      <c r="BN609" s="1106">
        <f t="shared" si="4"/>
        <v>0</v>
      </c>
      <c r="BO609" s="1107"/>
      <c r="BP609" s="1107"/>
      <c r="BQ609" s="1107"/>
      <c r="BR609" s="1108"/>
      <c r="BS609" s="1106">
        <f t="shared" si="5"/>
        <v>0</v>
      </c>
      <c r="BT609" s="1107"/>
      <c r="BU609" s="1107"/>
      <c r="BV609" s="1107"/>
      <c r="BW609" s="1109"/>
      <c r="BX609" s="1106">
        <f t="shared" si="6"/>
        <v>0</v>
      </c>
      <c r="BY609" s="1107"/>
      <c r="BZ609" s="1107"/>
      <c r="CA609" s="1107"/>
      <c r="CB609" s="1109"/>
      <c r="CC609" s="1106">
        <f t="shared" si="7"/>
        <v>0</v>
      </c>
      <c r="CD609" s="1107"/>
      <c r="CE609" s="1107"/>
      <c r="CF609" s="1107"/>
      <c r="CG609" s="1109"/>
      <c r="CH609" s="1106">
        <f t="shared" si="8"/>
        <v>0</v>
      </c>
      <c r="CI609" s="1107"/>
      <c r="CJ609" s="1107"/>
      <c r="CK609" s="1107"/>
      <c r="CL609" s="1109"/>
      <c r="CM609" s="1110">
        <f t="shared" si="9"/>
        <v>0</v>
      </c>
      <c r="CN609" s="1111"/>
      <c r="CO609" s="1111"/>
      <c r="CP609" s="1111"/>
      <c r="CQ609" s="1108"/>
      <c r="CS609" s="1103">
        <f t="shared" si="12"/>
        <v>0</v>
      </c>
      <c r="CT609" s="1104"/>
      <c r="CU609" s="1104"/>
      <c r="CV609" s="1104"/>
      <c r="CW609" s="1105"/>
      <c r="CX609" s="1103">
        <f t="shared" si="13"/>
        <v>0</v>
      </c>
      <c r="CY609" s="1104"/>
      <c r="CZ609" s="1104"/>
      <c r="DA609" s="1104"/>
      <c r="DB609" s="1105"/>
      <c r="DC609" s="1103">
        <f t="shared" si="14"/>
        <v>0</v>
      </c>
      <c r="DD609" s="1104"/>
      <c r="DE609" s="1104"/>
      <c r="DF609" s="1104"/>
      <c r="DG609" s="1105"/>
      <c r="DH609" s="1103">
        <f t="shared" si="15"/>
        <v>0</v>
      </c>
      <c r="DI609" s="1104"/>
      <c r="DJ609" s="1104"/>
      <c r="DK609" s="1104"/>
      <c r="DL609" s="1105"/>
      <c r="DM609" s="1103">
        <f t="shared" si="16"/>
        <v>0</v>
      </c>
      <c r="DN609" s="1104"/>
      <c r="DO609" s="1104"/>
      <c r="DP609" s="1104"/>
      <c r="DQ609" s="1105"/>
      <c r="DR609" s="1103">
        <f t="shared" si="17"/>
        <v>0</v>
      </c>
      <c r="DS609" s="1104"/>
      <c r="DT609" s="1104"/>
      <c r="DU609" s="1104"/>
      <c r="DV609" s="1105"/>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12">
        <f t="shared" si="10"/>
        <v>0</v>
      </c>
      <c r="BF610" s="1113"/>
      <c r="BG610" s="1106">
        <f t="shared" si="2"/>
        <v>0</v>
      </c>
      <c r="BH610" s="1109"/>
      <c r="BI610" s="1112">
        <f t="shared" si="11"/>
        <v>0</v>
      </c>
      <c r="BJ610" s="1113"/>
      <c r="BK610" s="1106">
        <f t="shared" si="3"/>
        <v>0</v>
      </c>
      <c r="BL610" s="1109"/>
      <c r="BN610" s="1106">
        <f t="shared" si="4"/>
        <v>0</v>
      </c>
      <c r="BO610" s="1107"/>
      <c r="BP610" s="1107"/>
      <c r="BQ610" s="1107"/>
      <c r="BR610" s="1108"/>
      <c r="BS610" s="1106">
        <f t="shared" si="5"/>
        <v>0</v>
      </c>
      <c r="BT610" s="1107"/>
      <c r="BU610" s="1107"/>
      <c r="BV610" s="1107"/>
      <c r="BW610" s="1109"/>
      <c r="BX610" s="1106">
        <f t="shared" si="6"/>
        <v>0</v>
      </c>
      <c r="BY610" s="1107"/>
      <c r="BZ610" s="1107"/>
      <c r="CA610" s="1107"/>
      <c r="CB610" s="1109"/>
      <c r="CC610" s="1106">
        <f t="shared" si="7"/>
        <v>0</v>
      </c>
      <c r="CD610" s="1107"/>
      <c r="CE610" s="1107"/>
      <c r="CF610" s="1107"/>
      <c r="CG610" s="1109"/>
      <c r="CH610" s="1106">
        <f t="shared" si="8"/>
        <v>0</v>
      </c>
      <c r="CI610" s="1107"/>
      <c r="CJ610" s="1107"/>
      <c r="CK610" s="1107"/>
      <c r="CL610" s="1109"/>
      <c r="CM610" s="1110">
        <f t="shared" si="9"/>
        <v>0</v>
      </c>
      <c r="CN610" s="1111"/>
      <c r="CO610" s="1111"/>
      <c r="CP610" s="1111"/>
      <c r="CQ610" s="1108"/>
      <c r="CS610" s="1103">
        <f t="shared" si="12"/>
        <v>0</v>
      </c>
      <c r="CT610" s="1104"/>
      <c r="CU610" s="1104"/>
      <c r="CV610" s="1104"/>
      <c r="CW610" s="1105"/>
      <c r="CX610" s="1103">
        <f t="shared" si="13"/>
        <v>0</v>
      </c>
      <c r="CY610" s="1104"/>
      <c r="CZ610" s="1104"/>
      <c r="DA610" s="1104"/>
      <c r="DB610" s="1105"/>
      <c r="DC610" s="1103">
        <f t="shared" si="14"/>
        <v>0</v>
      </c>
      <c r="DD610" s="1104"/>
      <c r="DE610" s="1104"/>
      <c r="DF610" s="1104"/>
      <c r="DG610" s="1105"/>
      <c r="DH610" s="1103">
        <f t="shared" si="15"/>
        <v>0</v>
      </c>
      <c r="DI610" s="1104"/>
      <c r="DJ610" s="1104"/>
      <c r="DK610" s="1104"/>
      <c r="DL610" s="1105"/>
      <c r="DM610" s="1103">
        <f t="shared" si="16"/>
        <v>0</v>
      </c>
      <c r="DN610" s="1104"/>
      <c r="DO610" s="1104"/>
      <c r="DP610" s="1104"/>
      <c r="DQ610" s="1105"/>
      <c r="DR610" s="1103">
        <f t="shared" si="17"/>
        <v>0</v>
      </c>
      <c r="DS610" s="1104"/>
      <c r="DT610" s="1104"/>
      <c r="DU610" s="1104"/>
      <c r="DV610" s="1105"/>
    </row>
    <row r="611" spans="1:126" ht="12.9" customHeight="1">
      <c r="A611" s="61" t="s">
        <v>32</v>
      </c>
      <c r="B611" t="s">
        <v>81</v>
      </c>
      <c r="C611"/>
      <c r="G611" s="1230">
        <f>C567</f>
        <v>0</v>
      </c>
      <c r="H611" s="1230"/>
      <c r="I611" s="1230"/>
      <c r="J611" s="1230"/>
      <c r="K611" s="1230"/>
      <c r="L611" s="1230"/>
      <c r="M611" s="1230"/>
      <c r="N611" s="1230"/>
      <c r="O611" s="1230"/>
      <c r="P611" s="1230"/>
      <c r="Q611" s="1230"/>
      <c r="R611" s="1230"/>
      <c r="T611" s="61" t="s">
        <v>33</v>
      </c>
      <c r="U611" t="s">
        <v>81</v>
      </c>
      <c r="Z611" s="1230">
        <f>C568</f>
        <v>0</v>
      </c>
      <c r="AA611" s="1230"/>
      <c r="AB611" s="1230"/>
      <c r="AC611" s="1230"/>
      <c r="AD611" s="1230"/>
      <c r="AE611" s="1230"/>
      <c r="AF611" s="1230"/>
      <c r="AG611" s="1230"/>
      <c r="AH611" s="1230"/>
      <c r="AI611" s="1230"/>
      <c r="AJ611" s="1230"/>
      <c r="AK611" s="1230"/>
      <c r="AZ611" s="41"/>
      <c r="BA611" s="41"/>
      <c r="BB611" s="41"/>
      <c r="BC611" s="41"/>
      <c r="BD611" s="41"/>
      <c r="BE611" s="1112">
        <f t="shared" si="10"/>
        <v>0</v>
      </c>
      <c r="BF611" s="1113"/>
      <c r="BG611" s="1106">
        <f t="shared" si="2"/>
        <v>0</v>
      </c>
      <c r="BH611" s="1109"/>
      <c r="BI611" s="1112">
        <f t="shared" si="11"/>
        <v>0</v>
      </c>
      <c r="BJ611" s="1113"/>
      <c r="BK611" s="1106">
        <f t="shared" si="3"/>
        <v>0</v>
      </c>
      <c r="BL611" s="1109"/>
      <c r="BN611" s="1106">
        <f t="shared" si="4"/>
        <v>0</v>
      </c>
      <c r="BO611" s="1107"/>
      <c r="BP611" s="1107"/>
      <c r="BQ611" s="1107"/>
      <c r="BR611" s="1108"/>
      <c r="BS611" s="1106">
        <f t="shared" si="5"/>
        <v>0</v>
      </c>
      <c r="BT611" s="1107"/>
      <c r="BU611" s="1107"/>
      <c r="BV611" s="1107"/>
      <c r="BW611" s="1109"/>
      <c r="BX611" s="1106">
        <f t="shared" si="6"/>
        <v>0</v>
      </c>
      <c r="BY611" s="1107"/>
      <c r="BZ611" s="1107"/>
      <c r="CA611" s="1107"/>
      <c r="CB611" s="1109"/>
      <c r="CC611" s="1106">
        <f t="shared" si="7"/>
        <v>0</v>
      </c>
      <c r="CD611" s="1107"/>
      <c r="CE611" s="1107"/>
      <c r="CF611" s="1107"/>
      <c r="CG611" s="1109"/>
      <c r="CH611" s="1106">
        <f t="shared" si="8"/>
        <v>0</v>
      </c>
      <c r="CI611" s="1107"/>
      <c r="CJ611" s="1107"/>
      <c r="CK611" s="1107"/>
      <c r="CL611" s="1109"/>
      <c r="CM611" s="1110">
        <f t="shared" si="9"/>
        <v>0</v>
      </c>
      <c r="CN611" s="1111"/>
      <c r="CO611" s="1111"/>
      <c r="CP611" s="1111"/>
      <c r="CQ611" s="1108"/>
      <c r="CS611" s="1103">
        <f t="shared" si="12"/>
        <v>0</v>
      </c>
      <c r="CT611" s="1104"/>
      <c r="CU611" s="1104"/>
      <c r="CV611" s="1104"/>
      <c r="CW611" s="1105"/>
      <c r="CX611" s="1103">
        <f t="shared" si="13"/>
        <v>0</v>
      </c>
      <c r="CY611" s="1104"/>
      <c r="CZ611" s="1104"/>
      <c r="DA611" s="1104"/>
      <c r="DB611" s="1105"/>
      <c r="DC611" s="1103">
        <f t="shared" si="14"/>
        <v>0</v>
      </c>
      <c r="DD611" s="1104"/>
      <c r="DE611" s="1104"/>
      <c r="DF611" s="1104"/>
      <c r="DG611" s="1105"/>
      <c r="DH611" s="1103">
        <f t="shared" si="15"/>
        <v>0</v>
      </c>
      <c r="DI611" s="1104"/>
      <c r="DJ611" s="1104"/>
      <c r="DK611" s="1104"/>
      <c r="DL611" s="1105"/>
      <c r="DM611" s="1103">
        <f t="shared" si="16"/>
        <v>0</v>
      </c>
      <c r="DN611" s="1104"/>
      <c r="DO611" s="1104"/>
      <c r="DP611" s="1104"/>
      <c r="DQ611" s="1105"/>
      <c r="DR611" s="1103">
        <f t="shared" si="17"/>
        <v>0</v>
      </c>
      <c r="DS611" s="1104"/>
      <c r="DT611" s="1104"/>
      <c r="DU611" s="1104"/>
      <c r="DV611" s="1105"/>
    </row>
    <row r="612" spans="1:126" ht="12.9" customHeight="1">
      <c r="B612" t="s">
        <v>371</v>
      </c>
      <c r="C612"/>
      <c r="G612" s="1066"/>
      <c r="H612" s="1066"/>
      <c r="I612" s="1066"/>
      <c r="J612" s="1066"/>
      <c r="K612" s="1066"/>
      <c r="L612" s="1066"/>
      <c r="M612" s="1066"/>
      <c r="N612" s="1066"/>
      <c r="O612" s="1066"/>
      <c r="P612" s="1066"/>
      <c r="Q612" s="1066"/>
      <c r="R612" s="1066"/>
      <c r="U612" t="s">
        <v>371</v>
      </c>
      <c r="Z612" s="1066"/>
      <c r="AA612" s="1066"/>
      <c r="AB612" s="1066"/>
      <c r="AC612" s="1066"/>
      <c r="AD612" s="1066"/>
      <c r="AE612" s="1066"/>
      <c r="AF612" s="1066"/>
      <c r="AG612" s="1066"/>
      <c r="AH612" s="1066"/>
      <c r="AI612" s="1066"/>
      <c r="AJ612" s="1066"/>
      <c r="AK612" s="1066"/>
      <c r="AZ612" s="41"/>
      <c r="BA612" s="41"/>
      <c r="BB612" s="41"/>
      <c r="BC612" s="41"/>
      <c r="BD612" s="41"/>
      <c r="BE612" s="1112">
        <f t="shared" si="10"/>
        <v>0</v>
      </c>
      <c r="BF612" s="1113"/>
      <c r="BG612" s="1106">
        <f t="shared" si="2"/>
        <v>0</v>
      </c>
      <c r="BH612" s="1109"/>
      <c r="BI612" s="1112">
        <f t="shared" si="11"/>
        <v>0</v>
      </c>
      <c r="BJ612" s="1113"/>
      <c r="BK612" s="1106">
        <f t="shared" si="3"/>
        <v>0</v>
      </c>
      <c r="BL612" s="1109"/>
      <c r="BN612" s="1106">
        <f t="shared" si="4"/>
        <v>0</v>
      </c>
      <c r="BO612" s="1107"/>
      <c r="BP612" s="1107"/>
      <c r="BQ612" s="1107"/>
      <c r="BR612" s="1108"/>
      <c r="BS612" s="1106">
        <f t="shared" si="5"/>
        <v>0</v>
      </c>
      <c r="BT612" s="1107"/>
      <c r="BU612" s="1107"/>
      <c r="BV612" s="1107"/>
      <c r="BW612" s="1109"/>
      <c r="BX612" s="1106">
        <f t="shared" si="6"/>
        <v>0</v>
      </c>
      <c r="BY612" s="1107"/>
      <c r="BZ612" s="1107"/>
      <c r="CA612" s="1107"/>
      <c r="CB612" s="1109"/>
      <c r="CC612" s="1106">
        <f t="shared" si="7"/>
        <v>0</v>
      </c>
      <c r="CD612" s="1107"/>
      <c r="CE612" s="1107"/>
      <c r="CF612" s="1107"/>
      <c r="CG612" s="1109"/>
      <c r="CH612" s="1106">
        <f t="shared" si="8"/>
        <v>0</v>
      </c>
      <c r="CI612" s="1107"/>
      <c r="CJ612" s="1107"/>
      <c r="CK612" s="1107"/>
      <c r="CL612" s="1109"/>
      <c r="CM612" s="1110">
        <f t="shared" si="9"/>
        <v>0</v>
      </c>
      <c r="CN612" s="1111"/>
      <c r="CO612" s="1111"/>
      <c r="CP612" s="1111"/>
      <c r="CQ612" s="1108"/>
      <c r="CS612" s="1103">
        <f t="shared" si="12"/>
        <v>0</v>
      </c>
      <c r="CT612" s="1104"/>
      <c r="CU612" s="1104"/>
      <c r="CV612" s="1104"/>
      <c r="CW612" s="1105"/>
      <c r="CX612" s="1103">
        <f t="shared" si="13"/>
        <v>0</v>
      </c>
      <c r="CY612" s="1104"/>
      <c r="CZ612" s="1104"/>
      <c r="DA612" s="1104"/>
      <c r="DB612" s="1105"/>
      <c r="DC612" s="1103">
        <f t="shared" si="14"/>
        <v>0</v>
      </c>
      <c r="DD612" s="1104"/>
      <c r="DE612" s="1104"/>
      <c r="DF612" s="1104"/>
      <c r="DG612" s="1105"/>
      <c r="DH612" s="1103">
        <f t="shared" si="15"/>
        <v>0</v>
      </c>
      <c r="DI612" s="1104"/>
      <c r="DJ612" s="1104"/>
      <c r="DK612" s="1104"/>
      <c r="DL612" s="1105"/>
      <c r="DM612" s="1103">
        <f t="shared" si="16"/>
        <v>0</v>
      </c>
      <c r="DN612" s="1104"/>
      <c r="DO612" s="1104"/>
      <c r="DP612" s="1104"/>
      <c r="DQ612" s="1105"/>
      <c r="DR612" s="1103">
        <f t="shared" si="17"/>
        <v>0</v>
      </c>
      <c r="DS612" s="1104"/>
      <c r="DT612" s="1104"/>
      <c r="DU612" s="1104"/>
      <c r="DV612" s="1105"/>
    </row>
    <row r="613" spans="1:126" ht="12.9" customHeight="1">
      <c r="B613" t="s">
        <v>429</v>
      </c>
      <c r="C613"/>
      <c r="G613" s="1066"/>
      <c r="H613" s="1066"/>
      <c r="I613" s="1066"/>
      <c r="J613" s="1066"/>
      <c r="K613" s="1066"/>
      <c r="L613" s="1066"/>
      <c r="M613" s="1066"/>
      <c r="N613" s="1066"/>
      <c r="O613" s="1066"/>
      <c r="P613" s="1066"/>
      <c r="Q613" s="1066"/>
      <c r="R613" s="1066"/>
      <c r="U613" t="s">
        <v>429</v>
      </c>
      <c r="Z613" s="1065"/>
      <c r="AA613" s="1065"/>
      <c r="AB613" s="1065"/>
      <c r="AC613" s="1065"/>
      <c r="AD613" s="1065"/>
      <c r="AE613" s="1065"/>
      <c r="AF613" s="1065"/>
      <c r="AG613" s="1065"/>
      <c r="AH613" s="1065"/>
      <c r="AI613" s="1065"/>
      <c r="AJ613" s="1065"/>
      <c r="AK613" s="1065"/>
      <c r="AL613" s="303"/>
      <c r="BA613" s="41"/>
      <c r="BB613" s="41"/>
      <c r="BC613" s="41"/>
      <c r="BD613" s="41"/>
      <c r="BE613" s="1112">
        <f t="shared" si="10"/>
        <v>0</v>
      </c>
      <c r="BF613" s="1113"/>
      <c r="BG613" s="1106">
        <f t="shared" si="2"/>
        <v>0</v>
      </c>
      <c r="BH613" s="1109"/>
      <c r="BI613" s="1112">
        <f t="shared" si="11"/>
        <v>0</v>
      </c>
      <c r="BJ613" s="1113"/>
      <c r="BK613" s="1106">
        <f t="shared" si="3"/>
        <v>0</v>
      </c>
      <c r="BL613" s="1109"/>
      <c r="BN613" s="1106">
        <f t="shared" si="4"/>
        <v>0</v>
      </c>
      <c r="BO613" s="1107"/>
      <c r="BP613" s="1107"/>
      <c r="BQ613" s="1107"/>
      <c r="BR613" s="1108"/>
      <c r="BS613" s="1106">
        <f t="shared" si="5"/>
        <v>0</v>
      </c>
      <c r="BT613" s="1107"/>
      <c r="BU613" s="1107"/>
      <c r="BV613" s="1107"/>
      <c r="BW613" s="1109"/>
      <c r="BX613" s="1106">
        <f t="shared" si="6"/>
        <v>0</v>
      </c>
      <c r="BY613" s="1107"/>
      <c r="BZ613" s="1107"/>
      <c r="CA613" s="1107"/>
      <c r="CB613" s="1109"/>
      <c r="CC613" s="1106">
        <f t="shared" si="7"/>
        <v>0</v>
      </c>
      <c r="CD613" s="1107"/>
      <c r="CE613" s="1107"/>
      <c r="CF613" s="1107"/>
      <c r="CG613" s="1109"/>
      <c r="CH613" s="1106">
        <f t="shared" si="8"/>
        <v>0</v>
      </c>
      <c r="CI613" s="1107"/>
      <c r="CJ613" s="1107"/>
      <c r="CK613" s="1107"/>
      <c r="CL613" s="1109"/>
      <c r="CM613" s="1110">
        <f t="shared" si="9"/>
        <v>0</v>
      </c>
      <c r="CN613" s="1111"/>
      <c r="CO613" s="1111"/>
      <c r="CP613" s="1111"/>
      <c r="CQ613" s="1108"/>
      <c r="CS613" s="1103">
        <f t="shared" si="12"/>
        <v>0</v>
      </c>
      <c r="CT613" s="1104"/>
      <c r="CU613" s="1104"/>
      <c r="CV613" s="1104"/>
      <c r="CW613" s="1105"/>
      <c r="CX613" s="1103">
        <f t="shared" si="13"/>
        <v>0</v>
      </c>
      <c r="CY613" s="1104"/>
      <c r="CZ613" s="1104"/>
      <c r="DA613" s="1104"/>
      <c r="DB613" s="1105"/>
      <c r="DC613" s="1103">
        <f t="shared" si="14"/>
        <v>0</v>
      </c>
      <c r="DD613" s="1104"/>
      <c r="DE613" s="1104"/>
      <c r="DF613" s="1104"/>
      <c r="DG613" s="1105"/>
      <c r="DH613" s="1103">
        <f t="shared" si="15"/>
        <v>0</v>
      </c>
      <c r="DI613" s="1104"/>
      <c r="DJ613" s="1104"/>
      <c r="DK613" s="1104"/>
      <c r="DL613" s="1105"/>
      <c r="DM613" s="1103">
        <f t="shared" si="16"/>
        <v>0</v>
      </c>
      <c r="DN613" s="1104"/>
      <c r="DO613" s="1104"/>
      <c r="DP613" s="1104"/>
      <c r="DQ613" s="1105"/>
      <c r="DR613" s="1103">
        <f t="shared" si="17"/>
        <v>0</v>
      </c>
      <c r="DS613" s="1104"/>
      <c r="DT613" s="1104"/>
      <c r="DU613" s="1104"/>
      <c r="DV613" s="1105"/>
    </row>
    <row r="614" spans="1:126" ht="12.9" customHeight="1">
      <c r="B614" t="s">
        <v>832</v>
      </c>
      <c r="C614"/>
      <c r="G614" s="1066"/>
      <c r="H614" s="1066"/>
      <c r="I614" s="1066"/>
      <c r="J614" s="1066"/>
      <c r="K614" s="1066"/>
      <c r="L614" s="1066"/>
      <c r="M614" s="1066"/>
      <c r="N614" s="1066"/>
      <c r="O614" s="1066"/>
      <c r="P614" s="1066"/>
      <c r="Q614" s="1066"/>
      <c r="R614" s="1066"/>
      <c r="U614" t="s">
        <v>832</v>
      </c>
      <c r="Z614" s="1065"/>
      <c r="AA614" s="1065"/>
      <c r="AB614" s="1065"/>
      <c r="AC614" s="1065"/>
      <c r="AD614" s="1065"/>
      <c r="AE614" s="1065"/>
      <c r="AF614" s="1065"/>
      <c r="AG614" s="1065"/>
      <c r="AH614" s="1065"/>
      <c r="AI614" s="1065"/>
      <c r="AJ614" s="1065"/>
      <c r="AK614" s="1065"/>
      <c r="AL614" s="303"/>
      <c r="BA614" s="41"/>
      <c r="BB614" s="41"/>
      <c r="BC614" s="41"/>
      <c r="BD614" s="41"/>
      <c r="BE614" s="1112">
        <f t="shared" si="10"/>
        <v>0</v>
      </c>
      <c r="BF614" s="1113"/>
      <c r="BG614" s="1106">
        <f t="shared" si="2"/>
        <v>0</v>
      </c>
      <c r="BH614" s="1109"/>
      <c r="BI614" s="1112">
        <f t="shared" si="11"/>
        <v>0</v>
      </c>
      <c r="BJ614" s="1113"/>
      <c r="BK614" s="1106">
        <f t="shared" si="3"/>
        <v>0</v>
      </c>
      <c r="BL614" s="1109"/>
      <c r="BN614" s="1106">
        <f t="shared" si="4"/>
        <v>0</v>
      </c>
      <c r="BO614" s="1107"/>
      <c r="BP614" s="1107"/>
      <c r="BQ614" s="1107"/>
      <c r="BR614" s="1108"/>
      <c r="BS614" s="1106">
        <f t="shared" si="5"/>
        <v>0</v>
      </c>
      <c r="BT614" s="1107"/>
      <c r="BU614" s="1107"/>
      <c r="BV614" s="1107"/>
      <c r="BW614" s="1109"/>
      <c r="BX614" s="1106">
        <f t="shared" si="6"/>
        <v>0</v>
      </c>
      <c r="BY614" s="1107"/>
      <c r="BZ614" s="1107"/>
      <c r="CA614" s="1107"/>
      <c r="CB614" s="1109"/>
      <c r="CC614" s="1106">
        <f t="shared" si="7"/>
        <v>0</v>
      </c>
      <c r="CD614" s="1107"/>
      <c r="CE614" s="1107"/>
      <c r="CF614" s="1107"/>
      <c r="CG614" s="1109"/>
      <c r="CH614" s="1106">
        <f t="shared" si="8"/>
        <v>0</v>
      </c>
      <c r="CI614" s="1107"/>
      <c r="CJ614" s="1107"/>
      <c r="CK614" s="1107"/>
      <c r="CL614" s="1109"/>
      <c r="CM614" s="1110">
        <f t="shared" si="9"/>
        <v>0</v>
      </c>
      <c r="CN614" s="1111"/>
      <c r="CO614" s="1111"/>
      <c r="CP614" s="1111"/>
      <c r="CQ614" s="1108"/>
      <c r="CS614" s="1103">
        <f t="shared" si="12"/>
        <v>0</v>
      </c>
      <c r="CT614" s="1104"/>
      <c r="CU614" s="1104"/>
      <c r="CV614" s="1104"/>
      <c r="CW614" s="1105"/>
      <c r="CX614" s="1103">
        <f t="shared" si="13"/>
        <v>0</v>
      </c>
      <c r="CY614" s="1104"/>
      <c r="CZ614" s="1104"/>
      <c r="DA614" s="1104"/>
      <c r="DB614" s="1105"/>
      <c r="DC614" s="1103">
        <f t="shared" si="14"/>
        <v>0</v>
      </c>
      <c r="DD614" s="1104"/>
      <c r="DE614" s="1104"/>
      <c r="DF614" s="1104"/>
      <c r="DG614" s="1105"/>
      <c r="DH614" s="1103">
        <f t="shared" si="15"/>
        <v>0</v>
      </c>
      <c r="DI614" s="1104"/>
      <c r="DJ614" s="1104"/>
      <c r="DK614" s="1104"/>
      <c r="DL614" s="1105"/>
      <c r="DM614" s="1103">
        <f t="shared" si="16"/>
        <v>0</v>
      </c>
      <c r="DN614" s="1104"/>
      <c r="DO614" s="1104"/>
      <c r="DP614" s="1104"/>
      <c r="DQ614" s="1105"/>
      <c r="DR614" s="1103">
        <f t="shared" si="17"/>
        <v>0</v>
      </c>
      <c r="DS614" s="1104"/>
      <c r="DT614" s="1104"/>
      <c r="DU614" s="1104"/>
      <c r="DV614" s="1105"/>
    </row>
    <row r="615" spans="1:126" ht="12.9" customHeight="1">
      <c r="B615" t="s">
        <v>649</v>
      </c>
      <c r="C615"/>
      <c r="G615" s="1096"/>
      <c r="H615" s="1096"/>
      <c r="I615" s="1096"/>
      <c r="J615" s="1096"/>
      <c r="K615" s="1096"/>
      <c r="L615" s="1096"/>
      <c r="O615" s="42" t="s">
        <v>817</v>
      </c>
      <c r="P615" s="1335"/>
      <c r="Q615" s="1335"/>
      <c r="R615" s="1335"/>
      <c r="U615" t="s">
        <v>649</v>
      </c>
      <c r="Z615" s="1096"/>
      <c r="AA615" s="1096"/>
      <c r="AB615" s="1096"/>
      <c r="AC615" s="1096"/>
      <c r="AD615" s="1096"/>
      <c r="AE615" s="1096"/>
      <c r="AH615" s="42" t="s">
        <v>817</v>
      </c>
      <c r="AI615" s="1335"/>
      <c r="AJ615" s="1335"/>
      <c r="AK615" s="1335"/>
      <c r="AZ615" s="41"/>
      <c r="BA615" s="41"/>
      <c r="BB615" s="41"/>
      <c r="BC615" s="41"/>
      <c r="BD615" s="41"/>
      <c r="BE615" s="1112">
        <f t="shared" si="10"/>
        <v>0</v>
      </c>
      <c r="BF615" s="1113"/>
      <c r="BG615" s="1106">
        <f t="shared" si="2"/>
        <v>0</v>
      </c>
      <c r="BH615" s="1109"/>
      <c r="BI615" s="1112">
        <f t="shared" si="11"/>
        <v>0</v>
      </c>
      <c r="BJ615" s="1113"/>
      <c r="BK615" s="1106">
        <f t="shared" si="3"/>
        <v>0</v>
      </c>
      <c r="BL615" s="1109"/>
      <c r="BN615" s="1106">
        <f t="shared" si="4"/>
        <v>0</v>
      </c>
      <c r="BO615" s="1107"/>
      <c r="BP615" s="1107"/>
      <c r="BQ615" s="1107"/>
      <c r="BR615" s="1108"/>
      <c r="BS615" s="1106">
        <f t="shared" si="5"/>
        <v>0</v>
      </c>
      <c r="BT615" s="1107"/>
      <c r="BU615" s="1107"/>
      <c r="BV615" s="1107"/>
      <c r="BW615" s="1109"/>
      <c r="BX615" s="1106">
        <f t="shared" si="6"/>
        <v>0</v>
      </c>
      <c r="BY615" s="1107"/>
      <c r="BZ615" s="1107"/>
      <c r="CA615" s="1107"/>
      <c r="CB615" s="1109"/>
      <c r="CC615" s="1106">
        <f t="shared" si="7"/>
        <v>0</v>
      </c>
      <c r="CD615" s="1107"/>
      <c r="CE615" s="1107"/>
      <c r="CF615" s="1107"/>
      <c r="CG615" s="1109"/>
      <c r="CH615" s="1106">
        <f t="shared" si="8"/>
        <v>0</v>
      </c>
      <c r="CI615" s="1107"/>
      <c r="CJ615" s="1107"/>
      <c r="CK615" s="1107"/>
      <c r="CL615" s="1109"/>
      <c r="CM615" s="1110">
        <f t="shared" si="9"/>
        <v>0</v>
      </c>
      <c r="CN615" s="1111"/>
      <c r="CO615" s="1111"/>
      <c r="CP615" s="1111"/>
      <c r="CQ615" s="1108"/>
      <c r="CS615" s="1103">
        <f t="shared" si="12"/>
        <v>0</v>
      </c>
      <c r="CT615" s="1104"/>
      <c r="CU615" s="1104"/>
      <c r="CV615" s="1104"/>
      <c r="CW615" s="1105"/>
      <c r="CX615" s="1103">
        <f t="shared" si="13"/>
        <v>0</v>
      </c>
      <c r="CY615" s="1104"/>
      <c r="CZ615" s="1104"/>
      <c r="DA615" s="1104"/>
      <c r="DB615" s="1105"/>
      <c r="DC615" s="1103">
        <f t="shared" si="14"/>
        <v>0</v>
      </c>
      <c r="DD615" s="1104"/>
      <c r="DE615" s="1104"/>
      <c r="DF615" s="1104"/>
      <c r="DG615" s="1105"/>
      <c r="DH615" s="1103">
        <f t="shared" si="15"/>
        <v>0</v>
      </c>
      <c r="DI615" s="1104"/>
      <c r="DJ615" s="1104"/>
      <c r="DK615" s="1104"/>
      <c r="DL615" s="1105"/>
      <c r="DM615" s="1103">
        <f t="shared" si="16"/>
        <v>0</v>
      </c>
      <c r="DN615" s="1104"/>
      <c r="DO615" s="1104"/>
      <c r="DP615" s="1104"/>
      <c r="DQ615" s="1105"/>
      <c r="DR615" s="1103">
        <f t="shared" si="17"/>
        <v>0</v>
      </c>
      <c r="DS615" s="1104"/>
      <c r="DT615" s="1104"/>
      <c r="DU615" s="1104"/>
      <c r="DV615" s="1105"/>
    </row>
    <row r="616" spans="1:126" ht="12.9" customHeight="1">
      <c r="B616" t="s">
        <v>833</v>
      </c>
      <c r="C616"/>
      <c r="H616" s="1066"/>
      <c r="I616" s="1066"/>
      <c r="J616" s="1066"/>
      <c r="K616" s="1066"/>
      <c r="L616" s="1066"/>
      <c r="M616" s="1066"/>
      <c r="N616" s="1066"/>
      <c r="O616" s="1066"/>
      <c r="P616" s="1066"/>
      <c r="Q616" s="1066"/>
      <c r="R616" s="1066"/>
      <c r="U616" t="s">
        <v>833</v>
      </c>
      <c r="AA616" s="1066"/>
      <c r="AB616" s="1066"/>
      <c r="AC616" s="1066"/>
      <c r="AD616" s="1066"/>
      <c r="AE616" s="1066"/>
      <c r="AF616" s="1066"/>
      <c r="AG616" s="1066"/>
      <c r="AH616" s="1066"/>
      <c r="AI616" s="1066"/>
      <c r="AJ616" s="1066"/>
      <c r="AK616" s="1066"/>
      <c r="AZ616" s="41"/>
      <c r="BA616" s="41"/>
      <c r="BB616" s="41"/>
      <c r="BC616" s="41"/>
      <c r="BD616" s="41"/>
      <c r="BE616" s="1112">
        <f t="shared" si="10"/>
        <v>0</v>
      </c>
      <c r="BF616" s="1113"/>
      <c r="BG616" s="1106">
        <f t="shared" si="2"/>
        <v>0</v>
      </c>
      <c r="BH616" s="1109"/>
      <c r="BI616" s="1112">
        <f t="shared" si="11"/>
        <v>0</v>
      </c>
      <c r="BJ616" s="1113"/>
      <c r="BK616" s="1106">
        <f t="shared" si="3"/>
        <v>0</v>
      </c>
      <c r="BL616" s="1109"/>
      <c r="BN616" s="1106">
        <f t="shared" si="4"/>
        <v>0</v>
      </c>
      <c r="BO616" s="1107"/>
      <c r="BP616" s="1107"/>
      <c r="BQ616" s="1107"/>
      <c r="BR616" s="1108"/>
      <c r="BS616" s="1106">
        <f t="shared" si="5"/>
        <v>0</v>
      </c>
      <c r="BT616" s="1107"/>
      <c r="BU616" s="1107"/>
      <c r="BV616" s="1107"/>
      <c r="BW616" s="1109"/>
      <c r="BX616" s="1106">
        <f t="shared" si="6"/>
        <v>0</v>
      </c>
      <c r="BY616" s="1107"/>
      <c r="BZ616" s="1107"/>
      <c r="CA616" s="1107"/>
      <c r="CB616" s="1109"/>
      <c r="CC616" s="1106">
        <f t="shared" si="7"/>
        <v>0</v>
      </c>
      <c r="CD616" s="1107"/>
      <c r="CE616" s="1107"/>
      <c r="CF616" s="1107"/>
      <c r="CG616" s="1109"/>
      <c r="CH616" s="1106">
        <f t="shared" si="8"/>
        <v>0</v>
      </c>
      <c r="CI616" s="1107"/>
      <c r="CJ616" s="1107"/>
      <c r="CK616" s="1107"/>
      <c r="CL616" s="1109"/>
      <c r="CM616" s="1110">
        <f t="shared" si="9"/>
        <v>0</v>
      </c>
      <c r="CN616" s="1111"/>
      <c r="CO616" s="1111"/>
      <c r="CP616" s="1111"/>
      <c r="CQ616" s="1108"/>
      <c r="CS616" s="1103">
        <f t="shared" si="12"/>
        <v>0</v>
      </c>
      <c r="CT616" s="1104"/>
      <c r="CU616" s="1104"/>
      <c r="CV616" s="1104"/>
      <c r="CW616" s="1105"/>
      <c r="CX616" s="1103">
        <f t="shared" si="13"/>
        <v>0</v>
      </c>
      <c r="CY616" s="1104"/>
      <c r="CZ616" s="1104"/>
      <c r="DA616" s="1104"/>
      <c r="DB616" s="1105"/>
      <c r="DC616" s="1103">
        <f t="shared" si="14"/>
        <v>0</v>
      </c>
      <c r="DD616" s="1104"/>
      <c r="DE616" s="1104"/>
      <c r="DF616" s="1104"/>
      <c r="DG616" s="1105"/>
      <c r="DH616" s="1103">
        <f t="shared" si="15"/>
        <v>0</v>
      </c>
      <c r="DI616" s="1104"/>
      <c r="DJ616" s="1104"/>
      <c r="DK616" s="1104"/>
      <c r="DL616" s="1105"/>
      <c r="DM616" s="1103">
        <f t="shared" si="16"/>
        <v>0</v>
      </c>
      <c r="DN616" s="1104"/>
      <c r="DO616" s="1104"/>
      <c r="DP616" s="1104"/>
      <c r="DQ616" s="1105"/>
      <c r="DR616" s="1103">
        <f t="shared" si="17"/>
        <v>0</v>
      </c>
      <c r="DS616" s="1104"/>
      <c r="DT616" s="1104"/>
      <c r="DU616" s="1104"/>
      <c r="DV616" s="1105"/>
    </row>
    <row r="617" spans="1:126" ht="12.9" customHeight="1">
      <c r="B617" t="s">
        <v>835</v>
      </c>
      <c r="C617"/>
      <c r="N617" s="1144" t="s">
        <v>481</v>
      </c>
      <c r="O617" s="1144"/>
      <c r="U617" t="s">
        <v>835</v>
      </c>
      <c r="AG617" s="1144" t="s">
        <v>481</v>
      </c>
      <c r="AH617" s="1144"/>
      <c r="AZ617" s="41"/>
      <c r="BA617" s="41"/>
      <c r="BB617" s="41"/>
      <c r="BC617" s="41"/>
      <c r="BD617" s="41"/>
      <c r="BE617" s="1112">
        <f t="shared" si="10"/>
        <v>0</v>
      </c>
      <c r="BF617" s="1113"/>
      <c r="BG617" s="1106">
        <f t="shared" si="2"/>
        <v>0</v>
      </c>
      <c r="BH617" s="1109"/>
      <c r="BI617" s="1112">
        <f t="shared" si="11"/>
        <v>0</v>
      </c>
      <c r="BJ617" s="1113"/>
      <c r="BK617" s="1106">
        <f t="shared" si="3"/>
        <v>0</v>
      </c>
      <c r="BL617" s="1109"/>
      <c r="BN617" s="1106">
        <f t="shared" si="4"/>
        <v>0</v>
      </c>
      <c r="BO617" s="1107"/>
      <c r="BP617" s="1107"/>
      <c r="BQ617" s="1107"/>
      <c r="BR617" s="1108"/>
      <c r="BS617" s="1106">
        <f t="shared" si="5"/>
        <v>0</v>
      </c>
      <c r="BT617" s="1107"/>
      <c r="BU617" s="1107"/>
      <c r="BV617" s="1107"/>
      <c r="BW617" s="1109"/>
      <c r="BX617" s="1106">
        <f t="shared" si="6"/>
        <v>0</v>
      </c>
      <c r="BY617" s="1107"/>
      <c r="BZ617" s="1107"/>
      <c r="CA617" s="1107"/>
      <c r="CB617" s="1109"/>
      <c r="CC617" s="1106">
        <f t="shared" si="7"/>
        <v>0</v>
      </c>
      <c r="CD617" s="1107"/>
      <c r="CE617" s="1107"/>
      <c r="CF617" s="1107"/>
      <c r="CG617" s="1109"/>
      <c r="CH617" s="1106">
        <f t="shared" si="8"/>
        <v>0</v>
      </c>
      <c r="CI617" s="1107"/>
      <c r="CJ617" s="1107"/>
      <c r="CK617" s="1107"/>
      <c r="CL617" s="1109"/>
      <c r="CM617" s="1110">
        <f t="shared" si="9"/>
        <v>0</v>
      </c>
      <c r="CN617" s="1111"/>
      <c r="CO617" s="1111"/>
      <c r="CP617" s="1111"/>
      <c r="CQ617" s="1108"/>
      <c r="CS617" s="1103">
        <f t="shared" si="12"/>
        <v>0</v>
      </c>
      <c r="CT617" s="1104"/>
      <c r="CU617" s="1104"/>
      <c r="CV617" s="1104"/>
      <c r="CW617" s="1105"/>
      <c r="CX617" s="1103">
        <f t="shared" si="13"/>
        <v>0</v>
      </c>
      <c r="CY617" s="1104"/>
      <c r="CZ617" s="1104"/>
      <c r="DA617" s="1104"/>
      <c r="DB617" s="1105"/>
      <c r="DC617" s="1103">
        <f t="shared" si="14"/>
        <v>0</v>
      </c>
      <c r="DD617" s="1104"/>
      <c r="DE617" s="1104"/>
      <c r="DF617" s="1104"/>
      <c r="DG617" s="1105"/>
      <c r="DH617" s="1103">
        <f t="shared" si="15"/>
        <v>0</v>
      </c>
      <c r="DI617" s="1104"/>
      <c r="DJ617" s="1104"/>
      <c r="DK617" s="1104"/>
      <c r="DL617" s="1105"/>
      <c r="DM617" s="1103">
        <f t="shared" si="16"/>
        <v>0</v>
      </c>
      <c r="DN617" s="1104"/>
      <c r="DO617" s="1104"/>
      <c r="DP617" s="1104"/>
      <c r="DQ617" s="1105"/>
      <c r="DR617" s="1103">
        <f t="shared" si="17"/>
        <v>0</v>
      </c>
      <c r="DS617" s="1104"/>
      <c r="DT617" s="1104"/>
      <c r="DU617" s="1104"/>
      <c r="DV617" s="1105"/>
    </row>
    <row r="618" spans="1:126" ht="12.9" customHeight="1">
      <c r="C618"/>
      <c r="AZ618" s="41"/>
      <c r="BA618" s="41"/>
      <c r="BB618" s="41"/>
      <c r="BC618" s="41"/>
      <c r="BD618" s="41"/>
      <c r="BE618" s="1112">
        <f t="shared" si="10"/>
        <v>0</v>
      </c>
      <c r="BF618" s="1113"/>
      <c r="BG618" s="1106">
        <f t="shared" si="2"/>
        <v>0</v>
      </c>
      <c r="BH618" s="1109"/>
      <c r="BI618" s="1112">
        <f t="shared" si="11"/>
        <v>0</v>
      </c>
      <c r="BJ618" s="1113"/>
      <c r="BK618" s="1106">
        <f t="shared" si="3"/>
        <v>0</v>
      </c>
      <c r="BL618" s="1109"/>
      <c r="BN618" s="1106">
        <f t="shared" si="4"/>
        <v>0</v>
      </c>
      <c r="BO618" s="1107"/>
      <c r="BP618" s="1107"/>
      <c r="BQ618" s="1107"/>
      <c r="BR618" s="1108"/>
      <c r="BS618" s="1106">
        <f t="shared" si="5"/>
        <v>0</v>
      </c>
      <c r="BT618" s="1107"/>
      <c r="BU618" s="1107"/>
      <c r="BV618" s="1107"/>
      <c r="BW618" s="1109"/>
      <c r="BX618" s="1106">
        <f t="shared" si="6"/>
        <v>0</v>
      </c>
      <c r="BY618" s="1107"/>
      <c r="BZ618" s="1107"/>
      <c r="CA618" s="1107"/>
      <c r="CB618" s="1109"/>
      <c r="CC618" s="1106">
        <f t="shared" si="7"/>
        <v>0</v>
      </c>
      <c r="CD618" s="1107"/>
      <c r="CE618" s="1107"/>
      <c r="CF618" s="1107"/>
      <c r="CG618" s="1109"/>
      <c r="CH618" s="1106">
        <f t="shared" si="8"/>
        <v>0</v>
      </c>
      <c r="CI618" s="1107"/>
      <c r="CJ618" s="1107"/>
      <c r="CK618" s="1107"/>
      <c r="CL618" s="1109"/>
      <c r="CM618" s="1110">
        <f t="shared" si="9"/>
        <v>0</v>
      </c>
      <c r="CN618" s="1111"/>
      <c r="CO618" s="1111"/>
      <c r="CP618" s="1111"/>
      <c r="CQ618" s="1108"/>
      <c r="CS618" s="1103">
        <f t="shared" si="12"/>
        <v>0</v>
      </c>
      <c r="CT618" s="1104"/>
      <c r="CU618" s="1104"/>
      <c r="CV618" s="1104"/>
      <c r="CW618" s="1105"/>
      <c r="CX618" s="1103">
        <f t="shared" si="13"/>
        <v>0</v>
      </c>
      <c r="CY618" s="1104"/>
      <c r="CZ618" s="1104"/>
      <c r="DA618" s="1104"/>
      <c r="DB618" s="1105"/>
      <c r="DC618" s="1103">
        <f t="shared" si="14"/>
        <v>0</v>
      </c>
      <c r="DD618" s="1104"/>
      <c r="DE618" s="1104"/>
      <c r="DF618" s="1104"/>
      <c r="DG618" s="1105"/>
      <c r="DH618" s="1103">
        <f t="shared" si="15"/>
        <v>0</v>
      </c>
      <c r="DI618" s="1104"/>
      <c r="DJ618" s="1104"/>
      <c r="DK618" s="1104"/>
      <c r="DL618" s="1105"/>
      <c r="DM618" s="1103">
        <f t="shared" si="16"/>
        <v>0</v>
      </c>
      <c r="DN618" s="1104"/>
      <c r="DO618" s="1104"/>
      <c r="DP618" s="1104"/>
      <c r="DQ618" s="1105"/>
      <c r="DR618" s="1103">
        <f t="shared" si="17"/>
        <v>0</v>
      </c>
      <c r="DS618" s="1104"/>
      <c r="DT618" s="1104"/>
      <c r="DU618" s="1104"/>
      <c r="DV618" s="1105"/>
    </row>
    <row r="619" spans="1:126" ht="12.9" customHeight="1">
      <c r="A619" s="979" t="s">
        <v>125</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112">
        <f t="shared" si="10"/>
        <v>0</v>
      </c>
      <c r="BF619" s="1113"/>
      <c r="BG619" s="1106">
        <f t="shared" si="2"/>
        <v>0</v>
      </c>
      <c r="BH619" s="1109"/>
      <c r="BI619" s="1112">
        <f t="shared" si="11"/>
        <v>0</v>
      </c>
      <c r="BJ619" s="1113"/>
      <c r="BK619" s="1106">
        <f t="shared" si="3"/>
        <v>0</v>
      </c>
      <c r="BL619" s="1109"/>
      <c r="BN619" s="1106">
        <f t="shared" si="4"/>
        <v>0</v>
      </c>
      <c r="BO619" s="1107"/>
      <c r="BP619" s="1107"/>
      <c r="BQ619" s="1107"/>
      <c r="BR619" s="1108"/>
      <c r="BS619" s="1106">
        <f t="shared" si="5"/>
        <v>0</v>
      </c>
      <c r="BT619" s="1107"/>
      <c r="BU619" s="1107"/>
      <c r="BV619" s="1107"/>
      <c r="BW619" s="1109"/>
      <c r="BX619" s="1106">
        <f t="shared" si="6"/>
        <v>0</v>
      </c>
      <c r="BY619" s="1107"/>
      <c r="BZ619" s="1107"/>
      <c r="CA619" s="1107"/>
      <c r="CB619" s="1109"/>
      <c r="CC619" s="1106">
        <f t="shared" si="7"/>
        <v>0</v>
      </c>
      <c r="CD619" s="1107"/>
      <c r="CE619" s="1107"/>
      <c r="CF619" s="1107"/>
      <c r="CG619" s="1109"/>
      <c r="CH619" s="1106">
        <f t="shared" si="8"/>
        <v>0</v>
      </c>
      <c r="CI619" s="1107"/>
      <c r="CJ619" s="1107"/>
      <c r="CK619" s="1107"/>
      <c r="CL619" s="1109"/>
      <c r="CM619" s="1110">
        <f t="shared" si="9"/>
        <v>0</v>
      </c>
      <c r="CN619" s="1111"/>
      <c r="CO619" s="1111"/>
      <c r="CP619" s="1111"/>
      <c r="CQ619" s="1108"/>
      <c r="CS619" s="1103">
        <f t="shared" si="12"/>
        <v>0</v>
      </c>
      <c r="CT619" s="1104"/>
      <c r="CU619" s="1104"/>
      <c r="CV619" s="1104"/>
      <c r="CW619" s="1105"/>
      <c r="CX619" s="1103">
        <f t="shared" si="13"/>
        <v>0</v>
      </c>
      <c r="CY619" s="1104"/>
      <c r="CZ619" s="1104"/>
      <c r="DA619" s="1104"/>
      <c r="DB619" s="1105"/>
      <c r="DC619" s="1103">
        <f t="shared" si="14"/>
        <v>0</v>
      </c>
      <c r="DD619" s="1104"/>
      <c r="DE619" s="1104"/>
      <c r="DF619" s="1104"/>
      <c r="DG619" s="1105"/>
      <c r="DH619" s="1103">
        <f t="shared" si="15"/>
        <v>0</v>
      </c>
      <c r="DI619" s="1104"/>
      <c r="DJ619" s="1104"/>
      <c r="DK619" s="1104"/>
      <c r="DL619" s="1105"/>
      <c r="DM619" s="1103">
        <f t="shared" si="16"/>
        <v>0</v>
      </c>
      <c r="DN619" s="1104"/>
      <c r="DO619" s="1104"/>
      <c r="DP619" s="1104"/>
      <c r="DQ619" s="1105"/>
      <c r="DR619" s="1103">
        <f t="shared" si="17"/>
        <v>0</v>
      </c>
      <c r="DS619" s="1104"/>
      <c r="DT619" s="1104"/>
      <c r="DU619" s="1104"/>
      <c r="DV619" s="1105"/>
    </row>
    <row r="620" spans="1:126" ht="12.9"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112">
        <f t="shared" si="10"/>
        <v>0</v>
      </c>
      <c r="BF620" s="1113"/>
      <c r="BG620" s="1106">
        <f t="shared" si="2"/>
        <v>0</v>
      </c>
      <c r="BH620" s="1109"/>
      <c r="BI620" s="1112">
        <f t="shared" si="11"/>
        <v>0</v>
      </c>
      <c r="BJ620" s="1113"/>
      <c r="BK620" s="1106">
        <f t="shared" si="3"/>
        <v>0</v>
      </c>
      <c r="BL620" s="1109"/>
      <c r="BN620" s="1106">
        <f t="shared" si="4"/>
        <v>0</v>
      </c>
      <c r="BO620" s="1107"/>
      <c r="BP620" s="1107"/>
      <c r="BQ620" s="1107"/>
      <c r="BR620" s="1108"/>
      <c r="BS620" s="1106">
        <f t="shared" si="5"/>
        <v>0</v>
      </c>
      <c r="BT620" s="1107"/>
      <c r="BU620" s="1107"/>
      <c r="BV620" s="1107"/>
      <c r="BW620" s="1109"/>
      <c r="BX620" s="1106">
        <f t="shared" si="6"/>
        <v>0</v>
      </c>
      <c r="BY620" s="1107"/>
      <c r="BZ620" s="1107"/>
      <c r="CA620" s="1107"/>
      <c r="CB620" s="1109"/>
      <c r="CC620" s="1106">
        <f t="shared" si="7"/>
        <v>0</v>
      </c>
      <c r="CD620" s="1107"/>
      <c r="CE620" s="1107"/>
      <c r="CF620" s="1107"/>
      <c r="CG620" s="1109"/>
      <c r="CH620" s="1106">
        <f t="shared" si="8"/>
        <v>0</v>
      </c>
      <c r="CI620" s="1107"/>
      <c r="CJ620" s="1107"/>
      <c r="CK620" s="1107"/>
      <c r="CL620" s="1109"/>
      <c r="CM620" s="1110">
        <f t="shared" si="9"/>
        <v>0</v>
      </c>
      <c r="CN620" s="1111"/>
      <c r="CO620" s="1111"/>
      <c r="CP620" s="1111"/>
      <c r="CQ620" s="1108"/>
      <c r="CS620" s="1103">
        <f t="shared" si="12"/>
        <v>0</v>
      </c>
      <c r="CT620" s="1104"/>
      <c r="CU620" s="1104"/>
      <c r="CV620" s="1104"/>
      <c r="CW620" s="1105"/>
      <c r="CX620" s="1103">
        <f t="shared" si="13"/>
        <v>0</v>
      </c>
      <c r="CY620" s="1104"/>
      <c r="CZ620" s="1104"/>
      <c r="DA620" s="1104"/>
      <c r="DB620" s="1105"/>
      <c r="DC620" s="1103">
        <f t="shared" si="14"/>
        <v>0</v>
      </c>
      <c r="DD620" s="1104"/>
      <c r="DE620" s="1104"/>
      <c r="DF620" s="1104"/>
      <c r="DG620" s="1105"/>
      <c r="DH620" s="1103">
        <f t="shared" si="15"/>
        <v>0</v>
      </c>
      <c r="DI620" s="1104"/>
      <c r="DJ620" s="1104"/>
      <c r="DK620" s="1104"/>
      <c r="DL620" s="1105"/>
      <c r="DM620" s="1103">
        <f t="shared" si="16"/>
        <v>0</v>
      </c>
      <c r="DN620" s="1104"/>
      <c r="DO620" s="1104"/>
      <c r="DP620" s="1104"/>
      <c r="DQ620" s="1105"/>
      <c r="DR620" s="1103">
        <f t="shared" si="17"/>
        <v>0</v>
      </c>
      <c r="DS620" s="1104"/>
      <c r="DT620" s="1104"/>
      <c r="DU620" s="1104"/>
      <c r="DV620" s="1105"/>
    </row>
    <row r="621" spans="1:126" ht="12.9" customHeight="1">
      <c r="C621"/>
      <c r="AZ621" s="41"/>
      <c r="BA621" s="41"/>
      <c r="BB621" s="41"/>
      <c r="BC621" s="41"/>
      <c r="BD621" s="41"/>
      <c r="BE621" s="1112">
        <f t="shared" si="10"/>
        <v>0</v>
      </c>
      <c r="BF621" s="1113"/>
      <c r="BG621" s="1106">
        <f t="shared" si="2"/>
        <v>0</v>
      </c>
      <c r="BH621" s="1109"/>
      <c r="BI621" s="1112">
        <f t="shared" si="11"/>
        <v>0</v>
      </c>
      <c r="BJ621" s="1113"/>
      <c r="BK621" s="1106">
        <f t="shared" si="3"/>
        <v>0</v>
      </c>
      <c r="BL621" s="1109"/>
      <c r="BN621" s="1106">
        <f t="shared" si="4"/>
        <v>0</v>
      </c>
      <c r="BO621" s="1107"/>
      <c r="BP621" s="1107"/>
      <c r="BQ621" s="1107"/>
      <c r="BR621" s="1108"/>
      <c r="BS621" s="1106">
        <f t="shared" si="5"/>
        <v>0</v>
      </c>
      <c r="BT621" s="1107"/>
      <c r="BU621" s="1107"/>
      <c r="BV621" s="1107"/>
      <c r="BW621" s="1109"/>
      <c r="BX621" s="1106">
        <f t="shared" si="6"/>
        <v>0</v>
      </c>
      <c r="BY621" s="1107"/>
      <c r="BZ621" s="1107"/>
      <c r="CA621" s="1107"/>
      <c r="CB621" s="1109"/>
      <c r="CC621" s="1106">
        <f t="shared" si="7"/>
        <v>0</v>
      </c>
      <c r="CD621" s="1107"/>
      <c r="CE621" s="1107"/>
      <c r="CF621" s="1107"/>
      <c r="CG621" s="1109"/>
      <c r="CH621" s="1106">
        <f t="shared" si="8"/>
        <v>0</v>
      </c>
      <c r="CI621" s="1107"/>
      <c r="CJ621" s="1107"/>
      <c r="CK621" s="1107"/>
      <c r="CL621" s="1109"/>
      <c r="CM621" s="1110">
        <f t="shared" si="9"/>
        <v>0</v>
      </c>
      <c r="CN621" s="1111"/>
      <c r="CO621" s="1111"/>
      <c r="CP621" s="1111"/>
      <c r="CQ621" s="1108"/>
      <c r="CS621" s="1103">
        <f t="shared" si="12"/>
        <v>0</v>
      </c>
      <c r="CT621" s="1104"/>
      <c r="CU621" s="1104"/>
      <c r="CV621" s="1104"/>
      <c r="CW621" s="1105"/>
      <c r="CX621" s="1103">
        <f t="shared" si="13"/>
        <v>0</v>
      </c>
      <c r="CY621" s="1104"/>
      <c r="CZ621" s="1104"/>
      <c r="DA621" s="1104"/>
      <c r="DB621" s="1105"/>
      <c r="DC621" s="1103">
        <f t="shared" si="14"/>
        <v>0</v>
      </c>
      <c r="DD621" s="1104"/>
      <c r="DE621" s="1104"/>
      <c r="DF621" s="1104"/>
      <c r="DG621" s="1105"/>
      <c r="DH621" s="1103">
        <f t="shared" si="15"/>
        <v>0</v>
      </c>
      <c r="DI621" s="1104"/>
      <c r="DJ621" s="1104"/>
      <c r="DK621" s="1104"/>
      <c r="DL621" s="1105"/>
      <c r="DM621" s="1103">
        <f t="shared" si="16"/>
        <v>0</v>
      </c>
      <c r="DN621" s="1104"/>
      <c r="DO621" s="1104"/>
      <c r="DP621" s="1104"/>
      <c r="DQ621" s="1105"/>
      <c r="DR621" s="1103">
        <f t="shared" si="17"/>
        <v>0</v>
      </c>
      <c r="DS621" s="1104"/>
      <c r="DT621" s="1104"/>
      <c r="DU621" s="1104"/>
      <c r="DV621" s="1105"/>
    </row>
    <row r="622" spans="1:126" ht="12.9" customHeight="1">
      <c r="A622" s="3" t="s">
        <v>652</v>
      </c>
      <c r="B622" s="3"/>
      <c r="C622" s="3" t="s">
        <v>836</v>
      </c>
      <c r="AZ622" s="41"/>
      <c r="BA622" s="41"/>
      <c r="BB622" s="41"/>
      <c r="BC622" s="41"/>
      <c r="BD622" s="41"/>
      <c r="BE622" s="1112">
        <f t="shared" si="10"/>
        <v>0</v>
      </c>
      <c r="BF622" s="1113"/>
      <c r="BG622" s="1106">
        <f t="shared" si="2"/>
        <v>0</v>
      </c>
      <c r="BH622" s="1109"/>
      <c r="BI622" s="1112">
        <f t="shared" si="11"/>
        <v>0</v>
      </c>
      <c r="BJ622" s="1113"/>
      <c r="BK622" s="1106">
        <f t="shared" si="3"/>
        <v>0</v>
      </c>
      <c r="BL622" s="1109"/>
      <c r="BN622" s="1106">
        <f t="shared" si="4"/>
        <v>0</v>
      </c>
      <c r="BO622" s="1107"/>
      <c r="BP622" s="1107"/>
      <c r="BQ622" s="1107"/>
      <c r="BR622" s="1108"/>
      <c r="BS622" s="1106">
        <f t="shared" si="5"/>
        <v>0</v>
      </c>
      <c r="BT622" s="1107"/>
      <c r="BU622" s="1107"/>
      <c r="BV622" s="1107"/>
      <c r="BW622" s="1109"/>
      <c r="BX622" s="1106">
        <f t="shared" si="6"/>
        <v>0</v>
      </c>
      <c r="BY622" s="1107"/>
      <c r="BZ622" s="1107"/>
      <c r="CA622" s="1107"/>
      <c r="CB622" s="1109"/>
      <c r="CC622" s="1106">
        <f t="shared" si="7"/>
        <v>0</v>
      </c>
      <c r="CD622" s="1107"/>
      <c r="CE622" s="1107"/>
      <c r="CF622" s="1107"/>
      <c r="CG622" s="1109"/>
      <c r="CH622" s="1106">
        <f t="shared" si="8"/>
        <v>0</v>
      </c>
      <c r="CI622" s="1107"/>
      <c r="CJ622" s="1107"/>
      <c r="CK622" s="1107"/>
      <c r="CL622" s="1109"/>
      <c r="CM622" s="1110">
        <f t="shared" si="9"/>
        <v>0</v>
      </c>
      <c r="CN622" s="1111"/>
      <c r="CO622" s="1111"/>
      <c r="CP622" s="1111"/>
      <c r="CQ622" s="1108"/>
      <c r="CS622" s="1103">
        <f t="shared" si="12"/>
        <v>0</v>
      </c>
      <c r="CT622" s="1104"/>
      <c r="CU622" s="1104"/>
      <c r="CV622" s="1104"/>
      <c r="CW622" s="1105"/>
      <c r="CX622" s="1103">
        <f t="shared" si="13"/>
        <v>0</v>
      </c>
      <c r="CY622" s="1104"/>
      <c r="CZ622" s="1104"/>
      <c r="DA622" s="1104"/>
      <c r="DB622" s="1105"/>
      <c r="DC622" s="1103">
        <f t="shared" si="14"/>
        <v>0</v>
      </c>
      <c r="DD622" s="1104"/>
      <c r="DE622" s="1104"/>
      <c r="DF622" s="1104"/>
      <c r="DG622" s="1105"/>
      <c r="DH622" s="1103">
        <f t="shared" si="15"/>
        <v>0</v>
      </c>
      <c r="DI622" s="1104"/>
      <c r="DJ622" s="1104"/>
      <c r="DK622" s="1104"/>
      <c r="DL622" s="1105"/>
      <c r="DM622" s="1103">
        <f t="shared" si="16"/>
        <v>0</v>
      </c>
      <c r="DN622" s="1104"/>
      <c r="DO622" s="1104"/>
      <c r="DP622" s="1104"/>
      <c r="DQ622" s="1105"/>
      <c r="DR622" s="1103">
        <f t="shared" si="17"/>
        <v>0</v>
      </c>
      <c r="DS622" s="1104"/>
      <c r="DT622" s="1104"/>
      <c r="DU622" s="1104"/>
      <c r="DV622" s="1105"/>
    </row>
    <row r="623" spans="1:126" ht="12.9" customHeight="1">
      <c r="A623" s="3"/>
      <c r="B623" s="3"/>
      <c r="C623" s="3"/>
      <c r="AZ623" s="41"/>
      <c r="BA623" s="41"/>
      <c r="BB623" s="41"/>
      <c r="BC623" s="41"/>
      <c r="BD623" s="41"/>
      <c r="BE623" s="1112">
        <f t="shared" si="10"/>
        <v>0</v>
      </c>
      <c r="BF623" s="1113"/>
      <c r="BG623" s="1106">
        <f t="shared" si="2"/>
        <v>0</v>
      </c>
      <c r="BH623" s="1109"/>
      <c r="BI623" s="1112">
        <f t="shared" si="11"/>
        <v>0</v>
      </c>
      <c r="BJ623" s="1113"/>
      <c r="BK623" s="1106">
        <f t="shared" si="3"/>
        <v>0</v>
      </c>
      <c r="BL623" s="1109"/>
      <c r="BN623" s="1106">
        <f t="shared" si="4"/>
        <v>0</v>
      </c>
      <c r="BO623" s="1107"/>
      <c r="BP623" s="1107"/>
      <c r="BQ623" s="1107"/>
      <c r="BR623" s="1108"/>
      <c r="BS623" s="1106">
        <f t="shared" si="5"/>
        <v>0</v>
      </c>
      <c r="BT623" s="1107"/>
      <c r="BU623" s="1107"/>
      <c r="BV623" s="1107"/>
      <c r="BW623" s="1109"/>
      <c r="BX623" s="1106">
        <f t="shared" si="6"/>
        <v>0</v>
      </c>
      <c r="BY623" s="1107"/>
      <c r="BZ623" s="1107"/>
      <c r="CA623" s="1107"/>
      <c r="CB623" s="1109"/>
      <c r="CC623" s="1106">
        <f t="shared" si="7"/>
        <v>0</v>
      </c>
      <c r="CD623" s="1107"/>
      <c r="CE623" s="1107"/>
      <c r="CF623" s="1107"/>
      <c r="CG623" s="1109"/>
      <c r="CH623" s="1106">
        <f t="shared" si="8"/>
        <v>0</v>
      </c>
      <c r="CI623" s="1107"/>
      <c r="CJ623" s="1107"/>
      <c r="CK623" s="1107"/>
      <c r="CL623" s="1109"/>
      <c r="CM623" s="1110">
        <f t="shared" si="9"/>
        <v>0</v>
      </c>
      <c r="CN623" s="1111"/>
      <c r="CO623" s="1111"/>
      <c r="CP623" s="1111"/>
      <c r="CQ623" s="1108"/>
      <c r="CS623" s="1103">
        <f t="shared" si="12"/>
        <v>0</v>
      </c>
      <c r="CT623" s="1104"/>
      <c r="CU623" s="1104"/>
      <c r="CV623" s="1104"/>
      <c r="CW623" s="1105"/>
      <c r="CX623" s="1103">
        <f t="shared" si="13"/>
        <v>0</v>
      </c>
      <c r="CY623" s="1104"/>
      <c r="CZ623" s="1104"/>
      <c r="DA623" s="1104"/>
      <c r="DB623" s="1105"/>
      <c r="DC623" s="1103">
        <f t="shared" si="14"/>
        <v>0</v>
      </c>
      <c r="DD623" s="1104"/>
      <c r="DE623" s="1104"/>
      <c r="DF623" s="1104"/>
      <c r="DG623" s="1105"/>
      <c r="DH623" s="1103">
        <f t="shared" si="15"/>
        <v>0</v>
      </c>
      <c r="DI623" s="1104"/>
      <c r="DJ623" s="1104"/>
      <c r="DK623" s="1104"/>
      <c r="DL623" s="1105"/>
      <c r="DM623" s="1103">
        <f t="shared" si="16"/>
        <v>0</v>
      </c>
      <c r="DN623" s="1104"/>
      <c r="DO623" s="1104"/>
      <c r="DP623" s="1104"/>
      <c r="DQ623" s="1105"/>
      <c r="DR623" s="1103">
        <f t="shared" si="17"/>
        <v>0</v>
      </c>
      <c r="DS623" s="1104"/>
      <c r="DT623" s="1104"/>
      <c r="DU623" s="1104"/>
      <c r="DV623" s="1105"/>
    </row>
    <row r="624" spans="1:126" ht="12.9" customHeight="1">
      <c r="C624" s="3" t="s">
        <v>2110</v>
      </c>
      <c r="AZ624" s="41"/>
      <c r="BA624" s="41"/>
      <c r="BB624" s="41"/>
      <c r="BC624" s="41"/>
      <c r="BD624" s="41"/>
      <c r="BE624" s="1112">
        <f t="shared" ref="BE624:BE633" si="18">IF(AND(AH727&lt;=0.5,AH727&gt;=0.36),1,0)</f>
        <v>0</v>
      </c>
      <c r="BF624" s="1113"/>
      <c r="BG624" s="1106">
        <f t="shared" ref="BG624:BG633" si="19">IF(BE624=1,G727,0)</f>
        <v>0</v>
      </c>
      <c r="BH624" s="1109"/>
      <c r="BI624" s="1112">
        <f t="shared" ref="BI624:BI633" si="20">IF(AND(AH727&lt;=0.35,AH727&gt;0),1,0)</f>
        <v>0</v>
      </c>
      <c r="BJ624" s="1113"/>
      <c r="BK624" s="1106">
        <f t="shared" ref="BK624:BK633" si="21">IF(BI624=1,G727,0)</f>
        <v>0</v>
      </c>
      <c r="BL624" s="1109"/>
      <c r="BN624" s="1106">
        <f t="shared" si="4"/>
        <v>0</v>
      </c>
      <c r="BO624" s="1107"/>
      <c r="BP624" s="1107"/>
      <c r="BQ624" s="1107"/>
      <c r="BR624" s="1108"/>
      <c r="BS624" s="1106">
        <f t="shared" si="5"/>
        <v>0</v>
      </c>
      <c r="BT624" s="1107"/>
      <c r="BU624" s="1107"/>
      <c r="BV624" s="1107"/>
      <c r="BW624" s="1109"/>
      <c r="BX624" s="1106">
        <f t="shared" si="6"/>
        <v>0</v>
      </c>
      <c r="BY624" s="1107"/>
      <c r="BZ624" s="1107"/>
      <c r="CA624" s="1107"/>
      <c r="CB624" s="1109"/>
      <c r="CC624" s="1106">
        <f t="shared" si="7"/>
        <v>0</v>
      </c>
      <c r="CD624" s="1107"/>
      <c r="CE624" s="1107"/>
      <c r="CF624" s="1107"/>
      <c r="CG624" s="1109"/>
      <c r="CH624" s="1106">
        <f t="shared" si="8"/>
        <v>0</v>
      </c>
      <c r="CI624" s="1107"/>
      <c r="CJ624" s="1107"/>
      <c r="CK624" s="1107"/>
      <c r="CL624" s="1109"/>
      <c r="CM624" s="1110">
        <f t="shared" si="9"/>
        <v>0</v>
      </c>
      <c r="CN624" s="1111"/>
      <c r="CO624" s="1111"/>
      <c r="CP624" s="1111"/>
      <c r="CQ624" s="1108"/>
      <c r="CS624" s="1103">
        <f t="shared" ref="CS624:CS633" si="22">IF(AND(B727="SRO/Studio",AH727&lt;=0.3),G727,0)</f>
        <v>0</v>
      </c>
      <c r="CT624" s="1104"/>
      <c r="CU624" s="1104"/>
      <c r="CV624" s="1104"/>
      <c r="CW624" s="1105"/>
      <c r="CX624" s="1103">
        <f t="shared" ref="CX624:CX633" si="23">IF(AND(B727="1 Bedroom",AH727&lt;=0.3),G727,0)</f>
        <v>0</v>
      </c>
      <c r="CY624" s="1104"/>
      <c r="CZ624" s="1104"/>
      <c r="DA624" s="1104"/>
      <c r="DB624" s="1105"/>
      <c r="DC624" s="1103">
        <f t="shared" ref="DC624:DC633" si="24">IF(AND(B727="2 Bedrooms",AH727&lt;=0.3),G727,0)</f>
        <v>0</v>
      </c>
      <c r="DD624" s="1104"/>
      <c r="DE624" s="1104"/>
      <c r="DF624" s="1104"/>
      <c r="DG624" s="1105"/>
      <c r="DH624" s="1103">
        <f t="shared" ref="DH624:DH633" si="25">IF(AND(B727="3 Bedrooms",AH727&lt;=0.3),G727,0)</f>
        <v>0</v>
      </c>
      <c r="DI624" s="1104"/>
      <c r="DJ624" s="1104"/>
      <c r="DK624" s="1104"/>
      <c r="DL624" s="1105"/>
      <c r="DM624" s="1103">
        <f t="shared" ref="DM624:DM633" si="26">IF(AND(B727="4 Bedrooms",AH727&lt;=0.3),G727,0)</f>
        <v>0</v>
      </c>
      <c r="DN624" s="1104"/>
      <c r="DO624" s="1104"/>
      <c r="DP624" s="1104"/>
      <c r="DQ624" s="1105"/>
      <c r="DR624" s="1103">
        <f t="shared" ref="DR624:DR633" si="27">IF(AND(B727="5 Bedrooms",AH727&lt;=0.3),G727,0)</f>
        <v>0</v>
      </c>
      <c r="DS624" s="1104"/>
      <c r="DT624" s="1104"/>
      <c r="DU624" s="1104"/>
      <c r="DV624" s="1105"/>
    </row>
    <row r="625" spans="2:126" ht="12.9" customHeight="1">
      <c r="B625" s="835"/>
      <c r="C625" s="3"/>
      <c r="AZ625" s="41"/>
      <c r="BA625" s="41"/>
      <c r="BB625" s="41"/>
      <c r="BC625" s="41"/>
      <c r="BD625" s="41"/>
      <c r="BE625" s="1112">
        <f t="shared" si="18"/>
        <v>0</v>
      </c>
      <c r="BF625" s="1113"/>
      <c r="BG625" s="1106">
        <f t="shared" si="19"/>
        <v>0</v>
      </c>
      <c r="BH625" s="1109"/>
      <c r="BI625" s="1112">
        <f t="shared" si="20"/>
        <v>0</v>
      </c>
      <c r="BJ625" s="1113"/>
      <c r="BK625" s="1106">
        <f t="shared" si="21"/>
        <v>0</v>
      </c>
      <c r="BL625" s="1109"/>
      <c r="BN625" s="1106">
        <f t="shared" si="4"/>
        <v>0</v>
      </c>
      <c r="BO625" s="1107"/>
      <c r="BP625" s="1107"/>
      <c r="BQ625" s="1107"/>
      <c r="BR625" s="1108"/>
      <c r="BS625" s="1106">
        <f t="shared" si="5"/>
        <v>0</v>
      </c>
      <c r="BT625" s="1107"/>
      <c r="BU625" s="1107"/>
      <c r="BV625" s="1107"/>
      <c r="BW625" s="1109"/>
      <c r="BX625" s="1106">
        <f t="shared" si="6"/>
        <v>0</v>
      </c>
      <c r="BY625" s="1107"/>
      <c r="BZ625" s="1107"/>
      <c r="CA625" s="1107"/>
      <c r="CB625" s="1109"/>
      <c r="CC625" s="1106">
        <f t="shared" si="7"/>
        <v>0</v>
      </c>
      <c r="CD625" s="1107"/>
      <c r="CE625" s="1107"/>
      <c r="CF625" s="1107"/>
      <c r="CG625" s="1109"/>
      <c r="CH625" s="1106">
        <f t="shared" si="8"/>
        <v>0</v>
      </c>
      <c r="CI625" s="1107"/>
      <c r="CJ625" s="1107"/>
      <c r="CK625" s="1107"/>
      <c r="CL625" s="1109"/>
      <c r="CM625" s="1110">
        <f t="shared" si="9"/>
        <v>0</v>
      </c>
      <c r="CN625" s="1111"/>
      <c r="CO625" s="1111"/>
      <c r="CP625" s="1111"/>
      <c r="CQ625" s="1108"/>
      <c r="CS625" s="1103">
        <f t="shared" si="22"/>
        <v>0</v>
      </c>
      <c r="CT625" s="1104"/>
      <c r="CU625" s="1104"/>
      <c r="CV625" s="1104"/>
      <c r="CW625" s="1105"/>
      <c r="CX625" s="1103">
        <f t="shared" si="23"/>
        <v>0</v>
      </c>
      <c r="CY625" s="1104"/>
      <c r="CZ625" s="1104"/>
      <c r="DA625" s="1104"/>
      <c r="DB625" s="1105"/>
      <c r="DC625" s="1103">
        <f t="shared" si="24"/>
        <v>0</v>
      </c>
      <c r="DD625" s="1104"/>
      <c r="DE625" s="1104"/>
      <c r="DF625" s="1104"/>
      <c r="DG625" s="1105"/>
      <c r="DH625" s="1103">
        <f t="shared" si="25"/>
        <v>0</v>
      </c>
      <c r="DI625" s="1104"/>
      <c r="DJ625" s="1104"/>
      <c r="DK625" s="1104"/>
      <c r="DL625" s="1105"/>
      <c r="DM625" s="1103">
        <f t="shared" si="26"/>
        <v>0</v>
      </c>
      <c r="DN625" s="1104"/>
      <c r="DO625" s="1104"/>
      <c r="DP625" s="1104"/>
      <c r="DQ625" s="1105"/>
      <c r="DR625" s="1103">
        <f t="shared" si="27"/>
        <v>0</v>
      </c>
      <c r="DS625" s="1104"/>
      <c r="DT625" s="1104"/>
      <c r="DU625" s="1104"/>
      <c r="DV625" s="1105"/>
    </row>
    <row r="626" spans="2:126" ht="12.9" customHeight="1">
      <c r="B626" s="1123" t="s">
        <v>2178</v>
      </c>
      <c r="C626" s="1124"/>
      <c r="D626" s="1124"/>
      <c r="E626" s="1124"/>
      <c r="F626" s="1124"/>
      <c r="G626" s="1124"/>
      <c r="H626" s="1124"/>
      <c r="I626" s="1124"/>
      <c r="J626" s="1124"/>
      <c r="K626" s="1124"/>
      <c r="L626" s="1124"/>
      <c r="M626" s="1170" t="s">
        <v>2152</v>
      </c>
      <c r="N626" s="1170"/>
      <c r="O626" s="1170"/>
      <c r="P626" s="1170"/>
      <c r="Q626" s="1284" t="s">
        <v>2182</v>
      </c>
      <c r="R626" s="1285"/>
      <c r="S626" s="1286"/>
      <c r="T626" s="1284" t="s">
        <v>2181</v>
      </c>
      <c r="U626" s="1285"/>
      <c r="V626" s="1286"/>
      <c r="W626" s="1415" t="s">
        <v>739</v>
      </c>
      <c r="X626" s="1415"/>
      <c r="Y626" s="1416"/>
      <c r="Z626" s="1170" t="s">
        <v>2179</v>
      </c>
      <c r="AA626" s="1170"/>
      <c r="AB626" s="1170"/>
      <c r="AC626" s="1406" t="s">
        <v>1977</v>
      </c>
      <c r="AD626" s="1407"/>
      <c r="AE626" s="1408"/>
      <c r="AF626" s="1284" t="s">
        <v>2111</v>
      </c>
      <c r="AG626" s="1285"/>
      <c r="AH626" s="1285"/>
      <c r="AI626" s="1285"/>
      <c r="AJ626" s="1286"/>
      <c r="AK626" s="1293" t="s">
        <v>2112</v>
      </c>
      <c r="AL626" s="1294"/>
      <c r="AM626" s="1294"/>
      <c r="AN626" s="1295"/>
      <c r="AO626" s="1170" t="s">
        <v>740</v>
      </c>
      <c r="AP626" s="1170"/>
      <c r="AQ626" s="1170"/>
      <c r="AR626" s="1170"/>
      <c r="AS626" s="1170"/>
      <c r="AT626" s="41"/>
      <c r="AU626" s="41"/>
      <c r="AV626" s="41"/>
      <c r="AW626" s="41"/>
      <c r="AX626" s="41"/>
      <c r="AY626" s="41"/>
      <c r="AZ626" s="41"/>
      <c r="BE626" s="1112">
        <f t="shared" si="18"/>
        <v>0</v>
      </c>
      <c r="BF626" s="1113"/>
      <c r="BG626" s="1106">
        <f t="shared" si="19"/>
        <v>0</v>
      </c>
      <c r="BH626" s="1109"/>
      <c r="BI626" s="1112">
        <f t="shared" si="20"/>
        <v>0</v>
      </c>
      <c r="BJ626" s="1113"/>
      <c r="BK626" s="1106">
        <f t="shared" si="21"/>
        <v>0</v>
      </c>
      <c r="BL626" s="1109"/>
      <c r="BN626" s="1106">
        <f t="shared" si="4"/>
        <v>0</v>
      </c>
      <c r="BO626" s="1107"/>
      <c r="BP626" s="1107"/>
      <c r="BQ626" s="1107"/>
      <c r="BR626" s="1108"/>
      <c r="BS626" s="1106">
        <f t="shared" si="5"/>
        <v>0</v>
      </c>
      <c r="BT626" s="1107"/>
      <c r="BU626" s="1107"/>
      <c r="BV626" s="1107"/>
      <c r="BW626" s="1109"/>
      <c r="BX626" s="1106">
        <f t="shared" si="6"/>
        <v>0</v>
      </c>
      <c r="BY626" s="1107"/>
      <c r="BZ626" s="1107"/>
      <c r="CA626" s="1107"/>
      <c r="CB626" s="1109"/>
      <c r="CC626" s="1106">
        <f t="shared" si="7"/>
        <v>0</v>
      </c>
      <c r="CD626" s="1107"/>
      <c r="CE626" s="1107"/>
      <c r="CF626" s="1107"/>
      <c r="CG626" s="1109"/>
      <c r="CH626" s="1106">
        <f t="shared" si="8"/>
        <v>0</v>
      </c>
      <c r="CI626" s="1107"/>
      <c r="CJ626" s="1107"/>
      <c r="CK626" s="1107"/>
      <c r="CL626" s="1109"/>
      <c r="CM626" s="1110">
        <f t="shared" si="9"/>
        <v>0</v>
      </c>
      <c r="CN626" s="1111"/>
      <c r="CO626" s="1111"/>
      <c r="CP626" s="1111"/>
      <c r="CQ626" s="1108"/>
      <c r="CS626" s="1103">
        <f t="shared" si="22"/>
        <v>0</v>
      </c>
      <c r="CT626" s="1104"/>
      <c r="CU626" s="1104"/>
      <c r="CV626" s="1104"/>
      <c r="CW626" s="1105"/>
      <c r="CX626" s="1103">
        <f t="shared" si="23"/>
        <v>0</v>
      </c>
      <c r="CY626" s="1104"/>
      <c r="CZ626" s="1104"/>
      <c r="DA626" s="1104"/>
      <c r="DB626" s="1105"/>
      <c r="DC626" s="1103">
        <f t="shared" si="24"/>
        <v>0</v>
      </c>
      <c r="DD626" s="1104"/>
      <c r="DE626" s="1104"/>
      <c r="DF626" s="1104"/>
      <c r="DG626" s="1105"/>
      <c r="DH626" s="1103">
        <f t="shared" si="25"/>
        <v>0</v>
      </c>
      <c r="DI626" s="1104"/>
      <c r="DJ626" s="1104"/>
      <c r="DK626" s="1104"/>
      <c r="DL626" s="1105"/>
      <c r="DM626" s="1103">
        <f t="shared" si="26"/>
        <v>0</v>
      </c>
      <c r="DN626" s="1104"/>
      <c r="DO626" s="1104"/>
      <c r="DP626" s="1104"/>
      <c r="DQ626" s="1105"/>
      <c r="DR626" s="1103">
        <f t="shared" si="27"/>
        <v>0</v>
      </c>
      <c r="DS626" s="1104"/>
      <c r="DT626" s="1104"/>
      <c r="DU626" s="1104"/>
      <c r="DV626" s="1105"/>
    </row>
    <row r="627" spans="2:126" ht="12.9" customHeight="1">
      <c r="B627" s="1125"/>
      <c r="C627" s="1126"/>
      <c r="D627" s="1126"/>
      <c r="E627" s="1126"/>
      <c r="F627" s="1126"/>
      <c r="G627" s="1126"/>
      <c r="H627" s="1126"/>
      <c r="I627" s="1126"/>
      <c r="J627" s="1126"/>
      <c r="K627" s="1126"/>
      <c r="L627" s="1126"/>
      <c r="M627" s="1170"/>
      <c r="N627" s="1170"/>
      <c r="O627" s="1170"/>
      <c r="P627" s="1170"/>
      <c r="Q627" s="1287"/>
      <c r="R627" s="1288"/>
      <c r="S627" s="1289"/>
      <c r="T627" s="1287"/>
      <c r="U627" s="1288"/>
      <c r="V627" s="1289"/>
      <c r="W627" s="1417"/>
      <c r="X627" s="1417"/>
      <c r="Y627" s="1418"/>
      <c r="Z627" s="1170"/>
      <c r="AA627" s="1170"/>
      <c r="AB627" s="1170"/>
      <c r="AC627" s="1409"/>
      <c r="AD627" s="1410"/>
      <c r="AE627" s="1411"/>
      <c r="AF627" s="1287"/>
      <c r="AG627" s="1288"/>
      <c r="AH627" s="1288"/>
      <c r="AI627" s="1288"/>
      <c r="AJ627" s="1289"/>
      <c r="AK627" s="1296"/>
      <c r="AL627" s="1297"/>
      <c r="AM627" s="1297"/>
      <c r="AN627" s="1298"/>
      <c r="AO627" s="1170"/>
      <c r="AP627" s="1170"/>
      <c r="AQ627" s="1170"/>
      <c r="AR627" s="1170"/>
      <c r="AS627" s="1170"/>
      <c r="AT627" s="41"/>
      <c r="AU627" s="41"/>
      <c r="AV627" s="41"/>
      <c r="AW627" s="41"/>
      <c r="AX627" s="41"/>
      <c r="AY627" s="41"/>
      <c r="AZ627" s="41"/>
      <c r="BE627" s="1112">
        <f t="shared" si="18"/>
        <v>0</v>
      </c>
      <c r="BF627" s="1113"/>
      <c r="BG627" s="1106">
        <f t="shared" si="19"/>
        <v>0</v>
      </c>
      <c r="BH627" s="1109"/>
      <c r="BI627" s="1112">
        <f t="shared" si="20"/>
        <v>0</v>
      </c>
      <c r="BJ627" s="1113"/>
      <c r="BK627" s="1106">
        <f t="shared" si="21"/>
        <v>0</v>
      </c>
      <c r="BL627" s="1109"/>
      <c r="BN627" s="1106">
        <f t="shared" si="4"/>
        <v>0</v>
      </c>
      <c r="BO627" s="1107"/>
      <c r="BP627" s="1107"/>
      <c r="BQ627" s="1107"/>
      <c r="BR627" s="1108"/>
      <c r="BS627" s="1106">
        <f t="shared" si="5"/>
        <v>0</v>
      </c>
      <c r="BT627" s="1107"/>
      <c r="BU627" s="1107"/>
      <c r="BV627" s="1107"/>
      <c r="BW627" s="1109"/>
      <c r="BX627" s="1106">
        <f t="shared" si="6"/>
        <v>0</v>
      </c>
      <c r="BY627" s="1107"/>
      <c r="BZ627" s="1107"/>
      <c r="CA627" s="1107"/>
      <c r="CB627" s="1109"/>
      <c r="CC627" s="1106">
        <f t="shared" si="7"/>
        <v>0</v>
      </c>
      <c r="CD627" s="1107"/>
      <c r="CE627" s="1107"/>
      <c r="CF627" s="1107"/>
      <c r="CG627" s="1109"/>
      <c r="CH627" s="1106">
        <f t="shared" si="8"/>
        <v>0</v>
      </c>
      <c r="CI627" s="1107"/>
      <c r="CJ627" s="1107"/>
      <c r="CK627" s="1107"/>
      <c r="CL627" s="1109"/>
      <c r="CM627" s="1110">
        <f t="shared" si="9"/>
        <v>0</v>
      </c>
      <c r="CN627" s="1111"/>
      <c r="CO627" s="1111"/>
      <c r="CP627" s="1111"/>
      <c r="CQ627" s="1108"/>
      <c r="CS627" s="1103">
        <f t="shared" si="22"/>
        <v>0</v>
      </c>
      <c r="CT627" s="1104"/>
      <c r="CU627" s="1104"/>
      <c r="CV627" s="1104"/>
      <c r="CW627" s="1105"/>
      <c r="CX627" s="1103">
        <f t="shared" si="23"/>
        <v>0</v>
      </c>
      <c r="CY627" s="1104"/>
      <c r="CZ627" s="1104"/>
      <c r="DA627" s="1104"/>
      <c r="DB627" s="1105"/>
      <c r="DC627" s="1103">
        <f t="shared" si="24"/>
        <v>0</v>
      </c>
      <c r="DD627" s="1104"/>
      <c r="DE627" s="1104"/>
      <c r="DF627" s="1104"/>
      <c r="DG627" s="1105"/>
      <c r="DH627" s="1103">
        <f t="shared" si="25"/>
        <v>0</v>
      </c>
      <c r="DI627" s="1104"/>
      <c r="DJ627" s="1104"/>
      <c r="DK627" s="1104"/>
      <c r="DL627" s="1105"/>
      <c r="DM627" s="1103">
        <f t="shared" si="26"/>
        <v>0</v>
      </c>
      <c r="DN627" s="1104"/>
      <c r="DO627" s="1104"/>
      <c r="DP627" s="1104"/>
      <c r="DQ627" s="1105"/>
      <c r="DR627" s="1103">
        <f t="shared" si="27"/>
        <v>0</v>
      </c>
      <c r="DS627" s="1104"/>
      <c r="DT627" s="1104"/>
      <c r="DU627" s="1104"/>
      <c r="DV627" s="1105"/>
    </row>
    <row r="628" spans="2:126" ht="12.9" customHeight="1">
      <c r="B628" s="1127"/>
      <c r="C628" s="1128"/>
      <c r="D628" s="1128"/>
      <c r="E628" s="1128"/>
      <c r="F628" s="1128"/>
      <c r="G628" s="1128"/>
      <c r="H628" s="1128"/>
      <c r="I628" s="1128"/>
      <c r="J628" s="1128"/>
      <c r="K628" s="1128"/>
      <c r="L628" s="1128"/>
      <c r="M628" s="1170"/>
      <c r="N628" s="1170"/>
      <c r="O628" s="1170"/>
      <c r="P628" s="1170"/>
      <c r="Q628" s="1290"/>
      <c r="R628" s="1291"/>
      <c r="S628" s="1292"/>
      <c r="T628" s="1290"/>
      <c r="U628" s="1291"/>
      <c r="V628" s="1292"/>
      <c r="W628" s="1419"/>
      <c r="X628" s="1419"/>
      <c r="Y628" s="1420"/>
      <c r="Z628" s="1170"/>
      <c r="AA628" s="1170"/>
      <c r="AB628" s="1170"/>
      <c r="AC628" s="1412"/>
      <c r="AD628" s="1413"/>
      <c r="AE628" s="1414"/>
      <c r="AF628" s="1290"/>
      <c r="AG628" s="1291"/>
      <c r="AH628" s="1291"/>
      <c r="AI628" s="1291"/>
      <c r="AJ628" s="1292"/>
      <c r="AK628" s="1299"/>
      <c r="AL628" s="1300"/>
      <c r="AM628" s="1300"/>
      <c r="AN628" s="1301"/>
      <c r="AO628" s="1170"/>
      <c r="AP628" s="1170"/>
      <c r="AQ628" s="1170"/>
      <c r="AR628" s="1170"/>
      <c r="AS628" s="1170"/>
      <c r="AT628" s="43"/>
      <c r="AU628" s="43"/>
      <c r="AV628" s="43"/>
      <c r="AW628" s="43"/>
      <c r="AX628" s="43"/>
      <c r="AY628" s="43"/>
      <c r="AZ628" s="43"/>
      <c r="BE628" s="1112">
        <f t="shared" si="18"/>
        <v>0</v>
      </c>
      <c r="BF628" s="1113"/>
      <c r="BG628" s="1106">
        <f t="shared" si="19"/>
        <v>0</v>
      </c>
      <c r="BH628" s="1109"/>
      <c r="BI628" s="1112">
        <f t="shared" si="20"/>
        <v>0</v>
      </c>
      <c r="BJ628" s="1113"/>
      <c r="BK628" s="1106">
        <f t="shared" si="21"/>
        <v>0</v>
      </c>
      <c r="BL628" s="1109"/>
      <c r="BN628" s="1106">
        <f t="shared" si="4"/>
        <v>0</v>
      </c>
      <c r="BO628" s="1107"/>
      <c r="BP628" s="1107"/>
      <c r="BQ628" s="1107"/>
      <c r="BR628" s="1108"/>
      <c r="BS628" s="1106">
        <f t="shared" si="5"/>
        <v>0</v>
      </c>
      <c r="BT628" s="1107"/>
      <c r="BU628" s="1107"/>
      <c r="BV628" s="1107"/>
      <c r="BW628" s="1109"/>
      <c r="BX628" s="1106">
        <f t="shared" si="6"/>
        <v>0</v>
      </c>
      <c r="BY628" s="1107"/>
      <c r="BZ628" s="1107"/>
      <c r="CA628" s="1107"/>
      <c r="CB628" s="1109"/>
      <c r="CC628" s="1106">
        <f t="shared" si="7"/>
        <v>0</v>
      </c>
      <c r="CD628" s="1107"/>
      <c r="CE628" s="1107"/>
      <c r="CF628" s="1107"/>
      <c r="CG628" s="1109"/>
      <c r="CH628" s="1106">
        <f t="shared" si="8"/>
        <v>0</v>
      </c>
      <c r="CI628" s="1107"/>
      <c r="CJ628" s="1107"/>
      <c r="CK628" s="1107"/>
      <c r="CL628" s="1109"/>
      <c r="CM628" s="1110">
        <f t="shared" si="9"/>
        <v>0</v>
      </c>
      <c r="CN628" s="1111"/>
      <c r="CO628" s="1111"/>
      <c r="CP628" s="1111"/>
      <c r="CQ628" s="1108"/>
      <c r="CS628" s="1103">
        <f t="shared" si="22"/>
        <v>0</v>
      </c>
      <c r="CT628" s="1104"/>
      <c r="CU628" s="1104"/>
      <c r="CV628" s="1104"/>
      <c r="CW628" s="1105"/>
      <c r="CX628" s="1103">
        <f t="shared" si="23"/>
        <v>0</v>
      </c>
      <c r="CY628" s="1104"/>
      <c r="CZ628" s="1104"/>
      <c r="DA628" s="1104"/>
      <c r="DB628" s="1105"/>
      <c r="DC628" s="1103">
        <f t="shared" si="24"/>
        <v>0</v>
      </c>
      <c r="DD628" s="1104"/>
      <c r="DE628" s="1104"/>
      <c r="DF628" s="1104"/>
      <c r="DG628" s="1105"/>
      <c r="DH628" s="1103">
        <f t="shared" si="25"/>
        <v>0</v>
      </c>
      <c r="DI628" s="1104"/>
      <c r="DJ628" s="1104"/>
      <c r="DK628" s="1104"/>
      <c r="DL628" s="1105"/>
      <c r="DM628" s="1103">
        <f t="shared" si="26"/>
        <v>0</v>
      </c>
      <c r="DN628" s="1104"/>
      <c r="DO628" s="1104"/>
      <c r="DP628" s="1104"/>
      <c r="DQ628" s="1105"/>
      <c r="DR628" s="1103">
        <f t="shared" si="27"/>
        <v>0</v>
      </c>
      <c r="DS628" s="1104"/>
      <c r="DT628" s="1104"/>
      <c r="DU628" s="1104"/>
      <c r="DV628" s="1105"/>
    </row>
    <row r="629" spans="2:126" ht="12.9" customHeight="1">
      <c r="B629" s="57" t="s">
        <v>899</v>
      </c>
      <c r="C629" s="1114" t="s">
        <v>2446</v>
      </c>
      <c r="D629" s="1114"/>
      <c r="E629" s="1114"/>
      <c r="F629" s="1114"/>
      <c r="G629" s="1114"/>
      <c r="H629" s="1114"/>
      <c r="I629" s="1114"/>
      <c r="J629" s="1114"/>
      <c r="K629" s="1114"/>
      <c r="L629" s="1114"/>
      <c r="M629" s="1135" t="s">
        <v>2162</v>
      </c>
      <c r="N629" s="1135"/>
      <c r="O629" s="1135"/>
      <c r="P629" s="1135"/>
      <c r="Q629" s="1136">
        <f>15*12</f>
        <v>180</v>
      </c>
      <c r="R629" s="1137"/>
      <c r="S629" s="1138"/>
      <c r="T629" s="1365">
        <f>15*12</f>
        <v>180</v>
      </c>
      <c r="U629" s="1366"/>
      <c r="V629" s="1367"/>
      <c r="W629" s="1368">
        <v>7.4300000000000005E-2</v>
      </c>
      <c r="X629" s="1369"/>
      <c r="Y629" s="1370"/>
      <c r="Z629" s="1132" t="s">
        <v>2180</v>
      </c>
      <c r="AA629" s="1133"/>
      <c r="AB629" s="1134"/>
      <c r="AC629" s="1302">
        <v>1</v>
      </c>
      <c r="AD629" s="1303"/>
      <c r="AE629" s="1304"/>
      <c r="AF629" s="1192">
        <v>161495</v>
      </c>
      <c r="AG629" s="1193"/>
      <c r="AH629" s="1193"/>
      <c r="AI629" s="1193"/>
      <c r="AJ629" s="1194"/>
      <c r="AK629" s="1129"/>
      <c r="AL629" s="1130"/>
      <c r="AM629" s="1130"/>
      <c r="AN629" s="1131"/>
      <c r="AO629" s="1185">
        <v>1458000</v>
      </c>
      <c r="AP629" s="1185"/>
      <c r="AQ629" s="1185"/>
      <c r="AR629" s="1185"/>
      <c r="AS629" s="1185"/>
      <c r="AT629" s="941" t="str">
        <f t="shared" ref="AT629:AT640" si="28">IF(AND(NOT(C628=""),C629="",NOT(C630="")),"!","")</f>
        <v/>
      </c>
      <c r="AU629" s="43"/>
      <c r="AV629" s="43"/>
      <c r="AW629" s="43"/>
      <c r="AX629" s="43"/>
      <c r="AY629" s="43"/>
      <c r="BA629" s="41" t="s">
        <v>1964</v>
      </c>
      <c r="BC629" s="43"/>
      <c r="BD629" s="43"/>
      <c r="BE629" s="1112">
        <f t="shared" si="18"/>
        <v>0</v>
      </c>
      <c r="BF629" s="1113"/>
      <c r="BG629" s="1106">
        <f t="shared" si="19"/>
        <v>0</v>
      </c>
      <c r="BH629" s="1109"/>
      <c r="BI629" s="1112">
        <f t="shared" si="20"/>
        <v>0</v>
      </c>
      <c r="BJ629" s="1113"/>
      <c r="BK629" s="1106">
        <f t="shared" si="21"/>
        <v>0</v>
      </c>
      <c r="BL629" s="1109"/>
      <c r="BN629" s="1106">
        <f t="shared" si="4"/>
        <v>0</v>
      </c>
      <c r="BO629" s="1107"/>
      <c r="BP629" s="1107"/>
      <c r="BQ629" s="1107"/>
      <c r="BR629" s="1108"/>
      <c r="BS629" s="1106">
        <f t="shared" si="5"/>
        <v>0</v>
      </c>
      <c r="BT629" s="1107"/>
      <c r="BU629" s="1107"/>
      <c r="BV629" s="1107"/>
      <c r="BW629" s="1109"/>
      <c r="BX629" s="1106">
        <f t="shared" si="6"/>
        <v>0</v>
      </c>
      <c r="BY629" s="1107"/>
      <c r="BZ629" s="1107"/>
      <c r="CA629" s="1107"/>
      <c r="CB629" s="1109"/>
      <c r="CC629" s="1106">
        <f t="shared" si="7"/>
        <v>0</v>
      </c>
      <c r="CD629" s="1107"/>
      <c r="CE629" s="1107"/>
      <c r="CF629" s="1107"/>
      <c r="CG629" s="1109"/>
      <c r="CH629" s="1106">
        <f t="shared" si="8"/>
        <v>0</v>
      </c>
      <c r="CI629" s="1107"/>
      <c r="CJ629" s="1107"/>
      <c r="CK629" s="1107"/>
      <c r="CL629" s="1109"/>
      <c r="CM629" s="1110">
        <f t="shared" si="9"/>
        <v>0</v>
      </c>
      <c r="CN629" s="1111"/>
      <c r="CO629" s="1111"/>
      <c r="CP629" s="1111"/>
      <c r="CQ629" s="1108"/>
      <c r="CS629" s="1103">
        <f t="shared" si="22"/>
        <v>0</v>
      </c>
      <c r="CT629" s="1104"/>
      <c r="CU629" s="1104"/>
      <c r="CV629" s="1104"/>
      <c r="CW629" s="1105"/>
      <c r="CX629" s="1103">
        <f t="shared" si="23"/>
        <v>0</v>
      </c>
      <c r="CY629" s="1104"/>
      <c r="CZ629" s="1104"/>
      <c r="DA629" s="1104"/>
      <c r="DB629" s="1105"/>
      <c r="DC629" s="1103">
        <f t="shared" si="24"/>
        <v>0</v>
      </c>
      <c r="DD629" s="1104"/>
      <c r="DE629" s="1104"/>
      <c r="DF629" s="1104"/>
      <c r="DG629" s="1105"/>
      <c r="DH629" s="1103">
        <f t="shared" si="25"/>
        <v>0</v>
      </c>
      <c r="DI629" s="1104"/>
      <c r="DJ629" s="1104"/>
      <c r="DK629" s="1104"/>
      <c r="DL629" s="1105"/>
      <c r="DM629" s="1103">
        <f t="shared" si="26"/>
        <v>0</v>
      </c>
      <c r="DN629" s="1104"/>
      <c r="DO629" s="1104"/>
      <c r="DP629" s="1104"/>
      <c r="DQ629" s="1105"/>
      <c r="DR629" s="1103">
        <f t="shared" si="27"/>
        <v>0</v>
      </c>
      <c r="DS629" s="1104"/>
      <c r="DT629" s="1104"/>
      <c r="DU629" s="1104"/>
      <c r="DV629" s="1105"/>
    </row>
    <row r="630" spans="2:126" ht="12.9" customHeight="1">
      <c r="B630" s="58" t="s">
        <v>900</v>
      </c>
      <c r="C630" s="1114" t="s">
        <v>2420</v>
      </c>
      <c r="D630" s="1114"/>
      <c r="E630" s="1114"/>
      <c r="F630" s="1114"/>
      <c r="G630" s="1114"/>
      <c r="H630" s="1114"/>
      <c r="I630" s="1114"/>
      <c r="J630" s="1114"/>
      <c r="K630" s="1114"/>
      <c r="L630" s="1114"/>
      <c r="M630" s="1135" t="s">
        <v>2164</v>
      </c>
      <c r="N630" s="1135"/>
      <c r="O630" s="1135"/>
      <c r="P630" s="1135"/>
      <c r="Q630" s="1136">
        <f>55*12</f>
        <v>660</v>
      </c>
      <c r="R630" s="1137"/>
      <c r="S630" s="1138"/>
      <c r="T630" s="1365"/>
      <c r="U630" s="1366"/>
      <c r="V630" s="1367"/>
      <c r="W630" s="1368">
        <v>0.03</v>
      </c>
      <c r="X630" s="1369"/>
      <c r="Y630" s="1370"/>
      <c r="Z630" s="1132" t="s">
        <v>787</v>
      </c>
      <c r="AA630" s="1133"/>
      <c r="AB630" s="1134"/>
      <c r="AC630" s="1302">
        <v>2</v>
      </c>
      <c r="AD630" s="1303"/>
      <c r="AE630" s="1304"/>
      <c r="AF630" s="1192"/>
      <c r="AG630" s="1193"/>
      <c r="AH630" s="1193"/>
      <c r="AI630" s="1193"/>
      <c r="AJ630" s="1194"/>
      <c r="AK630" s="1129"/>
      <c r="AL630" s="1130"/>
      <c r="AM630" s="1130"/>
      <c r="AN630" s="1131"/>
      <c r="AO630" s="1185">
        <f>AM558</f>
        <v>3392621</v>
      </c>
      <c r="AP630" s="1185"/>
      <c r="AQ630" s="1185"/>
      <c r="AR630" s="1185"/>
      <c r="AS630" s="1185"/>
      <c r="AT630" s="941" t="str">
        <f t="shared" si="28"/>
        <v/>
      </c>
      <c r="AU630" s="43"/>
      <c r="AV630" s="43"/>
      <c r="AW630" s="43"/>
      <c r="AX630" s="43"/>
      <c r="AY630" s="43"/>
      <c r="BA630" s="41" t="s">
        <v>788</v>
      </c>
      <c r="BC630" s="43"/>
      <c r="BD630" s="43"/>
      <c r="BE630" s="1112">
        <f t="shared" si="18"/>
        <v>0</v>
      </c>
      <c r="BF630" s="1113"/>
      <c r="BG630" s="1106">
        <f t="shared" si="19"/>
        <v>0</v>
      </c>
      <c r="BH630" s="1109"/>
      <c r="BI630" s="1112">
        <f t="shared" si="20"/>
        <v>0</v>
      </c>
      <c r="BJ630" s="1113"/>
      <c r="BK630" s="1106">
        <f t="shared" si="21"/>
        <v>0</v>
      </c>
      <c r="BL630" s="1109"/>
      <c r="BN630" s="1106">
        <f t="shared" si="4"/>
        <v>0</v>
      </c>
      <c r="BO630" s="1107"/>
      <c r="BP630" s="1107"/>
      <c r="BQ630" s="1107"/>
      <c r="BR630" s="1108"/>
      <c r="BS630" s="1106">
        <f t="shared" si="5"/>
        <v>0</v>
      </c>
      <c r="BT630" s="1107"/>
      <c r="BU630" s="1107"/>
      <c r="BV630" s="1107"/>
      <c r="BW630" s="1109"/>
      <c r="BX630" s="1106">
        <f t="shared" si="6"/>
        <v>0</v>
      </c>
      <c r="BY630" s="1107"/>
      <c r="BZ630" s="1107"/>
      <c r="CA630" s="1107"/>
      <c r="CB630" s="1109"/>
      <c r="CC630" s="1106">
        <f t="shared" si="7"/>
        <v>0</v>
      </c>
      <c r="CD630" s="1107"/>
      <c r="CE630" s="1107"/>
      <c r="CF630" s="1107"/>
      <c r="CG630" s="1109"/>
      <c r="CH630" s="1106">
        <f t="shared" si="8"/>
        <v>0</v>
      </c>
      <c r="CI630" s="1107"/>
      <c r="CJ630" s="1107"/>
      <c r="CK630" s="1107"/>
      <c r="CL630" s="1109"/>
      <c r="CM630" s="1110">
        <f t="shared" si="9"/>
        <v>0</v>
      </c>
      <c r="CN630" s="1111"/>
      <c r="CO630" s="1111"/>
      <c r="CP630" s="1111"/>
      <c r="CQ630" s="1108"/>
      <c r="CS630" s="1103">
        <f t="shared" si="22"/>
        <v>0</v>
      </c>
      <c r="CT630" s="1104"/>
      <c r="CU630" s="1104"/>
      <c r="CV630" s="1104"/>
      <c r="CW630" s="1105"/>
      <c r="CX630" s="1103">
        <f t="shared" si="23"/>
        <v>0</v>
      </c>
      <c r="CY630" s="1104"/>
      <c r="CZ630" s="1104"/>
      <c r="DA630" s="1104"/>
      <c r="DB630" s="1105"/>
      <c r="DC630" s="1103">
        <f t="shared" si="24"/>
        <v>0</v>
      </c>
      <c r="DD630" s="1104"/>
      <c r="DE630" s="1104"/>
      <c r="DF630" s="1104"/>
      <c r="DG630" s="1105"/>
      <c r="DH630" s="1103">
        <f t="shared" si="25"/>
        <v>0</v>
      </c>
      <c r="DI630" s="1104"/>
      <c r="DJ630" s="1104"/>
      <c r="DK630" s="1104"/>
      <c r="DL630" s="1105"/>
      <c r="DM630" s="1103">
        <f t="shared" si="26"/>
        <v>0</v>
      </c>
      <c r="DN630" s="1104"/>
      <c r="DO630" s="1104"/>
      <c r="DP630" s="1104"/>
      <c r="DQ630" s="1105"/>
      <c r="DR630" s="1103">
        <f t="shared" si="27"/>
        <v>0</v>
      </c>
      <c r="DS630" s="1104"/>
      <c r="DT630" s="1104"/>
      <c r="DU630" s="1104"/>
      <c r="DV630" s="1105"/>
    </row>
    <row r="631" spans="2:126" ht="12.9" customHeight="1">
      <c r="B631" s="58" t="s">
        <v>906</v>
      </c>
      <c r="C631" s="1114" t="s">
        <v>2422</v>
      </c>
      <c r="D631" s="1114"/>
      <c r="E631" s="1114"/>
      <c r="F631" s="1114"/>
      <c r="G631" s="1114"/>
      <c r="H631" s="1114"/>
      <c r="I631" s="1114"/>
      <c r="J631" s="1114"/>
      <c r="K631" s="1114"/>
      <c r="L631" s="1114"/>
      <c r="M631" s="1135" t="s">
        <v>2164</v>
      </c>
      <c r="N631" s="1135"/>
      <c r="O631" s="1135"/>
      <c r="P631" s="1135"/>
      <c r="Q631" s="1136">
        <f t="shared" ref="Q631:Q632" si="29">55*12</f>
        <v>660</v>
      </c>
      <c r="R631" s="1137"/>
      <c r="S631" s="1138"/>
      <c r="T631" s="1365"/>
      <c r="U631" s="1366"/>
      <c r="V631" s="1367"/>
      <c r="W631" s="1368">
        <v>0.03</v>
      </c>
      <c r="X631" s="1369"/>
      <c r="Y631" s="1370"/>
      <c r="Z631" s="1132" t="s">
        <v>787</v>
      </c>
      <c r="AA631" s="1133"/>
      <c r="AB631" s="1134"/>
      <c r="AC631" s="1302">
        <v>3</v>
      </c>
      <c r="AD631" s="1303"/>
      <c r="AE631" s="1304"/>
      <c r="AF631" s="1192"/>
      <c r="AG631" s="1193"/>
      <c r="AH631" s="1193"/>
      <c r="AI631" s="1193"/>
      <c r="AJ631" s="1194"/>
      <c r="AK631" s="1129"/>
      <c r="AL631" s="1130"/>
      <c r="AM631" s="1130"/>
      <c r="AN631" s="1131"/>
      <c r="AO631" s="1185">
        <f t="shared" ref="AO631:AO633" si="30">AM559</f>
        <v>2497538</v>
      </c>
      <c r="AP631" s="1185"/>
      <c r="AQ631" s="1185"/>
      <c r="AR631" s="1185"/>
      <c r="AS631" s="1185"/>
      <c r="AT631" s="941" t="str">
        <f t="shared" si="28"/>
        <v/>
      </c>
      <c r="AU631" s="43"/>
      <c r="AV631" s="43"/>
      <c r="AW631" s="43"/>
      <c r="AX631" s="43"/>
      <c r="AY631" s="43"/>
      <c r="AZ631" s="43"/>
      <c r="BA631" s="41" t="s">
        <v>787</v>
      </c>
      <c r="BB631" s="43"/>
      <c r="BC631" s="43"/>
      <c r="BD631" s="43"/>
      <c r="BE631" s="1112">
        <f t="shared" si="18"/>
        <v>0</v>
      </c>
      <c r="BF631" s="1113"/>
      <c r="BG631" s="1106">
        <f t="shared" si="19"/>
        <v>0</v>
      </c>
      <c r="BH631" s="1109"/>
      <c r="BI631" s="1112">
        <f t="shared" si="20"/>
        <v>0</v>
      </c>
      <c r="BJ631" s="1113"/>
      <c r="BK631" s="1106">
        <f t="shared" si="21"/>
        <v>0</v>
      </c>
      <c r="BL631" s="1109"/>
      <c r="BN631" s="1106">
        <f t="shared" si="4"/>
        <v>0</v>
      </c>
      <c r="BO631" s="1107"/>
      <c r="BP631" s="1107"/>
      <c r="BQ631" s="1107"/>
      <c r="BR631" s="1108"/>
      <c r="BS631" s="1106">
        <f t="shared" si="5"/>
        <v>0</v>
      </c>
      <c r="BT631" s="1107"/>
      <c r="BU631" s="1107"/>
      <c r="BV631" s="1107"/>
      <c r="BW631" s="1109"/>
      <c r="BX631" s="1106">
        <f t="shared" si="6"/>
        <v>0</v>
      </c>
      <c r="BY631" s="1107"/>
      <c r="BZ631" s="1107"/>
      <c r="CA631" s="1107"/>
      <c r="CB631" s="1109"/>
      <c r="CC631" s="1106">
        <f t="shared" si="7"/>
        <v>0</v>
      </c>
      <c r="CD631" s="1107"/>
      <c r="CE631" s="1107"/>
      <c r="CF631" s="1107"/>
      <c r="CG631" s="1109"/>
      <c r="CH631" s="1106">
        <f t="shared" si="8"/>
        <v>0</v>
      </c>
      <c r="CI631" s="1107"/>
      <c r="CJ631" s="1107"/>
      <c r="CK631" s="1107"/>
      <c r="CL631" s="1109"/>
      <c r="CM631" s="1110">
        <f t="shared" si="9"/>
        <v>0</v>
      </c>
      <c r="CN631" s="1111"/>
      <c r="CO631" s="1111"/>
      <c r="CP631" s="1111"/>
      <c r="CQ631" s="1108"/>
      <c r="CS631" s="1103">
        <f t="shared" si="22"/>
        <v>0</v>
      </c>
      <c r="CT631" s="1104"/>
      <c r="CU631" s="1104"/>
      <c r="CV631" s="1104"/>
      <c r="CW631" s="1105"/>
      <c r="CX631" s="1103">
        <f t="shared" si="23"/>
        <v>0</v>
      </c>
      <c r="CY631" s="1104"/>
      <c r="CZ631" s="1104"/>
      <c r="DA631" s="1104"/>
      <c r="DB631" s="1105"/>
      <c r="DC631" s="1103">
        <f t="shared" si="24"/>
        <v>0</v>
      </c>
      <c r="DD631" s="1104"/>
      <c r="DE631" s="1104"/>
      <c r="DF631" s="1104"/>
      <c r="DG631" s="1105"/>
      <c r="DH631" s="1103">
        <f t="shared" si="25"/>
        <v>0</v>
      </c>
      <c r="DI631" s="1104"/>
      <c r="DJ631" s="1104"/>
      <c r="DK631" s="1104"/>
      <c r="DL631" s="1105"/>
      <c r="DM631" s="1103">
        <f t="shared" si="26"/>
        <v>0</v>
      </c>
      <c r="DN631" s="1104"/>
      <c r="DO631" s="1104"/>
      <c r="DP631" s="1104"/>
      <c r="DQ631" s="1105"/>
      <c r="DR631" s="1103">
        <f t="shared" si="27"/>
        <v>0</v>
      </c>
      <c r="DS631" s="1104"/>
      <c r="DT631" s="1104"/>
      <c r="DU631" s="1104"/>
      <c r="DV631" s="1105"/>
    </row>
    <row r="632" spans="2:126" ht="12.9" customHeight="1">
      <c r="B632" s="58" t="s">
        <v>430</v>
      </c>
      <c r="C632" s="1114" t="s">
        <v>2423</v>
      </c>
      <c r="D632" s="1114"/>
      <c r="E632" s="1114"/>
      <c r="F632" s="1114"/>
      <c r="G632" s="1114"/>
      <c r="H632" s="1114"/>
      <c r="I632" s="1114"/>
      <c r="J632" s="1114"/>
      <c r="K632" s="1114"/>
      <c r="L632" s="1114"/>
      <c r="M632" s="1135" t="s">
        <v>2164</v>
      </c>
      <c r="N632" s="1135"/>
      <c r="O632" s="1135"/>
      <c r="P632" s="1135"/>
      <c r="Q632" s="1136">
        <f t="shared" si="29"/>
        <v>660</v>
      </c>
      <c r="R632" s="1137"/>
      <c r="S632" s="1138"/>
      <c r="T632" s="1365"/>
      <c r="U632" s="1366"/>
      <c r="V632" s="1367"/>
      <c r="W632" s="1368">
        <v>0.03</v>
      </c>
      <c r="X632" s="1369"/>
      <c r="Y632" s="1370"/>
      <c r="Z632" s="1132" t="s">
        <v>787</v>
      </c>
      <c r="AA632" s="1133"/>
      <c r="AB632" s="1134"/>
      <c r="AC632" s="1302">
        <v>4</v>
      </c>
      <c r="AD632" s="1303"/>
      <c r="AE632" s="1304"/>
      <c r="AF632" s="1192"/>
      <c r="AG632" s="1193"/>
      <c r="AH632" s="1193"/>
      <c r="AI632" s="1193"/>
      <c r="AJ632" s="1194"/>
      <c r="AK632" s="1129"/>
      <c r="AL632" s="1130"/>
      <c r="AM632" s="1130"/>
      <c r="AN632" s="1131"/>
      <c r="AO632" s="1185">
        <f t="shared" si="30"/>
        <v>1608830</v>
      </c>
      <c r="AP632" s="1185"/>
      <c r="AQ632" s="1185"/>
      <c r="AR632" s="1185"/>
      <c r="AS632" s="1185"/>
      <c r="AT632" s="941" t="str">
        <f t="shared" si="28"/>
        <v/>
      </c>
      <c r="AU632" s="43"/>
      <c r="AV632" s="43"/>
      <c r="AW632" s="43"/>
      <c r="AX632" s="43"/>
      <c r="AY632" s="43"/>
      <c r="AZ632" s="43"/>
      <c r="BA632" s="41" t="s">
        <v>2180</v>
      </c>
      <c r="BE632" s="1112">
        <f t="shared" si="18"/>
        <v>0</v>
      </c>
      <c r="BF632" s="1113"/>
      <c r="BG632" s="1106">
        <f t="shared" si="19"/>
        <v>0</v>
      </c>
      <c r="BH632" s="1109"/>
      <c r="BI632" s="1112">
        <f t="shared" si="20"/>
        <v>0</v>
      </c>
      <c r="BJ632" s="1113"/>
      <c r="BK632" s="1106">
        <f t="shared" si="21"/>
        <v>0</v>
      </c>
      <c r="BL632" s="1109"/>
      <c r="BN632" s="1106">
        <f t="shared" si="4"/>
        <v>0</v>
      </c>
      <c r="BO632" s="1107"/>
      <c r="BP632" s="1107"/>
      <c r="BQ632" s="1107"/>
      <c r="BR632" s="1108"/>
      <c r="BS632" s="1106">
        <f t="shared" si="5"/>
        <v>0</v>
      </c>
      <c r="BT632" s="1107"/>
      <c r="BU632" s="1107"/>
      <c r="BV632" s="1107"/>
      <c r="BW632" s="1109"/>
      <c r="BX632" s="1106">
        <f t="shared" si="6"/>
        <v>0</v>
      </c>
      <c r="BY632" s="1107"/>
      <c r="BZ632" s="1107"/>
      <c r="CA632" s="1107"/>
      <c r="CB632" s="1109"/>
      <c r="CC632" s="1106">
        <f t="shared" si="7"/>
        <v>0</v>
      </c>
      <c r="CD632" s="1107"/>
      <c r="CE632" s="1107"/>
      <c r="CF632" s="1107"/>
      <c r="CG632" s="1109"/>
      <c r="CH632" s="1106">
        <f t="shared" si="8"/>
        <v>0</v>
      </c>
      <c r="CI632" s="1107"/>
      <c r="CJ632" s="1107"/>
      <c r="CK632" s="1107"/>
      <c r="CL632" s="1109"/>
      <c r="CM632" s="1110">
        <f t="shared" si="9"/>
        <v>0</v>
      </c>
      <c r="CN632" s="1111"/>
      <c r="CO632" s="1111"/>
      <c r="CP632" s="1111"/>
      <c r="CQ632" s="1108"/>
      <c r="CS632" s="1103">
        <f t="shared" si="22"/>
        <v>0</v>
      </c>
      <c r="CT632" s="1104"/>
      <c r="CU632" s="1104"/>
      <c r="CV632" s="1104"/>
      <c r="CW632" s="1105"/>
      <c r="CX632" s="1103">
        <f t="shared" si="23"/>
        <v>0</v>
      </c>
      <c r="CY632" s="1104"/>
      <c r="CZ632" s="1104"/>
      <c r="DA632" s="1104"/>
      <c r="DB632" s="1105"/>
      <c r="DC632" s="1103">
        <f t="shared" si="24"/>
        <v>0</v>
      </c>
      <c r="DD632" s="1104"/>
      <c r="DE632" s="1104"/>
      <c r="DF632" s="1104"/>
      <c r="DG632" s="1105"/>
      <c r="DH632" s="1103">
        <f t="shared" si="25"/>
        <v>0</v>
      </c>
      <c r="DI632" s="1104"/>
      <c r="DJ632" s="1104"/>
      <c r="DK632" s="1104"/>
      <c r="DL632" s="1105"/>
      <c r="DM632" s="1103">
        <f t="shared" si="26"/>
        <v>0</v>
      </c>
      <c r="DN632" s="1104"/>
      <c r="DO632" s="1104"/>
      <c r="DP632" s="1104"/>
      <c r="DQ632" s="1105"/>
      <c r="DR632" s="1103">
        <f t="shared" si="27"/>
        <v>0</v>
      </c>
      <c r="DS632" s="1104"/>
      <c r="DT632" s="1104"/>
      <c r="DU632" s="1104"/>
      <c r="DV632" s="1105"/>
    </row>
    <row r="633" spans="2:126" ht="12.9" customHeight="1">
      <c r="B633" s="58" t="s">
        <v>170</v>
      </c>
      <c r="C633" s="1114" t="s">
        <v>2270</v>
      </c>
      <c r="D633" s="1114"/>
      <c r="E633" s="1114"/>
      <c r="F633" s="1114"/>
      <c r="G633" s="1114"/>
      <c r="H633" s="1114"/>
      <c r="I633" s="1114"/>
      <c r="J633" s="1114"/>
      <c r="K633" s="1114"/>
      <c r="L633" s="1114"/>
      <c r="M633" s="1135" t="s">
        <v>2161</v>
      </c>
      <c r="N633" s="1135"/>
      <c r="O633" s="1135"/>
      <c r="P633" s="1135"/>
      <c r="Q633" s="1136">
        <f>55*12</f>
        <v>660</v>
      </c>
      <c r="R633" s="1137"/>
      <c r="S633" s="1138"/>
      <c r="T633" s="1365"/>
      <c r="U633" s="1366"/>
      <c r="V633" s="1367"/>
      <c r="W633" s="1368">
        <v>0</v>
      </c>
      <c r="X633" s="1369"/>
      <c r="Y633" s="1370"/>
      <c r="Z633" s="1132" t="s">
        <v>787</v>
      </c>
      <c r="AA633" s="1133"/>
      <c r="AB633" s="1134"/>
      <c r="AC633" s="1302">
        <v>5</v>
      </c>
      <c r="AD633" s="1303"/>
      <c r="AE633" s="1304"/>
      <c r="AF633" s="1192"/>
      <c r="AG633" s="1193"/>
      <c r="AH633" s="1193"/>
      <c r="AI633" s="1193"/>
      <c r="AJ633" s="1194"/>
      <c r="AK633" s="1129"/>
      <c r="AL633" s="1130"/>
      <c r="AM633" s="1130"/>
      <c r="AN633" s="1131"/>
      <c r="AO633" s="1185">
        <f t="shared" si="30"/>
        <v>795000</v>
      </c>
      <c r="AP633" s="1185"/>
      <c r="AQ633" s="1185"/>
      <c r="AR633" s="1185"/>
      <c r="AS633" s="1185"/>
      <c r="AT633" s="941" t="str">
        <f t="shared" si="28"/>
        <v/>
      </c>
      <c r="AU633" s="43"/>
      <c r="AV633" s="43"/>
      <c r="AW633" s="43"/>
      <c r="AX633" s="43"/>
      <c r="AY633" s="43"/>
      <c r="AZ633" s="43"/>
      <c r="BA633" s="41" t="s">
        <v>498</v>
      </c>
      <c r="BE633" s="1112">
        <f t="shared" si="18"/>
        <v>0</v>
      </c>
      <c r="BF633" s="1113"/>
      <c r="BG633" s="1106">
        <f t="shared" si="19"/>
        <v>0</v>
      </c>
      <c r="BH633" s="1109"/>
      <c r="BI633" s="1112">
        <f t="shared" si="20"/>
        <v>0</v>
      </c>
      <c r="BJ633" s="1113"/>
      <c r="BK633" s="1106">
        <f t="shared" si="21"/>
        <v>0</v>
      </c>
      <c r="BL633" s="1109"/>
      <c r="BN633" s="1106">
        <f t="shared" si="4"/>
        <v>0</v>
      </c>
      <c r="BO633" s="1107"/>
      <c r="BP633" s="1107"/>
      <c r="BQ633" s="1107"/>
      <c r="BR633" s="1108"/>
      <c r="BS633" s="1106">
        <f t="shared" si="5"/>
        <v>0</v>
      </c>
      <c r="BT633" s="1107"/>
      <c r="BU633" s="1107"/>
      <c r="BV633" s="1107"/>
      <c r="BW633" s="1109"/>
      <c r="BX633" s="1106">
        <f t="shared" si="6"/>
        <v>0</v>
      </c>
      <c r="BY633" s="1107"/>
      <c r="BZ633" s="1107"/>
      <c r="CA633" s="1107"/>
      <c r="CB633" s="1109"/>
      <c r="CC633" s="1106">
        <f t="shared" si="7"/>
        <v>0</v>
      </c>
      <c r="CD633" s="1107"/>
      <c r="CE633" s="1107"/>
      <c r="CF633" s="1107"/>
      <c r="CG633" s="1109"/>
      <c r="CH633" s="1106">
        <f t="shared" si="8"/>
        <v>0</v>
      </c>
      <c r="CI633" s="1107"/>
      <c r="CJ633" s="1107"/>
      <c r="CK633" s="1107"/>
      <c r="CL633" s="1109"/>
      <c r="CM633" s="1110">
        <f t="shared" si="9"/>
        <v>0</v>
      </c>
      <c r="CN633" s="1111"/>
      <c r="CO633" s="1111"/>
      <c r="CP633" s="1111"/>
      <c r="CQ633" s="1108"/>
      <c r="CS633" s="1103">
        <f t="shared" si="22"/>
        <v>0</v>
      </c>
      <c r="CT633" s="1104"/>
      <c r="CU633" s="1104"/>
      <c r="CV633" s="1104"/>
      <c r="CW633" s="1105"/>
      <c r="CX633" s="1103">
        <f t="shared" si="23"/>
        <v>0</v>
      </c>
      <c r="CY633" s="1104"/>
      <c r="CZ633" s="1104"/>
      <c r="DA633" s="1104"/>
      <c r="DB633" s="1105"/>
      <c r="DC633" s="1103">
        <f t="shared" si="24"/>
        <v>0</v>
      </c>
      <c r="DD633" s="1104"/>
      <c r="DE633" s="1104"/>
      <c r="DF633" s="1104"/>
      <c r="DG633" s="1105"/>
      <c r="DH633" s="1103">
        <f t="shared" si="25"/>
        <v>0</v>
      </c>
      <c r="DI633" s="1104"/>
      <c r="DJ633" s="1104"/>
      <c r="DK633" s="1104"/>
      <c r="DL633" s="1105"/>
      <c r="DM633" s="1103">
        <f t="shared" si="26"/>
        <v>0</v>
      </c>
      <c r="DN633" s="1104"/>
      <c r="DO633" s="1104"/>
      <c r="DP633" s="1104"/>
      <c r="DQ633" s="1105"/>
      <c r="DR633" s="1103">
        <f t="shared" si="27"/>
        <v>0</v>
      </c>
      <c r="DS633" s="1104"/>
      <c r="DT633" s="1104"/>
      <c r="DU633" s="1104"/>
      <c r="DV633" s="1105"/>
    </row>
    <row r="634" spans="2:126" ht="12.9" customHeight="1">
      <c r="B634" s="58" t="s">
        <v>433</v>
      </c>
      <c r="C634" s="1114" t="s">
        <v>2424</v>
      </c>
      <c r="D634" s="1114"/>
      <c r="E634" s="1114"/>
      <c r="F634" s="1114"/>
      <c r="G634" s="1114"/>
      <c r="H634" s="1114"/>
      <c r="I634" s="1114"/>
      <c r="J634" s="1114"/>
      <c r="K634" s="1114"/>
      <c r="L634" s="1114"/>
      <c r="M634" s="1135" t="s">
        <v>2175</v>
      </c>
      <c r="N634" s="1135"/>
      <c r="O634" s="1135"/>
      <c r="P634" s="1135"/>
      <c r="Q634" s="1136"/>
      <c r="R634" s="1137"/>
      <c r="S634" s="1138"/>
      <c r="T634" s="1365"/>
      <c r="U634" s="1366"/>
      <c r="V634" s="1367"/>
      <c r="W634" s="1368"/>
      <c r="X634" s="1369"/>
      <c r="Y634" s="1370"/>
      <c r="Z634" s="1132" t="s">
        <v>1964</v>
      </c>
      <c r="AA634" s="1133"/>
      <c r="AB634" s="1134"/>
      <c r="AC634" s="1302"/>
      <c r="AD634" s="1303"/>
      <c r="AE634" s="1304"/>
      <c r="AF634" s="1192"/>
      <c r="AG634" s="1193"/>
      <c r="AH634" s="1193"/>
      <c r="AI634" s="1193"/>
      <c r="AJ634" s="1194"/>
      <c r="AK634" s="1129"/>
      <c r="AL634" s="1130"/>
      <c r="AM634" s="1130"/>
      <c r="AN634" s="1131"/>
      <c r="AO634" s="1185">
        <v>400000</v>
      </c>
      <c r="AP634" s="1185"/>
      <c r="AQ634" s="1185"/>
      <c r="AR634" s="1185"/>
      <c r="AS634" s="1185"/>
      <c r="AT634" s="941" t="str">
        <f t="shared" si="28"/>
        <v/>
      </c>
      <c r="AU634" s="43"/>
      <c r="AV634" s="43"/>
      <c r="AW634" s="43"/>
      <c r="AX634" s="43"/>
      <c r="AY634" s="43"/>
      <c r="AZ634" s="43"/>
      <c r="BE634" s="1112">
        <f>IF(AND(AH737&lt;=0.5,AH737&gt;=0.36),1,0)</f>
        <v>0</v>
      </c>
      <c r="BF634" s="1113"/>
      <c r="BG634" s="1106">
        <f>IF(BE634=1,G737,0)</f>
        <v>0</v>
      </c>
      <c r="BH634" s="1109"/>
      <c r="BI634" s="1112">
        <f>IF(AND(AH737&lt;=0.35,AH737&gt;0),1,0)</f>
        <v>0</v>
      </c>
      <c r="BJ634" s="1113"/>
      <c r="BK634" s="1106">
        <f>IF(BI634=1,G737,0)</f>
        <v>0</v>
      </c>
      <c r="BL634" s="1109"/>
      <c r="BN634" s="1112">
        <f>SUM(BN599:BR633)</f>
        <v>0</v>
      </c>
      <c r="BO634" s="1237"/>
      <c r="BP634" s="1237"/>
      <c r="BQ634" s="1237"/>
      <c r="BR634" s="1113"/>
      <c r="BS634" s="1112">
        <f>SUM(BS599:BW633)</f>
        <v>53</v>
      </c>
      <c r="BT634" s="1237"/>
      <c r="BU634" s="1237"/>
      <c r="BV634" s="1237"/>
      <c r="BW634" s="1113"/>
      <c r="BX634" s="1112">
        <f>SUM(BX599:CB633)</f>
        <v>0</v>
      </c>
      <c r="BY634" s="1237"/>
      <c r="BZ634" s="1237"/>
      <c r="CA634" s="1237"/>
      <c r="CB634" s="1113"/>
      <c r="CC634" s="1112">
        <f>SUM(CC599:CG633)</f>
        <v>0</v>
      </c>
      <c r="CD634" s="1237"/>
      <c r="CE634" s="1237"/>
      <c r="CF634" s="1237"/>
      <c r="CG634" s="1113"/>
      <c r="CH634" s="1112">
        <f>SUM(CH599:CL633)</f>
        <v>0</v>
      </c>
      <c r="CI634" s="1237"/>
      <c r="CJ634" s="1237"/>
      <c r="CK634" s="1237"/>
      <c r="CL634" s="1113"/>
      <c r="CM634" s="1112">
        <f>SUM(CM599:CQ633)</f>
        <v>0</v>
      </c>
      <c r="CN634" s="1237"/>
      <c r="CO634" s="1237"/>
      <c r="CP634" s="1237"/>
      <c r="CQ634" s="1113"/>
      <c r="CS634" s="1103">
        <f>IF(AND(B737="SRO/Studio",AH737&lt;=0.3),G737,0)</f>
        <v>0</v>
      </c>
      <c r="CT634" s="1104"/>
      <c r="CU634" s="1104"/>
      <c r="CV634" s="1104"/>
      <c r="CW634" s="1105"/>
      <c r="CX634" s="1103">
        <f>IF(AND(B737="1 Bedroom",AH737&lt;=0.3),G737,0)</f>
        <v>0</v>
      </c>
      <c r="CY634" s="1104"/>
      <c r="CZ634" s="1104"/>
      <c r="DA634" s="1104"/>
      <c r="DB634" s="1105"/>
      <c r="DC634" s="1103">
        <f>IF(AND(B737="2 Bedrooms",AH737&lt;=0.3),G737,0)</f>
        <v>0</v>
      </c>
      <c r="DD634" s="1104"/>
      <c r="DE634" s="1104"/>
      <c r="DF634" s="1104"/>
      <c r="DG634" s="1105"/>
      <c r="DH634" s="1103">
        <f>IF(AND(B737="3 Bedrooms",AH737&lt;=0.3),G737,0)</f>
        <v>0</v>
      </c>
      <c r="DI634" s="1104"/>
      <c r="DJ634" s="1104"/>
      <c r="DK634" s="1104"/>
      <c r="DL634" s="1105"/>
      <c r="DM634" s="1103">
        <f>IF(AND(B737="4 Bedrooms",AH737&lt;=0.3),G737,0)</f>
        <v>0</v>
      </c>
      <c r="DN634" s="1104"/>
      <c r="DO634" s="1104"/>
      <c r="DP634" s="1104"/>
      <c r="DQ634" s="1105"/>
      <c r="DR634" s="1103">
        <f>IF(AND(B737="5 Bedrooms",AH737&lt;=0.3),G737,0)</f>
        <v>0</v>
      </c>
      <c r="DS634" s="1104"/>
      <c r="DT634" s="1104"/>
      <c r="DU634" s="1104"/>
      <c r="DV634" s="1105"/>
    </row>
    <row r="635" spans="2:126" ht="12.9" customHeight="1" thickBot="1">
      <c r="B635" s="58" t="s">
        <v>741</v>
      </c>
      <c r="C635" s="1114" t="s">
        <v>2425</v>
      </c>
      <c r="D635" s="1114"/>
      <c r="E635" s="1114"/>
      <c r="F635" s="1114"/>
      <c r="G635" s="1114"/>
      <c r="H635" s="1114"/>
      <c r="I635" s="1114"/>
      <c r="J635" s="1114"/>
      <c r="K635" s="1114"/>
      <c r="L635" s="1114"/>
      <c r="M635" s="1135" t="s">
        <v>2177</v>
      </c>
      <c r="N635" s="1135"/>
      <c r="O635" s="1135"/>
      <c r="P635" s="1135"/>
      <c r="Q635" s="1136"/>
      <c r="R635" s="1137"/>
      <c r="S635" s="1138"/>
      <c r="T635" s="1365"/>
      <c r="U635" s="1366"/>
      <c r="V635" s="1367"/>
      <c r="W635" s="1368"/>
      <c r="X635" s="1369"/>
      <c r="Y635" s="1370"/>
      <c r="Z635" s="1132" t="s">
        <v>1964</v>
      </c>
      <c r="AA635" s="1133"/>
      <c r="AB635" s="1134"/>
      <c r="AC635" s="1302"/>
      <c r="AD635" s="1303"/>
      <c r="AE635" s="1304"/>
      <c r="AF635" s="1192"/>
      <c r="AG635" s="1193"/>
      <c r="AH635" s="1193"/>
      <c r="AI635" s="1193"/>
      <c r="AJ635" s="1194"/>
      <c r="AK635" s="1129"/>
      <c r="AL635" s="1130"/>
      <c r="AM635" s="1130"/>
      <c r="AN635" s="1131"/>
      <c r="AO635" s="1185">
        <f>AM563</f>
        <v>416034</v>
      </c>
      <c r="AP635" s="1185"/>
      <c r="AQ635" s="1185"/>
      <c r="AR635" s="1185"/>
      <c r="AS635" s="1185"/>
      <c r="AT635" s="941" t="str">
        <f t="shared" si="28"/>
        <v/>
      </c>
      <c r="AU635" s="43"/>
      <c r="AV635" s="43"/>
      <c r="AW635" s="43"/>
      <c r="AX635" s="43"/>
      <c r="AY635" s="43"/>
      <c r="AZ635" s="43"/>
      <c r="BE635" s="41"/>
      <c r="BF635" s="41"/>
      <c r="BG635" s="1112">
        <f>SUM(BG600:BH634)</f>
        <v>0</v>
      </c>
      <c r="BH635" s="1113"/>
      <c r="BI635" s="41"/>
      <c r="BJ635" s="41"/>
      <c r="BK635" s="1112">
        <f>SUM(BK600:BL634)</f>
        <v>53</v>
      </c>
      <c r="BL635" s="1113"/>
      <c r="BN635" s="41" t="s">
        <v>1715</v>
      </c>
      <c r="BO635" s="41"/>
      <c r="BP635" s="41"/>
      <c r="BQ635" s="41"/>
      <c r="BR635" s="464">
        <f>BN634*1</f>
        <v>0</v>
      </c>
      <c r="BS635" s="41"/>
      <c r="BT635" s="41"/>
      <c r="BU635" s="41"/>
      <c r="BV635" s="41"/>
      <c r="BW635" s="464">
        <f>BS634*1</f>
        <v>53</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12">
        <f>SUM(CS600:CW634)</f>
        <v>0</v>
      </c>
      <c r="CT635" s="1237"/>
      <c r="CU635" s="1237"/>
      <c r="CV635" s="1237"/>
      <c r="CW635" s="1113"/>
      <c r="CX635" s="1112">
        <f>SUM(CX600:DB634)</f>
        <v>53</v>
      </c>
      <c r="CY635" s="1237"/>
      <c r="CZ635" s="1237"/>
      <c r="DA635" s="1237"/>
      <c r="DB635" s="1113"/>
      <c r="DC635" s="1112">
        <f>SUM(DC600:DG634)</f>
        <v>0</v>
      </c>
      <c r="DD635" s="1237"/>
      <c r="DE635" s="1237"/>
      <c r="DF635" s="1237"/>
      <c r="DG635" s="1113"/>
      <c r="DH635" s="1112">
        <f>SUM(DH600:DL634)</f>
        <v>0</v>
      </c>
      <c r="DI635" s="1237"/>
      <c r="DJ635" s="1237"/>
      <c r="DK635" s="1237"/>
      <c r="DL635" s="1113"/>
      <c r="DM635" s="1112">
        <f>SUM(DM600:DQ634)</f>
        <v>0</v>
      </c>
      <c r="DN635" s="1237"/>
      <c r="DO635" s="1237"/>
      <c r="DP635" s="1237"/>
      <c r="DQ635" s="1113"/>
      <c r="DR635" s="1112">
        <f>SUM(DR600:DV634)</f>
        <v>0</v>
      </c>
      <c r="DS635" s="1237"/>
      <c r="DT635" s="1237"/>
      <c r="DU635" s="1237"/>
      <c r="DV635" s="1113"/>
    </row>
    <row r="636" spans="2:126" ht="12.9" customHeight="1" thickBot="1">
      <c r="B636" s="58" t="s">
        <v>742</v>
      </c>
      <c r="C636" s="1114"/>
      <c r="D636" s="1114"/>
      <c r="E636" s="1114"/>
      <c r="F636" s="1114"/>
      <c r="G636" s="1114"/>
      <c r="H636" s="1114"/>
      <c r="I636" s="1114"/>
      <c r="J636" s="1114"/>
      <c r="K636" s="1114"/>
      <c r="L636" s="1114"/>
      <c r="M636" s="1135" t="s">
        <v>1964</v>
      </c>
      <c r="N636" s="1135"/>
      <c r="O636" s="1135"/>
      <c r="P636" s="1135"/>
      <c r="Q636" s="1136"/>
      <c r="R636" s="1137"/>
      <c r="S636" s="1138"/>
      <c r="T636" s="1365"/>
      <c r="U636" s="1366"/>
      <c r="V636" s="1367"/>
      <c r="W636" s="1368"/>
      <c r="X636" s="1369"/>
      <c r="Y636" s="1370"/>
      <c r="Z636" s="1132" t="s">
        <v>1964</v>
      </c>
      <c r="AA636" s="1133"/>
      <c r="AB636" s="1134"/>
      <c r="AC636" s="1302"/>
      <c r="AD636" s="1303"/>
      <c r="AE636" s="1304"/>
      <c r="AF636" s="1192"/>
      <c r="AG636" s="1193"/>
      <c r="AH636" s="1193"/>
      <c r="AI636" s="1193"/>
      <c r="AJ636" s="1194"/>
      <c r="AK636" s="1129"/>
      <c r="AL636" s="1130"/>
      <c r="AM636" s="1130"/>
      <c r="AN636" s="1131"/>
      <c r="AO636" s="1185"/>
      <c r="AP636" s="1185"/>
      <c r="AQ636" s="1185"/>
      <c r="AR636" s="1185"/>
      <c r="AS636" s="1185"/>
      <c r="AT636" s="941" t="str">
        <f t="shared" si="28"/>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53</v>
      </c>
      <c r="CR636" s="41"/>
      <c r="CS636" s="41"/>
    </row>
    <row r="637" spans="2:126" ht="12.9" customHeight="1">
      <c r="B637" s="58" t="s">
        <v>545</v>
      </c>
      <c r="C637" s="1114"/>
      <c r="D637" s="1114"/>
      <c r="E637" s="1114"/>
      <c r="F637" s="1114"/>
      <c r="G637" s="1114"/>
      <c r="H637" s="1114"/>
      <c r="I637" s="1114"/>
      <c r="J637" s="1114"/>
      <c r="K637" s="1114"/>
      <c r="L637" s="1114"/>
      <c r="M637" s="1135" t="s">
        <v>1964</v>
      </c>
      <c r="N637" s="1135"/>
      <c r="O637" s="1135"/>
      <c r="P637" s="1135"/>
      <c r="Q637" s="1136"/>
      <c r="R637" s="1137"/>
      <c r="S637" s="1138"/>
      <c r="T637" s="1365"/>
      <c r="U637" s="1366"/>
      <c r="V637" s="1367"/>
      <c r="W637" s="1368"/>
      <c r="X637" s="1369"/>
      <c r="Y637" s="1370"/>
      <c r="Z637" s="1132" t="s">
        <v>1964</v>
      </c>
      <c r="AA637" s="1133"/>
      <c r="AB637" s="1134"/>
      <c r="AC637" s="1302"/>
      <c r="AD637" s="1303"/>
      <c r="AE637" s="1304"/>
      <c r="AF637" s="1192"/>
      <c r="AG637" s="1193"/>
      <c r="AH637" s="1193"/>
      <c r="AI637" s="1193"/>
      <c r="AJ637" s="1194"/>
      <c r="AK637" s="1129"/>
      <c r="AL637" s="1130"/>
      <c r="AM637" s="1130"/>
      <c r="AN637" s="1131"/>
      <c r="AO637" s="1185"/>
      <c r="AP637" s="1185"/>
      <c r="AQ637" s="1185"/>
      <c r="AR637" s="1185"/>
      <c r="AS637" s="1185"/>
      <c r="AT637" s="941" t="str">
        <f t="shared" si="28"/>
        <v/>
      </c>
      <c r="AU637" s="41"/>
      <c r="AV637" s="41"/>
      <c r="AW637" s="41"/>
      <c r="AX637" s="41"/>
      <c r="AY637" s="41"/>
      <c r="AZ637" s="41"/>
      <c r="BN637" s="1106">
        <f>IF(J760="SRO/Studio",O760,0)</f>
        <v>0</v>
      </c>
      <c r="BO637" s="1107"/>
      <c r="BP637" s="1107"/>
      <c r="BQ637" s="1107"/>
      <c r="BR637" s="1109"/>
      <c r="BS637" s="1106">
        <f>IF(J760="1 Bedroom",O760,0)</f>
        <v>0</v>
      </c>
      <c r="BT637" s="1107"/>
      <c r="BU637" s="1107"/>
      <c r="BV637" s="1107"/>
      <c r="BW637" s="1109"/>
      <c r="BX637" s="1106">
        <f>IF(J760="2 Bedrooms",O760,0)</f>
        <v>0</v>
      </c>
      <c r="BY637" s="1107"/>
      <c r="BZ637" s="1107"/>
      <c r="CA637" s="1107"/>
      <c r="CB637" s="1109"/>
      <c r="CC637" s="1106">
        <f>IF(J760="3 Bedrooms",O760,0)</f>
        <v>1</v>
      </c>
      <c r="CD637" s="1107"/>
      <c r="CE637" s="1107"/>
      <c r="CF637" s="1107"/>
      <c r="CG637" s="1109"/>
      <c r="CH637" s="1106">
        <f>IF(J760="4 Bedrooms",O760,0)</f>
        <v>0</v>
      </c>
      <c r="CI637" s="1107"/>
      <c r="CJ637" s="1107"/>
      <c r="CK637" s="1107"/>
      <c r="CL637" s="1109"/>
      <c r="CM637" s="1110">
        <f>IF(J760="5 Bedrooms",O760,0)</f>
        <v>0</v>
      </c>
      <c r="CN637" s="1111"/>
      <c r="CO637" s="1111"/>
      <c r="CP637" s="1111"/>
      <c r="CQ637" s="1108"/>
      <c r="CR637" s="41"/>
      <c r="CS637" s="41"/>
    </row>
    <row r="638" spans="2:126" ht="12.9" customHeight="1">
      <c r="B638" s="58" t="s">
        <v>173</v>
      </c>
      <c r="C638" s="1114"/>
      <c r="D638" s="1114"/>
      <c r="E638" s="1114"/>
      <c r="F638" s="1114"/>
      <c r="G638" s="1114"/>
      <c r="H638" s="1114"/>
      <c r="I638" s="1114"/>
      <c r="J638" s="1114"/>
      <c r="K638" s="1114"/>
      <c r="L638" s="1114"/>
      <c r="M638" s="1135" t="s">
        <v>1964</v>
      </c>
      <c r="N638" s="1135"/>
      <c r="O638" s="1135"/>
      <c r="P638" s="1135"/>
      <c r="Q638" s="1136"/>
      <c r="R638" s="1137"/>
      <c r="S638" s="1138"/>
      <c r="T638" s="1365"/>
      <c r="U638" s="1366"/>
      <c r="V638" s="1367"/>
      <c r="W638" s="1368"/>
      <c r="X638" s="1369"/>
      <c r="Y638" s="1370"/>
      <c r="Z638" s="1132" t="s">
        <v>1964</v>
      </c>
      <c r="AA638" s="1133"/>
      <c r="AB638" s="1134"/>
      <c r="AC638" s="1302"/>
      <c r="AD638" s="1303"/>
      <c r="AE638" s="1304"/>
      <c r="AF638" s="1192"/>
      <c r="AG638" s="1193"/>
      <c r="AH638" s="1193"/>
      <c r="AI638" s="1193"/>
      <c r="AJ638" s="1194"/>
      <c r="AK638" s="1129"/>
      <c r="AL638" s="1130"/>
      <c r="AM638" s="1130"/>
      <c r="AN638" s="1131"/>
      <c r="AO638" s="1185"/>
      <c r="AP638" s="1185"/>
      <c r="AQ638" s="1185"/>
      <c r="AR638" s="1185"/>
      <c r="AS638" s="1185"/>
      <c r="AT638" s="941" t="str">
        <f t="shared" si="28"/>
        <v/>
      </c>
      <c r="AU638" s="41"/>
      <c r="AV638" s="41"/>
      <c r="AW638" s="41"/>
      <c r="AX638" s="41"/>
      <c r="AY638" s="41"/>
      <c r="AZ638" s="41"/>
      <c r="BN638" s="1106">
        <f>IF(J761="SRO/Studio",O761,0)</f>
        <v>0</v>
      </c>
      <c r="BO638" s="1107"/>
      <c r="BP638" s="1107"/>
      <c r="BQ638" s="1107"/>
      <c r="BR638" s="1109"/>
      <c r="BS638" s="1106">
        <f>IF(J761="1 Bedroom",O761,0)</f>
        <v>0</v>
      </c>
      <c r="BT638" s="1107"/>
      <c r="BU638" s="1107"/>
      <c r="BV638" s="1107"/>
      <c r="BW638" s="1109"/>
      <c r="BX638" s="1106">
        <f>IF(J761="2 Bedrooms",O761,0)</f>
        <v>0</v>
      </c>
      <c r="BY638" s="1107"/>
      <c r="BZ638" s="1107"/>
      <c r="CA638" s="1107"/>
      <c r="CB638" s="1109"/>
      <c r="CC638" s="1106">
        <f>IF(J761="3 Bedrooms",O761,0)</f>
        <v>0</v>
      </c>
      <c r="CD638" s="1107"/>
      <c r="CE638" s="1107"/>
      <c r="CF638" s="1107"/>
      <c r="CG638" s="1109"/>
      <c r="CH638" s="1106">
        <f>IF(J761="4 Bedrooms",O761,0)</f>
        <v>0</v>
      </c>
      <c r="CI638" s="1107"/>
      <c r="CJ638" s="1107"/>
      <c r="CK638" s="1107"/>
      <c r="CL638" s="1109"/>
      <c r="CM638" s="1110">
        <f>IF(J761="5 Bedrooms",O761,0)</f>
        <v>0</v>
      </c>
      <c r="CN638" s="1111"/>
      <c r="CO638" s="1111"/>
      <c r="CP638" s="1111"/>
      <c r="CQ638" s="1108"/>
      <c r="CR638" s="41"/>
      <c r="CS638" s="41"/>
    </row>
    <row r="639" spans="2:126" ht="12.9" customHeight="1">
      <c r="B639" s="58" t="s">
        <v>32</v>
      </c>
      <c r="C639" s="1114"/>
      <c r="D639" s="1114"/>
      <c r="E639" s="1114"/>
      <c r="F639" s="1114"/>
      <c r="G639" s="1114"/>
      <c r="H639" s="1114"/>
      <c r="I639" s="1114"/>
      <c r="J639" s="1114"/>
      <c r="K639" s="1114"/>
      <c r="L639" s="1114"/>
      <c r="M639" s="1135" t="s">
        <v>1964</v>
      </c>
      <c r="N639" s="1135"/>
      <c r="O639" s="1135"/>
      <c r="P639" s="1135"/>
      <c r="Q639" s="1136"/>
      <c r="R639" s="1137"/>
      <c r="S639" s="1138"/>
      <c r="T639" s="1365"/>
      <c r="U639" s="1366"/>
      <c r="V639" s="1367"/>
      <c r="W639" s="1368"/>
      <c r="X639" s="1369"/>
      <c r="Y639" s="1370"/>
      <c r="Z639" s="1132" t="s">
        <v>1964</v>
      </c>
      <c r="AA639" s="1133"/>
      <c r="AB639" s="1134"/>
      <c r="AC639" s="1302"/>
      <c r="AD639" s="1303"/>
      <c r="AE639" s="1304"/>
      <c r="AF639" s="1192"/>
      <c r="AG639" s="1193"/>
      <c r="AH639" s="1193"/>
      <c r="AI639" s="1193"/>
      <c r="AJ639" s="1194"/>
      <c r="AK639" s="1129"/>
      <c r="AL639" s="1130"/>
      <c r="AM639" s="1130"/>
      <c r="AN639" s="1131"/>
      <c r="AO639" s="1185"/>
      <c r="AP639" s="1185"/>
      <c r="AQ639" s="1185"/>
      <c r="AR639" s="1185"/>
      <c r="AS639" s="1185"/>
      <c r="AT639" s="941" t="str">
        <f t="shared" si="28"/>
        <v/>
      </c>
      <c r="AU639" s="41"/>
      <c r="AV639" s="41"/>
      <c r="AW639" s="41"/>
      <c r="AX639" s="41"/>
      <c r="AY639" s="41"/>
      <c r="AZ639" s="41"/>
      <c r="BN639" s="1106">
        <f>IF(J762="SRO/Studio",O762,0)</f>
        <v>0</v>
      </c>
      <c r="BO639" s="1107"/>
      <c r="BP639" s="1107"/>
      <c r="BQ639" s="1107"/>
      <c r="BR639" s="1109"/>
      <c r="BS639" s="1106">
        <f>IF(J762="1 Bedroom",O762,0)</f>
        <v>0</v>
      </c>
      <c r="BT639" s="1107"/>
      <c r="BU639" s="1107"/>
      <c r="BV639" s="1107"/>
      <c r="BW639" s="1109"/>
      <c r="BX639" s="1106">
        <f>IF(J762="2 Bedrooms",O762,0)</f>
        <v>0</v>
      </c>
      <c r="BY639" s="1107"/>
      <c r="BZ639" s="1107"/>
      <c r="CA639" s="1107"/>
      <c r="CB639" s="1109"/>
      <c r="CC639" s="1106">
        <f>IF(J762="3 Bedrooms",O762,0)</f>
        <v>0</v>
      </c>
      <c r="CD639" s="1107"/>
      <c r="CE639" s="1107"/>
      <c r="CF639" s="1107"/>
      <c r="CG639" s="1109"/>
      <c r="CH639" s="1106">
        <f>IF(J762="4 Bedrooms",O762,0)</f>
        <v>0</v>
      </c>
      <c r="CI639" s="1107"/>
      <c r="CJ639" s="1107"/>
      <c r="CK639" s="1107"/>
      <c r="CL639" s="1109"/>
      <c r="CM639" s="1110">
        <f>IF(J762="5 Bedrooms",O762,0)</f>
        <v>0</v>
      </c>
      <c r="CN639" s="1111"/>
      <c r="CO639" s="1111"/>
      <c r="CP639" s="1111"/>
      <c r="CQ639" s="1108"/>
      <c r="CR639" s="41"/>
      <c r="CS639" s="41"/>
    </row>
    <row r="640" spans="2:126" ht="12.9" customHeight="1">
      <c r="B640" s="58" t="s">
        <v>33</v>
      </c>
      <c r="C640" s="1114"/>
      <c r="D640" s="1114"/>
      <c r="E640" s="1114"/>
      <c r="F640" s="1114"/>
      <c r="G640" s="1114"/>
      <c r="H640" s="1114"/>
      <c r="I640" s="1114"/>
      <c r="J640" s="1114"/>
      <c r="K640" s="1114"/>
      <c r="L640" s="1114"/>
      <c r="M640" s="1135" t="s">
        <v>1964</v>
      </c>
      <c r="N640" s="1135"/>
      <c r="O640" s="1135"/>
      <c r="P640" s="1135"/>
      <c r="Q640" s="1136"/>
      <c r="R640" s="1137"/>
      <c r="S640" s="1138"/>
      <c r="T640" s="1365"/>
      <c r="U640" s="1366"/>
      <c r="V640" s="1367"/>
      <c r="W640" s="1368"/>
      <c r="X640" s="1369"/>
      <c r="Y640" s="1370"/>
      <c r="Z640" s="1132" t="s">
        <v>1964</v>
      </c>
      <c r="AA640" s="1133"/>
      <c r="AB640" s="1134"/>
      <c r="AC640" s="1302"/>
      <c r="AD640" s="1303"/>
      <c r="AE640" s="1304"/>
      <c r="AF640" s="1192"/>
      <c r="AG640" s="1193"/>
      <c r="AH640" s="1193"/>
      <c r="AI640" s="1193"/>
      <c r="AJ640" s="1194"/>
      <c r="AK640" s="1129"/>
      <c r="AL640" s="1130"/>
      <c r="AM640" s="1130"/>
      <c r="AN640" s="1131"/>
      <c r="AO640" s="1185"/>
      <c r="AP640" s="1185"/>
      <c r="AQ640" s="1185"/>
      <c r="AR640" s="1185"/>
      <c r="AS640" s="1185"/>
      <c r="AT640" s="941" t="str">
        <f t="shared" si="28"/>
        <v/>
      </c>
      <c r="AU640" s="43"/>
      <c r="AV640" s="43"/>
      <c r="AW640" s="43"/>
      <c r="AX640" s="43"/>
      <c r="AY640" s="43"/>
      <c r="AZ640" s="43"/>
      <c r="BN640" s="1106">
        <f>IF(J763="SRO/Studio",O763,0)</f>
        <v>0</v>
      </c>
      <c r="BO640" s="1107"/>
      <c r="BP640" s="1107"/>
      <c r="BQ640" s="1107"/>
      <c r="BR640" s="1109"/>
      <c r="BS640" s="1106">
        <f>IF(J763="1 Bedroom",O763,0)</f>
        <v>0</v>
      </c>
      <c r="BT640" s="1107"/>
      <c r="BU640" s="1107"/>
      <c r="BV640" s="1107"/>
      <c r="BW640" s="1109"/>
      <c r="BX640" s="1106">
        <f>IF(J763="2 Bedrooms",O763,0)</f>
        <v>0</v>
      </c>
      <c r="BY640" s="1107"/>
      <c r="BZ640" s="1107"/>
      <c r="CA640" s="1107"/>
      <c r="CB640" s="1109"/>
      <c r="CC640" s="1106">
        <f>IF(J763="3 Bedrooms",O763,0)</f>
        <v>0</v>
      </c>
      <c r="CD640" s="1107"/>
      <c r="CE640" s="1107"/>
      <c r="CF640" s="1107"/>
      <c r="CG640" s="1109"/>
      <c r="CH640" s="1106">
        <f>IF(J763="4 Bedrooms",O763,0)</f>
        <v>0</v>
      </c>
      <c r="CI640" s="1107"/>
      <c r="CJ640" s="1107"/>
      <c r="CK640" s="1107"/>
      <c r="CL640" s="1109"/>
      <c r="CM640" s="1110">
        <f>IF(J763="5 Bedrooms",O763,0)</f>
        <v>0</v>
      </c>
      <c r="CN640" s="1111"/>
      <c r="CO640" s="1111"/>
      <c r="CP640" s="1111"/>
      <c r="CQ640" s="1108"/>
      <c r="CR640" s="41"/>
      <c r="CS640" s="41"/>
    </row>
    <row r="641" spans="1:99" ht="12.9" customHeight="1">
      <c r="B641" s="1119" t="s">
        <v>357</v>
      </c>
      <c r="C641" s="1120"/>
      <c r="D641" s="1120"/>
      <c r="E641" s="1120"/>
      <c r="F641" s="1120"/>
      <c r="G641" s="1120"/>
      <c r="H641" s="1120"/>
      <c r="I641" s="1120"/>
      <c r="J641" s="1120"/>
      <c r="K641" s="1120"/>
      <c r="L641" s="1120"/>
      <c r="M641" s="1120"/>
      <c r="N641" s="1120"/>
      <c r="O641" s="1120"/>
      <c r="P641" s="1120"/>
      <c r="Q641" s="1120"/>
      <c r="R641" s="1120"/>
      <c r="S641" s="1120"/>
      <c r="T641" s="1120"/>
      <c r="U641" s="1120"/>
      <c r="V641" s="1120"/>
      <c r="W641" s="1120"/>
      <c r="X641" s="1120"/>
      <c r="Y641" s="1120"/>
      <c r="Z641" s="1120"/>
      <c r="AA641" s="1120"/>
      <c r="AB641" s="1120"/>
      <c r="AC641" s="1120"/>
      <c r="AD641" s="1120"/>
      <c r="AE641" s="1120"/>
      <c r="AF641" s="1120"/>
      <c r="AG641" s="1120"/>
      <c r="AH641" s="1120"/>
      <c r="AI641" s="1120"/>
      <c r="AJ641" s="1120"/>
      <c r="AK641" s="1120"/>
      <c r="AL641" s="1120"/>
      <c r="AM641" s="1120"/>
      <c r="AN641" s="1122"/>
      <c r="AO641" s="1240">
        <f>SUM(AO629:AS640)</f>
        <v>10568023</v>
      </c>
      <c r="AP641" s="1241"/>
      <c r="AQ641" s="1241"/>
      <c r="AR641" s="1241"/>
      <c r="AS641" s="1242"/>
      <c r="AT641" s="43"/>
      <c r="AU641" s="43"/>
      <c r="AV641" s="43"/>
      <c r="AW641" s="43"/>
      <c r="AX641" s="43"/>
      <c r="AY641" s="43"/>
      <c r="AZ641" s="43"/>
      <c r="BN641" s="1513">
        <f>SUM(BN637:BR640)</f>
        <v>0</v>
      </c>
      <c r="BO641" s="1514"/>
      <c r="BP641" s="1514"/>
      <c r="BQ641" s="1514"/>
      <c r="BR641" s="1515"/>
      <c r="BS641" s="1513">
        <f>SUM(BS637:BW640)</f>
        <v>0</v>
      </c>
      <c r="BT641" s="1514"/>
      <c r="BU641" s="1514"/>
      <c r="BV641" s="1514"/>
      <c r="BW641" s="1515"/>
      <c r="BX641" s="1513">
        <f>SUM(BX637:CB640)</f>
        <v>0</v>
      </c>
      <c r="BY641" s="1514"/>
      <c r="BZ641" s="1514"/>
      <c r="CA641" s="1514"/>
      <c r="CB641" s="1515"/>
      <c r="CC641" s="1513">
        <f>SUM(CC637:CG640)</f>
        <v>1</v>
      </c>
      <c r="CD641" s="1514"/>
      <c r="CE641" s="1514"/>
      <c r="CF641" s="1514"/>
      <c r="CG641" s="1515"/>
      <c r="CH641" s="1513">
        <f>SUM(CH637:CL640)</f>
        <v>0</v>
      </c>
      <c r="CI641" s="1514"/>
      <c r="CJ641" s="1514"/>
      <c r="CK641" s="1514"/>
      <c r="CL641" s="1515"/>
      <c r="CM641" s="1513">
        <f>SUM(CM637:CQ640)</f>
        <v>0</v>
      </c>
      <c r="CN641" s="1514"/>
      <c r="CO641" s="1514"/>
      <c r="CP641" s="1514"/>
      <c r="CQ641" s="1515"/>
      <c r="CS641" s="464">
        <f>BN641+BS641+BX641+CC641+CH641+CM641</f>
        <v>1</v>
      </c>
      <c r="CT641" s="63" t="s">
        <v>1968</v>
      </c>
      <c r="CU641" s="41"/>
    </row>
    <row r="642" spans="1:99" ht="12.9" customHeight="1">
      <c r="B642" s="1119" t="s">
        <v>358</v>
      </c>
      <c r="C642" s="1120"/>
      <c r="D642" s="1120"/>
      <c r="E642" s="1120"/>
      <c r="F642" s="1120"/>
      <c r="G642" s="1120"/>
      <c r="H642" s="1120"/>
      <c r="I642" s="1120"/>
      <c r="J642" s="1120"/>
      <c r="K642" s="1120"/>
      <c r="L642" s="1120"/>
      <c r="M642" s="1120"/>
      <c r="N642" s="1120"/>
      <c r="O642" s="1120"/>
      <c r="P642" s="1120"/>
      <c r="Q642" s="1120"/>
      <c r="R642" s="1120"/>
      <c r="S642" s="1120"/>
      <c r="T642" s="1120"/>
      <c r="U642" s="1120"/>
      <c r="V642" s="1120"/>
      <c r="W642" s="1120"/>
      <c r="X642" s="1120"/>
      <c r="Y642" s="1120"/>
      <c r="Z642" s="1120"/>
      <c r="AA642" s="1120"/>
      <c r="AB642" s="1120"/>
      <c r="AC642" s="1120"/>
      <c r="AD642" s="1120"/>
      <c r="AE642" s="1120"/>
      <c r="AF642" s="1120"/>
      <c r="AG642" s="1120"/>
      <c r="AH642" s="1120"/>
      <c r="AI642" s="1120"/>
      <c r="AJ642" s="1120"/>
      <c r="AK642" s="1120"/>
      <c r="AL642" s="1120"/>
      <c r="AM642" s="1120"/>
      <c r="AN642" s="1122"/>
      <c r="AO642" s="1226">
        <v>25933857</v>
      </c>
      <c r="AP642" s="1227"/>
      <c r="AQ642" s="1227"/>
      <c r="AR642" s="1227"/>
      <c r="AS642" s="122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139" t="s">
        <v>939</v>
      </c>
      <c r="C643" s="1121"/>
      <c r="D643" s="1121"/>
      <c r="E643" s="1121"/>
      <c r="F643" s="1121"/>
      <c r="G643" s="1121"/>
      <c r="H643" s="1121"/>
      <c r="I643" s="1121"/>
      <c r="J643" s="1121"/>
      <c r="K643" s="1121"/>
      <c r="L643" s="1121"/>
      <c r="M643" s="1121"/>
      <c r="N643" s="1121"/>
      <c r="O643" s="1121"/>
      <c r="P643" s="1121"/>
      <c r="Q643" s="1121"/>
      <c r="R643" s="1121"/>
      <c r="S643" s="1121"/>
      <c r="T643" s="1121"/>
      <c r="U643" s="1121"/>
      <c r="V643" s="1121"/>
      <c r="W643" s="1121"/>
      <c r="X643" s="1121"/>
      <c r="Y643" s="1121"/>
      <c r="Z643" s="1121"/>
      <c r="AA643" s="1121"/>
      <c r="AB643" s="1121"/>
      <c r="AC643" s="1121"/>
      <c r="AD643" s="1121"/>
      <c r="AE643" s="1121"/>
      <c r="AF643" s="1121"/>
      <c r="AG643" s="1121"/>
      <c r="AH643" s="1121"/>
      <c r="AI643" s="1121"/>
      <c r="AJ643" s="1121"/>
      <c r="AK643" s="1121"/>
      <c r="AL643" s="1121"/>
      <c r="AM643" s="1121"/>
      <c r="AN643" s="1140"/>
      <c r="AO643" s="1240">
        <f>AO641+AO642</f>
        <v>36501880</v>
      </c>
      <c r="AP643" s="1241"/>
      <c r="AQ643" s="1241"/>
      <c r="AR643" s="1241"/>
      <c r="AS643" s="1242"/>
      <c r="AT643" s="43"/>
      <c r="AU643" s="43"/>
      <c r="AV643" s="43"/>
      <c r="AW643" s="43"/>
      <c r="AX643" s="43"/>
      <c r="AY643" s="43"/>
      <c r="AZ643" s="43"/>
      <c r="BN643" s="1106">
        <f t="shared" ref="BN643:BN652" si="31">IF(J774="SRO/Studio",O774,0)</f>
        <v>0</v>
      </c>
      <c r="BO643" s="1107"/>
      <c r="BP643" s="1107"/>
      <c r="BQ643" s="1107"/>
      <c r="BR643" s="1109"/>
      <c r="BS643" s="1106">
        <f t="shared" ref="BS643:BS652" si="32">IF(J774="1 Bedroom",O774,0)</f>
        <v>0</v>
      </c>
      <c r="BT643" s="1107"/>
      <c r="BU643" s="1107"/>
      <c r="BV643" s="1107"/>
      <c r="BW643" s="1109"/>
      <c r="BX643" s="1106">
        <f t="shared" ref="BX643:BX652" si="33">IF(J774="2 Bedrooms",O774,0)</f>
        <v>0</v>
      </c>
      <c r="BY643" s="1107"/>
      <c r="BZ643" s="1107"/>
      <c r="CA643" s="1107"/>
      <c r="CB643" s="1109"/>
      <c r="CC643" s="1106">
        <f t="shared" ref="CC643:CC652" si="34">IF(J774="3 Bedrooms",O774,0)</f>
        <v>0</v>
      </c>
      <c r="CD643" s="1107"/>
      <c r="CE643" s="1107"/>
      <c r="CF643" s="1107"/>
      <c r="CG643" s="1109"/>
      <c r="CH643" s="1106">
        <f t="shared" ref="CH643:CH652" si="35">IF(J774="4 Bedrooms",O774,0)</f>
        <v>0</v>
      </c>
      <c r="CI643" s="1107"/>
      <c r="CJ643" s="1107"/>
      <c r="CK643" s="1107"/>
      <c r="CL643" s="1109"/>
      <c r="CM643" s="1106">
        <f t="shared" ref="CM643:CM652" si="36">IF(J774="5 Bedrooms",O774,0)</f>
        <v>0</v>
      </c>
      <c r="CN643" s="1107"/>
      <c r="CO643" s="1107"/>
      <c r="CP643" s="1107"/>
      <c r="CQ643" s="1109"/>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06">
        <f t="shared" si="31"/>
        <v>0</v>
      </c>
      <c r="BO644" s="1107"/>
      <c r="BP644" s="1107"/>
      <c r="BQ644" s="1107"/>
      <c r="BR644" s="1109"/>
      <c r="BS644" s="1106">
        <f t="shared" si="32"/>
        <v>0</v>
      </c>
      <c r="BT644" s="1107"/>
      <c r="BU644" s="1107"/>
      <c r="BV644" s="1107"/>
      <c r="BW644" s="1109"/>
      <c r="BX644" s="1106">
        <f t="shared" si="33"/>
        <v>0</v>
      </c>
      <c r="BY644" s="1107"/>
      <c r="BZ644" s="1107"/>
      <c r="CA644" s="1107"/>
      <c r="CB644" s="1109"/>
      <c r="CC644" s="1106">
        <f t="shared" si="34"/>
        <v>0</v>
      </c>
      <c r="CD644" s="1107"/>
      <c r="CE644" s="1107"/>
      <c r="CF644" s="1107"/>
      <c r="CG644" s="1109"/>
      <c r="CH644" s="1106">
        <f t="shared" si="35"/>
        <v>0</v>
      </c>
      <c r="CI644" s="1107"/>
      <c r="CJ644" s="1107"/>
      <c r="CK644" s="1107"/>
      <c r="CL644" s="1109"/>
      <c r="CM644" s="1106">
        <f t="shared" si="36"/>
        <v>0</v>
      </c>
      <c r="CN644" s="1107"/>
      <c r="CO644" s="1107"/>
      <c r="CP644" s="1107"/>
      <c r="CQ644" s="1109"/>
      <c r="CR644" s="41"/>
      <c r="CS644" s="41"/>
    </row>
    <row r="645" spans="1:99" ht="12.9" customHeight="1">
      <c r="A645" s="61" t="s">
        <v>899</v>
      </c>
      <c r="B645" t="s">
        <v>81</v>
      </c>
      <c r="C645"/>
      <c r="G645" s="1230" t="str">
        <f>C629</f>
        <v>Permanent Loan</v>
      </c>
      <c r="H645" s="1230"/>
      <c r="I645" s="1230"/>
      <c r="J645" s="1230"/>
      <c r="K645" s="1230"/>
      <c r="L645" s="1230"/>
      <c r="M645" s="1230"/>
      <c r="N645" s="1230"/>
      <c r="O645" s="1230"/>
      <c r="P645" s="1230"/>
      <c r="Q645" s="1230"/>
      <c r="R645" s="1230"/>
      <c r="S645" s="12"/>
      <c r="T645" s="61" t="s">
        <v>900</v>
      </c>
      <c r="U645" t="s">
        <v>81</v>
      </c>
      <c r="Z645" s="1230" t="str">
        <f>C630</f>
        <v>Alliance Housing Fund</v>
      </c>
      <c r="AA645" s="1230"/>
      <c r="AB645" s="1230"/>
      <c r="AC645" s="1230"/>
      <c r="AD645" s="1230"/>
      <c r="AE645" s="1230"/>
      <c r="AF645" s="1230"/>
      <c r="AG645" s="1230"/>
      <c r="AH645" s="1230"/>
      <c r="AI645" s="1230"/>
      <c r="AJ645" s="1230"/>
      <c r="AK645" s="1230"/>
      <c r="AM645" s="43"/>
      <c r="AN645" s="43"/>
      <c r="AO645" s="43"/>
      <c r="AP645" s="43"/>
      <c r="AQ645" s="43"/>
      <c r="AR645" s="43"/>
      <c r="AS645" s="43"/>
      <c r="AT645" s="43"/>
      <c r="AU645" s="43"/>
      <c r="AV645" s="43"/>
      <c r="AW645" s="43"/>
      <c r="AX645" s="43"/>
      <c r="AY645" s="43"/>
      <c r="AZ645" s="43"/>
      <c r="BN645" s="1106">
        <f t="shared" si="31"/>
        <v>0</v>
      </c>
      <c r="BO645" s="1107"/>
      <c r="BP645" s="1107"/>
      <c r="BQ645" s="1107"/>
      <c r="BR645" s="1109"/>
      <c r="BS645" s="1106">
        <f t="shared" si="32"/>
        <v>0</v>
      </c>
      <c r="BT645" s="1107"/>
      <c r="BU645" s="1107"/>
      <c r="BV645" s="1107"/>
      <c r="BW645" s="1109"/>
      <c r="BX645" s="1106">
        <f t="shared" si="33"/>
        <v>0</v>
      </c>
      <c r="BY645" s="1107"/>
      <c r="BZ645" s="1107"/>
      <c r="CA645" s="1107"/>
      <c r="CB645" s="1109"/>
      <c r="CC645" s="1106">
        <f t="shared" si="34"/>
        <v>0</v>
      </c>
      <c r="CD645" s="1107"/>
      <c r="CE645" s="1107"/>
      <c r="CF645" s="1107"/>
      <c r="CG645" s="1109"/>
      <c r="CH645" s="1106">
        <f t="shared" si="35"/>
        <v>0</v>
      </c>
      <c r="CI645" s="1107"/>
      <c r="CJ645" s="1107"/>
      <c r="CK645" s="1107"/>
      <c r="CL645" s="1109"/>
      <c r="CM645" s="1106">
        <f t="shared" si="36"/>
        <v>0</v>
      </c>
      <c r="CN645" s="1107"/>
      <c r="CO645" s="1107"/>
      <c r="CP645" s="1107"/>
      <c r="CQ645" s="1109"/>
      <c r="CR645" s="41"/>
      <c r="CS645" s="41"/>
    </row>
    <row r="646" spans="1:99" ht="12.9" customHeight="1">
      <c r="A646" s="4"/>
      <c r="B646" t="s">
        <v>371</v>
      </c>
      <c r="C646"/>
      <c r="G646" s="1066" t="str">
        <f>G572</f>
        <v>300 South Grand Avenue suite 3110</v>
      </c>
      <c r="H646" s="1066"/>
      <c r="I646" s="1066"/>
      <c r="J646" s="1066"/>
      <c r="K646" s="1066"/>
      <c r="L646" s="1066"/>
      <c r="M646" s="1066"/>
      <c r="N646" s="1066"/>
      <c r="O646" s="1066"/>
      <c r="P646" s="1066"/>
      <c r="Q646" s="1066"/>
      <c r="R646" s="1066"/>
      <c r="S646" s="12"/>
      <c r="T646" s="4"/>
      <c r="U646" t="s">
        <v>371</v>
      </c>
      <c r="Z646" s="1066" t="str">
        <f>Z572</f>
        <v>530 West 16th Street, Suite B</v>
      </c>
      <c r="AA646" s="1066"/>
      <c r="AB646" s="1066"/>
      <c r="AC646" s="1066"/>
      <c r="AD646" s="1066"/>
      <c r="AE646" s="1066"/>
      <c r="AF646" s="1066"/>
      <c r="AG646" s="1066"/>
      <c r="AH646" s="1066"/>
      <c r="AI646" s="1066"/>
      <c r="AJ646" s="1066"/>
      <c r="AK646" s="1066"/>
      <c r="AM646" s="43"/>
      <c r="AN646" s="43"/>
      <c r="AO646" s="43"/>
      <c r="AP646" s="43"/>
      <c r="AQ646" s="43"/>
      <c r="AR646" s="43"/>
      <c r="AS646" s="43"/>
      <c r="AT646" s="43"/>
      <c r="AU646" s="43"/>
      <c r="AV646" s="43"/>
      <c r="AW646" s="43"/>
      <c r="AX646" s="43"/>
      <c r="AY646" s="43"/>
      <c r="AZ646" s="43"/>
      <c r="BN646" s="1106">
        <f t="shared" si="31"/>
        <v>0</v>
      </c>
      <c r="BO646" s="1107"/>
      <c r="BP646" s="1107"/>
      <c r="BQ646" s="1107"/>
      <c r="BR646" s="1109"/>
      <c r="BS646" s="1106">
        <f t="shared" si="32"/>
        <v>0</v>
      </c>
      <c r="BT646" s="1107"/>
      <c r="BU646" s="1107"/>
      <c r="BV646" s="1107"/>
      <c r="BW646" s="1109"/>
      <c r="BX646" s="1106">
        <f t="shared" si="33"/>
        <v>0</v>
      </c>
      <c r="BY646" s="1107"/>
      <c r="BZ646" s="1107"/>
      <c r="CA646" s="1107"/>
      <c r="CB646" s="1109"/>
      <c r="CC646" s="1106">
        <f t="shared" si="34"/>
        <v>0</v>
      </c>
      <c r="CD646" s="1107"/>
      <c r="CE646" s="1107"/>
      <c r="CF646" s="1107"/>
      <c r="CG646" s="1109"/>
      <c r="CH646" s="1106">
        <f t="shared" si="35"/>
        <v>0</v>
      </c>
      <c r="CI646" s="1107"/>
      <c r="CJ646" s="1107"/>
      <c r="CK646" s="1107"/>
      <c r="CL646" s="1109"/>
      <c r="CM646" s="1106">
        <f t="shared" si="36"/>
        <v>0</v>
      </c>
      <c r="CN646" s="1107"/>
      <c r="CO646" s="1107"/>
      <c r="CP646" s="1107"/>
      <c r="CQ646" s="1109"/>
      <c r="CR646" s="41"/>
      <c r="CS646" s="41"/>
    </row>
    <row r="647" spans="1:99" ht="12.9" customHeight="1">
      <c r="A647" s="4"/>
      <c r="B647" t="s">
        <v>429</v>
      </c>
      <c r="C647"/>
      <c r="G647" s="1066" t="str">
        <f>G573</f>
        <v xml:space="preserve">Los Angeles </v>
      </c>
      <c r="H647" s="1066"/>
      <c r="I647" s="1066"/>
      <c r="J647" s="1066"/>
      <c r="K647" s="1066"/>
      <c r="L647" s="1066"/>
      <c r="M647" s="1066"/>
      <c r="N647" s="1066"/>
      <c r="O647" s="1066"/>
      <c r="P647" s="1066"/>
      <c r="Q647" s="1066"/>
      <c r="R647" s="1066"/>
      <c r="T647" s="4"/>
      <c r="U647" t="s">
        <v>429</v>
      </c>
      <c r="Z647" s="1065" t="str">
        <f>Z573</f>
        <v>Merced</v>
      </c>
      <c r="AA647" s="1065"/>
      <c r="AB647" s="1065"/>
      <c r="AC647" s="1065"/>
      <c r="AD647" s="1065"/>
      <c r="AE647" s="1065"/>
      <c r="AF647" s="1065"/>
      <c r="AG647" s="1065"/>
      <c r="AH647" s="1065"/>
      <c r="AI647" s="1065"/>
      <c r="AJ647" s="1065"/>
      <c r="AK647" s="1065"/>
      <c r="AM647" s="43"/>
      <c r="AN647" s="43"/>
      <c r="AO647" s="43"/>
      <c r="AP647" s="43"/>
      <c r="AQ647" s="43"/>
      <c r="AR647" s="43"/>
      <c r="AS647" s="43"/>
      <c r="AT647" s="43"/>
      <c r="AU647" s="43"/>
      <c r="AV647" s="43"/>
      <c r="AW647" s="43"/>
      <c r="AX647" s="43"/>
      <c r="AY647" s="43"/>
      <c r="AZ647" s="43"/>
      <c r="BN647" s="1106">
        <f t="shared" si="31"/>
        <v>0</v>
      </c>
      <c r="BO647" s="1107"/>
      <c r="BP647" s="1107"/>
      <c r="BQ647" s="1107"/>
      <c r="BR647" s="1109"/>
      <c r="BS647" s="1106">
        <f t="shared" si="32"/>
        <v>0</v>
      </c>
      <c r="BT647" s="1107"/>
      <c r="BU647" s="1107"/>
      <c r="BV647" s="1107"/>
      <c r="BW647" s="1109"/>
      <c r="BX647" s="1106">
        <f t="shared" si="33"/>
        <v>0</v>
      </c>
      <c r="BY647" s="1107"/>
      <c r="BZ647" s="1107"/>
      <c r="CA647" s="1107"/>
      <c r="CB647" s="1109"/>
      <c r="CC647" s="1106">
        <f t="shared" si="34"/>
        <v>0</v>
      </c>
      <c r="CD647" s="1107"/>
      <c r="CE647" s="1107"/>
      <c r="CF647" s="1107"/>
      <c r="CG647" s="1109"/>
      <c r="CH647" s="1106">
        <f t="shared" si="35"/>
        <v>0</v>
      </c>
      <c r="CI647" s="1107"/>
      <c r="CJ647" s="1107"/>
      <c r="CK647" s="1107"/>
      <c r="CL647" s="1109"/>
      <c r="CM647" s="1106">
        <f t="shared" si="36"/>
        <v>0</v>
      </c>
      <c r="CN647" s="1107"/>
      <c r="CO647" s="1107"/>
      <c r="CP647" s="1107"/>
      <c r="CQ647" s="1109"/>
      <c r="CR647" s="41"/>
      <c r="CS647" s="41"/>
    </row>
    <row r="648" spans="1:99" ht="12.9" customHeight="1">
      <c r="A648" s="4"/>
      <c r="B648" t="s">
        <v>832</v>
      </c>
      <c r="C648"/>
      <c r="G648" s="1066" t="str">
        <f>G574</f>
        <v xml:space="preserve">Hao Li </v>
      </c>
      <c r="H648" s="1066"/>
      <c r="I648" s="1066"/>
      <c r="J648" s="1066"/>
      <c r="K648" s="1066"/>
      <c r="L648" s="1066"/>
      <c r="M648" s="1066"/>
      <c r="N648" s="1066"/>
      <c r="O648" s="1066"/>
      <c r="P648" s="1066"/>
      <c r="Q648" s="1066"/>
      <c r="R648" s="1066"/>
      <c r="S648" s="12"/>
      <c r="T648" s="4"/>
      <c r="U648" t="s">
        <v>832</v>
      </c>
      <c r="Z648" s="1065" t="str">
        <f>Z574</f>
        <v>Kristynn Sullivan</v>
      </c>
      <c r="AA648" s="1065"/>
      <c r="AB648" s="1065"/>
      <c r="AC648" s="1065"/>
      <c r="AD648" s="1065"/>
      <c r="AE648" s="1065"/>
      <c r="AF648" s="1065"/>
      <c r="AG648" s="1065"/>
      <c r="AH648" s="1065"/>
      <c r="AI648" s="1065"/>
      <c r="AJ648" s="1065"/>
      <c r="AK648" s="1065"/>
      <c r="AM648" s="43"/>
      <c r="AN648" s="43"/>
      <c r="AO648" s="43"/>
      <c r="AP648" s="43"/>
      <c r="AQ648" s="43"/>
      <c r="AR648" s="43"/>
      <c r="AS648" s="43"/>
      <c r="AT648" s="43"/>
      <c r="AU648" s="43"/>
      <c r="AV648" s="43"/>
      <c r="AW648" s="43"/>
      <c r="AX648" s="43"/>
      <c r="AY648" s="43"/>
      <c r="AZ648" s="43"/>
      <c r="BN648" s="1106">
        <f t="shared" si="31"/>
        <v>0</v>
      </c>
      <c r="BO648" s="1107"/>
      <c r="BP648" s="1107"/>
      <c r="BQ648" s="1107"/>
      <c r="BR648" s="1109"/>
      <c r="BS648" s="1106">
        <f t="shared" si="32"/>
        <v>0</v>
      </c>
      <c r="BT648" s="1107"/>
      <c r="BU648" s="1107"/>
      <c r="BV648" s="1107"/>
      <c r="BW648" s="1109"/>
      <c r="BX648" s="1106">
        <f t="shared" si="33"/>
        <v>0</v>
      </c>
      <c r="BY648" s="1107"/>
      <c r="BZ648" s="1107"/>
      <c r="CA648" s="1107"/>
      <c r="CB648" s="1109"/>
      <c r="CC648" s="1106">
        <f t="shared" si="34"/>
        <v>0</v>
      </c>
      <c r="CD648" s="1107"/>
      <c r="CE648" s="1107"/>
      <c r="CF648" s="1107"/>
      <c r="CG648" s="1109"/>
      <c r="CH648" s="1106">
        <f t="shared" si="35"/>
        <v>0</v>
      </c>
      <c r="CI648" s="1107"/>
      <c r="CJ648" s="1107"/>
      <c r="CK648" s="1107"/>
      <c r="CL648" s="1109"/>
      <c r="CM648" s="1106">
        <f t="shared" si="36"/>
        <v>0</v>
      </c>
      <c r="CN648" s="1107"/>
      <c r="CO648" s="1107"/>
      <c r="CP648" s="1107"/>
      <c r="CQ648" s="1109"/>
      <c r="CR648" s="41"/>
      <c r="CS648" s="41"/>
    </row>
    <row r="649" spans="1:99" ht="12.9" customHeight="1">
      <c r="A649" s="4"/>
      <c r="B649" t="s">
        <v>649</v>
      </c>
      <c r="C649"/>
      <c r="G649" s="1096" t="str">
        <f>G575</f>
        <v>(213) 239-1914</v>
      </c>
      <c r="H649" s="1096"/>
      <c r="I649" s="1096"/>
      <c r="J649" s="1096"/>
      <c r="K649" s="1096"/>
      <c r="L649" s="1096"/>
      <c r="O649" s="42" t="s">
        <v>817</v>
      </c>
      <c r="P649" s="1335"/>
      <c r="Q649" s="1335"/>
      <c r="R649" s="1335"/>
      <c r="S649" s="14"/>
      <c r="T649" s="4"/>
      <c r="U649" t="s">
        <v>649</v>
      </c>
      <c r="Z649" s="1096" t="str">
        <f>Z575</f>
        <v>(209) 381-5300</v>
      </c>
      <c r="AA649" s="1096"/>
      <c r="AB649" s="1096"/>
      <c r="AC649" s="1096"/>
      <c r="AD649" s="1096"/>
      <c r="AE649" s="1096"/>
      <c r="AH649" s="42" t="s">
        <v>817</v>
      </c>
      <c r="AI649" s="1335"/>
      <c r="AJ649" s="1335"/>
      <c r="AK649" s="1335"/>
      <c r="AM649" s="43"/>
      <c r="AN649" s="43"/>
      <c r="AO649" s="43"/>
      <c r="AP649" s="43"/>
      <c r="AQ649" s="43"/>
      <c r="AR649" s="43"/>
      <c r="AS649" s="43"/>
      <c r="AT649" s="43"/>
      <c r="AU649" s="43"/>
      <c r="AV649" s="43"/>
      <c r="AW649" s="43"/>
      <c r="AX649" s="43"/>
      <c r="AY649" s="43"/>
      <c r="AZ649" s="43"/>
      <c r="BN649" s="1106">
        <f t="shared" si="31"/>
        <v>0</v>
      </c>
      <c r="BO649" s="1107"/>
      <c r="BP649" s="1107"/>
      <c r="BQ649" s="1107"/>
      <c r="BR649" s="1109"/>
      <c r="BS649" s="1106">
        <f t="shared" si="32"/>
        <v>0</v>
      </c>
      <c r="BT649" s="1107"/>
      <c r="BU649" s="1107"/>
      <c r="BV649" s="1107"/>
      <c r="BW649" s="1109"/>
      <c r="BX649" s="1106">
        <f t="shared" si="33"/>
        <v>0</v>
      </c>
      <c r="BY649" s="1107"/>
      <c r="BZ649" s="1107"/>
      <c r="CA649" s="1107"/>
      <c r="CB649" s="1109"/>
      <c r="CC649" s="1106">
        <f t="shared" si="34"/>
        <v>0</v>
      </c>
      <c r="CD649" s="1107"/>
      <c r="CE649" s="1107"/>
      <c r="CF649" s="1107"/>
      <c r="CG649" s="1109"/>
      <c r="CH649" s="1106">
        <f t="shared" si="35"/>
        <v>0</v>
      </c>
      <c r="CI649" s="1107"/>
      <c r="CJ649" s="1107"/>
      <c r="CK649" s="1107"/>
      <c r="CL649" s="1109"/>
      <c r="CM649" s="1106">
        <f t="shared" si="36"/>
        <v>0</v>
      </c>
      <c r="CN649" s="1107"/>
      <c r="CO649" s="1107"/>
      <c r="CP649" s="1107"/>
      <c r="CQ649" s="1109"/>
      <c r="CR649" s="41"/>
      <c r="CS649" s="41"/>
    </row>
    <row r="650" spans="1:99" ht="12.9" customHeight="1">
      <c r="A650" s="4"/>
      <c r="B650" t="s">
        <v>833</v>
      </c>
      <c r="C650"/>
      <c r="H650" s="1066" t="str">
        <f>H576</f>
        <v>Construction</v>
      </c>
      <c r="I650" s="1066"/>
      <c r="J650" s="1066"/>
      <c r="K650" s="1066"/>
      <c r="L650" s="1066"/>
      <c r="M650" s="1066"/>
      <c r="N650" s="1066"/>
      <c r="O650" s="1066"/>
      <c r="P650" s="1066"/>
      <c r="Q650" s="1066"/>
      <c r="R650" s="1066"/>
      <c r="S650" s="12"/>
      <c r="T650" s="4"/>
      <c r="U650" t="s">
        <v>833</v>
      </c>
      <c r="AA650" s="1066" t="str">
        <f>AA576</f>
        <v>Construction/Permanent</v>
      </c>
      <c r="AB650" s="1066"/>
      <c r="AC650" s="1066"/>
      <c r="AD650" s="1066"/>
      <c r="AE650" s="1066"/>
      <c r="AF650" s="1066"/>
      <c r="AG650" s="1066"/>
      <c r="AH650" s="1066"/>
      <c r="AI650" s="1066"/>
      <c r="AJ650" s="1066"/>
      <c r="AK650" s="1066"/>
      <c r="AM650" s="43"/>
      <c r="AN650" s="43"/>
      <c r="AO650" s="43"/>
      <c r="AP650" s="43"/>
      <c r="AQ650" s="43"/>
      <c r="AR650" s="43"/>
      <c r="AS650" s="43"/>
      <c r="AT650" s="43"/>
      <c r="AU650" s="43"/>
      <c r="AV650" s="43"/>
      <c r="AW650" s="43"/>
      <c r="AX650" s="43"/>
      <c r="AY650" s="43"/>
      <c r="AZ650" s="43"/>
      <c r="BN650" s="1106">
        <f t="shared" si="31"/>
        <v>0</v>
      </c>
      <c r="BO650" s="1107"/>
      <c r="BP650" s="1107"/>
      <c r="BQ650" s="1107"/>
      <c r="BR650" s="1109"/>
      <c r="BS650" s="1106">
        <f t="shared" si="32"/>
        <v>0</v>
      </c>
      <c r="BT650" s="1107"/>
      <c r="BU650" s="1107"/>
      <c r="BV650" s="1107"/>
      <c r="BW650" s="1109"/>
      <c r="BX650" s="1106">
        <f t="shared" si="33"/>
        <v>0</v>
      </c>
      <c r="BY650" s="1107"/>
      <c r="BZ650" s="1107"/>
      <c r="CA650" s="1107"/>
      <c r="CB650" s="1109"/>
      <c r="CC650" s="1106">
        <f t="shared" si="34"/>
        <v>0</v>
      </c>
      <c r="CD650" s="1107"/>
      <c r="CE650" s="1107"/>
      <c r="CF650" s="1107"/>
      <c r="CG650" s="1109"/>
      <c r="CH650" s="1106">
        <f t="shared" si="35"/>
        <v>0</v>
      </c>
      <c r="CI650" s="1107"/>
      <c r="CJ650" s="1107"/>
      <c r="CK650" s="1107"/>
      <c r="CL650" s="1109"/>
      <c r="CM650" s="1106">
        <f t="shared" si="36"/>
        <v>0</v>
      </c>
      <c r="CN650" s="1107"/>
      <c r="CO650" s="1107"/>
      <c r="CP650" s="1107"/>
      <c r="CQ650" s="1109"/>
      <c r="CR650" s="41"/>
      <c r="CS650" s="41"/>
    </row>
    <row r="651" spans="1:99" ht="12.9" customHeight="1">
      <c r="A651" s="5"/>
      <c r="B651" t="s">
        <v>835</v>
      </c>
      <c r="C651"/>
      <c r="N651" s="1144" t="s">
        <v>107</v>
      </c>
      <c r="O651" s="1144"/>
      <c r="T651" s="4"/>
      <c r="U651" t="s">
        <v>835</v>
      </c>
      <c r="AG651" s="1144" t="s">
        <v>107</v>
      </c>
      <c r="AH651" s="1144"/>
      <c r="AM651" s="43"/>
      <c r="AN651" s="43"/>
      <c r="AO651" s="43"/>
      <c r="AP651" s="43"/>
      <c r="AQ651" s="43"/>
      <c r="AR651" s="43"/>
      <c r="AS651" s="43"/>
      <c r="AT651" s="43"/>
      <c r="AU651" s="43"/>
      <c r="AV651" s="43"/>
      <c r="AW651" s="43"/>
      <c r="AX651" s="43"/>
      <c r="AY651" s="43"/>
      <c r="AZ651" s="43"/>
      <c r="BA651" s="43"/>
      <c r="BB651" s="41"/>
      <c r="BC651" s="41"/>
      <c r="BD651" s="41"/>
      <c r="BN651" s="1106">
        <f t="shared" si="31"/>
        <v>0</v>
      </c>
      <c r="BO651" s="1107"/>
      <c r="BP651" s="1107"/>
      <c r="BQ651" s="1107"/>
      <c r="BR651" s="1109"/>
      <c r="BS651" s="1106">
        <f t="shared" si="32"/>
        <v>0</v>
      </c>
      <c r="BT651" s="1107"/>
      <c r="BU651" s="1107"/>
      <c r="BV651" s="1107"/>
      <c r="BW651" s="1109"/>
      <c r="BX651" s="1106">
        <f t="shared" si="33"/>
        <v>0</v>
      </c>
      <c r="BY651" s="1107"/>
      <c r="BZ651" s="1107"/>
      <c r="CA651" s="1107"/>
      <c r="CB651" s="1109"/>
      <c r="CC651" s="1106">
        <f t="shared" si="34"/>
        <v>0</v>
      </c>
      <c r="CD651" s="1107"/>
      <c r="CE651" s="1107"/>
      <c r="CF651" s="1107"/>
      <c r="CG651" s="1109"/>
      <c r="CH651" s="1106">
        <f t="shared" si="35"/>
        <v>0</v>
      </c>
      <c r="CI651" s="1107"/>
      <c r="CJ651" s="1107"/>
      <c r="CK651" s="1107"/>
      <c r="CL651" s="1109"/>
      <c r="CM651" s="1106">
        <f t="shared" si="36"/>
        <v>0</v>
      </c>
      <c r="CN651" s="1107"/>
      <c r="CO651" s="1107"/>
      <c r="CP651" s="1107"/>
      <c r="CQ651" s="1109"/>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06">
        <f t="shared" si="31"/>
        <v>0</v>
      </c>
      <c r="BO652" s="1107"/>
      <c r="BP652" s="1107"/>
      <c r="BQ652" s="1107"/>
      <c r="BR652" s="1109"/>
      <c r="BS652" s="1106">
        <f t="shared" si="32"/>
        <v>0</v>
      </c>
      <c r="BT652" s="1107"/>
      <c r="BU652" s="1107"/>
      <c r="BV652" s="1107"/>
      <c r="BW652" s="1109"/>
      <c r="BX652" s="1106">
        <f t="shared" si="33"/>
        <v>0</v>
      </c>
      <c r="BY652" s="1107"/>
      <c r="BZ652" s="1107"/>
      <c r="CA652" s="1107"/>
      <c r="CB652" s="1109"/>
      <c r="CC652" s="1106">
        <f t="shared" si="34"/>
        <v>0</v>
      </c>
      <c r="CD652" s="1107"/>
      <c r="CE652" s="1107"/>
      <c r="CF652" s="1107"/>
      <c r="CG652" s="1109"/>
      <c r="CH652" s="1106">
        <f t="shared" si="35"/>
        <v>0</v>
      </c>
      <c r="CI652" s="1107"/>
      <c r="CJ652" s="1107"/>
      <c r="CK652" s="1107"/>
      <c r="CL652" s="1109"/>
      <c r="CM652" s="1106">
        <f t="shared" si="36"/>
        <v>0</v>
      </c>
      <c r="CN652" s="1107"/>
      <c r="CO652" s="1107"/>
      <c r="CP652" s="1107"/>
      <c r="CQ652" s="1109"/>
      <c r="CR652" s="41"/>
      <c r="CS652" s="41"/>
    </row>
    <row r="653" spans="1:99" ht="12.9" customHeight="1">
      <c r="A653" s="61" t="s">
        <v>906</v>
      </c>
      <c r="B653" t="s">
        <v>81</v>
      </c>
      <c r="C653"/>
      <c r="G653" s="1230" t="str">
        <f>C631</f>
        <v>REAP: Regional Competitiveness Grant</v>
      </c>
      <c r="H653" s="1230"/>
      <c r="I653" s="1230"/>
      <c r="J653" s="1230"/>
      <c r="K653" s="1230"/>
      <c r="L653" s="1230"/>
      <c r="M653" s="1230"/>
      <c r="N653" s="1230"/>
      <c r="O653" s="1230"/>
      <c r="P653" s="1230"/>
      <c r="Q653" s="1230"/>
      <c r="R653" s="1230"/>
      <c r="T653" s="61" t="s">
        <v>430</v>
      </c>
      <c r="U653" t="s">
        <v>81</v>
      </c>
      <c r="Z653" s="1230" t="str">
        <f>C632</f>
        <v>City of Merced PLHA</v>
      </c>
      <c r="AA653" s="1230"/>
      <c r="AB653" s="1230"/>
      <c r="AC653" s="1230"/>
      <c r="AD653" s="1230"/>
      <c r="AE653" s="1230"/>
      <c r="AF653" s="1230"/>
      <c r="AG653" s="1230"/>
      <c r="AH653" s="1230"/>
      <c r="AI653" s="1230"/>
      <c r="AJ653" s="1230"/>
      <c r="AK653" s="1230"/>
      <c r="AM653" s="43"/>
      <c r="AN653" s="43"/>
      <c r="AO653" s="43"/>
      <c r="AP653" s="43"/>
      <c r="AQ653" s="43"/>
      <c r="AR653" s="43"/>
      <c r="AS653" s="43"/>
      <c r="AT653" s="43"/>
      <c r="AU653" s="43"/>
      <c r="AV653" s="43"/>
      <c r="AW653" s="43"/>
      <c r="AX653" s="43"/>
      <c r="AY653" s="43"/>
      <c r="AZ653" s="43"/>
      <c r="BA653" s="43"/>
      <c r="BB653" s="41"/>
      <c r="BC653" s="41"/>
      <c r="BD653" s="41"/>
      <c r="BN653" s="1513">
        <f>SUM(BN643:BR652)</f>
        <v>0</v>
      </c>
      <c r="BO653" s="1514"/>
      <c r="BP653" s="1514"/>
      <c r="BQ653" s="1514"/>
      <c r="BR653" s="1515"/>
      <c r="BS653" s="1513">
        <f>SUM(BS643:BW652)</f>
        <v>0</v>
      </c>
      <c r="BT653" s="1514"/>
      <c r="BU653" s="1514"/>
      <c r="BV653" s="1514"/>
      <c r="BW653" s="1515"/>
      <c r="BX653" s="1513">
        <f>SUM(BX643:CB652)</f>
        <v>0</v>
      </c>
      <c r="BY653" s="1514"/>
      <c r="BZ653" s="1514"/>
      <c r="CA653" s="1514"/>
      <c r="CB653" s="1515"/>
      <c r="CC653" s="1513">
        <f>SUM(CC643:CG652)</f>
        <v>0</v>
      </c>
      <c r="CD653" s="1514"/>
      <c r="CE653" s="1514"/>
      <c r="CF653" s="1514"/>
      <c r="CG653" s="1515"/>
      <c r="CH653" s="1513">
        <f>SUM(CH643:CL652)</f>
        <v>0</v>
      </c>
      <c r="CI653" s="1514"/>
      <c r="CJ653" s="1514"/>
      <c r="CK653" s="1514"/>
      <c r="CL653" s="1515"/>
      <c r="CM653" s="1513">
        <f>SUM(CM643:CQ652)</f>
        <v>0</v>
      </c>
      <c r="CN653" s="1514"/>
      <c r="CO653" s="1514"/>
      <c r="CP653" s="1514"/>
      <c r="CQ653" s="1515"/>
      <c r="CR653" s="41"/>
      <c r="CS653" s="41"/>
    </row>
    <row r="654" spans="1:99" ht="12.9" customHeight="1" thickBot="1">
      <c r="A654" s="4"/>
      <c r="B654" t="s">
        <v>371</v>
      </c>
      <c r="C654"/>
      <c r="G654" s="1066" t="str">
        <f>G580</f>
        <v>678 West 18th Street</v>
      </c>
      <c r="H654" s="1066"/>
      <c r="I654" s="1066"/>
      <c r="J654" s="1066"/>
      <c r="K654" s="1066"/>
      <c r="L654" s="1066"/>
      <c r="M654" s="1066"/>
      <c r="N654" s="1066"/>
      <c r="O654" s="1066"/>
      <c r="P654" s="1066"/>
      <c r="Q654" s="1066"/>
      <c r="R654" s="1066"/>
      <c r="T654" s="4"/>
      <c r="U654" t="s">
        <v>371</v>
      </c>
      <c r="Z654" s="1066" t="str">
        <f>Z580</f>
        <v>678 West 18th Street</v>
      </c>
      <c r="AA654" s="1066"/>
      <c r="AB654" s="1066"/>
      <c r="AC654" s="1066"/>
      <c r="AD654" s="1066"/>
      <c r="AE654" s="1066"/>
      <c r="AF654" s="1066"/>
      <c r="AG654" s="1066"/>
      <c r="AH654" s="1066"/>
      <c r="AI654" s="1066"/>
      <c r="AJ654" s="1066"/>
      <c r="AK654" s="1066"/>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65" t="str">
        <f>G581</f>
        <v>Merced</v>
      </c>
      <c r="H655" s="1065"/>
      <c r="I655" s="1065"/>
      <c r="J655" s="1065"/>
      <c r="K655" s="1065"/>
      <c r="L655" s="1065"/>
      <c r="M655" s="1065"/>
      <c r="N655" s="1065"/>
      <c r="O655" s="1065"/>
      <c r="P655" s="1065"/>
      <c r="Q655" s="1065"/>
      <c r="R655" s="1065"/>
      <c r="T655" s="4"/>
      <c r="U655" t="s">
        <v>429</v>
      </c>
      <c r="Z655" s="1065" t="str">
        <f>Z581</f>
        <v>Merced</v>
      </c>
      <c r="AA655" s="1065"/>
      <c r="AB655" s="1065"/>
      <c r="AC655" s="1065"/>
      <c r="AD655" s="1065"/>
      <c r="AE655" s="1065"/>
      <c r="AF655" s="1065"/>
      <c r="AG655" s="1065"/>
      <c r="AH655" s="1065"/>
      <c r="AI655" s="1065"/>
      <c r="AJ655" s="1065"/>
      <c r="AK655" s="10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 customHeight="1" thickBot="1">
      <c r="A656" s="4"/>
      <c r="B656" t="s">
        <v>832</v>
      </c>
      <c r="C656"/>
      <c r="G656" s="1065" t="str">
        <f>G582</f>
        <v>Scott McBridge</v>
      </c>
      <c r="H656" s="1065"/>
      <c r="I656" s="1065"/>
      <c r="J656" s="1065"/>
      <c r="K656" s="1065"/>
      <c r="L656" s="1065"/>
      <c r="M656" s="1065"/>
      <c r="N656" s="1065"/>
      <c r="O656" s="1065"/>
      <c r="P656" s="1065"/>
      <c r="Q656" s="1065"/>
      <c r="R656" s="1065"/>
      <c r="T656" s="4"/>
      <c r="U656" t="s">
        <v>832</v>
      </c>
      <c r="Z656" s="1065" t="str">
        <f>Z582</f>
        <v>Scott McBridge</v>
      </c>
      <c r="AA656" s="1065"/>
      <c r="AB656" s="1065"/>
      <c r="AC656" s="1065"/>
      <c r="AD656" s="1065"/>
      <c r="AE656" s="1065"/>
      <c r="AF656" s="1065"/>
      <c r="AG656" s="1065"/>
      <c r="AH656" s="1065"/>
      <c r="AI656" s="1065"/>
      <c r="AJ656" s="1065"/>
      <c r="AK656" s="10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096" t="str">
        <f>G583</f>
        <v>(209) 385-6834</v>
      </c>
      <c r="H657" s="1096"/>
      <c r="I657" s="1096"/>
      <c r="J657" s="1096"/>
      <c r="K657" s="1096"/>
      <c r="L657" s="1096"/>
      <c r="O657" s="42" t="s">
        <v>817</v>
      </c>
      <c r="P657" s="1335"/>
      <c r="Q657" s="1335"/>
      <c r="R657" s="1335"/>
      <c r="T657" s="4"/>
      <c r="U657" t="s">
        <v>649</v>
      </c>
      <c r="Z657" s="1096" t="str">
        <f>Z583</f>
        <v>(209) 385-6834</v>
      </c>
      <c r="AA657" s="1096"/>
      <c r="AB657" s="1096"/>
      <c r="AC657" s="1096"/>
      <c r="AD657" s="1096"/>
      <c r="AE657" s="1096"/>
      <c r="AH657" s="42" t="s">
        <v>817</v>
      </c>
      <c r="AI657" s="1335"/>
      <c r="AJ657" s="1335"/>
      <c r="AK657" s="1335"/>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53</v>
      </c>
      <c r="CR657" s="41"/>
      <c r="CS657" s="41"/>
    </row>
    <row r="658" spans="1:97" ht="12.9" customHeight="1">
      <c r="A658" s="4"/>
      <c r="B658" t="s">
        <v>833</v>
      </c>
      <c r="C658"/>
      <c r="H658" s="1066" t="str">
        <f>H584</f>
        <v>Construction/Permanent</v>
      </c>
      <c r="I658" s="1066"/>
      <c r="J658" s="1066"/>
      <c r="K658" s="1066"/>
      <c r="L658" s="1066"/>
      <c r="M658" s="1066"/>
      <c r="N658" s="1066"/>
      <c r="O658" s="1066"/>
      <c r="P658" s="1066"/>
      <c r="Q658" s="1066"/>
      <c r="R658" s="1066"/>
      <c r="T658" s="4"/>
      <c r="U658" t="s">
        <v>833</v>
      </c>
      <c r="AA658" s="1337" t="str">
        <f>AA576</f>
        <v>Construction/Permanent</v>
      </c>
      <c r="AB658" s="1066"/>
      <c r="AC658" s="1066"/>
      <c r="AD658" s="1066"/>
      <c r="AE658" s="1066"/>
      <c r="AF658" s="1066"/>
      <c r="AG658" s="1066"/>
      <c r="AH658" s="1066"/>
      <c r="AI658" s="1066"/>
      <c r="AJ658" s="1066"/>
      <c r="AK658" s="1066"/>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44" t="s">
        <v>107</v>
      </c>
      <c r="O659" s="1144"/>
      <c r="T659" s="4"/>
      <c r="U659" t="s">
        <v>835</v>
      </c>
      <c r="AG659" s="1144" t="s">
        <v>107</v>
      </c>
      <c r="AH659" s="1144"/>
      <c r="AM659" s="41"/>
      <c r="AN659" s="41"/>
      <c r="AO659" s="41"/>
      <c r="AP659" s="41"/>
      <c r="AQ659" s="41"/>
      <c r="AR659" s="41"/>
      <c r="AS659" s="41"/>
      <c r="AT659" s="41"/>
      <c r="AU659" s="41"/>
      <c r="AV659" s="41"/>
      <c r="AW659" s="41"/>
      <c r="AX659" s="41"/>
      <c r="AY659" s="41"/>
      <c r="AZ659" s="41"/>
      <c r="BA659" s="41"/>
      <c r="BB659" s="41"/>
      <c r="BC659" s="41"/>
      <c r="BD659" s="41"/>
      <c r="BN659" s="1513">
        <f>BN634+BN641+BN653</f>
        <v>0</v>
      </c>
      <c r="BO659" s="1514"/>
      <c r="BP659" s="1514"/>
      <c r="BQ659" s="1514"/>
      <c r="BR659" s="1515"/>
      <c r="BS659" s="1513">
        <f>BS634+BS641+BS653</f>
        <v>53</v>
      </c>
      <c r="BT659" s="1514"/>
      <c r="BU659" s="1514"/>
      <c r="BV659" s="1514"/>
      <c r="BW659" s="1515"/>
      <c r="BX659" s="1513">
        <f>BX634+BX641+BX653</f>
        <v>0</v>
      </c>
      <c r="BY659" s="1514"/>
      <c r="BZ659" s="1514"/>
      <c r="CA659" s="1514"/>
      <c r="CB659" s="1515"/>
      <c r="CC659" s="1513">
        <f>CC634+CC641+CC653</f>
        <v>1</v>
      </c>
      <c r="CD659" s="1514"/>
      <c r="CE659" s="1514"/>
      <c r="CF659" s="1514"/>
      <c r="CG659" s="1515"/>
      <c r="CH659" s="1513">
        <f>CH634+CH641+CH653</f>
        <v>0</v>
      </c>
      <c r="CI659" s="1514"/>
      <c r="CJ659" s="1514"/>
      <c r="CK659" s="1514"/>
      <c r="CL659" s="1515"/>
      <c r="CM659" s="1112">
        <f>CM653+CM641+CM634</f>
        <v>0</v>
      </c>
      <c r="CN659" s="1237"/>
      <c r="CO659" s="1237"/>
      <c r="CP659" s="1237"/>
      <c r="CQ659" s="1113"/>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230" t="str">
        <f>C633</f>
        <v>FHLB AHP</v>
      </c>
      <c r="H661" s="1230"/>
      <c r="I661" s="1230"/>
      <c r="J661" s="1230"/>
      <c r="K661" s="1230"/>
      <c r="L661" s="1230"/>
      <c r="M661" s="1230"/>
      <c r="N661" s="1230"/>
      <c r="O661" s="1230"/>
      <c r="P661" s="1230"/>
      <c r="Q661" s="1230"/>
      <c r="R661" s="1230"/>
      <c r="T661" s="61" t="s">
        <v>433</v>
      </c>
      <c r="U661" t="s">
        <v>81</v>
      </c>
      <c r="Z661" s="1230" t="str">
        <f>C634</f>
        <v>City of Merced-Value of Donated Land</v>
      </c>
      <c r="AA661" s="1230"/>
      <c r="AB661" s="1230"/>
      <c r="AC661" s="1230"/>
      <c r="AD661" s="1230"/>
      <c r="AE661" s="1230"/>
      <c r="AF661" s="1230"/>
      <c r="AG661" s="1230"/>
      <c r="AH661" s="1230"/>
      <c r="AI661" s="1230"/>
      <c r="AJ661" s="1230"/>
      <c r="AK661" s="123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066" t="str">
        <f>G588</f>
        <v>333 Bush Street, Suite 2700</v>
      </c>
      <c r="H662" s="1066"/>
      <c r="I662" s="1066"/>
      <c r="J662" s="1066"/>
      <c r="K662" s="1066"/>
      <c r="L662" s="1066"/>
      <c r="M662" s="1066"/>
      <c r="N662" s="1066"/>
      <c r="O662" s="1066"/>
      <c r="P662" s="1066"/>
      <c r="Q662" s="1066"/>
      <c r="R662" s="1066"/>
      <c r="T662" s="4"/>
      <c r="U662" t="s">
        <v>371</v>
      </c>
      <c r="Z662" s="1066" t="str">
        <f>Z588</f>
        <v>678 West 18th Street</v>
      </c>
      <c r="AA662" s="1066"/>
      <c r="AB662" s="1066"/>
      <c r="AC662" s="1066"/>
      <c r="AD662" s="1066"/>
      <c r="AE662" s="1066"/>
      <c r="AF662" s="1066"/>
      <c r="AG662" s="1066"/>
      <c r="AH662" s="1066"/>
      <c r="AI662" s="1066"/>
      <c r="AJ662" s="1066"/>
      <c r="AK662" s="106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66" t="str">
        <f>G589</f>
        <v>San Francisco</v>
      </c>
      <c r="H663" s="1066"/>
      <c r="I663" s="1066"/>
      <c r="J663" s="1066"/>
      <c r="K663" s="1066"/>
      <c r="L663" s="1066"/>
      <c r="M663" s="1066"/>
      <c r="N663" s="1066"/>
      <c r="O663" s="1066"/>
      <c r="P663" s="1066"/>
      <c r="Q663" s="1066"/>
      <c r="R663" s="1066"/>
      <c r="T663" s="4"/>
      <c r="U663" t="s">
        <v>429</v>
      </c>
      <c r="Z663" s="1065" t="str">
        <f>Z589</f>
        <v>Merced</v>
      </c>
      <c r="AA663" s="1065"/>
      <c r="AB663" s="1065"/>
      <c r="AC663" s="1065"/>
      <c r="AD663" s="1065"/>
      <c r="AE663" s="1065"/>
      <c r="AF663" s="1065"/>
      <c r="AG663" s="1065"/>
      <c r="AH663" s="1065"/>
      <c r="AI663" s="1065"/>
      <c r="AJ663" s="1065"/>
      <c r="AK663" s="10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066" t="str">
        <f>G590</f>
        <v>Sara Perez</v>
      </c>
      <c r="H664" s="1066"/>
      <c r="I664" s="1066"/>
      <c r="J664" s="1066"/>
      <c r="K664" s="1066"/>
      <c r="L664" s="1066"/>
      <c r="M664" s="1066"/>
      <c r="N664" s="1066"/>
      <c r="O664" s="1066"/>
      <c r="P664" s="1066"/>
      <c r="Q664" s="1066"/>
      <c r="R664" s="1066"/>
      <c r="T664" s="4"/>
      <c r="U664" t="s">
        <v>832</v>
      </c>
      <c r="Z664" s="1065" t="str">
        <f>Z590</f>
        <v>Scott McBridge</v>
      </c>
      <c r="AA664" s="1065"/>
      <c r="AB664" s="1065"/>
      <c r="AC664" s="1065"/>
      <c r="AD664" s="1065"/>
      <c r="AE664" s="1065"/>
      <c r="AF664" s="1065"/>
      <c r="AG664" s="1065"/>
      <c r="AH664" s="1065"/>
      <c r="AI664" s="1065"/>
      <c r="AJ664" s="1065"/>
      <c r="AK664" s="10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096" t="str">
        <f>G591</f>
        <v>(415) 616-2597</v>
      </c>
      <c r="H665" s="1096"/>
      <c r="I665" s="1096"/>
      <c r="J665" s="1096"/>
      <c r="K665" s="1096"/>
      <c r="L665" s="1096"/>
      <c r="O665" s="42" t="s">
        <v>817</v>
      </c>
      <c r="P665" s="1335"/>
      <c r="Q665" s="1335"/>
      <c r="R665" s="1335"/>
      <c r="T665" s="4"/>
      <c r="U665" t="s">
        <v>649</v>
      </c>
      <c r="Z665" s="1096" t="str">
        <f>Z591</f>
        <v>(209) 385-6834</v>
      </c>
      <c r="AA665" s="1096"/>
      <c r="AB665" s="1096"/>
      <c r="AC665" s="1096"/>
      <c r="AD665" s="1096"/>
      <c r="AE665" s="1096"/>
      <c r="AH665" s="42" t="s">
        <v>817</v>
      </c>
      <c r="AI665" s="1335"/>
      <c r="AJ665" s="1335"/>
      <c r="AK665" s="133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066" t="str">
        <f>H592</f>
        <v>Loan, General Partner</v>
      </c>
      <c r="I666" s="1066"/>
      <c r="J666" s="1066"/>
      <c r="K666" s="1066"/>
      <c r="L666" s="1066"/>
      <c r="M666" s="1066"/>
      <c r="N666" s="1066"/>
      <c r="O666" s="1066"/>
      <c r="P666" s="1066"/>
      <c r="Q666" s="1066"/>
      <c r="R666" s="1066"/>
      <c r="T666" s="4"/>
      <c r="U666" t="s">
        <v>833</v>
      </c>
      <c r="AA666" s="1066" t="str">
        <f>AA592</f>
        <v>Construction/Permanent</v>
      </c>
      <c r="AB666" s="1066"/>
      <c r="AC666" s="1066"/>
      <c r="AD666" s="1066"/>
      <c r="AE666" s="1066"/>
      <c r="AF666" s="1066"/>
      <c r="AG666" s="1066"/>
      <c r="AH666" s="1066"/>
      <c r="AI666" s="1066"/>
      <c r="AJ666" s="1066"/>
      <c r="AK666" s="106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44" t="s">
        <v>107</v>
      </c>
      <c r="O667" s="1144"/>
      <c r="T667" s="4"/>
      <c r="U667" t="s">
        <v>835</v>
      </c>
      <c r="AG667" s="1144" t="s">
        <v>107</v>
      </c>
      <c r="AH667" s="114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81</v>
      </c>
      <c r="C669"/>
      <c r="G669" s="1230" t="str">
        <f>C635</f>
        <v>Impact Fee Waiver</v>
      </c>
      <c r="H669" s="1230"/>
      <c r="I669" s="1230"/>
      <c r="J669" s="1230"/>
      <c r="K669" s="1230"/>
      <c r="L669" s="1230"/>
      <c r="M669" s="1230"/>
      <c r="N669" s="1230"/>
      <c r="O669" s="1230"/>
      <c r="P669" s="1230"/>
      <c r="Q669" s="1230"/>
      <c r="R669" s="1230"/>
      <c r="T669" s="61" t="s">
        <v>742</v>
      </c>
      <c r="U669" t="s">
        <v>81</v>
      </c>
      <c r="Z669" s="1230">
        <f>C636</f>
        <v>0</v>
      </c>
      <c r="AA669" s="1230"/>
      <c r="AB669" s="1230"/>
      <c r="AC669" s="1230"/>
      <c r="AD669" s="1230"/>
      <c r="AE669" s="1230"/>
      <c r="AF669" s="1230"/>
      <c r="AG669" s="1230"/>
      <c r="AH669" s="1230"/>
      <c r="AI669" s="1230"/>
      <c r="AJ669" s="1230"/>
      <c r="AK669" s="123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066" t="str">
        <f>G596</f>
        <v>678 West 18th Street</v>
      </c>
      <c r="H670" s="1066"/>
      <c r="I670" s="1066"/>
      <c r="J670" s="1066"/>
      <c r="K670" s="1066"/>
      <c r="L670" s="1066"/>
      <c r="M670" s="1066"/>
      <c r="N670" s="1066"/>
      <c r="O670" s="1066"/>
      <c r="P670" s="1066"/>
      <c r="Q670" s="1066"/>
      <c r="R670" s="1066"/>
      <c r="T670" s="4"/>
      <c r="U670" t="s">
        <v>371</v>
      </c>
      <c r="Z670" s="1066"/>
      <c r="AA670" s="1066"/>
      <c r="AB670" s="1066"/>
      <c r="AC670" s="1066"/>
      <c r="AD670" s="1066"/>
      <c r="AE670" s="1066"/>
      <c r="AF670" s="1066"/>
      <c r="AG670" s="1066"/>
      <c r="AH670" s="1066"/>
      <c r="AI670" s="1066"/>
      <c r="AJ670" s="1066"/>
      <c r="AK670" s="106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66" t="str">
        <f>G597</f>
        <v>Merced</v>
      </c>
      <c r="H671" s="1066"/>
      <c r="I671" s="1066"/>
      <c r="J671" s="1066"/>
      <c r="K671" s="1066"/>
      <c r="L671" s="1066"/>
      <c r="M671" s="1066"/>
      <c r="N671" s="1066"/>
      <c r="O671" s="1066"/>
      <c r="P671" s="1066"/>
      <c r="Q671" s="1066"/>
      <c r="R671" s="1066"/>
      <c r="T671" s="4"/>
      <c r="U671" t="s">
        <v>429</v>
      </c>
      <c r="Z671" s="1065"/>
      <c r="AA671" s="1065"/>
      <c r="AB671" s="1065"/>
      <c r="AC671" s="1065"/>
      <c r="AD671" s="1065"/>
      <c r="AE671" s="1065"/>
      <c r="AF671" s="1065"/>
      <c r="AG671" s="1065"/>
      <c r="AH671" s="1065"/>
      <c r="AI671" s="1065"/>
      <c r="AJ671" s="1065"/>
      <c r="AK671" s="10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066" t="str">
        <f>G598</f>
        <v>Scott McBridge</v>
      </c>
      <c r="H672" s="1066"/>
      <c r="I672" s="1066"/>
      <c r="J672" s="1066"/>
      <c r="K672" s="1066"/>
      <c r="L672" s="1066"/>
      <c r="M672" s="1066"/>
      <c r="N672" s="1066"/>
      <c r="O672" s="1066"/>
      <c r="P672" s="1066"/>
      <c r="Q672" s="1066"/>
      <c r="R672" s="1066"/>
      <c r="T672" s="4"/>
      <c r="U672" t="s">
        <v>832</v>
      </c>
      <c r="Z672" s="1065"/>
      <c r="AA672" s="1065"/>
      <c r="AB672" s="1065"/>
      <c r="AC672" s="1065"/>
      <c r="AD672" s="1065"/>
      <c r="AE672" s="1065"/>
      <c r="AF672" s="1065"/>
      <c r="AG672" s="1065"/>
      <c r="AH672" s="1065"/>
      <c r="AI672" s="1065"/>
      <c r="AJ672" s="1065"/>
      <c r="AK672" s="10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096" t="str">
        <f>G599</f>
        <v>(209) 385-6834</v>
      </c>
      <c r="H673" s="1096"/>
      <c r="I673" s="1096"/>
      <c r="J673" s="1096"/>
      <c r="K673" s="1096"/>
      <c r="L673" s="1096"/>
      <c r="O673" s="42" t="s">
        <v>817</v>
      </c>
      <c r="P673" s="1335"/>
      <c r="Q673" s="1335"/>
      <c r="R673" s="1335"/>
      <c r="T673" s="4"/>
      <c r="U673" t="s">
        <v>649</v>
      </c>
      <c r="Z673" s="1096"/>
      <c r="AA673" s="1096"/>
      <c r="AB673" s="1096"/>
      <c r="AC673" s="1096"/>
      <c r="AD673" s="1096"/>
      <c r="AE673" s="1096"/>
      <c r="AH673" s="42" t="s">
        <v>817</v>
      </c>
      <c r="AI673" s="1335"/>
      <c r="AJ673" s="1335"/>
      <c r="AK673" s="133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066" t="str">
        <f>H600</f>
        <v>Construction/Permanent</v>
      </c>
      <c r="I674" s="1066"/>
      <c r="J674" s="1066"/>
      <c r="K674" s="1066"/>
      <c r="L674" s="1066"/>
      <c r="M674" s="1066"/>
      <c r="N674" s="1066"/>
      <c r="O674" s="1066"/>
      <c r="P674" s="1066"/>
      <c r="Q674" s="1066"/>
      <c r="R674" s="1066"/>
      <c r="T674" s="4"/>
      <c r="U674" t="s">
        <v>833</v>
      </c>
      <c r="AA674" s="1066"/>
      <c r="AB674" s="1066"/>
      <c r="AC674" s="1066"/>
      <c r="AD674" s="1066"/>
      <c r="AE674" s="1066"/>
      <c r="AF674" s="1066"/>
      <c r="AG674" s="1066"/>
      <c r="AH674" s="1066"/>
      <c r="AI674" s="1066"/>
      <c r="AJ674" s="1066"/>
      <c r="AK674" s="106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44" t="s">
        <v>107</v>
      </c>
      <c r="O675" s="1144"/>
      <c r="T675" s="4"/>
      <c r="U675" t="s">
        <v>835</v>
      </c>
      <c r="AG675" s="1144" t="s">
        <v>481</v>
      </c>
      <c r="AH675" s="114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81</v>
      </c>
      <c r="C677"/>
      <c r="G677" s="1230">
        <f>C637</f>
        <v>0</v>
      </c>
      <c r="H677" s="1230"/>
      <c r="I677" s="1230"/>
      <c r="J677" s="1230"/>
      <c r="K677" s="1230"/>
      <c r="L677" s="1230"/>
      <c r="M677" s="1230"/>
      <c r="N677" s="1230"/>
      <c r="O677" s="1230"/>
      <c r="P677" s="1230"/>
      <c r="Q677" s="1230"/>
      <c r="R677" s="1230"/>
      <c r="T677" s="61" t="s">
        <v>173</v>
      </c>
      <c r="U677" t="s">
        <v>81</v>
      </c>
      <c r="Z677" s="1230">
        <f>C638</f>
        <v>0</v>
      </c>
      <c r="AA677" s="1230"/>
      <c r="AB677" s="1230"/>
      <c r="AC677" s="1230"/>
      <c r="AD677" s="1230"/>
      <c r="AE677" s="1230"/>
      <c r="AF677" s="1230"/>
      <c r="AG677" s="1230"/>
      <c r="AH677" s="1230"/>
      <c r="AI677" s="1230"/>
      <c r="AJ677" s="1230"/>
      <c r="AK677" s="123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066"/>
      <c r="H678" s="1066"/>
      <c r="I678" s="1066"/>
      <c r="J678" s="1066"/>
      <c r="K678" s="1066"/>
      <c r="L678" s="1066"/>
      <c r="M678" s="1066"/>
      <c r="N678" s="1066"/>
      <c r="O678" s="1066"/>
      <c r="P678" s="1066"/>
      <c r="Q678" s="1066"/>
      <c r="R678" s="1066"/>
      <c r="T678" s="4"/>
      <c r="U678" t="s">
        <v>371</v>
      </c>
      <c r="Z678" s="1066"/>
      <c r="AA678" s="1066"/>
      <c r="AB678" s="1066"/>
      <c r="AC678" s="1066"/>
      <c r="AD678" s="1066"/>
      <c r="AE678" s="1066"/>
      <c r="AF678" s="1066"/>
      <c r="AG678" s="1066"/>
      <c r="AH678" s="1066"/>
      <c r="AI678" s="1066"/>
      <c r="AJ678" s="1066"/>
      <c r="AK678" s="106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66"/>
      <c r="H679" s="1066"/>
      <c r="I679" s="1066"/>
      <c r="J679" s="1066"/>
      <c r="K679" s="1066"/>
      <c r="L679" s="1066"/>
      <c r="M679" s="1066"/>
      <c r="N679" s="1066"/>
      <c r="O679" s="1066"/>
      <c r="P679" s="1066"/>
      <c r="Q679" s="1066"/>
      <c r="R679" s="1066"/>
      <c r="T679" s="4"/>
      <c r="U679" t="s">
        <v>429</v>
      </c>
      <c r="Z679" s="1065"/>
      <c r="AA679" s="1065"/>
      <c r="AB679" s="1065"/>
      <c r="AC679" s="1065"/>
      <c r="AD679" s="1065"/>
      <c r="AE679" s="1065"/>
      <c r="AF679" s="1065"/>
      <c r="AG679" s="1065"/>
      <c r="AH679" s="1065"/>
      <c r="AI679" s="1065"/>
      <c r="AJ679" s="1065"/>
      <c r="AK679" s="10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066"/>
      <c r="H680" s="1066"/>
      <c r="I680" s="1066"/>
      <c r="J680" s="1066"/>
      <c r="K680" s="1066"/>
      <c r="L680" s="1066"/>
      <c r="M680" s="1066"/>
      <c r="N680" s="1066"/>
      <c r="O680" s="1066"/>
      <c r="P680" s="1066"/>
      <c r="Q680" s="1066"/>
      <c r="R680" s="1066"/>
      <c r="T680" s="4"/>
      <c r="U680" t="s">
        <v>832</v>
      </c>
      <c r="Z680" s="1065"/>
      <c r="AA680" s="1065"/>
      <c r="AB680" s="1065"/>
      <c r="AC680" s="1065"/>
      <c r="AD680" s="1065"/>
      <c r="AE680" s="1065"/>
      <c r="AF680" s="1065"/>
      <c r="AG680" s="1065"/>
      <c r="AH680" s="1065"/>
      <c r="AI680" s="1065"/>
      <c r="AJ680" s="1065"/>
      <c r="AK680" s="10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096"/>
      <c r="H681" s="1096"/>
      <c r="I681" s="1096"/>
      <c r="J681" s="1096"/>
      <c r="K681" s="1096"/>
      <c r="L681" s="1096"/>
      <c r="O681" s="42" t="s">
        <v>817</v>
      </c>
      <c r="P681" s="1335"/>
      <c r="Q681" s="1335"/>
      <c r="R681" s="1335"/>
      <c r="T681" s="4"/>
      <c r="U681" t="s">
        <v>649</v>
      </c>
      <c r="Z681" s="1096"/>
      <c r="AA681" s="1096"/>
      <c r="AB681" s="1096"/>
      <c r="AC681" s="1096"/>
      <c r="AD681" s="1096"/>
      <c r="AE681" s="1096"/>
      <c r="AH681" s="42" t="s">
        <v>817</v>
      </c>
      <c r="AI681" s="1335"/>
      <c r="AJ681" s="1335"/>
      <c r="AK681" s="133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066"/>
      <c r="I682" s="1066"/>
      <c r="J682" s="1066"/>
      <c r="K682" s="1066"/>
      <c r="L682" s="1066"/>
      <c r="M682" s="1066"/>
      <c r="N682" s="1066"/>
      <c r="O682" s="1066"/>
      <c r="P682" s="1066"/>
      <c r="Q682" s="1066"/>
      <c r="R682" s="1066"/>
      <c r="T682" s="4"/>
      <c r="U682" t="s">
        <v>833</v>
      </c>
      <c r="AA682" s="1066"/>
      <c r="AB682" s="1066"/>
      <c r="AC682" s="1066"/>
      <c r="AD682" s="1066"/>
      <c r="AE682" s="1066"/>
      <c r="AF682" s="1066"/>
      <c r="AG682" s="1066"/>
      <c r="AH682" s="1066"/>
      <c r="AI682" s="1066"/>
      <c r="AJ682" s="1066"/>
      <c r="AK682" s="106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44" t="s">
        <v>481</v>
      </c>
      <c r="O683" s="1144"/>
      <c r="T683" s="4"/>
      <c r="U683" t="s">
        <v>835</v>
      </c>
      <c r="AG683" s="1144" t="s">
        <v>481</v>
      </c>
      <c r="AH683" s="114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230">
        <f>C639</f>
        <v>0</v>
      </c>
      <c r="H685" s="1230"/>
      <c r="I685" s="1230"/>
      <c r="J685" s="1230"/>
      <c r="K685" s="1230"/>
      <c r="L685" s="1230"/>
      <c r="M685" s="1230"/>
      <c r="N685" s="1230"/>
      <c r="O685" s="1230"/>
      <c r="P685" s="1230"/>
      <c r="Q685" s="1230"/>
      <c r="R685" s="1230"/>
      <c r="T685" s="61" t="s">
        <v>33</v>
      </c>
      <c r="U685" t="s">
        <v>81</v>
      </c>
      <c r="Z685" s="1230">
        <f>C640</f>
        <v>0</v>
      </c>
      <c r="AA685" s="1230"/>
      <c r="AB685" s="1230"/>
      <c r="AC685" s="1230"/>
      <c r="AD685" s="1230"/>
      <c r="AE685" s="1230"/>
      <c r="AF685" s="1230"/>
      <c r="AG685" s="1230"/>
      <c r="AH685" s="1230"/>
      <c r="AI685" s="1230"/>
      <c r="AJ685" s="1230"/>
      <c r="AK685" s="123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066"/>
      <c r="H686" s="1066"/>
      <c r="I686" s="1066"/>
      <c r="J686" s="1066"/>
      <c r="K686" s="1066"/>
      <c r="L686" s="1066"/>
      <c r="M686" s="1066"/>
      <c r="N686" s="1066"/>
      <c r="O686" s="1066"/>
      <c r="P686" s="1066"/>
      <c r="Q686" s="1066"/>
      <c r="R686" s="1066"/>
      <c r="T686" s="4"/>
      <c r="U686" t="s">
        <v>371</v>
      </c>
      <c r="Z686" s="1066"/>
      <c r="AA686" s="1066"/>
      <c r="AB686" s="1066"/>
      <c r="AC686" s="1066"/>
      <c r="AD686" s="1066"/>
      <c r="AE686" s="1066"/>
      <c r="AF686" s="1066"/>
      <c r="AG686" s="1066"/>
      <c r="AH686" s="1066"/>
      <c r="AI686" s="1066"/>
      <c r="AJ686" s="1066"/>
      <c r="AK686" s="106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66"/>
      <c r="H687" s="1066"/>
      <c r="I687" s="1066"/>
      <c r="J687" s="1066"/>
      <c r="K687" s="1066"/>
      <c r="L687" s="1066"/>
      <c r="M687" s="1066"/>
      <c r="N687" s="1066"/>
      <c r="O687" s="1066"/>
      <c r="P687" s="1066"/>
      <c r="Q687" s="1066"/>
      <c r="R687" s="1066"/>
      <c r="U687" t="s">
        <v>429</v>
      </c>
      <c r="Z687" s="1065"/>
      <c r="AA687" s="1065"/>
      <c r="AB687" s="1065"/>
      <c r="AC687" s="1065"/>
      <c r="AD687" s="1065"/>
      <c r="AE687" s="1065"/>
      <c r="AF687" s="1065"/>
      <c r="AG687" s="1065"/>
      <c r="AH687" s="1065"/>
      <c r="AI687" s="1065"/>
      <c r="AJ687" s="1065"/>
      <c r="AK687" s="10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066"/>
      <c r="H688" s="1066"/>
      <c r="I688" s="1066"/>
      <c r="J688" s="1066"/>
      <c r="K688" s="1066"/>
      <c r="L688" s="1066"/>
      <c r="M688" s="1066"/>
      <c r="N688" s="1066"/>
      <c r="O688" s="1066"/>
      <c r="P688" s="1066"/>
      <c r="Q688" s="1066"/>
      <c r="R688" s="1066"/>
      <c r="U688" t="s">
        <v>832</v>
      </c>
      <c r="Z688" s="1065"/>
      <c r="AA688" s="1065"/>
      <c r="AB688" s="1065"/>
      <c r="AC688" s="1065"/>
      <c r="AD688" s="1065"/>
      <c r="AE688" s="1065"/>
      <c r="AF688" s="1065"/>
      <c r="AG688" s="1065"/>
      <c r="AH688" s="1065"/>
      <c r="AI688" s="1065"/>
      <c r="AJ688" s="1065"/>
      <c r="AK688" s="10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096"/>
      <c r="H689" s="1096"/>
      <c r="I689" s="1096"/>
      <c r="J689" s="1096"/>
      <c r="K689" s="1096"/>
      <c r="L689" s="1096"/>
      <c r="O689" s="42" t="s">
        <v>817</v>
      </c>
      <c r="P689" s="1335"/>
      <c r="Q689" s="1335"/>
      <c r="R689" s="1335"/>
      <c r="U689" t="s">
        <v>649</v>
      </c>
      <c r="Z689" s="1096"/>
      <c r="AA689" s="1096"/>
      <c r="AB689" s="1096"/>
      <c r="AC689" s="1096"/>
      <c r="AD689" s="1096"/>
      <c r="AE689" s="1096"/>
      <c r="AH689" s="42" t="s">
        <v>817</v>
      </c>
      <c r="AI689" s="1335"/>
      <c r="AJ689" s="1335"/>
      <c r="AK689" s="133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066"/>
      <c r="I690" s="1066"/>
      <c r="J690" s="1066"/>
      <c r="K690" s="1066"/>
      <c r="L690" s="1066"/>
      <c r="M690" s="1066"/>
      <c r="N690" s="1066"/>
      <c r="O690" s="1066"/>
      <c r="P690" s="1066"/>
      <c r="Q690" s="1066"/>
      <c r="R690" s="1066"/>
      <c r="U690" t="s">
        <v>833</v>
      </c>
      <c r="AA690" s="1066"/>
      <c r="AB690" s="1066"/>
      <c r="AC690" s="1066"/>
      <c r="AD690" s="1066"/>
      <c r="AE690" s="1066"/>
      <c r="AF690" s="1066"/>
      <c r="AG690" s="1066"/>
      <c r="AH690" s="1066"/>
      <c r="AI690" s="1066"/>
      <c r="AJ690" s="1066"/>
      <c r="AK690" s="106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44" t="s">
        <v>481</v>
      </c>
      <c r="O691" s="1144"/>
      <c r="U691" t="s">
        <v>835</v>
      </c>
      <c r="AG691" s="1144" t="s">
        <v>481</v>
      </c>
      <c r="AH691" s="114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94" t="s">
        <v>126</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5"/>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5" t="s">
        <v>53</v>
      </c>
      <c r="C699" s="1306"/>
      <c r="D699" s="1306"/>
      <c r="E699" s="1306"/>
      <c r="F699" s="1307"/>
      <c r="G699" s="1305" t="s">
        <v>255</v>
      </c>
      <c r="H699" s="1306"/>
      <c r="I699" s="1306"/>
      <c r="J699" s="1307"/>
      <c r="K699" s="1466" t="s">
        <v>1980</v>
      </c>
      <c r="L699" s="1467"/>
      <c r="M699" s="1467"/>
      <c r="N699" s="1468"/>
      <c r="O699" s="1305" t="s">
        <v>588</v>
      </c>
      <c r="P699" s="1306"/>
      <c r="Q699" s="1306"/>
      <c r="R699" s="1306"/>
      <c r="S699" s="1307"/>
      <c r="T699" s="1305" t="s">
        <v>256</v>
      </c>
      <c r="U699" s="1306"/>
      <c r="V699" s="1306"/>
      <c r="W699" s="1306"/>
      <c r="X699" s="1307"/>
      <c r="Y699" s="1305" t="s">
        <v>257</v>
      </c>
      <c r="Z699" s="1306"/>
      <c r="AA699" s="1306"/>
      <c r="AB699" s="1307"/>
      <c r="AC699" s="1305" t="s">
        <v>258</v>
      </c>
      <c r="AD699" s="1306"/>
      <c r="AE699" s="1306"/>
      <c r="AF699" s="1306"/>
      <c r="AG699" s="1307"/>
      <c r="AH699" s="1305" t="s">
        <v>1981</v>
      </c>
      <c r="AI699" s="1306"/>
      <c r="AJ699" s="1306"/>
      <c r="AK699" s="1306"/>
      <c r="AL699" s="1307"/>
      <c r="AM699" s="1305" t="s">
        <v>1982</v>
      </c>
      <c r="AN699" s="1306"/>
      <c r="AO699" s="1307"/>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08"/>
      <c r="C700" s="1309"/>
      <c r="D700" s="1309"/>
      <c r="E700" s="1309"/>
      <c r="F700" s="1310"/>
      <c r="G700" s="1308"/>
      <c r="H700" s="1309"/>
      <c r="I700" s="1309"/>
      <c r="J700" s="1310"/>
      <c r="K700" s="1469"/>
      <c r="L700" s="1470"/>
      <c r="M700" s="1470"/>
      <c r="N700" s="1471"/>
      <c r="O700" s="1308"/>
      <c r="P700" s="1309"/>
      <c r="Q700" s="1309"/>
      <c r="R700" s="1309"/>
      <c r="S700" s="1310"/>
      <c r="T700" s="1308"/>
      <c r="U700" s="1309"/>
      <c r="V700" s="1309"/>
      <c r="W700" s="1309"/>
      <c r="X700" s="1310"/>
      <c r="Y700" s="1308"/>
      <c r="Z700" s="1309"/>
      <c r="AA700" s="1309"/>
      <c r="AB700" s="1310"/>
      <c r="AC700" s="1308"/>
      <c r="AD700" s="1309"/>
      <c r="AE700" s="1309"/>
      <c r="AF700" s="1309"/>
      <c r="AG700" s="1310"/>
      <c r="AH700" s="1308"/>
      <c r="AI700" s="1309"/>
      <c r="AJ700" s="1309"/>
      <c r="AK700" s="1309"/>
      <c r="AL700" s="1310"/>
      <c r="AM700" s="1308"/>
      <c r="AN700" s="1309"/>
      <c r="AO700" s="1310"/>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08"/>
      <c r="C701" s="1309"/>
      <c r="D701" s="1309"/>
      <c r="E701" s="1309"/>
      <c r="F701" s="1310"/>
      <c r="G701" s="1308"/>
      <c r="H701" s="1309"/>
      <c r="I701" s="1309"/>
      <c r="J701" s="1310"/>
      <c r="K701" s="1469"/>
      <c r="L701" s="1470"/>
      <c r="M701" s="1470"/>
      <c r="N701" s="1471"/>
      <c r="O701" s="1308"/>
      <c r="P701" s="1309"/>
      <c r="Q701" s="1309"/>
      <c r="R701" s="1309"/>
      <c r="S701" s="1310"/>
      <c r="T701" s="1308"/>
      <c r="U701" s="1309"/>
      <c r="V701" s="1309"/>
      <c r="W701" s="1309"/>
      <c r="X701" s="1310"/>
      <c r="Y701" s="1308"/>
      <c r="Z701" s="1309"/>
      <c r="AA701" s="1309"/>
      <c r="AB701" s="1310"/>
      <c r="AC701" s="1308"/>
      <c r="AD701" s="1309"/>
      <c r="AE701" s="1309"/>
      <c r="AF701" s="1309"/>
      <c r="AG701" s="1310"/>
      <c r="AH701" s="1308"/>
      <c r="AI701" s="1309"/>
      <c r="AJ701" s="1309"/>
      <c r="AK701" s="1309"/>
      <c r="AL701" s="1310"/>
      <c r="AM701" s="1308"/>
      <c r="AN701" s="1309"/>
      <c r="AO701" s="1310"/>
      <c r="AX701" s="43"/>
      <c r="AY701" s="3" t="s">
        <v>1134</v>
      </c>
      <c r="AZ701" s="43"/>
      <c r="BA701" s="43"/>
      <c r="BB701" s="41"/>
      <c r="BC701" s="41"/>
      <c r="BD701" s="41"/>
      <c r="BE701" s="842" t="s">
        <v>1983</v>
      </c>
      <c r="BF701" s="843"/>
      <c r="BG701" s="843"/>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1"/>
      <c r="C702" s="1312"/>
      <c r="D702" s="1312"/>
      <c r="E702" s="1312"/>
      <c r="F702" s="1313"/>
      <c r="G702" s="1311"/>
      <c r="H702" s="1312"/>
      <c r="I702" s="1312"/>
      <c r="J702" s="1313"/>
      <c r="K702" s="1469"/>
      <c r="L702" s="1470"/>
      <c r="M702" s="1470"/>
      <c r="N702" s="1471"/>
      <c r="O702" s="1311"/>
      <c r="P702" s="1312"/>
      <c r="Q702" s="1312"/>
      <c r="R702" s="1312"/>
      <c r="S702" s="1313"/>
      <c r="T702" s="1311"/>
      <c r="U702" s="1312"/>
      <c r="V702" s="1312"/>
      <c r="W702" s="1312"/>
      <c r="X702" s="1313"/>
      <c r="Y702" s="1311"/>
      <c r="Z702" s="1312"/>
      <c r="AA702" s="1312"/>
      <c r="AB702" s="1313"/>
      <c r="AC702" s="1311"/>
      <c r="AD702" s="1312"/>
      <c r="AE702" s="1312"/>
      <c r="AF702" s="1312"/>
      <c r="AG702" s="1313"/>
      <c r="AH702" s="1311"/>
      <c r="AI702" s="1312"/>
      <c r="AJ702" s="1312"/>
      <c r="AK702" s="1312"/>
      <c r="AL702" s="1313"/>
      <c r="AM702" s="1311"/>
      <c r="AN702" s="1312"/>
      <c r="AO702" s="1313"/>
      <c r="AV702" s="267" t="s">
        <v>2286</v>
      </c>
      <c r="AX702" s="43"/>
      <c r="AY702" s="447" t="s">
        <v>1135</v>
      </c>
      <c r="AZ702" s="461" t="s">
        <v>1136</v>
      </c>
      <c r="BA702" s="460" t="s">
        <v>1137</v>
      </c>
      <c r="BB702" s="41"/>
      <c r="BC702" s="41"/>
      <c r="BD702" s="41"/>
      <c r="BE702" s="844" t="s">
        <v>1135</v>
      </c>
      <c r="BF702" s="845" t="s">
        <v>1136</v>
      </c>
      <c r="BG702" s="846"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71" t="s">
        <v>441</v>
      </c>
      <c r="C703" s="1072"/>
      <c r="D703" s="1072"/>
      <c r="E703" s="1072"/>
      <c r="F703" s="1073"/>
      <c r="G703" s="1074">
        <v>53</v>
      </c>
      <c r="H703" s="1075"/>
      <c r="I703" s="1075"/>
      <c r="J703" s="1076"/>
      <c r="K703" s="1077">
        <v>615</v>
      </c>
      <c r="L703" s="1078"/>
      <c r="M703" s="1078"/>
      <c r="N703" s="1079"/>
      <c r="O703" s="1080">
        <v>385</v>
      </c>
      <c r="P703" s="1081"/>
      <c r="Q703" s="1081"/>
      <c r="R703" s="1081"/>
      <c r="S703" s="1082"/>
      <c r="T703" s="1083">
        <f t="shared" ref="T703:T737" si="37">G703*O703</f>
        <v>20405</v>
      </c>
      <c r="U703" s="1084"/>
      <c r="V703" s="1084"/>
      <c r="W703" s="1084"/>
      <c r="X703" s="1085"/>
      <c r="Y703" s="1080">
        <v>110</v>
      </c>
      <c r="Z703" s="1081"/>
      <c r="AA703" s="1081"/>
      <c r="AB703" s="1082"/>
      <c r="AC703" s="1083">
        <f t="shared" ref="AC703:AC737" si="38">O703+Y703</f>
        <v>495</v>
      </c>
      <c r="AD703" s="1084"/>
      <c r="AE703" s="1084"/>
      <c r="AF703" s="1084"/>
      <c r="AG703" s="1085"/>
      <c r="AH703" s="1463">
        <v>0.3</v>
      </c>
      <c r="AI703" s="1464"/>
      <c r="AJ703" s="1464"/>
      <c r="AK703" s="1464"/>
      <c r="AL703" s="1465"/>
      <c r="AM703" s="1089">
        <f>IF($AH703&gt;0,($AC703/$AV703),"")</f>
        <v>0.3</v>
      </c>
      <c r="AN703" s="1090"/>
      <c r="AO703" s="1091"/>
      <c r="AV703" s="43">
        <f t="shared" ref="AV703:AV737" si="39">IF($G703=0,"N/A",VLOOKUP($T$189,TC_Rent,(MATCH($B703,bedrooms,FALSE))))</f>
        <v>1650</v>
      </c>
      <c r="AX703" s="43"/>
      <c r="AY703" s="442">
        <f t="shared" ref="AY703:AY726" si="40">G703</f>
        <v>53</v>
      </c>
      <c r="AZ703" s="449">
        <f t="shared" ref="AZ703:AZ726" si="41">IF($AY$738=0,"",AY703/$AY$738)</f>
        <v>1</v>
      </c>
      <c r="BA703" s="450">
        <f t="shared" ref="BA703:BA726" si="42">IF(AZ703="","",AZ703*AH703)</f>
        <v>0.3</v>
      </c>
      <c r="BB703" s="41"/>
      <c r="BC703" s="41"/>
      <c r="BD703" s="41"/>
      <c r="BE703" s="847">
        <f t="shared" ref="BE703:BE726" si="43">G703</f>
        <v>53</v>
      </c>
      <c r="BF703" s="851">
        <f t="shared" ref="BF703:BF726" si="44">IF(BE703=0,"",BE703/$BE$738)</f>
        <v>1</v>
      </c>
      <c r="BG703" s="852">
        <f t="shared" ref="BG703:BG726" si="45">IF(BF703="","",BF703*AM703)</f>
        <v>0.3</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71"/>
      <c r="C704" s="1072"/>
      <c r="D704" s="1072"/>
      <c r="E704" s="1072"/>
      <c r="F704" s="1073"/>
      <c r="G704" s="1074"/>
      <c r="H704" s="1075"/>
      <c r="I704" s="1075"/>
      <c r="J704" s="1076"/>
      <c r="K704" s="1077"/>
      <c r="L704" s="1078"/>
      <c r="M704" s="1078"/>
      <c r="N704" s="1079"/>
      <c r="O704" s="1080"/>
      <c r="P704" s="1081"/>
      <c r="Q704" s="1081"/>
      <c r="R704" s="1081"/>
      <c r="S704" s="1082"/>
      <c r="T704" s="1083">
        <f t="shared" si="37"/>
        <v>0</v>
      </c>
      <c r="U704" s="1084"/>
      <c r="V704" s="1084"/>
      <c r="W704" s="1084"/>
      <c r="X704" s="1085"/>
      <c r="Y704" s="1080"/>
      <c r="Z704" s="1081"/>
      <c r="AA704" s="1081"/>
      <c r="AB704" s="1082"/>
      <c r="AC704" s="1083">
        <f t="shared" si="38"/>
        <v>0</v>
      </c>
      <c r="AD704" s="1084"/>
      <c r="AE704" s="1084"/>
      <c r="AF704" s="1084"/>
      <c r="AG704" s="1085"/>
      <c r="AH704" s="1086"/>
      <c r="AI704" s="1087"/>
      <c r="AJ704" s="1087"/>
      <c r="AK704" s="1087"/>
      <c r="AL704" s="1088"/>
      <c r="AM704" s="1089" t="str">
        <f t="shared" ref="AM704:AM726" si="46">IF($AH704&gt;0,($AC704/$AV704), "")</f>
        <v/>
      </c>
      <c r="AN704" s="1090"/>
      <c r="AO704" s="1091"/>
      <c r="AV704" s="43" t="str">
        <f t="shared" si="39"/>
        <v>N/A</v>
      </c>
      <c r="AX704" s="43"/>
      <c r="AY704" s="443">
        <f t="shared" si="40"/>
        <v>0</v>
      </c>
      <c r="AZ704" s="449">
        <f t="shared" si="41"/>
        <v>0</v>
      </c>
      <c r="BA704" s="450">
        <f t="shared" si="42"/>
        <v>0</v>
      </c>
      <c r="BB704" s="41"/>
      <c r="BC704" s="41"/>
      <c r="BD704" s="41"/>
      <c r="BE704" s="847">
        <f t="shared" si="43"/>
        <v>0</v>
      </c>
      <c r="BF704" s="851" t="str">
        <f t="shared" si="44"/>
        <v/>
      </c>
      <c r="BG704" s="852" t="str">
        <f t="shared" si="45"/>
        <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71"/>
      <c r="C705" s="1072"/>
      <c r="D705" s="1072"/>
      <c r="E705" s="1072"/>
      <c r="F705" s="1073"/>
      <c r="G705" s="1074"/>
      <c r="H705" s="1075"/>
      <c r="I705" s="1075"/>
      <c r="J705" s="1076"/>
      <c r="K705" s="1077"/>
      <c r="L705" s="1078"/>
      <c r="M705" s="1078"/>
      <c r="N705" s="1079"/>
      <c r="O705" s="1080"/>
      <c r="P705" s="1081"/>
      <c r="Q705" s="1081"/>
      <c r="R705" s="1081"/>
      <c r="S705" s="1082"/>
      <c r="T705" s="1083">
        <f t="shared" si="37"/>
        <v>0</v>
      </c>
      <c r="U705" s="1084"/>
      <c r="V705" s="1084"/>
      <c r="W705" s="1084"/>
      <c r="X705" s="1085"/>
      <c r="Y705" s="1080"/>
      <c r="Z705" s="1081"/>
      <c r="AA705" s="1081"/>
      <c r="AB705" s="1082"/>
      <c r="AC705" s="1083">
        <f t="shared" si="38"/>
        <v>0</v>
      </c>
      <c r="AD705" s="1084"/>
      <c r="AE705" s="1084"/>
      <c r="AF705" s="1084"/>
      <c r="AG705" s="1085"/>
      <c r="AH705" s="1086"/>
      <c r="AI705" s="1087"/>
      <c r="AJ705" s="1087"/>
      <c r="AK705" s="1087"/>
      <c r="AL705" s="1088"/>
      <c r="AM705" s="1089" t="str">
        <f t="shared" si="46"/>
        <v/>
      </c>
      <c r="AN705" s="1090"/>
      <c r="AO705" s="1091"/>
      <c r="AV705" s="43" t="str">
        <f t="shared" si="39"/>
        <v>N/A</v>
      </c>
      <c r="AX705" s="41"/>
      <c r="AY705" s="443">
        <f t="shared" si="40"/>
        <v>0</v>
      </c>
      <c r="AZ705" s="449">
        <f t="shared" si="41"/>
        <v>0</v>
      </c>
      <c r="BA705" s="450">
        <f t="shared" si="42"/>
        <v>0</v>
      </c>
      <c r="BB705" s="41"/>
      <c r="BC705" s="41"/>
      <c r="BD705" s="41"/>
      <c r="BE705" s="847">
        <f t="shared" si="43"/>
        <v>0</v>
      </c>
      <c r="BF705" s="851" t="str">
        <f t="shared" si="44"/>
        <v/>
      </c>
      <c r="BG705" s="852" t="str">
        <f t="shared" si="45"/>
        <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71"/>
      <c r="C706" s="1072"/>
      <c r="D706" s="1072"/>
      <c r="E706" s="1072"/>
      <c r="F706" s="1073"/>
      <c r="G706" s="1074"/>
      <c r="H706" s="1075"/>
      <c r="I706" s="1075"/>
      <c r="J706" s="1076"/>
      <c r="K706" s="1077"/>
      <c r="L706" s="1078"/>
      <c r="M706" s="1078"/>
      <c r="N706" s="1079"/>
      <c r="O706" s="1080"/>
      <c r="P706" s="1081"/>
      <c r="Q706" s="1081"/>
      <c r="R706" s="1081"/>
      <c r="S706" s="1082"/>
      <c r="T706" s="1083">
        <f t="shared" si="37"/>
        <v>0</v>
      </c>
      <c r="U706" s="1084"/>
      <c r="V706" s="1084"/>
      <c r="W706" s="1084"/>
      <c r="X706" s="1085"/>
      <c r="Y706" s="1080"/>
      <c r="Z706" s="1081"/>
      <c r="AA706" s="1081"/>
      <c r="AB706" s="1082"/>
      <c r="AC706" s="1083">
        <f t="shared" si="38"/>
        <v>0</v>
      </c>
      <c r="AD706" s="1084"/>
      <c r="AE706" s="1084"/>
      <c r="AF706" s="1084"/>
      <c r="AG706" s="1085"/>
      <c r="AH706" s="1086"/>
      <c r="AI706" s="1087"/>
      <c r="AJ706" s="1087"/>
      <c r="AK706" s="1087"/>
      <c r="AL706" s="1088"/>
      <c r="AM706" s="1089" t="str">
        <f t="shared" si="46"/>
        <v/>
      </c>
      <c r="AN706" s="1090"/>
      <c r="AO706" s="1091"/>
      <c r="AV706" s="43" t="str">
        <f t="shared" si="39"/>
        <v>N/A</v>
      </c>
      <c r="AX706" s="41"/>
      <c r="AY706" s="443">
        <f t="shared" si="40"/>
        <v>0</v>
      </c>
      <c r="AZ706" s="449">
        <f t="shared" si="41"/>
        <v>0</v>
      </c>
      <c r="BA706" s="450">
        <f t="shared" si="42"/>
        <v>0</v>
      </c>
      <c r="BB706" s="41"/>
      <c r="BC706" s="41"/>
      <c r="BD706" s="41"/>
      <c r="BE706" s="847">
        <f t="shared" si="43"/>
        <v>0</v>
      </c>
      <c r="BF706" s="851" t="str">
        <f t="shared" si="44"/>
        <v/>
      </c>
      <c r="BG706" s="852" t="str">
        <f t="shared" si="45"/>
        <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71"/>
      <c r="C707" s="1072"/>
      <c r="D707" s="1072"/>
      <c r="E707" s="1072"/>
      <c r="F707" s="1073"/>
      <c r="G707" s="1074"/>
      <c r="H707" s="1075"/>
      <c r="I707" s="1075"/>
      <c r="J707" s="1076"/>
      <c r="K707" s="1077"/>
      <c r="L707" s="1078"/>
      <c r="M707" s="1078"/>
      <c r="N707" s="1079"/>
      <c r="O707" s="1080"/>
      <c r="P707" s="1081"/>
      <c r="Q707" s="1081"/>
      <c r="R707" s="1081"/>
      <c r="S707" s="1082"/>
      <c r="T707" s="1083">
        <f t="shared" si="37"/>
        <v>0</v>
      </c>
      <c r="U707" s="1084"/>
      <c r="V707" s="1084"/>
      <c r="W707" s="1084"/>
      <c r="X707" s="1085"/>
      <c r="Y707" s="1080"/>
      <c r="Z707" s="1081"/>
      <c r="AA707" s="1081"/>
      <c r="AB707" s="1082"/>
      <c r="AC707" s="1083">
        <f t="shared" si="38"/>
        <v>0</v>
      </c>
      <c r="AD707" s="1084"/>
      <c r="AE707" s="1084"/>
      <c r="AF707" s="1084"/>
      <c r="AG707" s="1085"/>
      <c r="AH707" s="1086"/>
      <c r="AI707" s="1087"/>
      <c r="AJ707" s="1087"/>
      <c r="AK707" s="1087"/>
      <c r="AL707" s="1088"/>
      <c r="AM707" s="1089" t="str">
        <f t="shared" si="46"/>
        <v/>
      </c>
      <c r="AN707" s="1090"/>
      <c r="AO707" s="1091"/>
      <c r="AV707" s="43" t="str">
        <f t="shared" si="39"/>
        <v>N/A</v>
      </c>
      <c r="AX707" s="41"/>
      <c r="AY707" s="443">
        <f t="shared" si="40"/>
        <v>0</v>
      </c>
      <c r="AZ707" s="449">
        <f t="shared" si="41"/>
        <v>0</v>
      </c>
      <c r="BA707" s="450">
        <f t="shared" si="42"/>
        <v>0</v>
      </c>
      <c r="BB707" s="41"/>
      <c r="BC707" s="41"/>
      <c r="BD707" s="41"/>
      <c r="BE707" s="847">
        <f t="shared" si="43"/>
        <v>0</v>
      </c>
      <c r="BF707" s="851" t="str">
        <f t="shared" si="44"/>
        <v/>
      </c>
      <c r="BG707" s="852" t="str">
        <f t="shared" si="45"/>
        <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71"/>
      <c r="C708" s="1072"/>
      <c r="D708" s="1072"/>
      <c r="E708" s="1072"/>
      <c r="F708" s="1073"/>
      <c r="G708" s="1074"/>
      <c r="H708" s="1075"/>
      <c r="I708" s="1075"/>
      <c r="J708" s="1076"/>
      <c r="K708" s="1077"/>
      <c r="L708" s="1078"/>
      <c r="M708" s="1078"/>
      <c r="N708" s="1079"/>
      <c r="O708" s="1080"/>
      <c r="P708" s="1081"/>
      <c r="Q708" s="1081"/>
      <c r="R708" s="1081"/>
      <c r="S708" s="1082"/>
      <c r="T708" s="1083">
        <f t="shared" si="37"/>
        <v>0</v>
      </c>
      <c r="U708" s="1084"/>
      <c r="V708" s="1084"/>
      <c r="W708" s="1084"/>
      <c r="X708" s="1085"/>
      <c r="Y708" s="1080"/>
      <c r="Z708" s="1081"/>
      <c r="AA708" s="1081"/>
      <c r="AB708" s="1082"/>
      <c r="AC708" s="1083">
        <f t="shared" si="38"/>
        <v>0</v>
      </c>
      <c r="AD708" s="1084"/>
      <c r="AE708" s="1084"/>
      <c r="AF708" s="1084"/>
      <c r="AG708" s="1085"/>
      <c r="AH708" s="1086"/>
      <c r="AI708" s="1087"/>
      <c r="AJ708" s="1087"/>
      <c r="AK708" s="1087"/>
      <c r="AL708" s="1088"/>
      <c r="AM708" s="1089" t="str">
        <f t="shared" si="46"/>
        <v/>
      </c>
      <c r="AN708" s="1090"/>
      <c r="AO708" s="1091"/>
      <c r="AV708" s="43" t="str">
        <f t="shared" si="39"/>
        <v>N/A</v>
      </c>
      <c r="AX708" s="41"/>
      <c r="AY708" s="443">
        <f t="shared" si="40"/>
        <v>0</v>
      </c>
      <c r="AZ708" s="449">
        <f t="shared" si="41"/>
        <v>0</v>
      </c>
      <c r="BA708" s="450">
        <f t="shared" si="42"/>
        <v>0</v>
      </c>
      <c r="BB708" s="41"/>
      <c r="BC708" s="41"/>
      <c r="BD708" s="41"/>
      <c r="BE708" s="847">
        <f t="shared" si="43"/>
        <v>0</v>
      </c>
      <c r="BF708" s="851" t="str">
        <f t="shared" si="44"/>
        <v/>
      </c>
      <c r="BG708" s="852" t="str">
        <f t="shared" si="45"/>
        <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71"/>
      <c r="C709" s="1072"/>
      <c r="D709" s="1072"/>
      <c r="E709" s="1072"/>
      <c r="F709" s="1073"/>
      <c r="G709" s="1074"/>
      <c r="H709" s="1075"/>
      <c r="I709" s="1075"/>
      <c r="J709" s="1076"/>
      <c r="K709" s="1077"/>
      <c r="L709" s="1078"/>
      <c r="M709" s="1078"/>
      <c r="N709" s="1079"/>
      <c r="O709" s="1080"/>
      <c r="P709" s="1081"/>
      <c r="Q709" s="1081"/>
      <c r="R709" s="1081"/>
      <c r="S709" s="1082"/>
      <c r="T709" s="1083">
        <f t="shared" si="37"/>
        <v>0</v>
      </c>
      <c r="U709" s="1084"/>
      <c r="V709" s="1084"/>
      <c r="W709" s="1084"/>
      <c r="X709" s="1085"/>
      <c r="Y709" s="1080"/>
      <c r="Z709" s="1081"/>
      <c r="AA709" s="1081"/>
      <c r="AB709" s="1082"/>
      <c r="AC709" s="1083">
        <f t="shared" si="38"/>
        <v>0</v>
      </c>
      <c r="AD709" s="1084"/>
      <c r="AE709" s="1084"/>
      <c r="AF709" s="1084"/>
      <c r="AG709" s="1085"/>
      <c r="AH709" s="1086"/>
      <c r="AI709" s="1087"/>
      <c r="AJ709" s="1087"/>
      <c r="AK709" s="1087"/>
      <c r="AL709" s="1088"/>
      <c r="AM709" s="1089" t="str">
        <f t="shared" si="46"/>
        <v/>
      </c>
      <c r="AN709" s="1090"/>
      <c r="AO709" s="1091"/>
      <c r="AV709" s="43" t="str">
        <f t="shared" si="39"/>
        <v>N/A</v>
      </c>
      <c r="AX709" s="41"/>
      <c r="AY709" s="443">
        <f t="shared" si="40"/>
        <v>0</v>
      </c>
      <c r="AZ709" s="449">
        <f t="shared" si="41"/>
        <v>0</v>
      </c>
      <c r="BA709" s="450">
        <f t="shared" si="42"/>
        <v>0</v>
      </c>
      <c r="BB709" s="41"/>
      <c r="BC709" s="41"/>
      <c r="BD709" s="41"/>
      <c r="BE709" s="847">
        <f t="shared" si="43"/>
        <v>0</v>
      </c>
      <c r="BF709" s="851" t="str">
        <f t="shared" si="44"/>
        <v/>
      </c>
      <c r="BG709" s="852" t="str">
        <f t="shared" si="45"/>
        <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71"/>
      <c r="C710" s="1072"/>
      <c r="D710" s="1072"/>
      <c r="E710" s="1072"/>
      <c r="F710" s="1073"/>
      <c r="G710" s="1074"/>
      <c r="H710" s="1075"/>
      <c r="I710" s="1075"/>
      <c r="J710" s="1076"/>
      <c r="K710" s="1077"/>
      <c r="L710" s="1078"/>
      <c r="M710" s="1078"/>
      <c r="N710" s="1079"/>
      <c r="O710" s="1080"/>
      <c r="P710" s="1081"/>
      <c r="Q710" s="1081"/>
      <c r="R710" s="1081"/>
      <c r="S710" s="1082"/>
      <c r="T710" s="1083">
        <f t="shared" si="37"/>
        <v>0</v>
      </c>
      <c r="U710" s="1084"/>
      <c r="V710" s="1084"/>
      <c r="W710" s="1084"/>
      <c r="X710" s="1085"/>
      <c r="Y710" s="1080"/>
      <c r="Z710" s="1081"/>
      <c r="AA710" s="1081"/>
      <c r="AB710" s="1082"/>
      <c r="AC710" s="1083">
        <f t="shared" si="38"/>
        <v>0</v>
      </c>
      <c r="AD710" s="1084"/>
      <c r="AE710" s="1084"/>
      <c r="AF710" s="1084"/>
      <c r="AG710" s="1085"/>
      <c r="AH710" s="1086"/>
      <c r="AI710" s="1087"/>
      <c r="AJ710" s="1087"/>
      <c r="AK710" s="1087"/>
      <c r="AL710" s="1088"/>
      <c r="AM710" s="1089" t="str">
        <f t="shared" si="46"/>
        <v/>
      </c>
      <c r="AN710" s="1090"/>
      <c r="AO710" s="1091"/>
      <c r="AV710" s="43" t="str">
        <f t="shared" si="39"/>
        <v>N/A</v>
      </c>
      <c r="AX710" s="41"/>
      <c r="AY710" s="443">
        <f t="shared" si="40"/>
        <v>0</v>
      </c>
      <c r="AZ710" s="449">
        <f t="shared" si="41"/>
        <v>0</v>
      </c>
      <c r="BA710" s="450">
        <f t="shared" si="42"/>
        <v>0</v>
      </c>
      <c r="BB710" s="41"/>
      <c r="BC710" s="41"/>
      <c r="BD710" s="41"/>
      <c r="BE710" s="847">
        <f t="shared" si="43"/>
        <v>0</v>
      </c>
      <c r="BF710" s="851" t="str">
        <f t="shared" si="44"/>
        <v/>
      </c>
      <c r="BG710" s="852" t="str">
        <f t="shared" si="45"/>
        <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71"/>
      <c r="C711" s="1072"/>
      <c r="D711" s="1072"/>
      <c r="E711" s="1072"/>
      <c r="F711" s="1073"/>
      <c r="G711" s="1074"/>
      <c r="H711" s="1075"/>
      <c r="I711" s="1075"/>
      <c r="J711" s="1076"/>
      <c r="K711" s="1077"/>
      <c r="L711" s="1078"/>
      <c r="M711" s="1078"/>
      <c r="N711" s="1079"/>
      <c r="O711" s="1080"/>
      <c r="P711" s="1081"/>
      <c r="Q711" s="1081"/>
      <c r="R711" s="1081"/>
      <c r="S711" s="1082"/>
      <c r="T711" s="1083">
        <f t="shared" si="37"/>
        <v>0</v>
      </c>
      <c r="U711" s="1084"/>
      <c r="V711" s="1084"/>
      <c r="W711" s="1084"/>
      <c r="X711" s="1085"/>
      <c r="Y711" s="1080"/>
      <c r="Z711" s="1081"/>
      <c r="AA711" s="1081"/>
      <c r="AB711" s="1082"/>
      <c r="AC711" s="1083">
        <f t="shared" si="38"/>
        <v>0</v>
      </c>
      <c r="AD711" s="1084"/>
      <c r="AE711" s="1084"/>
      <c r="AF711" s="1084"/>
      <c r="AG711" s="1085"/>
      <c r="AH711" s="1086"/>
      <c r="AI711" s="1087"/>
      <c r="AJ711" s="1087"/>
      <c r="AK711" s="1087"/>
      <c r="AL711" s="1088"/>
      <c r="AM711" s="1089" t="str">
        <f t="shared" si="46"/>
        <v/>
      </c>
      <c r="AN711" s="1090"/>
      <c r="AO711" s="1091"/>
      <c r="AV711" s="43" t="str">
        <f t="shared" si="39"/>
        <v>N/A</v>
      </c>
      <c r="AX711" s="41"/>
      <c r="AY711" s="443">
        <f t="shared" si="40"/>
        <v>0</v>
      </c>
      <c r="AZ711" s="449">
        <f t="shared" si="41"/>
        <v>0</v>
      </c>
      <c r="BA711" s="450">
        <f t="shared" si="42"/>
        <v>0</v>
      </c>
      <c r="BB711" s="41"/>
      <c r="BC711" s="41"/>
      <c r="BD711" s="41"/>
      <c r="BE711" s="847">
        <f t="shared" si="43"/>
        <v>0</v>
      </c>
      <c r="BF711" s="851" t="str">
        <f t="shared" si="44"/>
        <v/>
      </c>
      <c r="BG711" s="852" t="str">
        <f t="shared" si="45"/>
        <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71"/>
      <c r="C712" s="1072"/>
      <c r="D712" s="1072"/>
      <c r="E712" s="1072"/>
      <c r="F712" s="1073"/>
      <c r="G712" s="1074"/>
      <c r="H712" s="1075"/>
      <c r="I712" s="1075"/>
      <c r="J712" s="1076"/>
      <c r="K712" s="1077"/>
      <c r="L712" s="1078"/>
      <c r="M712" s="1078"/>
      <c r="N712" s="1079"/>
      <c r="O712" s="1080"/>
      <c r="P712" s="1081"/>
      <c r="Q712" s="1081"/>
      <c r="R712" s="1081"/>
      <c r="S712" s="1082"/>
      <c r="T712" s="1083">
        <f t="shared" si="37"/>
        <v>0</v>
      </c>
      <c r="U712" s="1084"/>
      <c r="V712" s="1084"/>
      <c r="W712" s="1084"/>
      <c r="X712" s="1085"/>
      <c r="Y712" s="1080"/>
      <c r="Z712" s="1081"/>
      <c r="AA712" s="1081"/>
      <c r="AB712" s="1082"/>
      <c r="AC712" s="1083">
        <f t="shared" si="38"/>
        <v>0</v>
      </c>
      <c r="AD712" s="1084"/>
      <c r="AE712" s="1084"/>
      <c r="AF712" s="1084"/>
      <c r="AG712" s="1085"/>
      <c r="AH712" s="1086"/>
      <c r="AI712" s="1087"/>
      <c r="AJ712" s="1087"/>
      <c r="AK712" s="1087"/>
      <c r="AL712" s="1088"/>
      <c r="AM712" s="1089" t="str">
        <f t="shared" si="46"/>
        <v/>
      </c>
      <c r="AN712" s="1090"/>
      <c r="AO712" s="1091"/>
      <c r="AV712" s="43" t="str">
        <f t="shared" si="39"/>
        <v>N/A</v>
      </c>
      <c r="AX712" s="41"/>
      <c r="AY712" s="443">
        <f t="shared" si="40"/>
        <v>0</v>
      </c>
      <c r="AZ712" s="449">
        <f t="shared" si="41"/>
        <v>0</v>
      </c>
      <c r="BA712" s="450">
        <f t="shared" si="42"/>
        <v>0</v>
      </c>
      <c r="BB712" s="41"/>
      <c r="BC712" s="41"/>
      <c r="BD712" s="41"/>
      <c r="BE712" s="847">
        <f t="shared" si="43"/>
        <v>0</v>
      </c>
      <c r="BF712" s="851" t="str">
        <f t="shared" si="44"/>
        <v/>
      </c>
      <c r="BG712" s="852" t="str">
        <f t="shared" si="45"/>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71"/>
      <c r="C713" s="1072"/>
      <c r="D713" s="1072"/>
      <c r="E713" s="1072"/>
      <c r="F713" s="1073"/>
      <c r="G713" s="1074"/>
      <c r="H713" s="1075"/>
      <c r="I713" s="1075"/>
      <c r="J713" s="1076"/>
      <c r="K713" s="1077"/>
      <c r="L713" s="1078"/>
      <c r="M713" s="1078"/>
      <c r="N713" s="1079"/>
      <c r="O713" s="1080"/>
      <c r="P713" s="1081"/>
      <c r="Q713" s="1081"/>
      <c r="R713" s="1081"/>
      <c r="S713" s="1082"/>
      <c r="T713" s="1083">
        <f t="shared" si="37"/>
        <v>0</v>
      </c>
      <c r="U713" s="1084"/>
      <c r="V713" s="1084"/>
      <c r="W713" s="1084"/>
      <c r="X713" s="1085"/>
      <c r="Y713" s="1080"/>
      <c r="Z713" s="1081"/>
      <c r="AA713" s="1081"/>
      <c r="AB713" s="1082"/>
      <c r="AC713" s="1083">
        <f t="shared" si="38"/>
        <v>0</v>
      </c>
      <c r="AD713" s="1084"/>
      <c r="AE713" s="1084"/>
      <c r="AF713" s="1084"/>
      <c r="AG713" s="1085"/>
      <c r="AH713" s="1086"/>
      <c r="AI713" s="1087"/>
      <c r="AJ713" s="1087"/>
      <c r="AK713" s="1087"/>
      <c r="AL713" s="1088"/>
      <c r="AM713" s="1089" t="str">
        <f t="shared" si="46"/>
        <v/>
      </c>
      <c r="AN713" s="1090"/>
      <c r="AO713" s="1091"/>
      <c r="AV713" s="43" t="str">
        <f t="shared" si="39"/>
        <v>N/A</v>
      </c>
      <c r="AX713" s="41"/>
      <c r="AY713" s="443">
        <f t="shared" si="40"/>
        <v>0</v>
      </c>
      <c r="AZ713" s="449">
        <f t="shared" si="41"/>
        <v>0</v>
      </c>
      <c r="BA713" s="450">
        <f t="shared" si="42"/>
        <v>0</v>
      </c>
      <c r="BB713" s="41"/>
      <c r="BC713" s="41"/>
      <c r="BD713" s="41"/>
      <c r="BE713" s="847">
        <f t="shared" si="43"/>
        <v>0</v>
      </c>
      <c r="BF713" s="851" t="str">
        <f t="shared" si="44"/>
        <v/>
      </c>
      <c r="BG713" s="852" t="str">
        <f t="shared" si="45"/>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71"/>
      <c r="C714" s="1072"/>
      <c r="D714" s="1072"/>
      <c r="E714" s="1072"/>
      <c r="F714" s="1073"/>
      <c r="G714" s="1074"/>
      <c r="H714" s="1075"/>
      <c r="I714" s="1075"/>
      <c r="J714" s="1076"/>
      <c r="K714" s="1077"/>
      <c r="L714" s="1078"/>
      <c r="M714" s="1078"/>
      <c r="N714" s="1079"/>
      <c r="O714" s="1080"/>
      <c r="P714" s="1081"/>
      <c r="Q714" s="1081"/>
      <c r="R714" s="1081"/>
      <c r="S714" s="1082"/>
      <c r="T714" s="1083">
        <f t="shared" si="37"/>
        <v>0</v>
      </c>
      <c r="U714" s="1084"/>
      <c r="V714" s="1084"/>
      <c r="W714" s="1084"/>
      <c r="X714" s="1085"/>
      <c r="Y714" s="1080"/>
      <c r="Z714" s="1081"/>
      <c r="AA714" s="1081"/>
      <c r="AB714" s="1082"/>
      <c r="AC714" s="1083">
        <f t="shared" si="38"/>
        <v>0</v>
      </c>
      <c r="AD714" s="1084"/>
      <c r="AE714" s="1084"/>
      <c r="AF714" s="1084"/>
      <c r="AG714" s="1085"/>
      <c r="AH714" s="1086"/>
      <c r="AI714" s="1087"/>
      <c r="AJ714" s="1087"/>
      <c r="AK714" s="1087"/>
      <c r="AL714" s="1088"/>
      <c r="AM714" s="1089" t="str">
        <f t="shared" si="46"/>
        <v/>
      </c>
      <c r="AN714" s="1090"/>
      <c r="AO714" s="1091"/>
      <c r="AV714" s="43" t="str">
        <f t="shared" si="39"/>
        <v>N/A</v>
      </c>
      <c r="AX714" s="41"/>
      <c r="AY714" s="443">
        <f t="shared" si="40"/>
        <v>0</v>
      </c>
      <c r="AZ714" s="449">
        <f t="shared" si="41"/>
        <v>0</v>
      </c>
      <c r="BA714" s="450">
        <f t="shared" si="42"/>
        <v>0</v>
      </c>
      <c r="BB714" s="41"/>
      <c r="BC714" s="41"/>
      <c r="BD714" s="41"/>
      <c r="BE714" s="847">
        <f t="shared" si="43"/>
        <v>0</v>
      </c>
      <c r="BF714" s="851" t="str">
        <f t="shared" si="44"/>
        <v/>
      </c>
      <c r="BG714" s="852" t="str">
        <f t="shared" si="45"/>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71"/>
      <c r="C715" s="1072"/>
      <c r="D715" s="1072"/>
      <c r="E715" s="1072"/>
      <c r="F715" s="1073"/>
      <c r="G715" s="1074"/>
      <c r="H715" s="1075"/>
      <c r="I715" s="1075"/>
      <c r="J715" s="1076"/>
      <c r="K715" s="1077"/>
      <c r="L715" s="1078"/>
      <c r="M715" s="1078"/>
      <c r="N715" s="1079"/>
      <c r="O715" s="1080"/>
      <c r="P715" s="1081"/>
      <c r="Q715" s="1081"/>
      <c r="R715" s="1081"/>
      <c r="S715" s="1082"/>
      <c r="T715" s="1083">
        <f t="shared" si="37"/>
        <v>0</v>
      </c>
      <c r="U715" s="1084"/>
      <c r="V715" s="1084"/>
      <c r="W715" s="1084"/>
      <c r="X715" s="1085"/>
      <c r="Y715" s="1080"/>
      <c r="Z715" s="1081"/>
      <c r="AA715" s="1081"/>
      <c r="AB715" s="1082"/>
      <c r="AC715" s="1083">
        <f t="shared" si="38"/>
        <v>0</v>
      </c>
      <c r="AD715" s="1084"/>
      <c r="AE715" s="1084"/>
      <c r="AF715" s="1084"/>
      <c r="AG715" s="1085"/>
      <c r="AH715" s="1086"/>
      <c r="AI715" s="1087"/>
      <c r="AJ715" s="1087"/>
      <c r="AK715" s="1087"/>
      <c r="AL715" s="1088"/>
      <c r="AM715" s="1089" t="str">
        <f t="shared" si="46"/>
        <v/>
      </c>
      <c r="AN715" s="1090"/>
      <c r="AO715" s="1091"/>
      <c r="AV715" s="43" t="str">
        <f t="shared" si="39"/>
        <v>N/A</v>
      </c>
      <c r="AX715" s="41"/>
      <c r="AY715" s="443">
        <f t="shared" si="40"/>
        <v>0</v>
      </c>
      <c r="AZ715" s="449">
        <f t="shared" si="41"/>
        <v>0</v>
      </c>
      <c r="BA715" s="450">
        <f t="shared" si="42"/>
        <v>0</v>
      </c>
      <c r="BB715" s="41"/>
      <c r="BC715" s="41"/>
      <c r="BD715" s="41"/>
      <c r="BE715" s="847">
        <f t="shared" si="43"/>
        <v>0</v>
      </c>
      <c r="BF715" s="851" t="str">
        <f t="shared" si="44"/>
        <v/>
      </c>
      <c r="BG715" s="852" t="str">
        <f t="shared" si="45"/>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71"/>
      <c r="C716" s="1072"/>
      <c r="D716" s="1072"/>
      <c r="E716" s="1072"/>
      <c r="F716" s="1073"/>
      <c r="G716" s="1074"/>
      <c r="H716" s="1075"/>
      <c r="I716" s="1075"/>
      <c r="J716" s="1076"/>
      <c r="K716" s="1077"/>
      <c r="L716" s="1078"/>
      <c r="M716" s="1078"/>
      <c r="N716" s="1079"/>
      <c r="O716" s="1080"/>
      <c r="P716" s="1081"/>
      <c r="Q716" s="1081"/>
      <c r="R716" s="1081"/>
      <c r="S716" s="1082"/>
      <c r="T716" s="1083">
        <f t="shared" si="37"/>
        <v>0</v>
      </c>
      <c r="U716" s="1084"/>
      <c r="V716" s="1084"/>
      <c r="W716" s="1084"/>
      <c r="X716" s="1085"/>
      <c r="Y716" s="1080"/>
      <c r="Z716" s="1081"/>
      <c r="AA716" s="1081"/>
      <c r="AB716" s="1082"/>
      <c r="AC716" s="1083">
        <f t="shared" si="38"/>
        <v>0</v>
      </c>
      <c r="AD716" s="1084"/>
      <c r="AE716" s="1084"/>
      <c r="AF716" s="1084"/>
      <c r="AG716" s="1085"/>
      <c r="AH716" s="1086"/>
      <c r="AI716" s="1087"/>
      <c r="AJ716" s="1087"/>
      <c r="AK716" s="1087"/>
      <c r="AL716" s="1088"/>
      <c r="AM716" s="1089" t="str">
        <f t="shared" si="46"/>
        <v/>
      </c>
      <c r="AN716" s="1090"/>
      <c r="AO716" s="1091"/>
      <c r="AV716" s="43" t="str">
        <f t="shared" si="39"/>
        <v>N/A</v>
      </c>
      <c r="AX716" s="41"/>
      <c r="AY716" s="443">
        <f t="shared" si="40"/>
        <v>0</v>
      </c>
      <c r="AZ716" s="449">
        <f t="shared" si="41"/>
        <v>0</v>
      </c>
      <c r="BA716" s="450">
        <f t="shared" si="42"/>
        <v>0</v>
      </c>
      <c r="BB716" s="41"/>
      <c r="BC716" s="41"/>
      <c r="BD716" s="41"/>
      <c r="BE716" s="847">
        <f t="shared" si="43"/>
        <v>0</v>
      </c>
      <c r="BF716" s="851" t="str">
        <f t="shared" si="44"/>
        <v/>
      </c>
      <c r="BG716" s="852" t="str">
        <f t="shared" si="45"/>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71"/>
      <c r="C717" s="1072"/>
      <c r="D717" s="1072"/>
      <c r="E717" s="1072"/>
      <c r="F717" s="1073"/>
      <c r="G717" s="1074"/>
      <c r="H717" s="1075"/>
      <c r="I717" s="1075"/>
      <c r="J717" s="1076"/>
      <c r="K717" s="1077"/>
      <c r="L717" s="1078"/>
      <c r="M717" s="1078"/>
      <c r="N717" s="1079"/>
      <c r="O717" s="1080"/>
      <c r="P717" s="1081"/>
      <c r="Q717" s="1081"/>
      <c r="R717" s="1081"/>
      <c r="S717" s="1082"/>
      <c r="T717" s="1083">
        <f t="shared" si="37"/>
        <v>0</v>
      </c>
      <c r="U717" s="1084"/>
      <c r="V717" s="1084"/>
      <c r="W717" s="1084"/>
      <c r="X717" s="1085"/>
      <c r="Y717" s="1080"/>
      <c r="Z717" s="1081"/>
      <c r="AA717" s="1081"/>
      <c r="AB717" s="1082"/>
      <c r="AC717" s="1083">
        <f t="shared" si="38"/>
        <v>0</v>
      </c>
      <c r="AD717" s="1084"/>
      <c r="AE717" s="1084"/>
      <c r="AF717" s="1084"/>
      <c r="AG717" s="1085"/>
      <c r="AH717" s="1086"/>
      <c r="AI717" s="1087"/>
      <c r="AJ717" s="1087"/>
      <c r="AK717" s="1087"/>
      <c r="AL717" s="1088"/>
      <c r="AM717" s="1089" t="str">
        <f t="shared" si="46"/>
        <v/>
      </c>
      <c r="AN717" s="1090"/>
      <c r="AO717" s="1091"/>
      <c r="AV717" s="43" t="str">
        <f t="shared" si="39"/>
        <v>N/A</v>
      </c>
      <c r="AX717" s="41"/>
      <c r="AY717" s="443">
        <f t="shared" si="40"/>
        <v>0</v>
      </c>
      <c r="AZ717" s="449">
        <f t="shared" si="41"/>
        <v>0</v>
      </c>
      <c r="BA717" s="450">
        <f t="shared" si="42"/>
        <v>0</v>
      </c>
      <c r="BB717" s="41"/>
      <c r="BC717" s="41"/>
      <c r="BD717" s="41"/>
      <c r="BE717" s="847">
        <f t="shared" si="43"/>
        <v>0</v>
      </c>
      <c r="BF717" s="851" t="str">
        <f t="shared" si="44"/>
        <v/>
      </c>
      <c r="BG717" s="852" t="str">
        <f t="shared" si="45"/>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71"/>
      <c r="C718" s="1072"/>
      <c r="D718" s="1072"/>
      <c r="E718" s="1072"/>
      <c r="F718" s="1073"/>
      <c r="G718" s="1074"/>
      <c r="H718" s="1075"/>
      <c r="I718" s="1075"/>
      <c r="J718" s="1076"/>
      <c r="K718" s="1077"/>
      <c r="L718" s="1078"/>
      <c r="M718" s="1078"/>
      <c r="N718" s="1079"/>
      <c r="O718" s="1080"/>
      <c r="P718" s="1081"/>
      <c r="Q718" s="1081"/>
      <c r="R718" s="1081"/>
      <c r="S718" s="1082"/>
      <c r="T718" s="1083">
        <f t="shared" si="37"/>
        <v>0</v>
      </c>
      <c r="U718" s="1084"/>
      <c r="V718" s="1084"/>
      <c r="W718" s="1084"/>
      <c r="X718" s="1085"/>
      <c r="Y718" s="1080"/>
      <c r="Z718" s="1081"/>
      <c r="AA718" s="1081"/>
      <c r="AB718" s="1082"/>
      <c r="AC718" s="1083">
        <f t="shared" si="38"/>
        <v>0</v>
      </c>
      <c r="AD718" s="1084"/>
      <c r="AE718" s="1084"/>
      <c r="AF718" s="1084"/>
      <c r="AG718" s="1085"/>
      <c r="AH718" s="1086"/>
      <c r="AI718" s="1087"/>
      <c r="AJ718" s="1087"/>
      <c r="AK718" s="1087"/>
      <c r="AL718" s="1088"/>
      <c r="AM718" s="1089" t="str">
        <f t="shared" si="46"/>
        <v/>
      </c>
      <c r="AN718" s="1090"/>
      <c r="AO718" s="1091"/>
      <c r="AV718" s="43" t="str">
        <f t="shared" si="39"/>
        <v>N/A</v>
      </c>
      <c r="AX718" s="41"/>
      <c r="AY718" s="443">
        <f t="shared" si="40"/>
        <v>0</v>
      </c>
      <c r="AZ718" s="449">
        <f t="shared" si="41"/>
        <v>0</v>
      </c>
      <c r="BA718" s="450">
        <f t="shared" si="42"/>
        <v>0</v>
      </c>
      <c r="BB718" s="41"/>
      <c r="BC718" s="41"/>
      <c r="BD718" s="41"/>
      <c r="BE718" s="847">
        <f t="shared" si="43"/>
        <v>0</v>
      </c>
      <c r="BF718" s="851" t="str">
        <f t="shared" si="44"/>
        <v/>
      </c>
      <c r="BG718" s="852" t="str">
        <f t="shared" si="45"/>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71"/>
      <c r="C719" s="1072"/>
      <c r="D719" s="1072"/>
      <c r="E719" s="1072"/>
      <c r="F719" s="1073"/>
      <c r="G719" s="1074"/>
      <c r="H719" s="1075"/>
      <c r="I719" s="1075"/>
      <c r="J719" s="1076"/>
      <c r="K719" s="1077"/>
      <c r="L719" s="1078"/>
      <c r="M719" s="1078"/>
      <c r="N719" s="1079"/>
      <c r="O719" s="1080"/>
      <c r="P719" s="1081"/>
      <c r="Q719" s="1081"/>
      <c r="R719" s="1081"/>
      <c r="S719" s="1082"/>
      <c r="T719" s="1083">
        <f t="shared" si="37"/>
        <v>0</v>
      </c>
      <c r="U719" s="1084"/>
      <c r="V719" s="1084"/>
      <c r="W719" s="1084"/>
      <c r="X719" s="1085"/>
      <c r="Y719" s="1080"/>
      <c r="Z719" s="1081"/>
      <c r="AA719" s="1081"/>
      <c r="AB719" s="1082"/>
      <c r="AC719" s="1083">
        <f t="shared" si="38"/>
        <v>0</v>
      </c>
      <c r="AD719" s="1084"/>
      <c r="AE719" s="1084"/>
      <c r="AF719" s="1084"/>
      <c r="AG719" s="1085"/>
      <c r="AH719" s="1086"/>
      <c r="AI719" s="1087"/>
      <c r="AJ719" s="1087"/>
      <c r="AK719" s="1087"/>
      <c r="AL719" s="1088"/>
      <c r="AM719" s="1089" t="str">
        <f t="shared" si="46"/>
        <v/>
      </c>
      <c r="AN719" s="1090"/>
      <c r="AO719" s="1091"/>
      <c r="AV719" s="43" t="str">
        <f t="shared" si="39"/>
        <v>N/A</v>
      </c>
      <c r="AX719" s="41"/>
      <c r="AY719" s="443">
        <f t="shared" si="40"/>
        <v>0</v>
      </c>
      <c r="AZ719" s="449">
        <f t="shared" si="41"/>
        <v>0</v>
      </c>
      <c r="BA719" s="450">
        <f t="shared" si="42"/>
        <v>0</v>
      </c>
      <c r="BB719" s="41"/>
      <c r="BC719" s="41"/>
      <c r="BD719" s="41"/>
      <c r="BE719" s="847">
        <f t="shared" si="43"/>
        <v>0</v>
      </c>
      <c r="BF719" s="851" t="str">
        <f t="shared" si="44"/>
        <v/>
      </c>
      <c r="BG719" s="852" t="str">
        <f t="shared" si="45"/>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71"/>
      <c r="C720" s="1072"/>
      <c r="D720" s="1072"/>
      <c r="E720" s="1072"/>
      <c r="F720" s="1073"/>
      <c r="G720" s="1074"/>
      <c r="H720" s="1075"/>
      <c r="I720" s="1075"/>
      <c r="J720" s="1076"/>
      <c r="K720" s="1077"/>
      <c r="L720" s="1078"/>
      <c r="M720" s="1078"/>
      <c r="N720" s="1079"/>
      <c r="O720" s="1080"/>
      <c r="P720" s="1081"/>
      <c r="Q720" s="1081"/>
      <c r="R720" s="1081"/>
      <c r="S720" s="1082"/>
      <c r="T720" s="1083">
        <f t="shared" si="37"/>
        <v>0</v>
      </c>
      <c r="U720" s="1084"/>
      <c r="V720" s="1084"/>
      <c r="W720" s="1084"/>
      <c r="X720" s="1085"/>
      <c r="Y720" s="1080"/>
      <c r="Z720" s="1081"/>
      <c r="AA720" s="1081"/>
      <c r="AB720" s="1082"/>
      <c r="AC720" s="1083">
        <f t="shared" si="38"/>
        <v>0</v>
      </c>
      <c r="AD720" s="1084"/>
      <c r="AE720" s="1084"/>
      <c r="AF720" s="1084"/>
      <c r="AG720" s="1085"/>
      <c r="AH720" s="1086"/>
      <c r="AI720" s="1087"/>
      <c r="AJ720" s="1087"/>
      <c r="AK720" s="1087"/>
      <c r="AL720" s="1088"/>
      <c r="AM720" s="1089" t="str">
        <f t="shared" si="46"/>
        <v/>
      </c>
      <c r="AN720" s="1090"/>
      <c r="AO720" s="1091"/>
      <c r="AV720" s="43" t="str">
        <f t="shared" si="39"/>
        <v>N/A</v>
      </c>
      <c r="AX720" s="41"/>
      <c r="AY720" s="443">
        <f t="shared" si="40"/>
        <v>0</v>
      </c>
      <c r="AZ720" s="449">
        <f t="shared" si="41"/>
        <v>0</v>
      </c>
      <c r="BA720" s="450">
        <f t="shared" si="42"/>
        <v>0</v>
      </c>
      <c r="BB720" s="43"/>
      <c r="BC720" s="43"/>
      <c r="BD720" s="43"/>
      <c r="BE720" s="847">
        <f t="shared" si="43"/>
        <v>0</v>
      </c>
      <c r="BF720" s="851" t="str">
        <f t="shared" si="44"/>
        <v/>
      </c>
      <c r="BG720" s="852" t="str">
        <f t="shared" si="45"/>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71"/>
      <c r="C721" s="1072"/>
      <c r="D721" s="1072"/>
      <c r="E721" s="1072"/>
      <c r="F721" s="1073"/>
      <c r="G721" s="1074"/>
      <c r="H721" s="1075"/>
      <c r="I721" s="1075"/>
      <c r="J721" s="1076"/>
      <c r="K721" s="1077"/>
      <c r="L721" s="1078"/>
      <c r="M721" s="1078"/>
      <c r="N721" s="1079"/>
      <c r="O721" s="1080"/>
      <c r="P721" s="1081"/>
      <c r="Q721" s="1081"/>
      <c r="R721" s="1081"/>
      <c r="S721" s="1082"/>
      <c r="T721" s="1083">
        <f t="shared" si="37"/>
        <v>0</v>
      </c>
      <c r="U721" s="1084"/>
      <c r="V721" s="1084"/>
      <c r="W721" s="1084"/>
      <c r="X721" s="1085"/>
      <c r="Y721" s="1080"/>
      <c r="Z721" s="1081"/>
      <c r="AA721" s="1081"/>
      <c r="AB721" s="1082"/>
      <c r="AC721" s="1083">
        <f t="shared" si="38"/>
        <v>0</v>
      </c>
      <c r="AD721" s="1084"/>
      <c r="AE721" s="1084"/>
      <c r="AF721" s="1084"/>
      <c r="AG721" s="1085"/>
      <c r="AH721" s="1086"/>
      <c r="AI721" s="1087"/>
      <c r="AJ721" s="1087"/>
      <c r="AK721" s="1087"/>
      <c r="AL721" s="1088"/>
      <c r="AM721" s="1089" t="str">
        <f t="shared" si="46"/>
        <v/>
      </c>
      <c r="AN721" s="1090"/>
      <c r="AO721" s="1091"/>
      <c r="AV721" s="43" t="str">
        <f t="shared" si="39"/>
        <v>N/A</v>
      </c>
      <c r="AX721" s="41"/>
      <c r="AY721" s="443">
        <f t="shared" si="40"/>
        <v>0</v>
      </c>
      <c r="AZ721" s="449">
        <f t="shared" si="41"/>
        <v>0</v>
      </c>
      <c r="BA721" s="450">
        <f t="shared" si="42"/>
        <v>0</v>
      </c>
      <c r="BB721" s="43"/>
      <c r="BC721" s="43"/>
      <c r="BD721" s="43"/>
      <c r="BE721" s="847">
        <f t="shared" si="43"/>
        <v>0</v>
      </c>
      <c r="BF721" s="851" t="str">
        <f t="shared" si="44"/>
        <v/>
      </c>
      <c r="BG721" s="852" t="str">
        <f t="shared" si="45"/>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71"/>
      <c r="C722" s="1072"/>
      <c r="D722" s="1072"/>
      <c r="E722" s="1072"/>
      <c r="F722" s="1073"/>
      <c r="G722" s="1074"/>
      <c r="H722" s="1075"/>
      <c r="I722" s="1075"/>
      <c r="J722" s="1076"/>
      <c r="K722" s="1077"/>
      <c r="L722" s="1078"/>
      <c r="M722" s="1078"/>
      <c r="N722" s="1079"/>
      <c r="O722" s="1080"/>
      <c r="P722" s="1081"/>
      <c r="Q722" s="1081"/>
      <c r="R722" s="1081"/>
      <c r="S722" s="1082"/>
      <c r="T722" s="1083">
        <f t="shared" si="37"/>
        <v>0</v>
      </c>
      <c r="U722" s="1084"/>
      <c r="V722" s="1084"/>
      <c r="W722" s="1084"/>
      <c r="X722" s="1085"/>
      <c r="Y722" s="1080"/>
      <c r="Z722" s="1081"/>
      <c r="AA722" s="1081"/>
      <c r="AB722" s="1082"/>
      <c r="AC722" s="1083">
        <f t="shared" si="38"/>
        <v>0</v>
      </c>
      <c r="AD722" s="1084"/>
      <c r="AE722" s="1084"/>
      <c r="AF722" s="1084"/>
      <c r="AG722" s="1085"/>
      <c r="AH722" s="1086"/>
      <c r="AI722" s="1087"/>
      <c r="AJ722" s="1087"/>
      <c r="AK722" s="1087"/>
      <c r="AL722" s="1088"/>
      <c r="AM722" s="1089" t="str">
        <f t="shared" si="46"/>
        <v/>
      </c>
      <c r="AN722" s="1090"/>
      <c r="AO722" s="1091"/>
      <c r="AV722" s="43" t="str">
        <f t="shared" si="39"/>
        <v>N/A</v>
      </c>
      <c r="AX722" s="41"/>
      <c r="AY722" s="443">
        <f t="shared" si="40"/>
        <v>0</v>
      </c>
      <c r="AZ722" s="449">
        <f t="shared" si="41"/>
        <v>0</v>
      </c>
      <c r="BA722" s="450">
        <f t="shared" si="42"/>
        <v>0</v>
      </c>
      <c r="BB722" s="43"/>
      <c r="BC722" s="43"/>
      <c r="BD722" s="43"/>
      <c r="BE722" s="847">
        <f t="shared" si="43"/>
        <v>0</v>
      </c>
      <c r="BF722" s="851" t="str">
        <f t="shared" si="44"/>
        <v/>
      </c>
      <c r="BG722" s="852" t="str">
        <f t="shared" si="45"/>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71"/>
      <c r="C723" s="1072"/>
      <c r="D723" s="1072"/>
      <c r="E723" s="1072"/>
      <c r="F723" s="1073"/>
      <c r="G723" s="1074"/>
      <c r="H723" s="1075"/>
      <c r="I723" s="1075"/>
      <c r="J723" s="1076"/>
      <c r="K723" s="1077"/>
      <c r="L723" s="1078"/>
      <c r="M723" s="1078"/>
      <c r="N723" s="1079"/>
      <c r="O723" s="1080"/>
      <c r="P723" s="1081"/>
      <c r="Q723" s="1081"/>
      <c r="R723" s="1081"/>
      <c r="S723" s="1082"/>
      <c r="T723" s="1083">
        <f t="shared" si="37"/>
        <v>0</v>
      </c>
      <c r="U723" s="1084"/>
      <c r="V723" s="1084"/>
      <c r="W723" s="1084"/>
      <c r="X723" s="1085"/>
      <c r="Y723" s="1080"/>
      <c r="Z723" s="1081"/>
      <c r="AA723" s="1081"/>
      <c r="AB723" s="1082"/>
      <c r="AC723" s="1083">
        <f t="shared" si="38"/>
        <v>0</v>
      </c>
      <c r="AD723" s="1084"/>
      <c r="AE723" s="1084"/>
      <c r="AF723" s="1084"/>
      <c r="AG723" s="1085"/>
      <c r="AH723" s="1086"/>
      <c r="AI723" s="1087"/>
      <c r="AJ723" s="1087"/>
      <c r="AK723" s="1087"/>
      <c r="AL723" s="1088"/>
      <c r="AM723" s="1089" t="str">
        <f t="shared" si="46"/>
        <v/>
      </c>
      <c r="AN723" s="1090"/>
      <c r="AO723" s="1091"/>
      <c r="AV723" s="43" t="str">
        <f t="shared" si="39"/>
        <v>N/A</v>
      </c>
      <c r="AX723" s="41"/>
      <c r="AY723" s="443">
        <f t="shared" si="40"/>
        <v>0</v>
      </c>
      <c r="AZ723" s="449">
        <f t="shared" si="41"/>
        <v>0</v>
      </c>
      <c r="BA723" s="450">
        <f t="shared" si="42"/>
        <v>0</v>
      </c>
      <c r="BB723" s="43"/>
      <c r="BC723" s="43"/>
      <c r="BD723" s="43"/>
      <c r="BE723" s="847">
        <f t="shared" si="43"/>
        <v>0</v>
      </c>
      <c r="BF723" s="851" t="str">
        <f t="shared" si="44"/>
        <v/>
      </c>
      <c r="BG723" s="852" t="str">
        <f t="shared" si="45"/>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71"/>
      <c r="C724" s="1072"/>
      <c r="D724" s="1072"/>
      <c r="E724" s="1072"/>
      <c r="F724" s="1073"/>
      <c r="G724" s="1074"/>
      <c r="H724" s="1075"/>
      <c r="I724" s="1075"/>
      <c r="J724" s="1076"/>
      <c r="K724" s="1077"/>
      <c r="L724" s="1078"/>
      <c r="M724" s="1078"/>
      <c r="N724" s="1079"/>
      <c r="O724" s="1080"/>
      <c r="P724" s="1081"/>
      <c r="Q724" s="1081"/>
      <c r="R724" s="1081"/>
      <c r="S724" s="1082"/>
      <c r="T724" s="1083">
        <f t="shared" si="37"/>
        <v>0</v>
      </c>
      <c r="U724" s="1084"/>
      <c r="V724" s="1084"/>
      <c r="W724" s="1084"/>
      <c r="X724" s="1085"/>
      <c r="Y724" s="1080"/>
      <c r="Z724" s="1081"/>
      <c r="AA724" s="1081"/>
      <c r="AB724" s="1082"/>
      <c r="AC724" s="1083">
        <f t="shared" si="38"/>
        <v>0</v>
      </c>
      <c r="AD724" s="1084"/>
      <c r="AE724" s="1084"/>
      <c r="AF724" s="1084"/>
      <c r="AG724" s="1085"/>
      <c r="AH724" s="1086"/>
      <c r="AI724" s="1087"/>
      <c r="AJ724" s="1087"/>
      <c r="AK724" s="1087"/>
      <c r="AL724" s="1088"/>
      <c r="AM724" s="1089" t="str">
        <f t="shared" si="46"/>
        <v/>
      </c>
      <c r="AN724" s="1090"/>
      <c r="AO724" s="1091"/>
      <c r="AV724" s="43" t="str">
        <f t="shared" si="39"/>
        <v>N/A</v>
      </c>
      <c r="AX724" s="41"/>
      <c r="AY724" s="443">
        <f t="shared" si="40"/>
        <v>0</v>
      </c>
      <c r="AZ724" s="449">
        <f t="shared" si="41"/>
        <v>0</v>
      </c>
      <c r="BA724" s="450">
        <f t="shared" si="42"/>
        <v>0</v>
      </c>
      <c r="BB724" s="43"/>
      <c r="BC724" s="43"/>
      <c r="BD724" s="43"/>
      <c r="BE724" s="847">
        <f t="shared" si="43"/>
        <v>0</v>
      </c>
      <c r="BF724" s="851" t="str">
        <f t="shared" si="44"/>
        <v/>
      </c>
      <c r="BG724" s="852" t="str">
        <f t="shared" si="45"/>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71"/>
      <c r="C725" s="1072"/>
      <c r="D725" s="1072"/>
      <c r="E725" s="1072"/>
      <c r="F725" s="1073"/>
      <c r="G725" s="1074"/>
      <c r="H725" s="1075"/>
      <c r="I725" s="1075"/>
      <c r="J725" s="1076"/>
      <c r="K725" s="1077"/>
      <c r="L725" s="1078"/>
      <c r="M725" s="1078"/>
      <c r="N725" s="1079"/>
      <c r="O725" s="1080"/>
      <c r="P725" s="1081"/>
      <c r="Q725" s="1081"/>
      <c r="R725" s="1081"/>
      <c r="S725" s="1082"/>
      <c r="T725" s="1083">
        <f t="shared" si="37"/>
        <v>0</v>
      </c>
      <c r="U725" s="1084"/>
      <c r="V725" s="1084"/>
      <c r="W725" s="1084"/>
      <c r="X725" s="1085"/>
      <c r="Y725" s="1080"/>
      <c r="Z725" s="1081"/>
      <c r="AA725" s="1081"/>
      <c r="AB725" s="1082"/>
      <c r="AC725" s="1083">
        <f t="shared" si="38"/>
        <v>0</v>
      </c>
      <c r="AD725" s="1084"/>
      <c r="AE725" s="1084"/>
      <c r="AF725" s="1084"/>
      <c r="AG725" s="1085"/>
      <c r="AH725" s="1086"/>
      <c r="AI725" s="1087"/>
      <c r="AJ725" s="1087"/>
      <c r="AK725" s="1087"/>
      <c r="AL725" s="1088"/>
      <c r="AM725" s="1089" t="str">
        <f t="shared" si="46"/>
        <v/>
      </c>
      <c r="AN725" s="1090"/>
      <c r="AO725" s="1091"/>
      <c r="AV725" s="43" t="str">
        <f t="shared" si="39"/>
        <v>N/A</v>
      </c>
      <c r="AX725" s="41"/>
      <c r="AY725" s="443">
        <f t="shared" si="40"/>
        <v>0</v>
      </c>
      <c r="AZ725" s="449">
        <f t="shared" si="41"/>
        <v>0</v>
      </c>
      <c r="BA725" s="450">
        <f t="shared" si="42"/>
        <v>0</v>
      </c>
      <c r="BB725" s="41"/>
      <c r="BC725" s="41"/>
      <c r="BD725" s="41"/>
      <c r="BE725" s="847">
        <f t="shared" si="43"/>
        <v>0</v>
      </c>
      <c r="BF725" s="851" t="str">
        <f t="shared" si="44"/>
        <v/>
      </c>
      <c r="BG725" s="852" t="str">
        <f t="shared" si="45"/>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71"/>
      <c r="C726" s="1072"/>
      <c r="D726" s="1072"/>
      <c r="E726" s="1072"/>
      <c r="F726" s="1073"/>
      <c r="G726" s="1074"/>
      <c r="H726" s="1075"/>
      <c r="I726" s="1075"/>
      <c r="J726" s="1076"/>
      <c r="K726" s="1077"/>
      <c r="L726" s="1078"/>
      <c r="M726" s="1078"/>
      <c r="N726" s="1079"/>
      <c r="O726" s="1080"/>
      <c r="P726" s="1081"/>
      <c r="Q726" s="1081"/>
      <c r="R726" s="1081"/>
      <c r="S726" s="1082"/>
      <c r="T726" s="1083">
        <f t="shared" si="37"/>
        <v>0</v>
      </c>
      <c r="U726" s="1084"/>
      <c r="V726" s="1084"/>
      <c r="W726" s="1084"/>
      <c r="X726" s="1085"/>
      <c r="Y726" s="1080"/>
      <c r="Z726" s="1081"/>
      <c r="AA726" s="1081"/>
      <c r="AB726" s="1082"/>
      <c r="AC726" s="1083">
        <f t="shared" si="38"/>
        <v>0</v>
      </c>
      <c r="AD726" s="1084"/>
      <c r="AE726" s="1084"/>
      <c r="AF726" s="1084"/>
      <c r="AG726" s="1085"/>
      <c r="AH726" s="1086"/>
      <c r="AI726" s="1087"/>
      <c r="AJ726" s="1087"/>
      <c r="AK726" s="1087"/>
      <c r="AL726" s="1088"/>
      <c r="AM726" s="1089" t="str">
        <f t="shared" si="46"/>
        <v/>
      </c>
      <c r="AN726" s="1090"/>
      <c r="AO726" s="1091"/>
      <c r="AV726" s="43" t="str">
        <f t="shared" si="39"/>
        <v>N/A</v>
      </c>
      <c r="AX726" s="41"/>
      <c r="AY726" s="443">
        <f t="shared" si="40"/>
        <v>0</v>
      </c>
      <c r="AZ726" s="449">
        <f t="shared" si="41"/>
        <v>0</v>
      </c>
      <c r="BA726" s="450">
        <f t="shared" si="42"/>
        <v>0</v>
      </c>
      <c r="BB726" s="41"/>
      <c r="BC726" s="41"/>
      <c r="BD726" s="41"/>
      <c r="BE726" s="847">
        <f t="shared" si="43"/>
        <v>0</v>
      </c>
      <c r="BF726" s="851" t="str">
        <f t="shared" si="44"/>
        <v/>
      </c>
      <c r="BG726" s="852" t="str">
        <f t="shared" si="45"/>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71"/>
      <c r="C727" s="1072"/>
      <c r="D727" s="1072"/>
      <c r="E727" s="1072"/>
      <c r="F727" s="1073"/>
      <c r="G727" s="1074"/>
      <c r="H727" s="1075"/>
      <c r="I727" s="1075"/>
      <c r="J727" s="1076"/>
      <c r="K727" s="1077"/>
      <c r="L727" s="1078"/>
      <c r="M727" s="1078"/>
      <c r="N727" s="1079"/>
      <c r="O727" s="1080"/>
      <c r="P727" s="1081"/>
      <c r="Q727" s="1081"/>
      <c r="R727" s="1081"/>
      <c r="S727" s="1082"/>
      <c r="T727" s="1083">
        <f t="shared" ref="T727:T736" si="47">G727*O727</f>
        <v>0</v>
      </c>
      <c r="U727" s="1084"/>
      <c r="V727" s="1084"/>
      <c r="W727" s="1084"/>
      <c r="X727" s="1085"/>
      <c r="Y727" s="1080"/>
      <c r="Z727" s="1081"/>
      <c r="AA727" s="1081"/>
      <c r="AB727" s="1082"/>
      <c r="AC727" s="1083">
        <f t="shared" ref="AC727:AC736" si="48">O727+Y727</f>
        <v>0</v>
      </c>
      <c r="AD727" s="1084"/>
      <c r="AE727" s="1084"/>
      <c r="AF727" s="1084"/>
      <c r="AG727" s="1085"/>
      <c r="AH727" s="1086"/>
      <c r="AI727" s="1087"/>
      <c r="AJ727" s="1087"/>
      <c r="AK727" s="1087"/>
      <c r="AL727" s="1088"/>
      <c r="AM727" s="1089" t="str">
        <f t="shared" ref="AM727:AM736" si="49">IF($AH727&gt;0,($AC727/$AV727), "")</f>
        <v/>
      </c>
      <c r="AN727" s="1090"/>
      <c r="AO727" s="1091"/>
      <c r="AV727" s="43" t="str">
        <f t="shared" si="39"/>
        <v>N/A</v>
      </c>
      <c r="AY727" s="443">
        <f t="shared" ref="AY727:AY736" si="50">G727</f>
        <v>0</v>
      </c>
      <c r="AZ727" s="449">
        <f t="shared" ref="AZ727:AZ735" si="51">IF($AY$738=0,"",AY727/$AY$738)</f>
        <v>0</v>
      </c>
      <c r="BA727" s="450">
        <f t="shared" ref="BA727:BA736" si="52">IF(AZ727="","",AZ727*AH727)</f>
        <v>0</v>
      </c>
      <c r="BB727" s="41"/>
      <c r="BC727" s="41"/>
      <c r="BD727" s="41"/>
      <c r="BE727" s="847">
        <f t="shared" ref="BE727:BE736" si="53">G727</f>
        <v>0</v>
      </c>
      <c r="BF727" s="851" t="str">
        <f t="shared" ref="BF727:BF736" si="54">IF(BE727=0,"",BE727/$BE$738)</f>
        <v/>
      </c>
      <c r="BG727" s="852" t="str">
        <f t="shared" ref="BG727:BG736" si="55">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71"/>
      <c r="C728" s="1072"/>
      <c r="D728" s="1072"/>
      <c r="E728" s="1072"/>
      <c r="F728" s="1073"/>
      <c r="G728" s="1074"/>
      <c r="H728" s="1075"/>
      <c r="I728" s="1075"/>
      <c r="J728" s="1076"/>
      <c r="K728" s="1077"/>
      <c r="L728" s="1078"/>
      <c r="M728" s="1078"/>
      <c r="N728" s="1079"/>
      <c r="O728" s="1080"/>
      <c r="P728" s="1081"/>
      <c r="Q728" s="1081"/>
      <c r="R728" s="1081"/>
      <c r="S728" s="1082"/>
      <c r="T728" s="1083">
        <f t="shared" si="47"/>
        <v>0</v>
      </c>
      <c r="U728" s="1084"/>
      <c r="V728" s="1084"/>
      <c r="W728" s="1084"/>
      <c r="X728" s="1085"/>
      <c r="Y728" s="1080"/>
      <c r="Z728" s="1081"/>
      <c r="AA728" s="1081"/>
      <c r="AB728" s="1082"/>
      <c r="AC728" s="1083">
        <f t="shared" si="48"/>
        <v>0</v>
      </c>
      <c r="AD728" s="1084"/>
      <c r="AE728" s="1084"/>
      <c r="AF728" s="1084"/>
      <c r="AG728" s="1085"/>
      <c r="AH728" s="1086"/>
      <c r="AI728" s="1087"/>
      <c r="AJ728" s="1087"/>
      <c r="AK728" s="1087"/>
      <c r="AL728" s="1088"/>
      <c r="AM728" s="1089" t="str">
        <f t="shared" si="49"/>
        <v/>
      </c>
      <c r="AN728" s="1090"/>
      <c r="AO728" s="1091"/>
      <c r="AV728" s="43" t="str">
        <f t="shared" si="39"/>
        <v>N/A</v>
      </c>
      <c r="AY728" s="443">
        <f t="shared" si="50"/>
        <v>0</v>
      </c>
      <c r="AZ728" s="449">
        <f t="shared" si="51"/>
        <v>0</v>
      </c>
      <c r="BA728" s="450">
        <f t="shared" si="52"/>
        <v>0</v>
      </c>
      <c r="BB728" s="41"/>
      <c r="BC728" s="41"/>
      <c r="BD728" s="41"/>
      <c r="BE728" s="847">
        <f t="shared" si="53"/>
        <v>0</v>
      </c>
      <c r="BF728" s="851" t="str">
        <f t="shared" si="54"/>
        <v/>
      </c>
      <c r="BG728" s="852" t="str">
        <f t="shared" si="55"/>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71"/>
      <c r="C729" s="1072"/>
      <c r="D729" s="1072"/>
      <c r="E729" s="1072"/>
      <c r="F729" s="1073"/>
      <c r="G729" s="1074"/>
      <c r="H729" s="1075"/>
      <c r="I729" s="1075"/>
      <c r="J729" s="1076"/>
      <c r="K729" s="1077"/>
      <c r="L729" s="1078"/>
      <c r="M729" s="1078"/>
      <c r="N729" s="1079"/>
      <c r="O729" s="1080"/>
      <c r="P729" s="1081"/>
      <c r="Q729" s="1081"/>
      <c r="R729" s="1081"/>
      <c r="S729" s="1082"/>
      <c r="T729" s="1083">
        <f t="shared" si="47"/>
        <v>0</v>
      </c>
      <c r="U729" s="1084"/>
      <c r="V729" s="1084"/>
      <c r="W729" s="1084"/>
      <c r="X729" s="1085"/>
      <c r="Y729" s="1080"/>
      <c r="Z729" s="1081"/>
      <c r="AA729" s="1081"/>
      <c r="AB729" s="1082"/>
      <c r="AC729" s="1083">
        <f t="shared" si="48"/>
        <v>0</v>
      </c>
      <c r="AD729" s="1084"/>
      <c r="AE729" s="1084"/>
      <c r="AF729" s="1084"/>
      <c r="AG729" s="1085"/>
      <c r="AH729" s="1086"/>
      <c r="AI729" s="1087"/>
      <c r="AJ729" s="1087"/>
      <c r="AK729" s="1087"/>
      <c r="AL729" s="1088"/>
      <c r="AM729" s="1089" t="str">
        <f t="shared" si="49"/>
        <v/>
      </c>
      <c r="AN729" s="1090"/>
      <c r="AO729" s="1091"/>
      <c r="AV729" s="43" t="str">
        <f t="shared" si="39"/>
        <v>N/A</v>
      </c>
      <c r="AY729" s="443">
        <f t="shared" si="50"/>
        <v>0</v>
      </c>
      <c r="AZ729" s="449">
        <f t="shared" si="51"/>
        <v>0</v>
      </c>
      <c r="BA729" s="450">
        <f t="shared" si="52"/>
        <v>0</v>
      </c>
      <c r="BB729" s="41"/>
      <c r="BC729" s="41"/>
      <c r="BD729" s="41"/>
      <c r="BE729" s="847">
        <f t="shared" si="53"/>
        <v>0</v>
      </c>
      <c r="BF729" s="851" t="str">
        <f t="shared" si="54"/>
        <v/>
      </c>
      <c r="BG729" s="852" t="str">
        <f t="shared" si="55"/>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71"/>
      <c r="C730" s="1072"/>
      <c r="D730" s="1072"/>
      <c r="E730" s="1072"/>
      <c r="F730" s="1073"/>
      <c r="G730" s="1074"/>
      <c r="H730" s="1075"/>
      <c r="I730" s="1075"/>
      <c r="J730" s="1076"/>
      <c r="K730" s="1077"/>
      <c r="L730" s="1078"/>
      <c r="M730" s="1078"/>
      <c r="N730" s="1079"/>
      <c r="O730" s="1080"/>
      <c r="P730" s="1081"/>
      <c r="Q730" s="1081"/>
      <c r="R730" s="1081"/>
      <c r="S730" s="1082"/>
      <c r="T730" s="1083">
        <f t="shared" si="47"/>
        <v>0</v>
      </c>
      <c r="U730" s="1084"/>
      <c r="V730" s="1084"/>
      <c r="W730" s="1084"/>
      <c r="X730" s="1085"/>
      <c r="Y730" s="1080"/>
      <c r="Z730" s="1081"/>
      <c r="AA730" s="1081"/>
      <c r="AB730" s="1082"/>
      <c r="AC730" s="1083">
        <f t="shared" si="48"/>
        <v>0</v>
      </c>
      <c r="AD730" s="1084"/>
      <c r="AE730" s="1084"/>
      <c r="AF730" s="1084"/>
      <c r="AG730" s="1085"/>
      <c r="AH730" s="1086"/>
      <c r="AI730" s="1087"/>
      <c r="AJ730" s="1087"/>
      <c r="AK730" s="1087"/>
      <c r="AL730" s="1088"/>
      <c r="AM730" s="1089" t="str">
        <f t="shared" si="49"/>
        <v/>
      </c>
      <c r="AN730" s="1090"/>
      <c r="AO730" s="1091"/>
      <c r="AV730" s="43" t="str">
        <f t="shared" si="39"/>
        <v>N/A</v>
      </c>
      <c r="AY730" s="443">
        <f t="shared" si="50"/>
        <v>0</v>
      </c>
      <c r="AZ730" s="449">
        <f t="shared" si="51"/>
        <v>0</v>
      </c>
      <c r="BA730" s="450">
        <f t="shared" si="52"/>
        <v>0</v>
      </c>
      <c r="BB730" s="41"/>
      <c r="BC730" s="41"/>
      <c r="BD730" s="41"/>
      <c r="BE730" s="847">
        <f t="shared" si="53"/>
        <v>0</v>
      </c>
      <c r="BF730" s="851" t="str">
        <f t="shared" si="54"/>
        <v/>
      </c>
      <c r="BG730" s="852" t="str">
        <f t="shared" si="55"/>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71"/>
      <c r="C731" s="1072"/>
      <c r="D731" s="1072"/>
      <c r="E731" s="1072"/>
      <c r="F731" s="1073"/>
      <c r="G731" s="1074"/>
      <c r="H731" s="1075"/>
      <c r="I731" s="1075"/>
      <c r="J731" s="1076"/>
      <c r="K731" s="1077"/>
      <c r="L731" s="1078"/>
      <c r="M731" s="1078"/>
      <c r="N731" s="1079"/>
      <c r="O731" s="1080"/>
      <c r="P731" s="1081"/>
      <c r="Q731" s="1081"/>
      <c r="R731" s="1081"/>
      <c r="S731" s="1082"/>
      <c r="T731" s="1083">
        <f t="shared" si="47"/>
        <v>0</v>
      </c>
      <c r="U731" s="1084"/>
      <c r="V731" s="1084"/>
      <c r="W731" s="1084"/>
      <c r="X731" s="1085"/>
      <c r="Y731" s="1080"/>
      <c r="Z731" s="1081"/>
      <c r="AA731" s="1081"/>
      <c r="AB731" s="1082"/>
      <c r="AC731" s="1083">
        <f t="shared" si="48"/>
        <v>0</v>
      </c>
      <c r="AD731" s="1084"/>
      <c r="AE731" s="1084"/>
      <c r="AF731" s="1084"/>
      <c r="AG731" s="1085"/>
      <c r="AH731" s="1086"/>
      <c r="AI731" s="1087"/>
      <c r="AJ731" s="1087"/>
      <c r="AK731" s="1087"/>
      <c r="AL731" s="1088"/>
      <c r="AM731" s="1089" t="str">
        <f t="shared" si="49"/>
        <v/>
      </c>
      <c r="AN731" s="1090"/>
      <c r="AO731" s="1091"/>
      <c r="AV731" s="43" t="str">
        <f t="shared" si="39"/>
        <v>N/A</v>
      </c>
      <c r="AY731" s="443">
        <f t="shared" si="50"/>
        <v>0</v>
      </c>
      <c r="AZ731" s="449">
        <f t="shared" si="51"/>
        <v>0</v>
      </c>
      <c r="BA731" s="450">
        <f t="shared" si="52"/>
        <v>0</v>
      </c>
      <c r="BB731" s="41"/>
      <c r="BC731" s="41"/>
      <c r="BD731" s="41"/>
      <c r="BE731" s="847">
        <f t="shared" si="53"/>
        <v>0</v>
      </c>
      <c r="BF731" s="851" t="str">
        <f t="shared" si="54"/>
        <v/>
      </c>
      <c r="BG731" s="852" t="str">
        <f t="shared" si="55"/>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71"/>
      <c r="C732" s="1072"/>
      <c r="D732" s="1072"/>
      <c r="E732" s="1072"/>
      <c r="F732" s="1073"/>
      <c r="G732" s="1074"/>
      <c r="H732" s="1075"/>
      <c r="I732" s="1075"/>
      <c r="J732" s="1076"/>
      <c r="K732" s="1077"/>
      <c r="L732" s="1078"/>
      <c r="M732" s="1078"/>
      <c r="N732" s="1079"/>
      <c r="O732" s="1080"/>
      <c r="P732" s="1081"/>
      <c r="Q732" s="1081"/>
      <c r="R732" s="1081"/>
      <c r="S732" s="1082"/>
      <c r="T732" s="1083">
        <f t="shared" si="47"/>
        <v>0</v>
      </c>
      <c r="U732" s="1084"/>
      <c r="V732" s="1084"/>
      <c r="W732" s="1084"/>
      <c r="X732" s="1085"/>
      <c r="Y732" s="1080"/>
      <c r="Z732" s="1081"/>
      <c r="AA732" s="1081"/>
      <c r="AB732" s="1082"/>
      <c r="AC732" s="1083">
        <f t="shared" si="48"/>
        <v>0</v>
      </c>
      <c r="AD732" s="1084"/>
      <c r="AE732" s="1084"/>
      <c r="AF732" s="1084"/>
      <c r="AG732" s="1085"/>
      <c r="AH732" s="1086"/>
      <c r="AI732" s="1087"/>
      <c r="AJ732" s="1087"/>
      <c r="AK732" s="1087"/>
      <c r="AL732" s="1088"/>
      <c r="AM732" s="1089" t="str">
        <f t="shared" si="49"/>
        <v/>
      </c>
      <c r="AN732" s="1090"/>
      <c r="AO732" s="1091"/>
      <c r="AV732" s="43" t="str">
        <f t="shared" si="39"/>
        <v>N/A</v>
      </c>
      <c r="AY732" s="443">
        <f t="shared" si="50"/>
        <v>0</v>
      </c>
      <c r="AZ732" s="449">
        <f t="shared" si="51"/>
        <v>0</v>
      </c>
      <c r="BA732" s="450">
        <f t="shared" si="52"/>
        <v>0</v>
      </c>
      <c r="BB732" s="41"/>
      <c r="BC732" s="41"/>
      <c r="BD732" s="41"/>
      <c r="BE732" s="847">
        <f t="shared" si="53"/>
        <v>0</v>
      </c>
      <c r="BF732" s="851" t="str">
        <f t="shared" si="54"/>
        <v/>
      </c>
      <c r="BG732" s="852" t="str">
        <f t="shared" si="55"/>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71"/>
      <c r="C733" s="1072"/>
      <c r="D733" s="1072"/>
      <c r="E733" s="1072"/>
      <c r="F733" s="1073"/>
      <c r="G733" s="1074"/>
      <c r="H733" s="1075"/>
      <c r="I733" s="1075"/>
      <c r="J733" s="1076"/>
      <c r="K733" s="1077"/>
      <c r="L733" s="1078"/>
      <c r="M733" s="1078"/>
      <c r="N733" s="1079"/>
      <c r="O733" s="1080"/>
      <c r="P733" s="1081"/>
      <c r="Q733" s="1081"/>
      <c r="R733" s="1081"/>
      <c r="S733" s="1082"/>
      <c r="T733" s="1083">
        <f t="shared" si="47"/>
        <v>0</v>
      </c>
      <c r="U733" s="1084"/>
      <c r="V733" s="1084"/>
      <c r="W733" s="1084"/>
      <c r="X733" s="1085"/>
      <c r="Y733" s="1080"/>
      <c r="Z733" s="1081"/>
      <c r="AA733" s="1081"/>
      <c r="AB733" s="1082"/>
      <c r="AC733" s="1083">
        <f t="shared" si="48"/>
        <v>0</v>
      </c>
      <c r="AD733" s="1084"/>
      <c r="AE733" s="1084"/>
      <c r="AF733" s="1084"/>
      <c r="AG733" s="1085"/>
      <c r="AH733" s="1086"/>
      <c r="AI733" s="1087"/>
      <c r="AJ733" s="1087"/>
      <c r="AK733" s="1087"/>
      <c r="AL733" s="1088"/>
      <c r="AM733" s="1089" t="str">
        <f t="shared" si="49"/>
        <v/>
      </c>
      <c r="AN733" s="1090"/>
      <c r="AO733" s="1091"/>
      <c r="AV733" s="43" t="str">
        <f t="shared" si="39"/>
        <v>N/A</v>
      </c>
      <c r="AY733" s="443">
        <f t="shared" si="50"/>
        <v>0</v>
      </c>
      <c r="AZ733" s="449">
        <f t="shared" si="51"/>
        <v>0</v>
      </c>
      <c r="BA733" s="450">
        <f t="shared" si="52"/>
        <v>0</v>
      </c>
      <c r="BB733" s="41"/>
      <c r="BC733" s="41"/>
      <c r="BD733" s="41"/>
      <c r="BE733" s="847">
        <f t="shared" si="53"/>
        <v>0</v>
      </c>
      <c r="BF733" s="851" t="str">
        <f t="shared" si="54"/>
        <v/>
      </c>
      <c r="BG733" s="852" t="str">
        <f t="shared" si="55"/>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71"/>
      <c r="C734" s="1072"/>
      <c r="D734" s="1072"/>
      <c r="E734" s="1072"/>
      <c r="F734" s="1073"/>
      <c r="G734" s="1074"/>
      <c r="H734" s="1075"/>
      <c r="I734" s="1075"/>
      <c r="J734" s="1076"/>
      <c r="K734" s="1077"/>
      <c r="L734" s="1078"/>
      <c r="M734" s="1078"/>
      <c r="N734" s="1079"/>
      <c r="O734" s="1080"/>
      <c r="P734" s="1081"/>
      <c r="Q734" s="1081"/>
      <c r="R734" s="1081"/>
      <c r="S734" s="1082"/>
      <c r="T734" s="1083">
        <f t="shared" si="47"/>
        <v>0</v>
      </c>
      <c r="U734" s="1084"/>
      <c r="V734" s="1084"/>
      <c r="W734" s="1084"/>
      <c r="X734" s="1085"/>
      <c r="Y734" s="1080"/>
      <c r="Z734" s="1081"/>
      <c r="AA734" s="1081"/>
      <c r="AB734" s="1082"/>
      <c r="AC734" s="1083">
        <f t="shared" si="48"/>
        <v>0</v>
      </c>
      <c r="AD734" s="1084"/>
      <c r="AE734" s="1084"/>
      <c r="AF734" s="1084"/>
      <c r="AG734" s="1085"/>
      <c r="AH734" s="1086"/>
      <c r="AI734" s="1087"/>
      <c r="AJ734" s="1087"/>
      <c r="AK734" s="1087"/>
      <c r="AL734" s="1088"/>
      <c r="AM734" s="1089" t="str">
        <f t="shared" si="49"/>
        <v/>
      </c>
      <c r="AN734" s="1090"/>
      <c r="AO734" s="1091"/>
      <c r="AV734" s="43" t="str">
        <f t="shared" si="39"/>
        <v>N/A</v>
      </c>
      <c r="AY734" s="443">
        <f t="shared" si="50"/>
        <v>0</v>
      </c>
      <c r="AZ734" s="449">
        <f t="shared" si="51"/>
        <v>0</v>
      </c>
      <c r="BA734" s="450">
        <f t="shared" si="52"/>
        <v>0</v>
      </c>
      <c r="BB734" s="41"/>
      <c r="BC734" s="41"/>
      <c r="BD734" s="41"/>
      <c r="BE734" s="847">
        <f t="shared" si="53"/>
        <v>0</v>
      </c>
      <c r="BF734" s="851" t="str">
        <f t="shared" si="54"/>
        <v/>
      </c>
      <c r="BG734" s="852" t="str">
        <f t="shared" si="55"/>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71"/>
      <c r="C735" s="1072"/>
      <c r="D735" s="1072"/>
      <c r="E735" s="1072"/>
      <c r="F735" s="1073"/>
      <c r="G735" s="1074"/>
      <c r="H735" s="1075"/>
      <c r="I735" s="1075"/>
      <c r="J735" s="1076"/>
      <c r="K735" s="1077"/>
      <c r="L735" s="1078"/>
      <c r="M735" s="1078"/>
      <c r="N735" s="1079"/>
      <c r="O735" s="1080"/>
      <c r="P735" s="1081"/>
      <c r="Q735" s="1081"/>
      <c r="R735" s="1081"/>
      <c r="S735" s="1082"/>
      <c r="T735" s="1083">
        <f t="shared" si="47"/>
        <v>0</v>
      </c>
      <c r="U735" s="1084"/>
      <c r="V735" s="1084"/>
      <c r="W735" s="1084"/>
      <c r="X735" s="1085"/>
      <c r="Y735" s="1080"/>
      <c r="Z735" s="1081"/>
      <c r="AA735" s="1081"/>
      <c r="AB735" s="1082"/>
      <c r="AC735" s="1083">
        <f t="shared" si="48"/>
        <v>0</v>
      </c>
      <c r="AD735" s="1084"/>
      <c r="AE735" s="1084"/>
      <c r="AF735" s="1084"/>
      <c r="AG735" s="1085"/>
      <c r="AH735" s="1086"/>
      <c r="AI735" s="1087"/>
      <c r="AJ735" s="1087"/>
      <c r="AK735" s="1087"/>
      <c r="AL735" s="1088"/>
      <c r="AM735" s="1089" t="str">
        <f t="shared" si="49"/>
        <v/>
      </c>
      <c r="AN735" s="1090"/>
      <c r="AO735" s="1091"/>
      <c r="AV735" s="43" t="str">
        <f t="shared" si="39"/>
        <v>N/A</v>
      </c>
      <c r="AY735" s="443">
        <f t="shared" si="50"/>
        <v>0</v>
      </c>
      <c r="AZ735" s="449">
        <f t="shared" si="51"/>
        <v>0</v>
      </c>
      <c r="BA735" s="450">
        <f t="shared" si="52"/>
        <v>0</v>
      </c>
      <c r="BB735" s="41"/>
      <c r="BC735" s="41"/>
      <c r="BD735" s="41"/>
      <c r="BE735" s="847">
        <f t="shared" si="53"/>
        <v>0</v>
      </c>
      <c r="BF735" s="851" t="str">
        <f t="shared" si="54"/>
        <v/>
      </c>
      <c r="BG735" s="852" t="str">
        <f t="shared" si="55"/>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71"/>
      <c r="C736" s="1072"/>
      <c r="D736" s="1072"/>
      <c r="E736" s="1072"/>
      <c r="F736" s="1073"/>
      <c r="G736" s="1074"/>
      <c r="H736" s="1075"/>
      <c r="I736" s="1075"/>
      <c r="J736" s="1076"/>
      <c r="K736" s="1077"/>
      <c r="L736" s="1078"/>
      <c r="M736" s="1078"/>
      <c r="N736" s="1079"/>
      <c r="O736" s="1080"/>
      <c r="P736" s="1081"/>
      <c r="Q736" s="1081"/>
      <c r="R736" s="1081"/>
      <c r="S736" s="1082"/>
      <c r="T736" s="1083">
        <f t="shared" si="47"/>
        <v>0</v>
      </c>
      <c r="U736" s="1084"/>
      <c r="V736" s="1084"/>
      <c r="W736" s="1084"/>
      <c r="X736" s="1085"/>
      <c r="Y736" s="1080"/>
      <c r="Z736" s="1081"/>
      <c r="AA736" s="1081"/>
      <c r="AB736" s="1082"/>
      <c r="AC736" s="1083">
        <f t="shared" si="48"/>
        <v>0</v>
      </c>
      <c r="AD736" s="1084"/>
      <c r="AE736" s="1084"/>
      <c r="AF736" s="1084"/>
      <c r="AG736" s="1085"/>
      <c r="AH736" s="1086"/>
      <c r="AI736" s="1087"/>
      <c r="AJ736" s="1087"/>
      <c r="AK736" s="1087"/>
      <c r="AL736" s="1088"/>
      <c r="AM736" s="1089" t="str">
        <f t="shared" si="49"/>
        <v/>
      </c>
      <c r="AN736" s="1090"/>
      <c r="AO736" s="1091"/>
      <c r="AV736" s="43" t="str">
        <f t="shared" si="39"/>
        <v>N/A</v>
      </c>
      <c r="AY736" s="443">
        <f t="shared" si="50"/>
        <v>0</v>
      </c>
      <c r="AZ736" s="449">
        <f>IF($AY$738=0,"",AY736/$AY$738)</f>
        <v>0</v>
      </c>
      <c r="BA736" s="450">
        <f t="shared" si="52"/>
        <v>0</v>
      </c>
      <c r="BB736" s="41"/>
      <c r="BC736" s="41"/>
      <c r="BD736" s="41"/>
      <c r="BE736" s="847">
        <f t="shared" si="53"/>
        <v>0</v>
      </c>
      <c r="BF736" s="851" t="str">
        <f t="shared" si="54"/>
        <v/>
      </c>
      <c r="BG736" s="852" t="str">
        <f t="shared" si="55"/>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71"/>
      <c r="C737" s="1072"/>
      <c r="D737" s="1072"/>
      <c r="E737" s="1072"/>
      <c r="F737" s="1073"/>
      <c r="G737" s="1074"/>
      <c r="H737" s="1075"/>
      <c r="I737" s="1075"/>
      <c r="J737" s="1076"/>
      <c r="K737" s="1077"/>
      <c r="L737" s="1078"/>
      <c r="M737" s="1078"/>
      <c r="N737" s="1079"/>
      <c r="O737" s="1080"/>
      <c r="P737" s="1081"/>
      <c r="Q737" s="1081"/>
      <c r="R737" s="1081"/>
      <c r="S737" s="1082"/>
      <c r="T737" s="1083">
        <f t="shared" si="37"/>
        <v>0</v>
      </c>
      <c r="U737" s="1084"/>
      <c r="V737" s="1084"/>
      <c r="W737" s="1084"/>
      <c r="X737" s="1085"/>
      <c r="Y737" s="1080"/>
      <c r="Z737" s="1081"/>
      <c r="AA737" s="1081"/>
      <c r="AB737" s="1082"/>
      <c r="AC737" s="1083">
        <f t="shared" si="38"/>
        <v>0</v>
      </c>
      <c r="AD737" s="1084"/>
      <c r="AE737" s="1084"/>
      <c r="AF737" s="1084"/>
      <c r="AG737" s="1085"/>
      <c r="AH737" s="1086"/>
      <c r="AI737" s="1087"/>
      <c r="AJ737" s="1087"/>
      <c r="AK737" s="1087"/>
      <c r="AL737" s="1088"/>
      <c r="AM737" s="1089" t="str">
        <f>IF($AH737&gt;0,($AC737/$AV737), "")</f>
        <v/>
      </c>
      <c r="AN737" s="1090"/>
      <c r="AO737" s="1091"/>
      <c r="AV737" s="43" t="str">
        <f t="shared" si="39"/>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19" t="s">
        <v>876</v>
      </c>
      <c r="C738" s="1120"/>
      <c r="D738" s="1120"/>
      <c r="E738" s="1120"/>
      <c r="F738" s="1122"/>
      <c r="G738" s="1314">
        <f>SUM(G703:J737)</f>
        <v>53</v>
      </c>
      <c r="H738" s="1315"/>
      <c r="I738" s="1315"/>
      <c r="J738" s="1316"/>
      <c r="O738" s="427" t="s">
        <v>875</v>
      </c>
      <c r="P738" s="166"/>
      <c r="Q738" s="166"/>
      <c r="R738" s="166"/>
      <c r="S738" s="838"/>
      <c r="T738" s="1083">
        <f>SUM(T703:X737)</f>
        <v>20405</v>
      </c>
      <c r="U738" s="1084"/>
      <c r="V738" s="1084"/>
      <c r="W738" s="1084"/>
      <c r="X738" s="1085"/>
      <c r="AC738" s="839" t="s">
        <v>1138</v>
      </c>
      <c r="AD738" s="840"/>
      <c r="AE738" s="840"/>
      <c r="AF738" s="840"/>
      <c r="AG738" s="841"/>
      <c r="AH738" s="1516">
        <f>BA738</f>
        <v>0.3</v>
      </c>
      <c r="AI738" s="1517"/>
      <c r="AJ738" s="1517"/>
      <c r="AK738" s="1517"/>
      <c r="AL738" s="1518"/>
      <c r="AM738" s="1516">
        <f>IFERROR(BG738,0)</f>
        <v>0.3</v>
      </c>
      <c r="AN738" s="1517"/>
      <c r="AO738" s="1518"/>
      <c r="AX738" s="62" t="s">
        <v>874</v>
      </c>
      <c r="AY738" s="451">
        <f>SUM(AY703:AY737)</f>
        <v>53</v>
      </c>
      <c r="AZ738" s="452">
        <f>SUM(AZ703:AZ737)</f>
        <v>1</v>
      </c>
      <c r="BA738" s="452">
        <f>SUM(BA703:BA737)</f>
        <v>0.3</v>
      </c>
      <c r="BB738" s="41"/>
      <c r="BC738" s="41"/>
      <c r="BD738" s="41"/>
      <c r="BE738" s="848">
        <f>SUM(BE703:BE737)</f>
        <v>53</v>
      </c>
      <c r="BF738" s="849">
        <f>SUM(BF703:BF737)</f>
        <v>1</v>
      </c>
      <c r="BG738" s="849">
        <f>SUM(BG703:BG737)</f>
        <v>0.3</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126" t="s">
        <v>2046</v>
      </c>
      <c r="D739" s="1126"/>
      <c r="E739" s="1126"/>
      <c r="F739" s="1126"/>
      <c r="G739" s="1126"/>
      <c r="H739" s="1126"/>
      <c r="I739" s="1126"/>
      <c r="J739" s="1126"/>
      <c r="K739" s="1126"/>
      <c r="L739" s="1126"/>
      <c r="M739" s="1126"/>
      <c r="N739" s="1126"/>
      <c r="O739" s="1126"/>
      <c r="P739" s="1126"/>
      <c r="Q739" s="1126"/>
      <c r="R739" s="1126"/>
      <c r="S739" s="1126"/>
      <c r="T739" s="1126"/>
      <c r="U739" s="1126"/>
      <c r="V739" s="1126"/>
      <c r="W739" s="1126"/>
      <c r="X739" s="1126"/>
      <c r="Y739" s="1126"/>
      <c r="Z739" s="1126"/>
      <c r="AA739" s="1126"/>
      <c r="AB739" s="1126"/>
      <c r="AC739" s="1126"/>
      <c r="AD739" s="1126"/>
      <c r="AE739" s="1126"/>
      <c r="AF739" s="1126"/>
      <c r="AG739" s="1126"/>
      <c r="AH739" s="1126"/>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126"/>
      <c r="D740" s="1126"/>
      <c r="E740" s="1126"/>
      <c r="F740" s="1126"/>
      <c r="G740" s="1126"/>
      <c r="H740" s="1126"/>
      <c r="I740" s="1126"/>
      <c r="J740" s="1126"/>
      <c r="K740" s="1126"/>
      <c r="L740" s="1126"/>
      <c r="M740" s="1126"/>
      <c r="N740" s="1126"/>
      <c r="O740" s="1126"/>
      <c r="P740" s="1126"/>
      <c r="Q740" s="1126"/>
      <c r="R740" s="1126"/>
      <c r="S740" s="1126"/>
      <c r="T740" s="1126"/>
      <c r="U740" s="1126"/>
      <c r="V740" s="1126"/>
      <c r="W740" s="1126"/>
      <c r="X740" s="1126"/>
      <c r="Y740" s="1126"/>
      <c r="Z740" s="1126"/>
      <c r="AA740" s="1126"/>
      <c r="AB740" s="1126"/>
      <c r="AC740" s="1126"/>
      <c r="AD740" s="1126"/>
      <c r="AE740" s="1126"/>
      <c r="AF740" s="1126"/>
      <c r="AG740" s="1126"/>
      <c r="AH740" s="1126"/>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2047</v>
      </c>
      <c r="D741" s="917"/>
      <c r="E741" s="917"/>
      <c r="F741" s="917"/>
      <c r="G741" s="918"/>
      <c r="H741" s="918"/>
      <c r="I741" s="918"/>
      <c r="J741" s="918"/>
      <c r="K741" s="917"/>
      <c r="L741" s="917"/>
      <c r="M741" s="917"/>
      <c r="N741" s="917"/>
      <c r="O741" s="1243">
        <f>CQ636</f>
        <v>53</v>
      </c>
      <c r="P741" s="1243"/>
      <c r="Q741" s="1243"/>
      <c r="R741" s="1243"/>
      <c r="S741" s="919"/>
      <c r="T741" s="919"/>
      <c r="U741" s="268" t="s">
        <v>2048</v>
      </c>
      <c r="V741" s="917"/>
      <c r="W741" s="917"/>
      <c r="X741" s="917"/>
      <c r="Y741" s="918"/>
      <c r="Z741" s="918"/>
      <c r="AA741" s="918"/>
      <c r="AB741" s="918"/>
      <c r="AC741" s="917"/>
      <c r="AD741" s="917"/>
      <c r="AE741" s="917"/>
      <c r="AF741" s="917"/>
      <c r="AG741" s="1372">
        <v>27</v>
      </c>
      <c r="AH741" s="1372"/>
      <c r="AI741" s="1372"/>
      <c r="AJ741" s="1372"/>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2" t="str">
        <f>IF(G738&lt;&gt;AG441,"! Total Low-Income Units in the Unit Mix Table above does not match the number of Total Low-Income Units on row #"&amp;TEXT(ROW(AG441),"#"),"")</f>
        <v/>
      </c>
      <c r="D742" s="1582"/>
      <c r="E742" s="1582"/>
      <c r="F742" s="1582"/>
      <c r="G742" s="1582"/>
      <c r="H742" s="1582"/>
      <c r="I742" s="1582"/>
      <c r="J742" s="1582"/>
      <c r="K742" s="1582"/>
      <c r="L742" s="1582"/>
      <c r="M742" s="1582"/>
      <c r="N742" s="1582"/>
      <c r="O742" s="1582"/>
      <c r="P742" s="1582"/>
      <c r="Q742" s="1582"/>
      <c r="R742" s="1582"/>
      <c r="S742" s="1582"/>
      <c r="T742" s="1582"/>
      <c r="U742" s="1582"/>
      <c r="V742" s="1582"/>
      <c r="W742" s="1582"/>
      <c r="X742" s="1582"/>
      <c r="Y742" s="1582"/>
      <c r="Z742" s="1582"/>
      <c r="AA742" s="1582"/>
      <c r="AB742" s="1582"/>
      <c r="AC742" s="1582"/>
      <c r="AD742" s="1582"/>
      <c r="AE742" s="1582"/>
      <c r="AF742" s="1582"/>
      <c r="AG742" s="1582"/>
      <c r="AH742" s="1582"/>
      <c r="AI742" s="1582"/>
      <c r="AJ742" s="1582"/>
      <c r="AK742" s="1582"/>
      <c r="AL742" s="1582"/>
      <c r="AM742" s="1582"/>
      <c r="AN742" s="1582"/>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2"/>
      <c r="D743" s="1582"/>
      <c r="E743" s="1582"/>
      <c r="F743" s="1582"/>
      <c r="G743" s="1582"/>
      <c r="H743" s="1582"/>
      <c r="I743" s="1582"/>
      <c r="J743" s="1582"/>
      <c r="K743" s="1582"/>
      <c r="L743" s="1582"/>
      <c r="M743" s="1582"/>
      <c r="N743" s="1582"/>
      <c r="O743" s="1582"/>
      <c r="P743" s="1582"/>
      <c r="Q743" s="1582"/>
      <c r="R743" s="1582"/>
      <c r="S743" s="1582"/>
      <c r="T743" s="1582"/>
      <c r="U743" s="1582"/>
      <c r="V743" s="1582"/>
      <c r="W743" s="1582"/>
      <c r="X743" s="1582"/>
      <c r="Y743" s="1582"/>
      <c r="Z743" s="1582"/>
      <c r="AA743" s="1582"/>
      <c r="AB743" s="1582"/>
      <c r="AC743" s="1582"/>
      <c r="AD743" s="1582"/>
      <c r="AE743" s="1582"/>
      <c r="AF743" s="1582"/>
      <c r="AG743" s="1582"/>
      <c r="AH743" s="1582"/>
      <c r="AI743" s="1582"/>
      <c r="AJ743" s="1582"/>
      <c r="AK743" s="1582"/>
      <c r="AL743" s="1582"/>
      <c r="AM743" s="1582"/>
      <c r="AN743" s="1582"/>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0"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123</v>
      </c>
      <c r="AA744" s="1522"/>
      <c r="AB744" s="1522"/>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4" t="s">
        <v>2044</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4" t="s">
        <v>1515</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5" t="s">
        <v>53</v>
      </c>
      <c r="K756" s="1306"/>
      <c r="L756" s="1306"/>
      <c r="M756" s="1306"/>
      <c r="N756" s="1307"/>
      <c r="O756" s="1318" t="s">
        <v>255</v>
      </c>
      <c r="P756" s="1318"/>
      <c r="Q756" s="1318"/>
      <c r="R756" s="1318"/>
      <c r="S756" s="1318"/>
      <c r="T756" s="1466" t="s">
        <v>1980</v>
      </c>
      <c r="U756" s="1467"/>
      <c r="V756" s="1467"/>
      <c r="W756" s="1468"/>
      <c r="X756" s="1305" t="s">
        <v>588</v>
      </c>
      <c r="Y756" s="1306"/>
      <c r="Z756" s="1306"/>
      <c r="AA756" s="1306"/>
      <c r="AB756" s="1307"/>
      <c r="AC756" s="1305" t="s">
        <v>256</v>
      </c>
      <c r="AD756" s="1306"/>
      <c r="AE756" s="1306"/>
      <c r="AF756" s="1306"/>
      <c r="AG756" s="130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08"/>
      <c r="K757" s="1309"/>
      <c r="L757" s="1309"/>
      <c r="M757" s="1309"/>
      <c r="N757" s="1310"/>
      <c r="O757" s="1318"/>
      <c r="P757" s="1318"/>
      <c r="Q757" s="1318"/>
      <c r="R757" s="1318"/>
      <c r="S757" s="1318"/>
      <c r="T757" s="1469"/>
      <c r="U757" s="1470"/>
      <c r="V757" s="1470"/>
      <c r="W757" s="1471"/>
      <c r="X757" s="1308"/>
      <c r="Y757" s="1309"/>
      <c r="Z757" s="1309"/>
      <c r="AA757" s="1309"/>
      <c r="AB757" s="1310"/>
      <c r="AC757" s="1308"/>
      <c r="AD757" s="1309"/>
      <c r="AE757" s="1309"/>
      <c r="AF757" s="1309"/>
      <c r="AG757" s="131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08"/>
      <c r="K758" s="1309"/>
      <c r="L758" s="1309"/>
      <c r="M758" s="1309"/>
      <c r="N758" s="1310"/>
      <c r="O758" s="1318"/>
      <c r="P758" s="1318"/>
      <c r="Q758" s="1318"/>
      <c r="R758" s="1318"/>
      <c r="S758" s="1318"/>
      <c r="T758" s="1469"/>
      <c r="U758" s="1470"/>
      <c r="V758" s="1470"/>
      <c r="W758" s="1471"/>
      <c r="X758" s="1308"/>
      <c r="Y758" s="1309"/>
      <c r="Z758" s="1309"/>
      <c r="AA758" s="1309"/>
      <c r="AB758" s="1310"/>
      <c r="AC758" s="1308"/>
      <c r="AD758" s="1309"/>
      <c r="AE758" s="1309"/>
      <c r="AF758" s="1309"/>
      <c r="AG758" s="1310"/>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 customHeight="1">
      <c r="C759"/>
      <c r="J759" s="1311"/>
      <c r="K759" s="1312"/>
      <c r="L759" s="1312"/>
      <c r="M759" s="1312"/>
      <c r="N759" s="1313"/>
      <c r="O759" s="1318"/>
      <c r="P759" s="1318"/>
      <c r="Q759" s="1318"/>
      <c r="R759" s="1318"/>
      <c r="S759" s="1318"/>
      <c r="T759" s="1519"/>
      <c r="U759" s="1520"/>
      <c r="V759" s="1520"/>
      <c r="W759" s="1521"/>
      <c r="X759" s="1311"/>
      <c r="Y759" s="1312"/>
      <c r="Z759" s="1312"/>
      <c r="AA759" s="1312"/>
      <c r="AB759" s="1313"/>
      <c r="AC759" s="1311"/>
      <c r="AD759" s="1312"/>
      <c r="AE759" s="1312"/>
      <c r="AF759" s="1312"/>
      <c r="AG759" s="1313"/>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 customHeight="1">
      <c r="C760"/>
      <c r="J760" s="1071" t="s">
        <v>780</v>
      </c>
      <c r="K760" s="1072"/>
      <c r="L760" s="1072"/>
      <c r="M760" s="1072"/>
      <c r="N760" s="1073"/>
      <c r="O760" s="1238">
        <v>1</v>
      </c>
      <c r="P760" s="1238"/>
      <c r="Q760" s="1238"/>
      <c r="R760" s="1238"/>
      <c r="S760" s="1238"/>
      <c r="T760" s="1077">
        <v>1240</v>
      </c>
      <c r="U760" s="1078"/>
      <c r="V760" s="1078"/>
      <c r="W760" s="1079"/>
      <c r="X760" s="1080"/>
      <c r="Y760" s="1081"/>
      <c r="Z760" s="1081"/>
      <c r="AA760" s="1081"/>
      <c r="AB760" s="1082"/>
      <c r="AC760" s="1083">
        <f>X760*O760</f>
        <v>0</v>
      </c>
      <c r="AD760" s="1084"/>
      <c r="AE760" s="1084"/>
      <c r="AF760" s="1084"/>
      <c r="AG760" s="108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71"/>
      <c r="K761" s="1072"/>
      <c r="L761" s="1072"/>
      <c r="M761" s="1072"/>
      <c r="N761" s="1073"/>
      <c r="O761" s="1238"/>
      <c r="P761" s="1238"/>
      <c r="Q761" s="1238"/>
      <c r="R761" s="1238"/>
      <c r="S761" s="1238"/>
      <c r="T761" s="1077"/>
      <c r="U761" s="1078"/>
      <c r="V761" s="1078"/>
      <c r="W761" s="1079"/>
      <c r="X761" s="1080"/>
      <c r="Y761" s="1081"/>
      <c r="Z761" s="1081"/>
      <c r="AA761" s="1081"/>
      <c r="AB761" s="1082"/>
      <c r="AC761" s="1083">
        <f>X761*O761</f>
        <v>0</v>
      </c>
      <c r="AD761" s="1084"/>
      <c r="AE761" s="1084"/>
      <c r="AF761" s="1084"/>
      <c r="AG761" s="108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71"/>
      <c r="K762" s="1072"/>
      <c r="L762" s="1072"/>
      <c r="M762" s="1072"/>
      <c r="N762" s="1073"/>
      <c r="O762" s="1238"/>
      <c r="P762" s="1238"/>
      <c r="Q762" s="1238"/>
      <c r="R762" s="1238"/>
      <c r="S762" s="1238"/>
      <c r="T762" s="1077"/>
      <c r="U762" s="1078"/>
      <c r="V762" s="1078"/>
      <c r="W762" s="1079"/>
      <c r="X762" s="1080"/>
      <c r="Y762" s="1081"/>
      <c r="Z762" s="1081"/>
      <c r="AA762" s="1081"/>
      <c r="AB762" s="1082"/>
      <c r="AC762" s="1083">
        <f>X762*O762</f>
        <v>0</v>
      </c>
      <c r="AD762" s="1084"/>
      <c r="AE762" s="1084"/>
      <c r="AF762" s="1084"/>
      <c r="AG762" s="108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71"/>
      <c r="K763" s="1072"/>
      <c r="L763" s="1072"/>
      <c r="M763" s="1072"/>
      <c r="N763" s="1073"/>
      <c r="O763" s="1238"/>
      <c r="P763" s="1238"/>
      <c r="Q763" s="1238"/>
      <c r="R763" s="1238"/>
      <c r="S763" s="1238"/>
      <c r="T763" s="1077"/>
      <c r="U763" s="1078"/>
      <c r="V763" s="1078"/>
      <c r="W763" s="1079"/>
      <c r="X763" s="1080"/>
      <c r="Y763" s="1081"/>
      <c r="Z763" s="1081"/>
      <c r="AA763" s="1081"/>
      <c r="AB763" s="1082"/>
      <c r="AC763" s="1083">
        <f>X763*O763</f>
        <v>0</v>
      </c>
      <c r="AD763" s="1084"/>
      <c r="AE763" s="1084"/>
      <c r="AF763" s="1084"/>
      <c r="AG763" s="108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19" t="s">
        <v>876</v>
      </c>
      <c r="K764" s="1120"/>
      <c r="L764" s="1120"/>
      <c r="M764" s="1120"/>
      <c r="N764" s="1122"/>
      <c r="O764" s="1112">
        <f>SUM(O760:S763)</f>
        <v>1</v>
      </c>
      <c r="P764" s="1237"/>
      <c r="Q764" s="1237"/>
      <c r="R764" s="1237"/>
      <c r="S764" s="1113"/>
      <c r="X764" s="1119" t="s">
        <v>875</v>
      </c>
      <c r="Y764" s="1120"/>
      <c r="Z764" s="1120"/>
      <c r="AA764" s="1120"/>
      <c r="AB764" s="1122"/>
      <c r="AC764" s="1083">
        <f>SUM(AC760:AG763)</f>
        <v>0</v>
      </c>
      <c r="AD764" s="1084"/>
      <c r="AE764" s="1084"/>
      <c r="AF764" s="1084"/>
      <c r="AG764" s="108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42" t="s">
        <v>481</v>
      </c>
      <c r="K766" s="114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5" t="s">
        <v>53</v>
      </c>
      <c r="K770" s="1306"/>
      <c r="L770" s="1306"/>
      <c r="M770" s="1306"/>
      <c r="N770" s="1307"/>
      <c r="O770" s="1318" t="s">
        <v>255</v>
      </c>
      <c r="P770" s="1318"/>
      <c r="Q770" s="1318"/>
      <c r="R770" s="1318"/>
      <c r="S770" s="1318"/>
      <c r="T770" s="1466" t="s">
        <v>1980</v>
      </c>
      <c r="U770" s="1467"/>
      <c r="V770" s="1467"/>
      <c r="W770" s="1468"/>
      <c r="X770" s="1305" t="s">
        <v>588</v>
      </c>
      <c r="Y770" s="1306"/>
      <c r="Z770" s="1306"/>
      <c r="AA770" s="1306"/>
      <c r="AB770" s="1307"/>
      <c r="AC770" s="1305" t="s">
        <v>256</v>
      </c>
      <c r="AD770" s="1306"/>
      <c r="AE770" s="1306"/>
      <c r="AF770" s="1306"/>
      <c r="AG770" s="130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08"/>
      <c r="K771" s="1309"/>
      <c r="L771" s="1309"/>
      <c r="M771" s="1309"/>
      <c r="N771" s="1310"/>
      <c r="O771" s="1318"/>
      <c r="P771" s="1318"/>
      <c r="Q771" s="1318"/>
      <c r="R771" s="1318"/>
      <c r="S771" s="1318"/>
      <c r="T771" s="1469"/>
      <c r="U771" s="1470"/>
      <c r="V771" s="1470"/>
      <c r="W771" s="1471"/>
      <c r="X771" s="1308"/>
      <c r="Y771" s="1309"/>
      <c r="Z771" s="1309"/>
      <c r="AA771" s="1309"/>
      <c r="AB771" s="1310"/>
      <c r="AC771" s="1308"/>
      <c r="AD771" s="1309"/>
      <c r="AE771" s="1309"/>
      <c r="AF771" s="1309"/>
      <c r="AG771" s="131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08"/>
      <c r="K772" s="1309"/>
      <c r="L772" s="1309"/>
      <c r="M772" s="1309"/>
      <c r="N772" s="1310"/>
      <c r="O772" s="1318"/>
      <c r="P772" s="1318"/>
      <c r="Q772" s="1318"/>
      <c r="R772" s="1318"/>
      <c r="S772" s="1318"/>
      <c r="T772" s="1469"/>
      <c r="U772" s="1470"/>
      <c r="V772" s="1470"/>
      <c r="W772" s="1471"/>
      <c r="X772" s="1308"/>
      <c r="Y772" s="1309"/>
      <c r="Z772" s="1309"/>
      <c r="AA772" s="1309"/>
      <c r="AB772" s="1310"/>
      <c r="AC772" s="1308"/>
      <c r="AD772" s="1309"/>
      <c r="AE772" s="1309"/>
      <c r="AF772" s="1309"/>
      <c r="AG772" s="131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1"/>
      <c r="K773" s="1312"/>
      <c r="L773" s="1312"/>
      <c r="M773" s="1312"/>
      <c r="N773" s="1313"/>
      <c r="O773" s="1318"/>
      <c r="P773" s="1318"/>
      <c r="Q773" s="1318"/>
      <c r="R773" s="1318"/>
      <c r="S773" s="1318"/>
      <c r="T773" s="1519"/>
      <c r="U773" s="1520"/>
      <c r="V773" s="1520"/>
      <c r="W773" s="1521"/>
      <c r="X773" s="1311"/>
      <c r="Y773" s="1312"/>
      <c r="Z773" s="1312"/>
      <c r="AA773" s="1312"/>
      <c r="AB773" s="1313"/>
      <c r="AC773" s="1311"/>
      <c r="AD773" s="1312"/>
      <c r="AE773" s="1312"/>
      <c r="AF773" s="1312"/>
      <c r="AG773" s="131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71"/>
      <c r="K774" s="1072"/>
      <c r="L774" s="1072"/>
      <c r="M774" s="1072"/>
      <c r="N774" s="1073"/>
      <c r="O774" s="1238"/>
      <c r="P774" s="1238"/>
      <c r="Q774" s="1238"/>
      <c r="R774" s="1238"/>
      <c r="S774" s="1238"/>
      <c r="T774" s="1077"/>
      <c r="U774" s="1078"/>
      <c r="V774" s="1078"/>
      <c r="W774" s="1079"/>
      <c r="X774" s="1080"/>
      <c r="Y774" s="1081"/>
      <c r="Z774" s="1081"/>
      <c r="AA774" s="1081"/>
      <c r="AB774" s="1082"/>
      <c r="AC774" s="1083">
        <f t="shared" ref="AC774:AC783" si="56">X774*O774</f>
        <v>0</v>
      </c>
      <c r="AD774" s="1084"/>
      <c r="AE774" s="1084"/>
      <c r="AF774" s="1084"/>
      <c r="AG774" s="108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71"/>
      <c r="K775" s="1072"/>
      <c r="L775" s="1072"/>
      <c r="M775" s="1072"/>
      <c r="N775" s="1073"/>
      <c r="O775" s="1238"/>
      <c r="P775" s="1238"/>
      <c r="Q775" s="1238"/>
      <c r="R775" s="1238"/>
      <c r="S775" s="1238"/>
      <c r="T775" s="1077"/>
      <c r="U775" s="1078"/>
      <c r="V775" s="1078"/>
      <c r="W775" s="1079"/>
      <c r="X775" s="1080"/>
      <c r="Y775" s="1081"/>
      <c r="Z775" s="1081"/>
      <c r="AA775" s="1081"/>
      <c r="AB775" s="1082"/>
      <c r="AC775" s="1083">
        <f t="shared" si="56"/>
        <v>0</v>
      </c>
      <c r="AD775" s="1084"/>
      <c r="AE775" s="1084"/>
      <c r="AF775" s="1084"/>
      <c r="AG775" s="108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71"/>
      <c r="K776" s="1072"/>
      <c r="L776" s="1072"/>
      <c r="M776" s="1072"/>
      <c r="N776" s="1073"/>
      <c r="O776" s="1238"/>
      <c r="P776" s="1238"/>
      <c r="Q776" s="1238"/>
      <c r="R776" s="1238"/>
      <c r="S776" s="1238"/>
      <c r="T776" s="1077"/>
      <c r="U776" s="1078"/>
      <c r="V776" s="1078"/>
      <c r="W776" s="1079"/>
      <c r="X776" s="1080"/>
      <c r="Y776" s="1081"/>
      <c r="Z776" s="1081"/>
      <c r="AA776" s="1081"/>
      <c r="AB776" s="1082"/>
      <c r="AC776" s="1083">
        <f t="shared" si="56"/>
        <v>0</v>
      </c>
      <c r="AD776" s="1084"/>
      <c r="AE776" s="1084"/>
      <c r="AF776" s="1084"/>
      <c r="AG776" s="108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71"/>
      <c r="K777" s="1072"/>
      <c r="L777" s="1072"/>
      <c r="M777" s="1072"/>
      <c r="N777" s="1073"/>
      <c r="O777" s="1238"/>
      <c r="P777" s="1238"/>
      <c r="Q777" s="1238"/>
      <c r="R777" s="1238"/>
      <c r="S777" s="1238"/>
      <c r="T777" s="1077"/>
      <c r="U777" s="1078"/>
      <c r="V777" s="1078"/>
      <c r="W777" s="1079"/>
      <c r="X777" s="1080"/>
      <c r="Y777" s="1081"/>
      <c r="Z777" s="1081"/>
      <c r="AA777" s="1081"/>
      <c r="AB777" s="1082"/>
      <c r="AC777" s="1083">
        <f t="shared" si="56"/>
        <v>0</v>
      </c>
      <c r="AD777" s="1084"/>
      <c r="AE777" s="1084"/>
      <c r="AF777" s="1084"/>
      <c r="AG777" s="108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71"/>
      <c r="K778" s="1072"/>
      <c r="L778" s="1072"/>
      <c r="M778" s="1072"/>
      <c r="N778" s="1073"/>
      <c r="O778" s="1238"/>
      <c r="P778" s="1238"/>
      <c r="Q778" s="1238"/>
      <c r="R778" s="1238"/>
      <c r="S778" s="1238"/>
      <c r="T778" s="1077"/>
      <c r="U778" s="1078"/>
      <c r="V778" s="1078"/>
      <c r="W778" s="1079"/>
      <c r="X778" s="1080"/>
      <c r="Y778" s="1081"/>
      <c r="Z778" s="1081"/>
      <c r="AA778" s="1081"/>
      <c r="AB778" s="1082"/>
      <c r="AC778" s="1083">
        <f t="shared" si="56"/>
        <v>0</v>
      </c>
      <c r="AD778" s="1084"/>
      <c r="AE778" s="1084"/>
      <c r="AF778" s="1084"/>
      <c r="AG778" s="108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71"/>
      <c r="K779" s="1072"/>
      <c r="L779" s="1072"/>
      <c r="M779" s="1072"/>
      <c r="N779" s="1073"/>
      <c r="O779" s="1238"/>
      <c r="P779" s="1238"/>
      <c r="Q779" s="1238"/>
      <c r="R779" s="1238"/>
      <c r="S779" s="1238"/>
      <c r="T779" s="1077"/>
      <c r="U779" s="1078"/>
      <c r="V779" s="1078"/>
      <c r="W779" s="1079"/>
      <c r="X779" s="1080"/>
      <c r="Y779" s="1081"/>
      <c r="Z779" s="1081"/>
      <c r="AA779" s="1081"/>
      <c r="AB779" s="1082"/>
      <c r="AC779" s="1083">
        <f t="shared" si="56"/>
        <v>0</v>
      </c>
      <c r="AD779" s="1084"/>
      <c r="AE779" s="1084"/>
      <c r="AF779" s="1084"/>
      <c r="AG779" s="108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71"/>
      <c r="K780" s="1072"/>
      <c r="L780" s="1072"/>
      <c r="M780" s="1072"/>
      <c r="N780" s="1073"/>
      <c r="O780" s="1238"/>
      <c r="P780" s="1238"/>
      <c r="Q780" s="1238"/>
      <c r="R780" s="1238"/>
      <c r="S780" s="1238"/>
      <c r="T780" s="1077"/>
      <c r="U780" s="1078"/>
      <c r="V780" s="1078"/>
      <c r="W780" s="1079"/>
      <c r="X780" s="1080"/>
      <c r="Y780" s="1081"/>
      <c r="Z780" s="1081"/>
      <c r="AA780" s="1081"/>
      <c r="AB780" s="1082"/>
      <c r="AC780" s="1083">
        <f t="shared" si="56"/>
        <v>0</v>
      </c>
      <c r="AD780" s="1084"/>
      <c r="AE780" s="1084"/>
      <c r="AF780" s="1084"/>
      <c r="AG780" s="108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71"/>
      <c r="K781" s="1072"/>
      <c r="L781" s="1072"/>
      <c r="M781" s="1072"/>
      <c r="N781" s="1073"/>
      <c r="O781" s="1238"/>
      <c r="P781" s="1238"/>
      <c r="Q781" s="1238"/>
      <c r="R781" s="1238"/>
      <c r="S781" s="1238"/>
      <c r="T781" s="1077"/>
      <c r="U781" s="1078"/>
      <c r="V781" s="1078"/>
      <c r="W781" s="1079"/>
      <c r="X781" s="1080"/>
      <c r="Y781" s="1081"/>
      <c r="Z781" s="1081"/>
      <c r="AA781" s="1081"/>
      <c r="AB781" s="1082"/>
      <c r="AC781" s="1083">
        <f t="shared" si="56"/>
        <v>0</v>
      </c>
      <c r="AD781" s="1084"/>
      <c r="AE781" s="1084"/>
      <c r="AF781" s="1084"/>
      <c r="AG781" s="108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71"/>
      <c r="K782" s="1072"/>
      <c r="L782" s="1072"/>
      <c r="M782" s="1072"/>
      <c r="N782" s="1073"/>
      <c r="O782" s="1238"/>
      <c r="P782" s="1238"/>
      <c r="Q782" s="1238"/>
      <c r="R782" s="1238"/>
      <c r="S782" s="1238"/>
      <c r="T782" s="1077"/>
      <c r="U782" s="1078"/>
      <c r="V782" s="1078"/>
      <c r="W782" s="1079"/>
      <c r="X782" s="1080"/>
      <c r="Y782" s="1081"/>
      <c r="Z782" s="1081"/>
      <c r="AA782" s="1081"/>
      <c r="AB782" s="1082"/>
      <c r="AC782" s="1083">
        <f t="shared" si="56"/>
        <v>0</v>
      </c>
      <c r="AD782" s="1084"/>
      <c r="AE782" s="1084"/>
      <c r="AF782" s="1084"/>
      <c r="AG782" s="108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71"/>
      <c r="K783" s="1072"/>
      <c r="L783" s="1072"/>
      <c r="M783" s="1072"/>
      <c r="N783" s="1073"/>
      <c r="O783" s="1238"/>
      <c r="P783" s="1238"/>
      <c r="Q783" s="1238"/>
      <c r="R783" s="1238"/>
      <c r="S783" s="1238"/>
      <c r="T783" s="1077"/>
      <c r="U783" s="1078"/>
      <c r="V783" s="1078"/>
      <c r="W783" s="1079"/>
      <c r="X783" s="1080"/>
      <c r="Y783" s="1081"/>
      <c r="Z783" s="1081"/>
      <c r="AA783" s="1081"/>
      <c r="AB783" s="1082"/>
      <c r="AC783" s="1083">
        <f t="shared" si="56"/>
        <v>0</v>
      </c>
      <c r="AD783" s="1084"/>
      <c r="AE783" s="1084"/>
      <c r="AF783" s="1084"/>
      <c r="AG783" s="108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19" t="s">
        <v>876</v>
      </c>
      <c r="K784" s="1120"/>
      <c r="L784" s="1120"/>
      <c r="M784" s="1120"/>
      <c r="N784" s="1122"/>
      <c r="O784" s="1243">
        <f>SUM(O774:S783)</f>
        <v>0</v>
      </c>
      <c r="P784" s="1243"/>
      <c r="Q784" s="1243"/>
      <c r="R784" s="1243"/>
      <c r="S784" s="1243"/>
      <c r="X784" s="427" t="s">
        <v>875</v>
      </c>
      <c r="Y784" s="166"/>
      <c r="Z784" s="166"/>
      <c r="AA784" s="166"/>
      <c r="AB784" s="838"/>
      <c r="AC784" s="1083">
        <f>SUM(AC774:AG783)</f>
        <v>0</v>
      </c>
      <c r="AD784" s="1084"/>
      <c r="AE784" s="1084"/>
      <c r="AF784" s="1084"/>
      <c r="AG784" s="108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2" t="str">
        <f>IF(O784&lt;&gt;AG439,"! Total market rate units in the Unit Mix Table above does not match the number of market rate units on row #"&amp;TEXT(ROW(AG439),"#"),"")</f>
        <v/>
      </c>
      <c r="D785" s="1582"/>
      <c r="E785" s="1582"/>
      <c r="F785" s="1582"/>
      <c r="G785" s="1582"/>
      <c r="H785" s="1582"/>
      <c r="I785" s="1582"/>
      <c r="J785" s="1582"/>
      <c r="K785" s="1582"/>
      <c r="L785" s="1582"/>
      <c r="M785" s="1582"/>
      <c r="N785" s="1582"/>
      <c r="O785" s="1582"/>
      <c r="P785" s="1582"/>
      <c r="Q785" s="1582"/>
      <c r="R785" s="1582"/>
      <c r="S785" s="1582"/>
      <c r="T785" s="1582"/>
      <c r="U785" s="1582"/>
      <c r="V785" s="1582"/>
      <c r="W785" s="1582"/>
      <c r="X785" s="1582"/>
      <c r="Y785" s="1582"/>
      <c r="Z785" s="1582"/>
      <c r="AA785" s="1582"/>
      <c r="AB785" s="1582"/>
      <c r="AC785" s="1582"/>
      <c r="AD785" s="1582"/>
      <c r="AE785" s="1582"/>
      <c r="AF785" s="1582"/>
      <c r="AG785" s="1582"/>
      <c r="AH785" s="1582"/>
      <c r="AI785" s="1582"/>
      <c r="AJ785" s="1582"/>
      <c r="AK785" s="1582"/>
      <c r="AL785" s="1582"/>
      <c r="AM785" s="1582"/>
      <c r="AN785" s="158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2"/>
      <c r="D786" s="1582"/>
      <c r="E786" s="1582"/>
      <c r="F786" s="1582"/>
      <c r="G786" s="1582"/>
      <c r="H786" s="1582"/>
      <c r="I786" s="1582"/>
      <c r="J786" s="1582"/>
      <c r="K786" s="1582"/>
      <c r="L786" s="1582"/>
      <c r="M786" s="1582"/>
      <c r="N786" s="1582"/>
      <c r="O786" s="1582"/>
      <c r="P786" s="1582"/>
      <c r="Q786" s="1582"/>
      <c r="R786" s="1582"/>
      <c r="S786" s="1582"/>
      <c r="T786" s="1582"/>
      <c r="U786" s="1582"/>
      <c r="V786" s="1582"/>
      <c r="W786" s="1582"/>
      <c r="X786" s="1582"/>
      <c r="Y786" s="1582"/>
      <c r="Z786" s="1582"/>
      <c r="AA786" s="1582"/>
      <c r="AB786" s="1582"/>
      <c r="AC786" s="1582"/>
      <c r="AD786" s="1582"/>
      <c r="AE786" s="1582"/>
      <c r="AF786" s="1582"/>
      <c r="AG786" s="1582"/>
      <c r="AH786" s="1582"/>
      <c r="AI786" s="1582"/>
      <c r="AJ786" s="1582"/>
      <c r="AK786" s="1582"/>
      <c r="AL786" s="1582"/>
      <c r="AM786" s="1582"/>
      <c r="AN786" s="158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235">
        <f>T738+AC764+AC784</f>
        <v>20405</v>
      </c>
      <c r="Z787" s="1235"/>
      <c r="AA787" s="1235"/>
      <c r="AB787" s="1235"/>
      <c r="AC787" s="123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235">
        <f>(T738+AC764+AC784)*12</f>
        <v>244860</v>
      </c>
      <c r="Z788" s="1235"/>
      <c r="AA788" s="1235"/>
      <c r="AB788" s="1235"/>
      <c r="AC788" s="123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218">
        <f>SUM('Subsidy Contract Calculation'!B4:B38)</f>
        <v>53</v>
      </c>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454">
        <v>20</v>
      </c>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62">
        <f>L939+7300</f>
        <v>52652</v>
      </c>
      <c r="AA795" s="1273"/>
      <c r="AB795" s="1273"/>
      <c r="AC795" s="1273"/>
      <c r="AD795" s="1273"/>
      <c r="AE795" s="127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232">
        <f>'Subsidy Contract Calculation'!I40</f>
        <v>481452</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226">
        <v>3240</v>
      </c>
      <c r="AA800" s="1227"/>
      <c r="AB800" s="1227"/>
      <c r="AC800" s="1227"/>
      <c r="AD800" s="1227"/>
      <c r="AE800" s="122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226"/>
      <c r="AA801" s="1227"/>
      <c r="AB801" s="1227"/>
      <c r="AC801" s="1227"/>
      <c r="AD801" s="1227"/>
      <c r="AE801" s="122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226"/>
      <c r="AA802" s="1227"/>
      <c r="AB802" s="1227"/>
      <c r="AC802" s="1227"/>
      <c r="AD802" s="1227"/>
      <c r="AE802" s="122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86" t="s">
        <v>561</v>
      </c>
      <c r="Q803" s="1187"/>
      <c r="R803" s="1187"/>
      <c r="S803" s="1187"/>
      <c r="T803" s="1187"/>
      <c r="U803" s="1187"/>
      <c r="V803" s="1187"/>
      <c r="W803" s="1187"/>
      <c r="X803" s="1187"/>
      <c r="Y803" s="1188"/>
      <c r="Z803" s="1226"/>
      <c r="AA803" s="1227"/>
      <c r="AB803" s="1227"/>
      <c r="AC803" s="1227"/>
      <c r="AD803" s="1227"/>
      <c r="AE803" s="122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40">
        <f>SUM(Z800:AE803)</f>
        <v>3240</v>
      </c>
      <c r="AA804" s="1241"/>
      <c r="AB804" s="1241"/>
      <c r="AC804" s="1241"/>
      <c r="AD804" s="1241"/>
      <c r="AE804" s="124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40">
        <f>Z804+Y788+Z796</f>
        <v>729552</v>
      </c>
      <c r="AA805" s="1241"/>
      <c r="AB805" s="1241"/>
      <c r="AC805" s="1241"/>
      <c r="AD805" s="1241"/>
      <c r="AE805" s="124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6" t="s">
        <v>877</v>
      </c>
      <c r="N810" s="1196"/>
      <c r="O810" s="1196"/>
      <c r="P810" s="1319"/>
      <c r="Q810" s="1236" t="s">
        <v>262</v>
      </c>
      <c r="R810" s="1236"/>
      <c r="S810" s="1236"/>
      <c r="T810" s="1236"/>
      <c r="U810" s="1236" t="s">
        <v>263</v>
      </c>
      <c r="V810" s="1236"/>
      <c r="W810" s="1236"/>
      <c r="X810" s="1236"/>
      <c r="Y810" s="1236" t="s">
        <v>264</v>
      </c>
      <c r="Z810" s="1236"/>
      <c r="AA810" s="1236"/>
      <c r="AB810" s="1236"/>
      <c r="AC810" s="1236" t="s">
        <v>31</v>
      </c>
      <c r="AD810" s="1236"/>
      <c r="AE810" s="1236"/>
      <c r="AF810" s="1236"/>
      <c r="AG810" s="1317" t="s">
        <v>562</v>
      </c>
      <c r="AH810" s="1317"/>
      <c r="AI810" s="1317"/>
      <c r="AJ810" s="13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0"/>
      <c r="N811" s="1200"/>
      <c r="O811" s="1200"/>
      <c r="P811" s="1253"/>
      <c r="Q811" s="1236"/>
      <c r="R811" s="1236"/>
      <c r="S811" s="1236"/>
      <c r="T811" s="1236"/>
      <c r="U811" s="1236"/>
      <c r="V811" s="1236"/>
      <c r="W811" s="1236"/>
      <c r="X811" s="1236"/>
      <c r="Y811" s="1236"/>
      <c r="Z811" s="1236"/>
      <c r="AA811" s="1236"/>
      <c r="AB811" s="1236"/>
      <c r="AC811" s="1236"/>
      <c r="AD811" s="1236"/>
      <c r="AE811" s="1236"/>
      <c r="AF811" s="1236"/>
      <c r="AG811" s="1317"/>
      <c r="AH811" s="1317"/>
      <c r="AI811" s="1317"/>
      <c r="AJ811" s="13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29" t="s">
        <v>693</v>
      </c>
      <c r="D812" s="1230"/>
      <c r="E812" s="1230"/>
      <c r="F812" s="1230"/>
      <c r="G812" s="1230"/>
      <c r="H812" s="1230"/>
      <c r="I812" s="54"/>
      <c r="J812" s="54"/>
      <c r="K812" s="54"/>
      <c r="L812" s="55"/>
      <c r="M812" s="1209"/>
      <c r="N812" s="1209"/>
      <c r="O812" s="1209"/>
      <c r="P812" s="1209"/>
      <c r="Q812" s="1209">
        <v>23</v>
      </c>
      <c r="R812" s="1209"/>
      <c r="S812" s="1209"/>
      <c r="T812" s="1209"/>
      <c r="U812" s="1209"/>
      <c r="V812" s="1209"/>
      <c r="W812" s="1209"/>
      <c r="X812" s="1209"/>
      <c r="Y812" s="1209"/>
      <c r="Z812" s="1209"/>
      <c r="AA812" s="1209"/>
      <c r="AB812" s="1209"/>
      <c r="AC812" s="1192"/>
      <c r="AD812" s="1193"/>
      <c r="AE812" s="1193"/>
      <c r="AF812" s="1194"/>
      <c r="AG812" s="1192"/>
      <c r="AH812" s="1193"/>
      <c r="AI812" s="1193"/>
      <c r="AJ812" s="119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0" t="s">
        <v>694</v>
      </c>
      <c r="D813" s="1211"/>
      <c r="E813" s="1211"/>
      <c r="F813" s="1211"/>
      <c r="G813" s="1211"/>
      <c r="H813" s="1211"/>
      <c r="I813" s="9"/>
      <c r="J813" s="9"/>
      <c r="K813" s="9"/>
      <c r="L813" s="52"/>
      <c r="M813" s="1209"/>
      <c r="N813" s="1209"/>
      <c r="O813" s="1209"/>
      <c r="P813" s="1209"/>
      <c r="Q813" s="1209"/>
      <c r="R813" s="1209"/>
      <c r="S813" s="1209"/>
      <c r="T813" s="1209"/>
      <c r="U813" s="1209"/>
      <c r="V813" s="1209"/>
      <c r="W813" s="1209"/>
      <c r="X813" s="1209"/>
      <c r="Y813" s="1209"/>
      <c r="Z813" s="1209"/>
      <c r="AA813" s="1209"/>
      <c r="AB813" s="1209"/>
      <c r="AC813" s="1192"/>
      <c r="AD813" s="1193"/>
      <c r="AE813" s="1193"/>
      <c r="AF813" s="1194"/>
      <c r="AG813" s="1192"/>
      <c r="AH813" s="1193"/>
      <c r="AI813" s="1193"/>
      <c r="AJ813" s="119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0" t="s">
        <v>70</v>
      </c>
      <c r="D814" s="1211"/>
      <c r="E814" s="1211"/>
      <c r="F814" s="1211"/>
      <c r="G814" s="1211"/>
      <c r="H814" s="1211"/>
      <c r="I814" s="66"/>
      <c r="J814" s="66"/>
      <c r="K814" s="66"/>
      <c r="L814" s="67"/>
      <c r="M814" s="1209"/>
      <c r="N814" s="1209"/>
      <c r="O814" s="1209"/>
      <c r="P814" s="1209"/>
      <c r="Q814" s="1209">
        <v>10</v>
      </c>
      <c r="R814" s="1209"/>
      <c r="S814" s="1209"/>
      <c r="T814" s="1209"/>
      <c r="U814" s="1209"/>
      <c r="V814" s="1209"/>
      <c r="W814" s="1209"/>
      <c r="X814" s="1209"/>
      <c r="Y814" s="1209"/>
      <c r="Z814" s="1209"/>
      <c r="AA814" s="1209"/>
      <c r="AB814" s="1209"/>
      <c r="AC814" s="1192"/>
      <c r="AD814" s="1193"/>
      <c r="AE814" s="1193"/>
      <c r="AF814" s="1194"/>
      <c r="AG814" s="1192"/>
      <c r="AH814" s="1193"/>
      <c r="AI814" s="1193"/>
      <c r="AJ814" s="119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0" t="s">
        <v>177</v>
      </c>
      <c r="D815" s="1211"/>
      <c r="E815" s="1211"/>
      <c r="F815" s="1211"/>
      <c r="G815" s="1211"/>
      <c r="H815" s="1211"/>
      <c r="I815" s="66"/>
      <c r="J815" s="66"/>
      <c r="K815" s="66"/>
      <c r="L815" s="67"/>
      <c r="M815" s="1209"/>
      <c r="N815" s="1209"/>
      <c r="O815" s="1209"/>
      <c r="P815" s="1209"/>
      <c r="Q815" s="1209"/>
      <c r="R815" s="1209"/>
      <c r="S815" s="1209"/>
      <c r="T815" s="1209"/>
      <c r="U815" s="1209"/>
      <c r="V815" s="1209"/>
      <c r="W815" s="1209"/>
      <c r="X815" s="1209"/>
      <c r="Y815" s="1209"/>
      <c r="Z815" s="1209"/>
      <c r="AA815" s="1209"/>
      <c r="AB815" s="1209"/>
      <c r="AC815" s="1192"/>
      <c r="AD815" s="1193"/>
      <c r="AE815" s="1193"/>
      <c r="AF815" s="1194"/>
      <c r="AG815" s="1192"/>
      <c r="AH815" s="1193"/>
      <c r="AI815" s="1193"/>
      <c r="AJ815" s="119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0" t="s">
        <v>789</v>
      </c>
      <c r="D816" s="1211"/>
      <c r="E816" s="1211"/>
      <c r="F816" s="1211"/>
      <c r="G816" s="1211"/>
      <c r="H816" s="1211"/>
      <c r="I816" s="66"/>
      <c r="J816" s="66"/>
      <c r="K816" s="66"/>
      <c r="L816" s="67"/>
      <c r="M816" s="1209"/>
      <c r="N816" s="1209"/>
      <c r="O816" s="1209"/>
      <c r="P816" s="1209"/>
      <c r="Q816" s="1209">
        <v>35</v>
      </c>
      <c r="R816" s="1209"/>
      <c r="S816" s="1209"/>
      <c r="T816" s="1209"/>
      <c r="U816" s="1209"/>
      <c r="V816" s="1209"/>
      <c r="W816" s="1209"/>
      <c r="X816" s="1209"/>
      <c r="Y816" s="1209"/>
      <c r="Z816" s="1209"/>
      <c r="AA816" s="1209"/>
      <c r="AB816" s="1209"/>
      <c r="AC816" s="1192"/>
      <c r="AD816" s="1193"/>
      <c r="AE816" s="1193"/>
      <c r="AF816" s="1194"/>
      <c r="AG816" s="1192"/>
      <c r="AH816" s="1193"/>
      <c r="AI816" s="1193"/>
      <c r="AJ816" s="119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61" t="s">
        <v>942</v>
      </c>
      <c r="D817" s="1211"/>
      <c r="E817" s="1211"/>
      <c r="F817" s="1211"/>
      <c r="G817" s="1211"/>
      <c r="H817" s="1211"/>
      <c r="I817" s="66"/>
      <c r="J817" s="66"/>
      <c r="K817" s="66"/>
      <c r="L817" s="67"/>
      <c r="M817" s="1209"/>
      <c r="N817" s="1209"/>
      <c r="O817" s="1209"/>
      <c r="P817" s="1209"/>
      <c r="Q817" s="1209"/>
      <c r="R817" s="1209"/>
      <c r="S817" s="1209"/>
      <c r="T817" s="1209"/>
      <c r="U817" s="1209"/>
      <c r="V817" s="1209"/>
      <c r="W817" s="1209"/>
      <c r="X817" s="1209"/>
      <c r="Y817" s="1209"/>
      <c r="Z817" s="1209"/>
      <c r="AA817" s="1209"/>
      <c r="AB817" s="1209"/>
      <c r="AC817" s="1192"/>
      <c r="AD817" s="1193"/>
      <c r="AE817" s="1193"/>
      <c r="AF817" s="1194"/>
      <c r="AG817" s="1192"/>
      <c r="AH817" s="1193"/>
      <c r="AI817" s="1193"/>
      <c r="AJ817" s="119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186" t="s">
        <v>2448</v>
      </c>
      <c r="G818" s="1187"/>
      <c r="H818" s="1187"/>
      <c r="I818" s="1187"/>
      <c r="J818" s="1187"/>
      <c r="K818" s="1187"/>
      <c r="L818" s="1187"/>
      <c r="M818" s="1209"/>
      <c r="N818" s="1209"/>
      <c r="O818" s="1209"/>
      <c r="P818" s="1209"/>
      <c r="Q818" s="1209">
        <f>30+12</f>
        <v>42</v>
      </c>
      <c r="R818" s="1209"/>
      <c r="S818" s="1209"/>
      <c r="T818" s="1209"/>
      <c r="U818" s="1209"/>
      <c r="V818" s="1209"/>
      <c r="W818" s="1209"/>
      <c r="X818" s="1209"/>
      <c r="Y818" s="1209"/>
      <c r="Z818" s="1209"/>
      <c r="AA818" s="1209"/>
      <c r="AB818" s="1209"/>
      <c r="AC818" s="1192"/>
      <c r="AD818" s="1193"/>
      <c r="AE818" s="1193"/>
      <c r="AF818" s="1194"/>
      <c r="AG818" s="1192"/>
      <c r="AH818" s="1193"/>
      <c r="AI818" s="1193"/>
      <c r="AJ818" s="119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19" t="s">
        <v>875</v>
      </c>
      <c r="D819" s="1120"/>
      <c r="E819" s="1120"/>
      <c r="F819" s="1120"/>
      <c r="G819" s="1120"/>
      <c r="H819" s="1120"/>
      <c r="I819" s="1120"/>
      <c r="J819" s="1120"/>
      <c r="K819" s="1120"/>
      <c r="L819" s="1122"/>
      <c r="M819" s="1231">
        <f>SUM(M812:P818)</f>
        <v>0</v>
      </c>
      <c r="N819" s="1231"/>
      <c r="O819" s="1231"/>
      <c r="P819" s="1231"/>
      <c r="Q819" s="1231">
        <f>SUM(Q812:T818)</f>
        <v>110</v>
      </c>
      <c r="R819" s="1231"/>
      <c r="S819" s="1231"/>
      <c r="T819" s="1231"/>
      <c r="U819" s="1231">
        <f>SUM(U812:X818)</f>
        <v>0</v>
      </c>
      <c r="V819" s="1231"/>
      <c r="W819" s="1231"/>
      <c r="X819" s="1231"/>
      <c r="Y819" s="1231">
        <f>SUM(Y812:AB818)</f>
        <v>0</v>
      </c>
      <c r="Z819" s="1231"/>
      <c r="AA819" s="1231"/>
      <c r="AB819" s="1231"/>
      <c r="AC819" s="1231">
        <f>SUM(AC812:AF818)</f>
        <v>0</v>
      </c>
      <c r="AD819" s="1231"/>
      <c r="AE819" s="1231"/>
      <c r="AF819" s="1231"/>
      <c r="AG819" s="1231">
        <f>SUM(AG812:AJ818)</f>
        <v>0</v>
      </c>
      <c r="AH819" s="1231"/>
      <c r="AI819" s="1231"/>
      <c r="AJ819" s="123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2" t="s">
        <v>2456</v>
      </c>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57" t="s">
        <v>367</v>
      </c>
      <c r="BB827" s="125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325</v>
      </c>
      <c r="K829" s="9"/>
      <c r="L829" s="9"/>
      <c r="M829" s="9"/>
      <c r="N829" s="9"/>
      <c r="O829" s="9"/>
      <c r="P829" s="9"/>
      <c r="Q829" s="9"/>
      <c r="R829" s="9"/>
      <c r="S829" s="9"/>
      <c r="T829" s="9"/>
      <c r="U829" s="9"/>
      <c r="V829" s="52"/>
      <c r="W829" s="1185">
        <v>2200</v>
      </c>
      <c r="X829" s="1185"/>
      <c r="Y829" s="1185"/>
      <c r="Z829" s="1185"/>
      <c r="AA829" s="1185"/>
      <c r="AB829" s="1185"/>
      <c r="AC829" s="1185"/>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185">
        <v>2500</v>
      </c>
      <c r="X830" s="1185"/>
      <c r="Y830" s="1185"/>
      <c r="Z830" s="1185"/>
      <c r="AA830" s="1185"/>
      <c r="AB830" s="1185"/>
      <c r="AC830" s="1185"/>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185">
        <v>15000</v>
      </c>
      <c r="X831" s="1185"/>
      <c r="Y831" s="1185"/>
      <c r="Z831" s="1185"/>
      <c r="AA831" s="1185"/>
      <c r="AB831" s="1185"/>
      <c r="AC831" s="1185"/>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185">
        <v>2500</v>
      </c>
      <c r="X832" s="1185"/>
      <c r="Y832" s="1185"/>
      <c r="Z832" s="1185"/>
      <c r="AA832" s="1185"/>
      <c r="AB832" s="1185"/>
      <c r="AC832" s="1185"/>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186" t="s">
        <v>2449</v>
      </c>
      <c r="N833" s="1187"/>
      <c r="O833" s="1187"/>
      <c r="P833" s="1187"/>
      <c r="Q833" s="1187"/>
      <c r="R833" s="1187"/>
      <c r="S833" s="1187"/>
      <c r="T833" s="1187"/>
      <c r="U833" s="1187"/>
      <c r="V833" s="1188"/>
      <c r="W833" s="1185">
        <v>20240</v>
      </c>
      <c r="X833" s="1185"/>
      <c r="Y833" s="1185"/>
      <c r="Z833" s="1185"/>
      <c r="AA833" s="1185"/>
      <c r="AB833" s="1185"/>
      <c r="AC833" s="1185"/>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54" t="str">
        <f>T189</f>
        <v>Merced</v>
      </c>
      <c r="BP833" s="1255"/>
      <c r="BQ833" s="1255"/>
      <c r="BR833" s="1255"/>
      <c r="BS833" s="1255"/>
      <c r="BT833" s="1255"/>
      <c r="BU833" s="125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240">
        <f>SUM(W829:AC833)</f>
        <v>42440</v>
      </c>
      <c r="X834" s="1241"/>
      <c r="Y834" s="1241"/>
      <c r="Z834" s="1241"/>
      <c r="AA834" s="1241"/>
      <c r="AB834" s="1241"/>
      <c r="AC834" s="124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19" t="s">
        <v>468</v>
      </c>
      <c r="K836" s="1120"/>
      <c r="L836" s="1120"/>
      <c r="M836" s="1120"/>
      <c r="N836" s="1120"/>
      <c r="O836" s="1120"/>
      <c r="P836" s="1120"/>
      <c r="Q836" s="1120"/>
      <c r="R836" s="1120"/>
      <c r="S836" s="1120"/>
      <c r="T836" s="1120"/>
      <c r="U836" s="1120"/>
      <c r="V836" s="1122"/>
      <c r="W836" s="1226">
        <v>47304</v>
      </c>
      <c r="X836" s="1227"/>
      <c r="Y836" s="1227"/>
      <c r="Z836" s="1227"/>
      <c r="AA836" s="1227"/>
      <c r="AB836" s="1227"/>
      <c r="AC836" s="122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321</v>
      </c>
      <c r="K838" s="9"/>
      <c r="L838" s="9"/>
      <c r="M838" s="9"/>
      <c r="N838" s="9"/>
      <c r="O838" s="9"/>
      <c r="P838" s="9"/>
      <c r="Q838" s="9"/>
      <c r="R838" s="9"/>
      <c r="S838" s="9"/>
      <c r="T838" s="9"/>
      <c r="U838" s="9"/>
      <c r="V838" s="52"/>
      <c r="W838" s="1282">
        <v>15740</v>
      </c>
      <c r="X838" s="1282"/>
      <c r="Y838" s="1282"/>
      <c r="Z838" s="1282"/>
      <c r="AA838" s="1282"/>
      <c r="AB838" s="1282"/>
      <c r="AC838" s="128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282">
        <v>6916</v>
      </c>
      <c r="X839" s="1282"/>
      <c r="Y839" s="1282"/>
      <c r="Z839" s="1282"/>
      <c r="AA839" s="1282"/>
      <c r="AB839" s="1282"/>
      <c r="AC839" s="128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282">
        <v>2000</v>
      </c>
      <c r="X840" s="1282"/>
      <c r="Y840" s="1282"/>
      <c r="Z840" s="1282"/>
      <c r="AA840" s="1282"/>
      <c r="AB840" s="1282"/>
      <c r="AC840" s="128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282">
        <v>41611</v>
      </c>
      <c r="X841" s="1282"/>
      <c r="Y841" s="1282"/>
      <c r="Z841" s="1282"/>
      <c r="AA841" s="1282"/>
      <c r="AB841" s="1282"/>
      <c r="AC841" s="128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81">
        <f>SUM(W838:AC841)</f>
        <v>66267</v>
      </c>
      <c r="X842" s="1281"/>
      <c r="Y842" s="1281"/>
      <c r="Z842" s="1281"/>
      <c r="AA842" s="1281"/>
      <c r="AB842" s="1281"/>
      <c r="AC842" s="1281"/>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523">
        <v>49920</v>
      </c>
      <c r="X844" s="1524"/>
      <c r="Y844" s="1524"/>
      <c r="Z844" s="1524"/>
      <c r="AA844" s="1524"/>
      <c r="AB844" s="1524"/>
      <c r="AC844" s="1525"/>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1920</v>
      </c>
      <c r="K845" s="9"/>
      <c r="L845" s="9"/>
      <c r="M845" s="9"/>
      <c r="N845" s="9"/>
      <c r="O845" s="9"/>
      <c r="P845" s="9"/>
      <c r="Q845" s="9"/>
      <c r="R845" s="9"/>
      <c r="S845" s="9"/>
      <c r="T845" s="1526">
        <v>1</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866</v>
      </c>
      <c r="D846"/>
      <c r="E846"/>
      <c r="F846"/>
      <c r="G846"/>
      <c r="H846"/>
      <c r="I846"/>
      <c r="J846" s="8" t="s">
        <v>459</v>
      </c>
      <c r="K846" s="9"/>
      <c r="L846" s="9"/>
      <c r="M846" s="9"/>
      <c r="N846" s="9"/>
      <c r="O846" s="9"/>
      <c r="P846" s="9"/>
      <c r="Q846" s="9"/>
      <c r="R846" s="9"/>
      <c r="S846" s="9"/>
      <c r="T846" s="9"/>
      <c r="U846" s="9"/>
      <c r="V846" s="52"/>
      <c r="W846" s="1523">
        <v>49920</v>
      </c>
      <c r="X846" s="1524"/>
      <c r="Y846" s="1524"/>
      <c r="Z846" s="1524"/>
      <c r="AA846" s="1524"/>
      <c r="AB846" s="1524"/>
      <c r="AC846" s="1525"/>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1921</v>
      </c>
      <c r="K847" s="9"/>
      <c r="L847" s="9"/>
      <c r="M847" s="9"/>
      <c r="N847" s="9"/>
      <c r="O847" s="9"/>
      <c r="P847" s="9"/>
      <c r="Q847" s="9"/>
      <c r="R847" s="9"/>
      <c r="S847" s="9"/>
      <c r="T847" s="1526">
        <v>1</v>
      </c>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186" t="s">
        <v>2450</v>
      </c>
      <c r="N848" s="1187"/>
      <c r="O848" s="1187"/>
      <c r="P848" s="1187"/>
      <c r="Q848" s="1187"/>
      <c r="R848" s="1187"/>
      <c r="S848" s="1187"/>
      <c r="T848" s="1187"/>
      <c r="U848" s="1187"/>
      <c r="V848" s="1188"/>
      <c r="W848" s="1523">
        <v>38973</v>
      </c>
      <c r="X848" s="1524"/>
      <c r="Y848" s="1524"/>
      <c r="Z848" s="1524"/>
      <c r="AA848" s="1524"/>
      <c r="AB848" s="1524"/>
      <c r="AC848" s="1525"/>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4">
        <f>SUM(W844:AC848)</f>
        <v>138813</v>
      </c>
      <c r="X849" s="1205"/>
      <c r="Y849" s="1205"/>
      <c r="Z849" s="1205"/>
      <c r="AA849" s="1205"/>
      <c r="AB849" s="1205"/>
      <c r="AC849" s="1206"/>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3"/>
      <c r="X850" s="1524"/>
      <c r="Y850" s="1524"/>
      <c r="Z850" s="1524"/>
      <c r="AA850" s="1524"/>
      <c r="AB850" s="1524"/>
      <c r="AC850" s="1525"/>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54</v>
      </c>
      <c r="J852" s="8" t="s">
        <v>724</v>
      </c>
      <c r="K852" s="9"/>
      <c r="L852" s="9"/>
      <c r="M852" s="9"/>
      <c r="N852" s="9"/>
      <c r="O852" s="9"/>
      <c r="P852" s="9"/>
      <c r="Q852" s="9"/>
      <c r="R852" s="9"/>
      <c r="S852" s="9"/>
      <c r="T852" s="9"/>
      <c r="U852" s="9"/>
      <c r="V852" s="52"/>
      <c r="W852" s="1185">
        <v>3500</v>
      </c>
      <c r="X852" s="1185"/>
      <c r="Y852" s="1185"/>
      <c r="Z852" s="1185"/>
      <c r="AA852" s="1185"/>
      <c r="AB852" s="1185"/>
      <c r="AC852" s="1185"/>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621</v>
      </c>
      <c r="K853" s="9"/>
      <c r="L853" s="9"/>
      <c r="M853" s="9"/>
      <c r="N853" s="9"/>
      <c r="O853" s="9"/>
      <c r="P853" s="9"/>
      <c r="Q853" s="9"/>
      <c r="R853" s="9"/>
      <c r="S853" s="9"/>
      <c r="T853" s="9"/>
      <c r="U853" s="9"/>
      <c r="V853" s="52"/>
      <c r="W853" s="1185">
        <v>22400</v>
      </c>
      <c r="X853" s="1185"/>
      <c r="Y853" s="1185"/>
      <c r="Z853" s="1185"/>
      <c r="AA853" s="1185"/>
      <c r="AB853" s="1185"/>
      <c r="AC853" s="1185"/>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185">
        <v>10286</v>
      </c>
      <c r="X854" s="1185"/>
      <c r="Y854" s="1185"/>
      <c r="Z854" s="1185"/>
      <c r="AA854" s="1185"/>
      <c r="AB854" s="1185"/>
      <c r="AC854" s="1185"/>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185">
        <v>2700</v>
      </c>
      <c r="X855" s="1185"/>
      <c r="Y855" s="1185"/>
      <c r="Z855" s="1185"/>
      <c r="AA855" s="1185"/>
      <c r="AB855" s="1185"/>
      <c r="AC855" s="118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185">
        <v>20000</v>
      </c>
      <c r="X856" s="1185"/>
      <c r="Y856" s="1185"/>
      <c r="Z856" s="1185"/>
      <c r="AA856" s="1185"/>
      <c r="AB856" s="1185"/>
      <c r="AC856" s="118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185">
        <v>13000</v>
      </c>
      <c r="X857" s="1185"/>
      <c r="Y857" s="1185"/>
      <c r="Z857" s="1185"/>
      <c r="AA857" s="1185"/>
      <c r="AB857" s="1185"/>
      <c r="AC857" s="1185"/>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282</v>
      </c>
      <c r="K858" s="9"/>
      <c r="L858" s="9"/>
      <c r="M858" s="1186" t="s">
        <v>2451</v>
      </c>
      <c r="N858" s="1187"/>
      <c r="O858" s="1187"/>
      <c r="P858" s="1187"/>
      <c r="Q858" s="1187"/>
      <c r="R858" s="1187"/>
      <c r="S858" s="1187"/>
      <c r="T858" s="1187"/>
      <c r="U858" s="1187"/>
      <c r="V858" s="1188"/>
      <c r="W858" s="1185">
        <v>3500</v>
      </c>
      <c r="X858" s="1185"/>
      <c r="Y858" s="1185"/>
      <c r="Z858" s="1185"/>
      <c r="AA858" s="1185"/>
      <c r="AB858" s="1185"/>
      <c r="AC858" s="1185"/>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35">
        <f>SUM(W852:AC858)</f>
        <v>75386</v>
      </c>
      <c r="X859" s="1235"/>
      <c r="Y859" s="1235"/>
      <c r="Z859" s="1235"/>
      <c r="AA859" s="1235"/>
      <c r="AB859" s="1235"/>
      <c r="AC859" s="123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1854</v>
      </c>
      <c r="D861"/>
      <c r="E861"/>
      <c r="F861"/>
      <c r="G861"/>
      <c r="H861"/>
      <c r="I861"/>
      <c r="J861" s="8" t="s">
        <v>282</v>
      </c>
      <c r="K861" s="9"/>
      <c r="L861" s="9"/>
      <c r="M861" s="1186" t="s">
        <v>930</v>
      </c>
      <c r="N861" s="1187"/>
      <c r="O861" s="1187"/>
      <c r="P861" s="1187"/>
      <c r="Q861" s="1187"/>
      <c r="R861" s="1187"/>
      <c r="S861" s="1187"/>
      <c r="T861" s="1187"/>
      <c r="U861" s="1187"/>
      <c r="V861" s="1188"/>
      <c r="W861" s="1226">
        <v>25848</v>
      </c>
      <c r="X861" s="1227"/>
      <c r="Y861" s="1227"/>
      <c r="Z861" s="1227"/>
      <c r="AA861" s="1227"/>
      <c r="AB861" s="1227"/>
      <c r="AC861" s="1228"/>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1855</v>
      </c>
      <c r="D862"/>
      <c r="E862"/>
      <c r="F862"/>
      <c r="G862"/>
      <c r="H862"/>
      <c r="I862"/>
      <c r="J862" s="8" t="s">
        <v>282</v>
      </c>
      <c r="K862" s="9"/>
      <c r="L862" s="9"/>
      <c r="M862" s="1186" t="s">
        <v>2452</v>
      </c>
      <c r="N862" s="1187"/>
      <c r="O862" s="1187"/>
      <c r="P862" s="1187"/>
      <c r="Q862" s="1187"/>
      <c r="R862" s="1187"/>
      <c r="S862" s="1187"/>
      <c r="T862" s="1187"/>
      <c r="U862" s="1187"/>
      <c r="V862" s="1188"/>
      <c r="W862" s="1226">
        <v>800</v>
      </c>
      <c r="X862" s="1227"/>
      <c r="Y862" s="1227"/>
      <c r="Z862" s="1227"/>
      <c r="AA862" s="1227"/>
      <c r="AB862" s="1227"/>
      <c r="AC862" s="122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282</v>
      </c>
      <c r="K863" s="9"/>
      <c r="L863" s="9"/>
      <c r="M863" s="1186" t="s">
        <v>561</v>
      </c>
      <c r="N863" s="1187"/>
      <c r="O863" s="1187"/>
      <c r="P863" s="1187"/>
      <c r="Q863" s="1187"/>
      <c r="R863" s="1187"/>
      <c r="S863" s="1187"/>
      <c r="T863" s="1187"/>
      <c r="U863" s="1187"/>
      <c r="V863" s="1188"/>
      <c r="W863" s="1226"/>
      <c r="X863" s="1227"/>
      <c r="Y863" s="1227"/>
      <c r="Z863" s="1227"/>
      <c r="AA863" s="1227"/>
      <c r="AB863" s="1227"/>
      <c r="AC863" s="1228"/>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282</v>
      </c>
      <c r="K864" s="9"/>
      <c r="L864" s="9"/>
      <c r="M864" s="1186" t="s">
        <v>561</v>
      </c>
      <c r="N864" s="1187"/>
      <c r="O864" s="1187"/>
      <c r="P864" s="1187"/>
      <c r="Q864" s="1187"/>
      <c r="R864" s="1187"/>
      <c r="S864" s="1187"/>
      <c r="T864" s="1187"/>
      <c r="U864" s="1187"/>
      <c r="V864" s="1188"/>
      <c r="W864" s="1226"/>
      <c r="X864" s="1227"/>
      <c r="Y864" s="1227"/>
      <c r="Z864" s="1227"/>
      <c r="AA864" s="1227"/>
      <c r="AB864" s="1227"/>
      <c r="AC864" s="122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186" t="s">
        <v>561</v>
      </c>
      <c r="N865" s="1187"/>
      <c r="O865" s="1187"/>
      <c r="P865" s="1187"/>
      <c r="Q865" s="1187"/>
      <c r="R865" s="1187"/>
      <c r="S865" s="1187"/>
      <c r="T865" s="1187"/>
      <c r="U865" s="1187"/>
      <c r="V865" s="1188"/>
      <c r="W865" s="1226"/>
      <c r="X865" s="1227"/>
      <c r="Y865" s="1227"/>
      <c r="Z865" s="1227"/>
      <c r="AA865" s="1227"/>
      <c r="AB865" s="1227"/>
      <c r="AC865" s="122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40">
        <f>SUM(W861:AC865)</f>
        <v>26648</v>
      </c>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0">
        <f>W834+W842+W849+W850+W859+W866+W836</f>
        <v>396858</v>
      </c>
      <c r="AD870" s="1241"/>
      <c r="AE870" s="1241"/>
      <c r="AF870" s="1241"/>
      <c r="AG870" s="1241"/>
      <c r="AH870" s="1242"/>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48">
        <f>O784+O764+G738</f>
        <v>54</v>
      </c>
      <c r="AD871" s="1549"/>
      <c r="AE871" s="1549"/>
      <c r="AF871" s="1549"/>
      <c r="AG871" s="1549"/>
      <c r="AH871" s="155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0" t="s">
        <v>345</v>
      </c>
      <c r="F872" s="1321"/>
      <c r="G872" s="1321"/>
      <c r="H872" s="1321"/>
      <c r="I872" s="1321"/>
      <c r="J872" s="1321"/>
      <c r="K872" s="1321"/>
      <c r="L872" s="1321"/>
      <c r="M872" s="1321"/>
      <c r="N872" s="1321"/>
      <c r="O872" s="1321"/>
      <c r="P872" s="1321"/>
      <c r="Q872" s="1321"/>
      <c r="R872" s="1321"/>
      <c r="S872" s="1321"/>
      <c r="T872" s="1321"/>
      <c r="U872" s="1321"/>
      <c r="V872" s="1321"/>
      <c r="W872" s="1321"/>
      <c r="X872" s="1321"/>
      <c r="Y872" s="1321"/>
      <c r="Z872" s="1321"/>
      <c r="AA872" s="1321"/>
      <c r="AB872" s="1322"/>
      <c r="AC872" s="1555">
        <f>IF(ISERROR((ROUNDDOWN(AC870/AC871,0))),0,(ROUNDDOWN(AC870/AC871,0)))</f>
        <v>7349</v>
      </c>
      <c r="AD872" s="1556"/>
      <c r="AE872" s="1556"/>
      <c r="AF872" s="1556"/>
      <c r="AG872" s="1556"/>
      <c r="AH872" s="1556"/>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3"/>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28"/>
      <c r="AD874" s="1185"/>
      <c r="AE874" s="1185"/>
      <c r="AF874" s="1185"/>
      <c r="AG874" s="1185"/>
      <c r="AH874" s="1185"/>
      <c r="AI874"/>
      <c r="AJ874"/>
      <c r="AK874"/>
      <c r="AL874"/>
      <c r="AM874" s="38"/>
      <c r="AN874" s="38"/>
      <c r="AV874" s="1280"/>
      <c r="AW874" s="1280"/>
      <c r="AX874" s="1280"/>
      <c r="AY874" s="1280"/>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26">
        <v>45000</v>
      </c>
      <c r="AD875" s="1227"/>
      <c r="AE875" s="1227"/>
      <c r="AF875" s="1227"/>
      <c r="AG875" s="1227"/>
      <c r="AH875" s="1228"/>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26">
        <v>27000</v>
      </c>
      <c r="AD876" s="1227"/>
      <c r="AE876" s="1227"/>
      <c r="AF876" s="1227"/>
      <c r="AG876" s="1227"/>
      <c r="AH876" s="1228"/>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26"/>
      <c r="AD877" s="1227"/>
      <c r="AE877" s="1227"/>
      <c r="AF877" s="1227"/>
      <c r="AG877" s="1227"/>
      <c r="AH877" s="1228"/>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26">
        <v>19791</v>
      </c>
      <c r="AD878" s="1227"/>
      <c r="AE878" s="1227"/>
      <c r="AF878" s="1227"/>
      <c r="AG878" s="1227"/>
      <c r="AH878" s="1228"/>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08"/>
      <c r="AD879" s="1185"/>
      <c r="AE879" s="1185"/>
      <c r="AF879" s="1185"/>
      <c r="AG879" s="1185"/>
      <c r="AH879" s="1185"/>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51" t="s">
        <v>1208</v>
      </c>
      <c r="F880" s="1452"/>
      <c r="G880" s="1452"/>
      <c r="H880" s="1452"/>
      <c r="I880" s="1452"/>
      <c r="J880" s="1452"/>
      <c r="K880" s="1452"/>
      <c r="L880" s="1452"/>
      <c r="M880" s="1452"/>
      <c r="N880" s="1452"/>
      <c r="O880" s="1452"/>
      <c r="P880" s="1452"/>
      <c r="Q880" s="1452"/>
      <c r="R880" s="1452"/>
      <c r="S880" s="1452"/>
      <c r="T880" s="1452"/>
      <c r="U880" s="1452"/>
      <c r="V880" s="1452"/>
      <c r="W880" s="1452"/>
      <c r="X880" s="1452"/>
      <c r="Y880" s="1452"/>
      <c r="Z880" s="1452"/>
      <c r="AA880" s="1452"/>
      <c r="AB880" s="1453"/>
      <c r="AC880" s="1185"/>
      <c r="AD880" s="1185"/>
      <c r="AE880" s="1185"/>
      <c r="AF880" s="1185"/>
      <c r="AG880" s="1185"/>
      <c r="AH880" s="1185"/>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51" t="s">
        <v>1208</v>
      </c>
      <c r="F881" s="1452"/>
      <c r="G881" s="1452"/>
      <c r="H881" s="1452"/>
      <c r="I881" s="1452"/>
      <c r="J881" s="1452"/>
      <c r="K881" s="1452"/>
      <c r="L881" s="1452"/>
      <c r="M881" s="1452"/>
      <c r="N881" s="1452"/>
      <c r="O881" s="1452"/>
      <c r="P881" s="1452"/>
      <c r="Q881" s="1452"/>
      <c r="R881" s="1452"/>
      <c r="S881" s="1452"/>
      <c r="T881" s="1452"/>
      <c r="U881" s="1452"/>
      <c r="V881" s="1452"/>
      <c r="W881" s="1452"/>
      <c r="X881" s="1452"/>
      <c r="Y881" s="1452"/>
      <c r="Z881" s="1452"/>
      <c r="AA881" s="1452"/>
      <c r="AB881" s="1453"/>
      <c r="AC881" s="1185"/>
      <c r="AD881" s="1185"/>
      <c r="AE881" s="1185"/>
      <c r="AF881" s="1185"/>
      <c r="AG881" s="1185"/>
      <c r="AH881" s="1185"/>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26"/>
      <c r="AO883" s="1326"/>
      <c r="AP883" s="1280"/>
      <c r="AQ883" s="1280"/>
      <c r="AR883" s="1280"/>
      <c r="AS883" s="1280"/>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0"/>
      <c r="AQ884" s="1280"/>
      <c r="AR884" s="1280"/>
      <c r="AS884" s="1280"/>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26"/>
      <c r="AA885" s="1227"/>
      <c r="AB885" s="1227"/>
      <c r="AC885" s="1227"/>
      <c r="AD885" s="1227"/>
      <c r="AE885" s="1228"/>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26"/>
      <c r="AA886" s="1227"/>
      <c r="AB886" s="1227"/>
      <c r="AC886" s="1227"/>
      <c r="AD886" s="1227"/>
      <c r="AE886" s="1228"/>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785</v>
      </c>
      <c r="I887" s="9"/>
      <c r="J887" s="9"/>
      <c r="K887" s="9"/>
      <c r="L887" s="9"/>
      <c r="M887" s="9"/>
      <c r="N887" s="9"/>
      <c r="O887" s="9"/>
      <c r="P887" s="9"/>
      <c r="Q887" s="9"/>
      <c r="R887" s="9"/>
      <c r="S887" s="9"/>
      <c r="T887" s="9"/>
      <c r="U887" s="9"/>
      <c r="V887" s="9"/>
      <c r="W887" s="9"/>
      <c r="X887" s="9"/>
      <c r="Y887" s="9"/>
      <c r="Z887" s="1226"/>
      <c r="AA887" s="1227"/>
      <c r="AB887" s="1227"/>
      <c r="AC887" s="1227"/>
      <c r="AD887" s="1227"/>
      <c r="AE887" s="1228"/>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786</v>
      </c>
      <c r="Z888" s="1240">
        <f>Z885-(Z886+Z887)</f>
        <v>0</v>
      </c>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94" t="s">
        <v>127</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327" t="s">
        <v>960</v>
      </c>
      <c r="G900" s="1328"/>
      <c r="H900" s="1328"/>
      <c r="I900" s="1328"/>
      <c r="J900" s="1328"/>
      <c r="K900" s="1328"/>
      <c r="L900" s="1328"/>
      <c r="M900" s="1328"/>
      <c r="N900" s="1328"/>
      <c r="O900" s="1328"/>
      <c r="P900" s="1328"/>
      <c r="Q900" s="1328"/>
      <c r="R900" s="1328"/>
      <c r="S900" s="1328"/>
      <c r="T900" s="1329"/>
      <c r="U900" s="1195" t="s">
        <v>344</v>
      </c>
      <c r="V900" s="1196"/>
      <c r="W900" s="1196"/>
      <c r="X900" s="1196"/>
      <c r="Y900" s="1196"/>
      <c r="Z900" s="1196"/>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7" t="s">
        <v>1038</v>
      </c>
      <c r="G901" s="1198"/>
      <c r="H901" s="1198"/>
      <c r="I901" s="1198"/>
      <c r="J901" s="1198"/>
      <c r="K901" s="1198"/>
      <c r="L901" s="1198"/>
      <c r="M901" s="1198"/>
      <c r="N901" s="1198"/>
      <c r="O901" s="1198"/>
      <c r="P901" s="1198"/>
      <c r="Q901" s="1198"/>
      <c r="R901" s="1198"/>
      <c r="S901" s="1198"/>
      <c r="T901" s="1252"/>
      <c r="U901" s="1197"/>
      <c r="V901" s="1198"/>
      <c r="W901" s="1198"/>
      <c r="X901" s="1198"/>
      <c r="Y901" s="1198"/>
      <c r="Z901" s="119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199"/>
      <c r="G902" s="1200"/>
      <c r="H902" s="1200"/>
      <c r="I902" s="1200"/>
      <c r="J902" s="1200"/>
      <c r="K902" s="1200"/>
      <c r="L902" s="1200"/>
      <c r="M902" s="1200"/>
      <c r="N902" s="1200"/>
      <c r="O902" s="1200"/>
      <c r="P902" s="1200"/>
      <c r="Q902" s="1200"/>
      <c r="R902" s="1200"/>
      <c r="S902" s="1200"/>
      <c r="T902" s="1253"/>
      <c r="U902" s="1199"/>
      <c r="V902" s="1200"/>
      <c r="W902" s="1200"/>
      <c r="X902" s="1200"/>
      <c r="Y902" s="1200"/>
      <c r="Z902" s="1200"/>
      <c r="AA902" s="196"/>
      <c r="AB902" s="1551" t="s">
        <v>55</v>
      </c>
      <c r="AC902" s="1551"/>
      <c r="AD902" s="1551"/>
      <c r="AE902" s="155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30" t="s">
        <v>157</v>
      </c>
      <c r="G903" s="1331"/>
      <c r="H903" s="1331"/>
      <c r="I903" s="1331"/>
      <c r="J903" s="1331"/>
      <c r="K903" s="1331"/>
      <c r="L903" s="1331"/>
      <c r="M903" s="1331"/>
      <c r="N903" s="1331"/>
      <c r="O903" s="1331"/>
      <c r="P903" s="1331"/>
      <c r="Q903" s="1331"/>
      <c r="R903" s="1331"/>
      <c r="S903" s="1331"/>
      <c r="T903" s="1332"/>
      <c r="U903" s="1251" t="s">
        <v>123</v>
      </c>
      <c r="V903" s="1148"/>
      <c r="W903" s="1148"/>
      <c r="X903" s="1148"/>
      <c r="Y903" s="1148"/>
      <c r="Z903" s="1149"/>
      <c r="AA903" s="1201"/>
      <c r="AB903" s="1202"/>
      <c r="AC903" s="1202"/>
      <c r="AD903" s="1202"/>
      <c r="AE903" s="1202"/>
      <c r="AF903" s="1203"/>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30" t="s">
        <v>159</v>
      </c>
      <c r="G904" s="1331"/>
      <c r="H904" s="1331"/>
      <c r="I904" s="1331"/>
      <c r="J904" s="1331"/>
      <c r="K904" s="1331"/>
      <c r="L904" s="1331"/>
      <c r="M904" s="1331"/>
      <c r="N904" s="1331"/>
      <c r="O904" s="1331"/>
      <c r="P904" s="1331"/>
      <c r="Q904" s="1331"/>
      <c r="R904" s="1331"/>
      <c r="S904" s="1331"/>
      <c r="T904" s="1332"/>
      <c r="U904" s="1251" t="s">
        <v>123</v>
      </c>
      <c r="V904" s="1148"/>
      <c r="W904" s="1148"/>
      <c r="X904" s="1148"/>
      <c r="Y904" s="1148"/>
      <c r="Z904" s="1149"/>
      <c r="AA904" s="1201"/>
      <c r="AB904" s="1202"/>
      <c r="AC904" s="1202"/>
      <c r="AD904" s="1202"/>
      <c r="AE904" s="1202"/>
      <c r="AF904" s="120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2" t="s">
        <v>945</v>
      </c>
      <c r="G905" s="1553"/>
      <c r="H905" s="1553"/>
      <c r="I905" s="1553"/>
      <c r="J905" s="1553"/>
      <c r="K905" s="1553"/>
      <c r="L905" s="1553"/>
      <c r="M905" s="1553"/>
      <c r="N905" s="1553"/>
      <c r="O905" s="1553"/>
      <c r="P905" s="1553"/>
      <c r="Q905" s="1553"/>
      <c r="R905" s="1553"/>
      <c r="S905" s="1553"/>
      <c r="T905" s="1554"/>
      <c r="U905" s="1251" t="s">
        <v>123</v>
      </c>
      <c r="V905" s="1148"/>
      <c r="W905" s="1148"/>
      <c r="X905" s="1148"/>
      <c r="Y905" s="1148"/>
      <c r="Z905" s="1149"/>
      <c r="AA905" s="1201"/>
      <c r="AB905" s="1202"/>
      <c r="AC905" s="1202"/>
      <c r="AD905" s="1202"/>
      <c r="AE905" s="1202"/>
      <c r="AF905" s="120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2" t="s">
        <v>946</v>
      </c>
      <c r="G906" s="1553"/>
      <c r="H906" s="1553"/>
      <c r="I906" s="1553"/>
      <c r="J906" s="1553"/>
      <c r="K906" s="1553"/>
      <c r="L906" s="1553"/>
      <c r="M906" s="1553"/>
      <c r="N906" s="1553"/>
      <c r="O906" s="1553"/>
      <c r="P906" s="1553"/>
      <c r="Q906" s="1553"/>
      <c r="R906" s="1553"/>
      <c r="S906" s="1553"/>
      <c r="T906" s="1554"/>
      <c r="U906" s="1251" t="s">
        <v>123</v>
      </c>
      <c r="V906" s="1148"/>
      <c r="W906" s="1148"/>
      <c r="X906" s="1148"/>
      <c r="Y906" s="1148"/>
      <c r="Z906" s="1149"/>
      <c r="AA906" s="1201"/>
      <c r="AB906" s="1202"/>
      <c r="AC906" s="1202"/>
      <c r="AD906" s="1202"/>
      <c r="AE906" s="1202"/>
      <c r="AF906" s="120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2" t="s">
        <v>947</v>
      </c>
      <c r="G907" s="1553"/>
      <c r="H907" s="1553"/>
      <c r="I907" s="1553"/>
      <c r="J907" s="1553"/>
      <c r="K907" s="1553"/>
      <c r="L907" s="1553"/>
      <c r="M907" s="1553"/>
      <c r="N907" s="1553"/>
      <c r="O907" s="1553"/>
      <c r="P907" s="1553"/>
      <c r="Q907" s="1553"/>
      <c r="R907" s="1553"/>
      <c r="S907" s="1553"/>
      <c r="T907" s="1554"/>
      <c r="U907" s="1251" t="s">
        <v>123</v>
      </c>
      <c r="V907" s="1148"/>
      <c r="W907" s="1148"/>
      <c r="X907" s="1148"/>
      <c r="Y907" s="1148"/>
      <c r="Z907" s="1149"/>
      <c r="AA907" s="1201"/>
      <c r="AB907" s="1202"/>
      <c r="AC907" s="1202"/>
      <c r="AD907" s="1202"/>
      <c r="AE907" s="1202"/>
      <c r="AF907" s="120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30" t="s">
        <v>158</v>
      </c>
      <c r="G908" s="1331"/>
      <c r="H908" s="1331"/>
      <c r="I908" s="1331"/>
      <c r="J908" s="1331"/>
      <c r="K908" s="1331"/>
      <c r="L908" s="1331"/>
      <c r="M908" s="1331"/>
      <c r="N908" s="1331"/>
      <c r="O908" s="1331"/>
      <c r="P908" s="1331"/>
      <c r="Q908" s="1331"/>
      <c r="R908" s="1331"/>
      <c r="S908" s="1331"/>
      <c r="T908" s="1332"/>
      <c r="U908" s="1251" t="s">
        <v>123</v>
      </c>
      <c r="V908" s="1148"/>
      <c r="W908" s="1148"/>
      <c r="X908" s="1148"/>
      <c r="Y908" s="1148"/>
      <c r="Z908" s="1149"/>
      <c r="AA908" s="1201"/>
      <c r="AB908" s="1202"/>
      <c r="AC908" s="1202"/>
      <c r="AD908" s="1202"/>
      <c r="AE908" s="1202"/>
      <c r="AF908" s="1203"/>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30" t="s">
        <v>2266</v>
      </c>
      <c r="G909" s="1331"/>
      <c r="H909" s="1331"/>
      <c r="I909" s="1331"/>
      <c r="J909" s="1331"/>
      <c r="K909" s="1331"/>
      <c r="L909" s="1331"/>
      <c r="M909" s="1331"/>
      <c r="N909" s="1331"/>
      <c r="O909" s="1331"/>
      <c r="P909" s="1331"/>
      <c r="Q909" s="1331"/>
      <c r="R909" s="1331"/>
      <c r="S909" s="1331"/>
      <c r="T909" s="1332"/>
      <c r="U909" s="1251" t="s">
        <v>123</v>
      </c>
      <c r="V909" s="1148"/>
      <c r="W909" s="1148"/>
      <c r="X909" s="1148"/>
      <c r="Y909" s="1148"/>
      <c r="Z909" s="1149"/>
      <c r="AA909" s="1201"/>
      <c r="AB909" s="1202"/>
      <c r="AC909" s="1202"/>
      <c r="AD909" s="1202"/>
      <c r="AE909" s="1202"/>
      <c r="AF909" s="120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30" t="s">
        <v>160</v>
      </c>
      <c r="G910" s="1331"/>
      <c r="H910" s="1331"/>
      <c r="I910" s="1331"/>
      <c r="J910" s="1331"/>
      <c r="K910" s="1331"/>
      <c r="L910" s="1331"/>
      <c r="M910" s="1331"/>
      <c r="N910" s="1331"/>
      <c r="O910" s="1331"/>
      <c r="P910" s="1331"/>
      <c r="Q910" s="1331"/>
      <c r="R910" s="1331"/>
      <c r="S910" s="1331"/>
      <c r="T910" s="1332"/>
      <c r="U910" s="1251" t="s">
        <v>123</v>
      </c>
      <c r="V910" s="1148"/>
      <c r="W910" s="1148"/>
      <c r="X910" s="1148"/>
      <c r="Y910" s="1148"/>
      <c r="Z910" s="1149"/>
      <c r="AA910" s="1201"/>
      <c r="AB910" s="1202"/>
      <c r="AC910" s="1202"/>
      <c r="AD910" s="1202"/>
      <c r="AE910" s="1202"/>
      <c r="AF910" s="120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30" t="s">
        <v>2263</v>
      </c>
      <c r="G911" s="1331"/>
      <c r="H911" s="1331"/>
      <c r="I911" s="1331"/>
      <c r="J911" s="1331"/>
      <c r="K911" s="1331"/>
      <c r="L911" s="1331"/>
      <c r="M911" s="1331"/>
      <c r="N911" s="1331"/>
      <c r="O911" s="1331"/>
      <c r="P911" s="1331"/>
      <c r="Q911" s="1331"/>
      <c r="R911" s="1331"/>
      <c r="S911" s="1331"/>
      <c r="T911" s="1332"/>
      <c r="U911" s="1251" t="s">
        <v>123</v>
      </c>
      <c r="V911" s="1148"/>
      <c r="W911" s="1148"/>
      <c r="X911" s="1148"/>
      <c r="Y911" s="1148"/>
      <c r="Z911" s="1149"/>
      <c r="AA911" s="1201"/>
      <c r="AB911" s="1202"/>
      <c r="AC911" s="1202"/>
      <c r="AD911" s="1202"/>
      <c r="AE911" s="1202"/>
      <c r="AF911" s="120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30" t="s">
        <v>2264</v>
      </c>
      <c r="G912" s="1331"/>
      <c r="H912" s="1331"/>
      <c r="I912" s="1331"/>
      <c r="J912" s="1331"/>
      <c r="K912" s="1331"/>
      <c r="L912" s="1331"/>
      <c r="M912" s="1331"/>
      <c r="N912" s="1331"/>
      <c r="O912" s="1331"/>
      <c r="P912" s="1331"/>
      <c r="Q912" s="1331"/>
      <c r="R912" s="1331"/>
      <c r="S912" s="1331"/>
      <c r="T912" s="1332"/>
      <c r="U912" s="1251" t="s">
        <v>123</v>
      </c>
      <c r="V912" s="1148"/>
      <c r="W912" s="1148"/>
      <c r="X912" s="1148"/>
      <c r="Y912" s="1148"/>
      <c r="Z912" s="1149"/>
      <c r="AA912" s="1201"/>
      <c r="AB912" s="1202"/>
      <c r="AC912" s="1202"/>
      <c r="AD912" s="1202"/>
      <c r="AE912" s="1202"/>
      <c r="AF912" s="120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30" t="s">
        <v>2265</v>
      </c>
      <c r="G913" s="1331"/>
      <c r="H913" s="1331"/>
      <c r="I913" s="1331"/>
      <c r="J913" s="1331"/>
      <c r="K913" s="1331"/>
      <c r="L913" s="1331"/>
      <c r="M913" s="1331"/>
      <c r="N913" s="1331"/>
      <c r="O913" s="1331"/>
      <c r="P913" s="1331"/>
      <c r="Q913" s="1331"/>
      <c r="R913" s="1331"/>
      <c r="S913" s="1331"/>
      <c r="T913" s="1332"/>
      <c r="U913" s="1251" t="s">
        <v>123</v>
      </c>
      <c r="V913" s="1148"/>
      <c r="W913" s="1148"/>
      <c r="X913" s="1148"/>
      <c r="Y913" s="1148"/>
      <c r="Z913" s="1149"/>
      <c r="AA913" s="1201"/>
      <c r="AB913" s="1202"/>
      <c r="AC913" s="1202"/>
      <c r="AD913" s="1202"/>
      <c r="AE913" s="1202"/>
      <c r="AF913" s="120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30" t="s">
        <v>2259</v>
      </c>
      <c r="G914" s="1331"/>
      <c r="H914" s="1331"/>
      <c r="I914" s="1331"/>
      <c r="J914" s="1331"/>
      <c r="K914" s="1331"/>
      <c r="L914" s="1331"/>
      <c r="M914" s="1331"/>
      <c r="N914" s="1331"/>
      <c r="O914" s="1331"/>
      <c r="P914" s="1331"/>
      <c r="Q914" s="1331"/>
      <c r="R914" s="1331"/>
      <c r="S914" s="1331"/>
      <c r="T914" s="1332"/>
      <c r="U914" s="1251" t="s">
        <v>123</v>
      </c>
      <c r="V914" s="1148"/>
      <c r="W914" s="1148"/>
      <c r="X914" s="1148"/>
      <c r="Y914" s="1148"/>
      <c r="Z914" s="1149"/>
      <c r="AA914" s="1201"/>
      <c r="AB914" s="1202"/>
      <c r="AC914" s="1202"/>
      <c r="AD914" s="1202"/>
      <c r="AE914" s="1202"/>
      <c r="AF914" s="120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30" t="s">
        <v>2256</v>
      </c>
      <c r="G915" s="1331"/>
      <c r="H915" s="1331"/>
      <c r="I915" s="1331"/>
      <c r="J915" s="1331"/>
      <c r="K915" s="1331"/>
      <c r="L915" s="1331"/>
      <c r="M915" s="1331"/>
      <c r="N915" s="1331"/>
      <c r="O915" s="1331"/>
      <c r="P915" s="1331"/>
      <c r="Q915" s="1331"/>
      <c r="R915" s="1331"/>
      <c r="S915" s="1331"/>
      <c r="T915" s="1332"/>
      <c r="U915" s="1251" t="s">
        <v>123</v>
      </c>
      <c r="V915" s="1148"/>
      <c r="W915" s="1148"/>
      <c r="X915" s="1148"/>
      <c r="Y915" s="1148"/>
      <c r="Z915" s="1149"/>
      <c r="AA915" s="1201"/>
      <c r="AB915" s="1202"/>
      <c r="AC915" s="1202"/>
      <c r="AD915" s="1202"/>
      <c r="AE915" s="1202"/>
      <c r="AF915" s="120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89" t="s">
        <v>156</v>
      </c>
      <c r="G916" s="1590"/>
      <c r="H916" s="1590"/>
      <c r="I916" s="1590"/>
      <c r="J916" s="1590"/>
      <c r="K916" s="1590"/>
      <c r="L916" s="1590"/>
      <c r="M916" s="1590"/>
      <c r="N916" s="1590"/>
      <c r="O916" s="1590"/>
      <c r="P916" s="1590"/>
      <c r="Q916" s="1590"/>
      <c r="R916" s="1590"/>
      <c r="S916" s="1590"/>
      <c r="T916" s="1591"/>
      <c r="U916" s="1251" t="s">
        <v>123</v>
      </c>
      <c r="V916" s="1148"/>
      <c r="W916" s="1148"/>
      <c r="X916" s="1148"/>
      <c r="Y916" s="1148"/>
      <c r="Z916" s="1149"/>
      <c r="AA916" s="1201"/>
      <c r="AB916" s="1202"/>
      <c r="AC916" s="1202"/>
      <c r="AD916" s="1202"/>
      <c r="AE916" s="1202"/>
      <c r="AF916" s="1203"/>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30" t="s">
        <v>1892</v>
      </c>
      <c r="G917" s="1331"/>
      <c r="H917" s="1331"/>
      <c r="I917" s="1331"/>
      <c r="J917" s="1331"/>
      <c r="K917" s="1331"/>
      <c r="L917" s="1331"/>
      <c r="M917" s="1331"/>
      <c r="N917" s="1331"/>
      <c r="O917" s="1331"/>
      <c r="P917" s="1331"/>
      <c r="Q917" s="1331"/>
      <c r="R917" s="1331"/>
      <c r="S917" s="1331"/>
      <c r="T917" s="1332"/>
      <c r="U917" s="1251" t="s">
        <v>123</v>
      </c>
      <c r="V917" s="1148"/>
      <c r="W917" s="1148"/>
      <c r="X917" s="1148"/>
      <c r="Y917" s="1148"/>
      <c r="Z917" s="1149"/>
      <c r="AA917" s="1201"/>
      <c r="AB917" s="1202"/>
      <c r="AC917" s="1202"/>
      <c r="AD917" s="1202"/>
      <c r="AE917" s="1202"/>
      <c r="AF917" s="120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2" t="s">
        <v>1007</v>
      </c>
      <c r="G918" s="1553"/>
      <c r="H918" s="1553"/>
      <c r="I918" s="1553"/>
      <c r="J918" s="1553"/>
      <c r="K918" s="1553"/>
      <c r="L918" s="1553"/>
      <c r="M918" s="1553"/>
      <c r="N918" s="1553"/>
      <c r="O918" s="1553"/>
      <c r="P918" s="1553"/>
      <c r="Q918" s="1553"/>
      <c r="R918" s="1553"/>
      <c r="S918" s="1553"/>
      <c r="T918" s="1554"/>
      <c r="U918" s="1251" t="s">
        <v>123</v>
      </c>
      <c r="V918" s="1148"/>
      <c r="W918" s="1148"/>
      <c r="X918" s="1148"/>
      <c r="Y918" s="1148"/>
      <c r="Z918" s="1149"/>
      <c r="AA918" s="1201"/>
      <c r="AB918" s="1202"/>
      <c r="AC918" s="1202"/>
      <c r="AD918" s="1202"/>
      <c r="AE918" s="1202"/>
      <c r="AF918" s="120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77" t="s">
        <v>2267</v>
      </c>
      <c r="G919" s="1578"/>
      <c r="H919" s="1578"/>
      <c r="I919" s="1578"/>
      <c r="J919" s="1578"/>
      <c r="K919" s="1578"/>
      <c r="L919" s="1578"/>
      <c r="M919" s="1578"/>
      <c r="N919" s="1578"/>
      <c r="O919" s="1578"/>
      <c r="P919" s="1578"/>
      <c r="Q919" s="1578"/>
      <c r="R919" s="1578"/>
      <c r="S919" s="1578"/>
      <c r="T919" s="1579"/>
      <c r="U919" s="1251" t="s">
        <v>123</v>
      </c>
      <c r="V919" s="1148"/>
      <c r="W919" s="1148"/>
      <c r="X919" s="1148"/>
      <c r="Y919" s="1148"/>
      <c r="Z919" s="1149"/>
      <c r="AA919" s="1201"/>
      <c r="AB919" s="1202"/>
      <c r="AC919" s="1202"/>
      <c r="AD919" s="1202"/>
      <c r="AE919" s="1202"/>
      <c r="AF919" s="120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77" t="s">
        <v>2269</v>
      </c>
      <c r="G920" s="1578"/>
      <c r="H920" s="1578"/>
      <c r="I920" s="1578"/>
      <c r="J920" s="1578"/>
      <c r="K920" s="1578"/>
      <c r="L920" s="1578"/>
      <c r="M920" s="1578"/>
      <c r="N920" s="1578"/>
      <c r="O920" s="1578"/>
      <c r="P920" s="1578"/>
      <c r="Q920" s="1578"/>
      <c r="R920" s="1578"/>
      <c r="S920" s="1578"/>
      <c r="T920" s="1579"/>
      <c r="U920" s="1251" t="s">
        <v>123</v>
      </c>
      <c r="V920" s="1148"/>
      <c r="W920" s="1148"/>
      <c r="X920" s="1148"/>
      <c r="Y920" s="1148"/>
      <c r="Z920" s="1149"/>
      <c r="AA920" s="1201"/>
      <c r="AB920" s="1202"/>
      <c r="AC920" s="1202"/>
      <c r="AD920" s="1202"/>
      <c r="AE920" s="1202"/>
      <c r="AF920" s="120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30" t="s">
        <v>2257</v>
      </c>
      <c r="G921" s="1331"/>
      <c r="H921" s="1331"/>
      <c r="I921" s="1331"/>
      <c r="J921" s="1331"/>
      <c r="K921" s="1331"/>
      <c r="L921" s="1331"/>
      <c r="M921" s="1331"/>
      <c r="N921" s="1331"/>
      <c r="O921" s="1331"/>
      <c r="P921" s="1331"/>
      <c r="Q921" s="1331"/>
      <c r="R921" s="1331"/>
      <c r="S921" s="1331"/>
      <c r="T921" s="1332"/>
      <c r="U921" s="1323" t="s">
        <v>123</v>
      </c>
      <c r="V921" s="1324"/>
      <c r="W921" s="1324"/>
      <c r="X921" s="1324"/>
      <c r="Y921" s="1324"/>
      <c r="Z921" s="1325"/>
      <c r="AA921" s="1277"/>
      <c r="AB921" s="1278"/>
      <c r="AC921" s="1278"/>
      <c r="AD921" s="1278"/>
      <c r="AE921" s="1278"/>
      <c r="AF921" s="127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30" t="s">
        <v>2261</v>
      </c>
      <c r="G922" s="1331"/>
      <c r="H922" s="1331"/>
      <c r="I922" s="1331"/>
      <c r="J922" s="1331"/>
      <c r="K922" s="1331"/>
      <c r="L922" s="1331"/>
      <c r="M922" s="1331"/>
      <c r="N922" s="1331"/>
      <c r="O922" s="1331"/>
      <c r="P922" s="1331"/>
      <c r="Q922" s="1331"/>
      <c r="R922" s="1331"/>
      <c r="S922" s="1331"/>
      <c r="T922" s="1332"/>
      <c r="U922" s="1323" t="s">
        <v>123</v>
      </c>
      <c r="V922" s="1324"/>
      <c r="W922" s="1324"/>
      <c r="X922" s="1324"/>
      <c r="Y922" s="1324"/>
      <c r="Z922" s="1325"/>
      <c r="AA922" s="1277"/>
      <c r="AB922" s="1278"/>
      <c r="AC922" s="1278"/>
      <c r="AD922" s="1278"/>
      <c r="AE922" s="1278"/>
      <c r="AF922" s="127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30" t="s">
        <v>2258</v>
      </c>
      <c r="G923" s="1331"/>
      <c r="H923" s="1331"/>
      <c r="I923" s="1331"/>
      <c r="J923" s="1331"/>
      <c r="K923" s="1331"/>
      <c r="L923" s="1331"/>
      <c r="M923" s="1331"/>
      <c r="N923" s="1331"/>
      <c r="O923" s="1331"/>
      <c r="P923" s="1331"/>
      <c r="Q923" s="1331"/>
      <c r="R923" s="1331"/>
      <c r="S923" s="1331"/>
      <c r="T923" s="1332"/>
      <c r="U923" s="1323" t="s">
        <v>123</v>
      </c>
      <c r="V923" s="1324"/>
      <c r="W923" s="1324"/>
      <c r="X923" s="1324"/>
      <c r="Y923" s="1324"/>
      <c r="Z923" s="1325"/>
      <c r="AA923" s="1277"/>
      <c r="AB923" s="1278"/>
      <c r="AC923" s="1278"/>
      <c r="AD923" s="1278"/>
      <c r="AE923" s="1278"/>
      <c r="AF923" s="127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77" t="s">
        <v>1890</v>
      </c>
      <c r="G924" s="1578"/>
      <c r="H924" s="1578"/>
      <c r="I924" s="1578"/>
      <c r="J924" s="1578"/>
      <c r="K924" s="1578"/>
      <c r="L924" s="1578"/>
      <c r="M924" s="1578"/>
      <c r="N924" s="1578"/>
      <c r="O924" s="1578"/>
      <c r="P924" s="1578"/>
      <c r="Q924" s="1578"/>
      <c r="R924" s="1578"/>
      <c r="S924" s="1578"/>
      <c r="T924" s="1579"/>
      <c r="U924" s="1251" t="s">
        <v>123</v>
      </c>
      <c r="V924" s="1148"/>
      <c r="W924" s="1148"/>
      <c r="X924" s="1148"/>
      <c r="Y924" s="1148"/>
      <c r="Z924" s="1149"/>
      <c r="AA924" s="1201"/>
      <c r="AB924" s="1202"/>
      <c r="AC924" s="1202"/>
      <c r="AD924" s="1202"/>
      <c r="AE924" s="1202"/>
      <c r="AF924" s="120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77" t="s">
        <v>2270</v>
      </c>
      <c r="G925" s="1578"/>
      <c r="H925" s="1578"/>
      <c r="I925" s="1578"/>
      <c r="J925" s="1578"/>
      <c r="K925" s="1578"/>
      <c r="L925" s="1578"/>
      <c r="M925" s="1578"/>
      <c r="N925" s="1578"/>
      <c r="O925" s="1578"/>
      <c r="P925" s="1578"/>
      <c r="Q925" s="1578"/>
      <c r="R925" s="1578"/>
      <c r="S925" s="1578"/>
      <c r="T925" s="1579"/>
      <c r="U925" s="1251" t="s">
        <v>107</v>
      </c>
      <c r="V925" s="1148"/>
      <c r="W925" s="1148"/>
      <c r="X925" s="1148"/>
      <c r="Y925" s="1148"/>
      <c r="Z925" s="1149"/>
      <c r="AA925" s="1201">
        <f>AO633</f>
        <v>795000</v>
      </c>
      <c r="AB925" s="1202"/>
      <c r="AC925" s="1202"/>
      <c r="AD925" s="1202"/>
      <c r="AE925" s="1202"/>
      <c r="AF925" s="120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77" t="s">
        <v>1891</v>
      </c>
      <c r="G926" s="1578"/>
      <c r="H926" s="1578"/>
      <c r="I926" s="1578"/>
      <c r="J926" s="1578"/>
      <c r="K926" s="1578"/>
      <c r="L926" s="1578"/>
      <c r="M926" s="1578"/>
      <c r="N926" s="1578"/>
      <c r="O926" s="1578"/>
      <c r="P926" s="1578"/>
      <c r="Q926" s="1578"/>
      <c r="R926" s="1578"/>
      <c r="S926" s="1578"/>
      <c r="T926" s="1579"/>
      <c r="U926" s="1251" t="s">
        <v>123</v>
      </c>
      <c r="V926" s="1148"/>
      <c r="W926" s="1148"/>
      <c r="X926" s="1148"/>
      <c r="Y926" s="1148"/>
      <c r="Z926" s="1149"/>
      <c r="AA926" s="1201"/>
      <c r="AB926" s="1202"/>
      <c r="AC926" s="1202"/>
      <c r="AD926" s="1202"/>
      <c r="AE926" s="1202"/>
      <c r="AF926" s="1203"/>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77" t="s">
        <v>155</v>
      </c>
      <c r="G927" s="1578"/>
      <c r="H927" s="1578"/>
      <c r="I927" s="1578"/>
      <c r="J927" s="1578"/>
      <c r="K927" s="1578"/>
      <c r="L927" s="1578"/>
      <c r="M927" s="1578"/>
      <c r="N927" s="1578"/>
      <c r="O927" s="1578"/>
      <c r="P927" s="1578"/>
      <c r="Q927" s="1578"/>
      <c r="R927" s="1578"/>
      <c r="S927" s="1578"/>
      <c r="T927" s="1579"/>
      <c r="U927" s="1251" t="s">
        <v>123</v>
      </c>
      <c r="V927" s="1148"/>
      <c r="W927" s="1148"/>
      <c r="X927" s="1148"/>
      <c r="Y927" s="1148"/>
      <c r="Z927" s="1149"/>
      <c r="AA927" s="1201"/>
      <c r="AB927" s="1202"/>
      <c r="AC927" s="1202"/>
      <c r="AD927" s="1202"/>
      <c r="AE927" s="1202"/>
      <c r="AF927" s="120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77" t="s">
        <v>2268</v>
      </c>
      <c r="G928" s="1578"/>
      <c r="H928" s="1578"/>
      <c r="I928" s="1578"/>
      <c r="J928" s="1578"/>
      <c r="K928" s="1578"/>
      <c r="L928" s="1578"/>
      <c r="M928" s="1578"/>
      <c r="N928" s="1578"/>
      <c r="O928" s="1578"/>
      <c r="P928" s="1578"/>
      <c r="Q928" s="1578"/>
      <c r="R928" s="1578"/>
      <c r="S928" s="1578"/>
      <c r="T928" s="1579"/>
      <c r="U928" s="1251" t="s">
        <v>123</v>
      </c>
      <c r="V928" s="1148"/>
      <c r="W928" s="1148"/>
      <c r="X928" s="1148"/>
      <c r="Y928" s="1148"/>
      <c r="Z928" s="1149"/>
      <c r="AA928" s="1201"/>
      <c r="AB928" s="1202"/>
      <c r="AC928" s="1202"/>
      <c r="AD928" s="1202"/>
      <c r="AE928" s="1202"/>
      <c r="AF928" s="120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1018</v>
      </c>
      <c r="G929" s="9"/>
      <c r="H929" s="9"/>
      <c r="I929" s="9"/>
      <c r="J929" s="9"/>
      <c r="K929" s="9"/>
      <c r="L929" s="9"/>
      <c r="M929" s="9"/>
      <c r="N929" s="9"/>
      <c r="O929" s="9"/>
      <c r="P929" s="1071" t="s">
        <v>481</v>
      </c>
      <c r="Q929" s="1148"/>
      <c r="R929" s="1148"/>
      <c r="S929" s="1148"/>
      <c r="T929" s="1149"/>
      <c r="U929" s="1251" t="s">
        <v>123</v>
      </c>
      <c r="V929" s="1148"/>
      <c r="W929" s="1148"/>
      <c r="X929" s="1148"/>
      <c r="Y929" s="1148"/>
      <c r="Z929" s="1149"/>
      <c r="AA929" s="1201"/>
      <c r="AB929" s="1202"/>
      <c r="AC929" s="1202"/>
      <c r="AD929" s="1202"/>
      <c r="AE929" s="1202"/>
      <c r="AF929" s="120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30" t="s">
        <v>2260</v>
      </c>
      <c r="G930" s="1331"/>
      <c r="H930" s="1332"/>
      <c r="I930" s="1269" t="s">
        <v>561</v>
      </c>
      <c r="J930" s="1270"/>
      <c r="K930" s="1270"/>
      <c r="L930" s="1270"/>
      <c r="M930" s="1270"/>
      <c r="N930" s="1270"/>
      <c r="O930" s="1270"/>
      <c r="P930" s="1270"/>
      <c r="Q930" s="1270"/>
      <c r="R930" s="1270"/>
      <c r="S930" s="1270"/>
      <c r="T930" s="1271"/>
      <c r="U930" s="1251" t="s">
        <v>123</v>
      </c>
      <c r="V930" s="1148"/>
      <c r="W930" s="1148"/>
      <c r="X930" s="1148"/>
      <c r="Y930" s="1148"/>
      <c r="Z930" s="1149"/>
      <c r="AA930" s="1201"/>
      <c r="AB930" s="1202"/>
      <c r="AC930" s="1202"/>
      <c r="AD930" s="1202"/>
      <c r="AE930" s="1202"/>
      <c r="AF930" s="120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30" t="s">
        <v>372</v>
      </c>
      <c r="G931" s="1331"/>
      <c r="H931" s="1332"/>
      <c r="I931" s="1269" t="s">
        <v>561</v>
      </c>
      <c r="J931" s="1270"/>
      <c r="K931" s="1270"/>
      <c r="L931" s="1270"/>
      <c r="M931" s="1270"/>
      <c r="N931" s="1270"/>
      <c r="O931" s="1270"/>
      <c r="P931" s="1270"/>
      <c r="Q931" s="1270"/>
      <c r="R931" s="1270"/>
      <c r="S931" s="1270"/>
      <c r="T931" s="1271"/>
      <c r="U931" s="1251" t="s">
        <v>123</v>
      </c>
      <c r="V931" s="1148"/>
      <c r="W931" s="1148"/>
      <c r="X931" s="1148"/>
      <c r="Y931" s="1148"/>
      <c r="Z931" s="1149"/>
      <c r="AA931" s="1201"/>
      <c r="AB931" s="1202"/>
      <c r="AC931" s="1202"/>
      <c r="AD931" s="1202"/>
      <c r="AE931" s="1202"/>
      <c r="AF931" s="120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30" t="s">
        <v>825</v>
      </c>
      <c r="G932" s="1331"/>
      <c r="H932" s="1332"/>
      <c r="I932" s="1269" t="str">
        <f>C634</f>
        <v>City of Merced-Value of Donated Land</v>
      </c>
      <c r="J932" s="1270"/>
      <c r="K932" s="1270"/>
      <c r="L932" s="1270"/>
      <c r="M932" s="1270"/>
      <c r="N932" s="1270"/>
      <c r="O932" s="1270"/>
      <c r="P932" s="1270"/>
      <c r="Q932" s="1270"/>
      <c r="R932" s="1270"/>
      <c r="S932" s="1270"/>
      <c r="T932" s="1271"/>
      <c r="U932" s="1251" t="s">
        <v>107</v>
      </c>
      <c r="V932" s="1148"/>
      <c r="W932" s="1148"/>
      <c r="X932" s="1148"/>
      <c r="Y932" s="1148"/>
      <c r="Z932" s="1149"/>
      <c r="AA932" s="1201">
        <f>AO634</f>
        <v>400000</v>
      </c>
      <c r="AB932" s="1202"/>
      <c r="AC932" s="1202"/>
      <c r="AD932" s="1202"/>
      <c r="AE932" s="1202"/>
      <c r="AF932" s="120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30" t="s">
        <v>282</v>
      </c>
      <c r="G933" s="1331"/>
      <c r="H933" s="1332"/>
      <c r="I933" s="1269" t="str">
        <f>C632</f>
        <v>City of Merced PLHA</v>
      </c>
      <c r="J933" s="1270"/>
      <c r="K933" s="1270"/>
      <c r="L933" s="1270"/>
      <c r="M933" s="1270"/>
      <c r="N933" s="1270"/>
      <c r="O933" s="1270"/>
      <c r="P933" s="1270"/>
      <c r="Q933" s="1270"/>
      <c r="R933" s="1270"/>
      <c r="S933" s="1270"/>
      <c r="T933" s="1271"/>
      <c r="U933" s="1251" t="s">
        <v>107</v>
      </c>
      <c r="V933" s="1148"/>
      <c r="W933" s="1148"/>
      <c r="X933" s="1148"/>
      <c r="Y933" s="1148"/>
      <c r="Z933" s="1149"/>
      <c r="AA933" s="1201">
        <f>AO632</f>
        <v>1608830</v>
      </c>
      <c r="AB933" s="1202"/>
      <c r="AC933" s="1202"/>
      <c r="AD933" s="1202"/>
      <c r="AE933" s="1202"/>
      <c r="AF933" s="120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30" t="s">
        <v>282</v>
      </c>
      <c r="G934" s="1331"/>
      <c r="H934" s="1332"/>
      <c r="I934" s="1269" t="s">
        <v>2453</v>
      </c>
      <c r="J934" s="1270"/>
      <c r="K934" s="1270"/>
      <c r="L934" s="1270"/>
      <c r="M934" s="1270"/>
      <c r="N934" s="1270"/>
      <c r="O934" s="1270"/>
      <c r="P934" s="1270"/>
      <c r="Q934" s="1270"/>
      <c r="R934" s="1270"/>
      <c r="S934" s="1270"/>
      <c r="T934" s="1271"/>
      <c r="U934" s="1251" t="s">
        <v>107</v>
      </c>
      <c r="V934" s="1148"/>
      <c r="W934" s="1148"/>
      <c r="X934" s="1148"/>
      <c r="Y934" s="1148"/>
      <c r="Z934" s="1149"/>
      <c r="AA934" s="1201">
        <f>AO631+AO630</f>
        <v>5890159</v>
      </c>
      <c r="AB934" s="1202"/>
      <c r="AC934" s="1202"/>
      <c r="AD934" s="1202"/>
      <c r="AE934" s="1202"/>
      <c r="AF934" s="120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826</v>
      </c>
      <c r="D939" s="9"/>
      <c r="E939" s="9"/>
      <c r="F939" s="9"/>
      <c r="G939" s="9"/>
      <c r="H939" s="9"/>
      <c r="I939" s="9"/>
      <c r="J939" s="9"/>
      <c r="K939" s="9"/>
      <c r="L939" s="1272">
        <v>45352</v>
      </c>
      <c r="M939" s="1448"/>
      <c r="N939" s="1448"/>
      <c r="O939" s="1448"/>
      <c r="P939" s="1448"/>
      <c r="Q939" s="1448"/>
      <c r="R939" s="1448"/>
      <c r="S939" s="1461"/>
      <c r="U939" s="72" t="s">
        <v>826</v>
      </c>
      <c r="V939" s="9"/>
      <c r="W939" s="9"/>
      <c r="X939" s="9"/>
      <c r="Y939" s="9"/>
      <c r="Z939" s="9"/>
      <c r="AA939" s="9"/>
      <c r="AB939" s="9"/>
      <c r="AC939" s="9"/>
      <c r="AD939" s="52"/>
      <c r="AE939" s="1272"/>
      <c r="AF939" s="1273"/>
      <c r="AG939" s="1273"/>
      <c r="AH939" s="1273"/>
      <c r="AI939" s="1273"/>
      <c r="AJ939" s="1273"/>
      <c r="AK939" s="1274"/>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827</v>
      </c>
      <c r="D940" s="9"/>
      <c r="E940" s="9"/>
      <c r="F940" s="9"/>
      <c r="G940" s="9"/>
      <c r="H940" s="9"/>
      <c r="I940" s="9"/>
      <c r="J940" s="9"/>
      <c r="K940" s="9"/>
      <c r="L940" s="1460" t="s">
        <v>2454</v>
      </c>
      <c r="M940" s="1448"/>
      <c r="N940" s="1448"/>
      <c r="O940" s="1448"/>
      <c r="P940" s="1448"/>
      <c r="Q940" s="1448"/>
      <c r="R940" s="1448"/>
      <c r="S940" s="1461"/>
      <c r="U940" s="72" t="s">
        <v>827</v>
      </c>
      <c r="V940" s="9"/>
      <c r="W940" s="9"/>
      <c r="X940" s="9"/>
      <c r="Y940" s="9"/>
      <c r="Z940" s="9"/>
      <c r="AA940" s="9"/>
      <c r="AB940" s="9"/>
      <c r="AC940" s="9"/>
      <c r="AD940" s="52"/>
      <c r="AE940" s="1275"/>
      <c r="AF940" s="1171"/>
      <c r="AG940" s="1171"/>
      <c r="AH940" s="1171"/>
      <c r="AI940" s="1171"/>
      <c r="AJ940" s="1171"/>
      <c r="AK940" s="127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1107</v>
      </c>
      <c r="D941" s="9"/>
      <c r="E941" s="9"/>
      <c r="L941" s="1189" t="s">
        <v>2455</v>
      </c>
      <c r="M941" s="1190"/>
      <c r="N941" s="1190"/>
      <c r="O941" s="1190"/>
      <c r="P941" s="1190"/>
      <c r="Q941" s="1190"/>
      <c r="R941" s="1190"/>
      <c r="S941" s="1191"/>
      <c r="U941" s="72" t="s">
        <v>1107</v>
      </c>
      <c r="V941" s="9"/>
      <c r="W941" s="9"/>
      <c r="AE941" s="1189" t="s">
        <v>78</v>
      </c>
      <c r="AF941" s="1190"/>
      <c r="AG941" s="1190"/>
      <c r="AH941" s="1190"/>
      <c r="AI941" s="1190"/>
      <c r="AJ941" s="1190"/>
      <c r="AK941" s="119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828</v>
      </c>
      <c r="D942" s="9"/>
      <c r="E942" s="9"/>
      <c r="F942" s="9"/>
      <c r="G942" s="9"/>
      <c r="H942" s="9"/>
      <c r="I942" s="9"/>
      <c r="J942" s="9"/>
      <c r="K942" s="9"/>
      <c r="L942" s="1221">
        <v>1</v>
      </c>
      <c r="M942" s="1222"/>
      <c r="N942" s="1222"/>
      <c r="O942" s="1222"/>
      <c r="P942" s="1222"/>
      <c r="Q942" s="1222"/>
      <c r="R942" s="1222"/>
      <c r="S942" s="1223"/>
      <c r="U942" s="72" t="s">
        <v>828</v>
      </c>
      <c r="V942" s="9"/>
      <c r="W942" s="9"/>
      <c r="X942" s="9"/>
      <c r="Y942" s="9"/>
      <c r="Z942" s="9"/>
      <c r="AA942" s="9"/>
      <c r="AB942" s="9"/>
      <c r="AC942" s="9"/>
      <c r="AD942" s="52"/>
      <c r="AE942" s="1221"/>
      <c r="AF942" s="1222"/>
      <c r="AG942" s="1222"/>
      <c r="AH942" s="1222"/>
      <c r="AI942" s="1222"/>
      <c r="AJ942" s="1222"/>
      <c r="AK942" s="122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829</v>
      </c>
      <c r="D943" s="9"/>
      <c r="E943" s="9"/>
      <c r="F943" s="9"/>
      <c r="G943" s="9"/>
      <c r="H943" s="9"/>
      <c r="I943" s="9"/>
      <c r="J943" s="9"/>
      <c r="K943" s="9"/>
      <c r="L943" s="1215">
        <f>Z793</f>
        <v>53</v>
      </c>
      <c r="M943" s="1216"/>
      <c r="N943" s="1216"/>
      <c r="O943" s="1216"/>
      <c r="P943" s="1216"/>
      <c r="Q943" s="1216"/>
      <c r="R943" s="1216"/>
      <c r="S943" s="1217"/>
      <c r="U943" s="72" t="s">
        <v>829</v>
      </c>
      <c r="V943" s="9"/>
      <c r="W943" s="9"/>
      <c r="X943" s="9"/>
      <c r="Y943" s="9"/>
      <c r="Z943" s="9"/>
      <c r="AA943" s="9"/>
      <c r="AB943" s="9"/>
      <c r="AC943" s="9"/>
      <c r="AD943" s="52"/>
      <c r="AE943" s="1218"/>
      <c r="AF943" s="1219"/>
      <c r="AG943" s="1219"/>
      <c r="AH943" s="1219"/>
      <c r="AI943" s="1219"/>
      <c r="AJ943" s="1219"/>
      <c r="AK943" s="122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830</v>
      </c>
      <c r="D944" s="9"/>
      <c r="E944" s="9"/>
      <c r="F944" s="9"/>
      <c r="G944" s="9"/>
      <c r="H944" s="9"/>
      <c r="I944" s="9"/>
      <c r="J944" s="9"/>
      <c r="K944" s="9"/>
      <c r="L944" s="1226">
        <f>Z796</f>
        <v>481452</v>
      </c>
      <c r="M944" s="1227"/>
      <c r="N944" s="1227"/>
      <c r="O944" s="1227"/>
      <c r="P944" s="1227"/>
      <c r="Q944" s="1227"/>
      <c r="R944" s="1227"/>
      <c r="S944" s="1228"/>
      <c r="U944" s="72" t="s">
        <v>830</v>
      </c>
      <c r="V944" s="9"/>
      <c r="W944" s="9"/>
      <c r="X944" s="9"/>
      <c r="Y944" s="9"/>
      <c r="Z944" s="9"/>
      <c r="AA944" s="9"/>
      <c r="AB944" s="9"/>
      <c r="AC944" s="9"/>
      <c r="AD944" s="52"/>
      <c r="AE944" s="1201"/>
      <c r="AF944" s="1202"/>
      <c r="AG944" s="1202"/>
      <c r="AH944" s="1202"/>
      <c r="AI944" s="1202"/>
      <c r="AJ944" s="1202"/>
      <c r="AK944" s="120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831</v>
      </c>
      <c r="D945" s="9"/>
      <c r="E945" s="9"/>
      <c r="F945" s="9"/>
      <c r="G945" s="9"/>
      <c r="H945" s="9"/>
      <c r="I945" s="9"/>
      <c r="J945" s="9"/>
      <c r="K945" s="9"/>
      <c r="L945" s="1226">
        <f>L944*L946</f>
        <v>9629040</v>
      </c>
      <c r="M945" s="1227"/>
      <c r="N945" s="1227"/>
      <c r="O945" s="1227"/>
      <c r="P945" s="1227"/>
      <c r="Q945" s="1227"/>
      <c r="R945" s="1227"/>
      <c r="S945" s="1228"/>
      <c r="U945" s="72" t="s">
        <v>831</v>
      </c>
      <c r="V945" s="9"/>
      <c r="W945" s="9"/>
      <c r="X945" s="9"/>
      <c r="Y945" s="9"/>
      <c r="Z945" s="9"/>
      <c r="AA945" s="9"/>
      <c r="AB945" s="9"/>
      <c r="AC945" s="9"/>
      <c r="AD945" s="52"/>
      <c r="AE945" s="1201"/>
      <c r="AF945" s="1202"/>
      <c r="AG945" s="1202"/>
      <c r="AH945" s="1202"/>
      <c r="AI945" s="1202"/>
      <c r="AJ945" s="1202"/>
      <c r="AK945" s="120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1958</v>
      </c>
      <c r="D946" s="9"/>
      <c r="E946" s="9"/>
      <c r="F946" s="9"/>
      <c r="G946" s="9"/>
      <c r="H946" s="9"/>
      <c r="I946" s="9"/>
      <c r="J946" s="9"/>
      <c r="K946" s="9"/>
      <c r="L946" s="1215">
        <v>20</v>
      </c>
      <c r="M946" s="1216"/>
      <c r="N946" s="1216"/>
      <c r="O946" s="1216"/>
      <c r="P946" s="1216"/>
      <c r="Q946" s="1216"/>
      <c r="R946" s="1216"/>
      <c r="S946" s="1217"/>
      <c r="U946" s="212" t="s">
        <v>1958</v>
      </c>
      <c r="V946" s="9"/>
      <c r="W946" s="9"/>
      <c r="X946" s="9"/>
      <c r="Y946" s="9"/>
      <c r="Z946" s="9"/>
      <c r="AA946" s="9"/>
      <c r="AB946" s="9"/>
      <c r="AC946" s="9"/>
      <c r="AD946" s="52"/>
      <c r="AE946" s="1215"/>
      <c r="AF946" s="1216"/>
      <c r="AG946" s="1216"/>
      <c r="AH946" s="1216"/>
      <c r="AI946" s="1216"/>
      <c r="AJ946" s="1216"/>
      <c r="AK946" s="121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846</v>
      </c>
      <c r="G951" s="9"/>
      <c r="H951" s="9"/>
      <c r="I951" s="9"/>
      <c r="J951" s="9"/>
      <c r="K951" s="9"/>
      <c r="L951" s="52"/>
      <c r="M951" s="1207" t="s">
        <v>123</v>
      </c>
      <c r="N951" s="1143"/>
      <c r="O951" s="1143"/>
      <c r="P951" s="1143"/>
      <c r="Q951" s="1143"/>
      <c r="R951" s="1143"/>
      <c r="S951" s="1208"/>
      <c r="T951" s="72" t="s">
        <v>949</v>
      </c>
      <c r="U951" s="9"/>
      <c r="V951" s="9"/>
      <c r="W951" s="9"/>
      <c r="X951" s="9"/>
      <c r="Y951" s="9"/>
      <c r="Z951" s="52"/>
      <c r="AA951" s="1207" t="s">
        <v>123</v>
      </c>
      <c r="AB951" s="1143"/>
      <c r="AC951" s="1143"/>
      <c r="AD951" s="1143"/>
      <c r="AE951" s="1143"/>
      <c r="AF951" s="1143"/>
      <c r="AG951" s="1208"/>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847</v>
      </c>
      <c r="G952" s="9"/>
      <c r="H952" s="9"/>
      <c r="I952" s="9"/>
      <c r="J952" s="9"/>
      <c r="K952" s="9"/>
      <c r="L952" s="52"/>
      <c r="M952" s="1207" t="s">
        <v>123</v>
      </c>
      <c r="N952" s="1143"/>
      <c r="O952" s="1143"/>
      <c r="P952" s="1143"/>
      <c r="Q952" s="1143"/>
      <c r="R952" s="1143"/>
      <c r="S952" s="1208"/>
      <c r="T952" s="72" t="s">
        <v>948</v>
      </c>
      <c r="U952" s="9"/>
      <c r="V952" s="9"/>
      <c r="W952" s="9"/>
      <c r="X952" s="9"/>
      <c r="Y952" s="9"/>
      <c r="Z952" s="52"/>
      <c r="AA952" s="1207" t="s">
        <v>123</v>
      </c>
      <c r="AB952" s="1143"/>
      <c r="AC952" s="1143"/>
      <c r="AD952" s="1143"/>
      <c r="AE952" s="1143"/>
      <c r="AF952" s="1143"/>
      <c r="AG952" s="120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1139</v>
      </c>
      <c r="G953" s="9"/>
      <c r="H953" s="9"/>
      <c r="I953" s="9"/>
      <c r="J953" s="9"/>
      <c r="K953" s="9"/>
      <c r="L953" s="52"/>
      <c r="M953" s="1156" t="s">
        <v>123</v>
      </c>
      <c r="N953" s="1065"/>
      <c r="O953" s="1065"/>
      <c r="P953" s="1065"/>
      <c r="Q953" s="1065"/>
      <c r="R953" s="1065"/>
      <c r="S953" s="1157"/>
      <c r="T953" s="8" t="s">
        <v>565</v>
      </c>
      <c r="U953" s="9"/>
      <c r="V953" s="9"/>
      <c r="W953" s="9"/>
      <c r="X953" s="9"/>
      <c r="Y953" s="9"/>
      <c r="Z953" s="52"/>
      <c r="AA953" s="1207" t="s">
        <v>123</v>
      </c>
      <c r="AB953" s="1143"/>
      <c r="AC953" s="1143"/>
      <c r="AD953" s="1143"/>
      <c r="AE953" s="1143"/>
      <c r="AF953" s="1143"/>
      <c r="AG953" s="120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848</v>
      </c>
      <c r="G954" s="9"/>
      <c r="H954" s="9"/>
      <c r="I954" s="9"/>
      <c r="J954" s="9"/>
      <c r="K954" s="9"/>
      <c r="L954" s="52"/>
      <c r="M954" s="1207" t="s">
        <v>123</v>
      </c>
      <c r="N954" s="1143"/>
      <c r="O954" s="1143"/>
      <c r="P954" s="1143"/>
      <c r="Q954" s="1143"/>
      <c r="R954" s="1143"/>
      <c r="S954" s="1208"/>
      <c r="T954" s="8" t="s">
        <v>566</v>
      </c>
      <c r="U954" s="9"/>
      <c r="V954" s="9"/>
      <c r="W954" s="9"/>
      <c r="X954" s="9"/>
      <c r="Y954" s="9"/>
      <c r="Z954" s="52"/>
      <c r="AA954" s="1207" t="s">
        <v>123</v>
      </c>
      <c r="AB954" s="1143"/>
      <c r="AC954" s="1143"/>
      <c r="AD954" s="1143"/>
      <c r="AE954" s="1143"/>
      <c r="AF954" s="1143"/>
      <c r="AG954" s="120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82</v>
      </c>
      <c r="G955" s="9"/>
      <c r="H955" s="9"/>
      <c r="I955" s="9"/>
      <c r="J955" s="9"/>
      <c r="K955" s="9"/>
      <c r="L955" s="52"/>
      <c r="M955" s="1207" t="s">
        <v>123</v>
      </c>
      <c r="N955" s="1143"/>
      <c r="O955" s="1143"/>
      <c r="P955" s="1143"/>
      <c r="Q955" s="1143"/>
      <c r="R955" s="1143"/>
      <c r="S955" s="1208"/>
      <c r="T955" s="8" t="s">
        <v>492</v>
      </c>
      <c r="U955" s="9"/>
      <c r="V955" s="9"/>
      <c r="W955" s="9"/>
      <c r="X955" s="9"/>
      <c r="Y955" s="9"/>
      <c r="Z955" s="52"/>
      <c r="AA955" s="1207" t="s">
        <v>123</v>
      </c>
      <c r="AB955" s="1143"/>
      <c r="AC955" s="1143"/>
      <c r="AD955" s="1143"/>
      <c r="AE955" s="1143"/>
      <c r="AF955" s="1143"/>
      <c r="AG955" s="120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1107</v>
      </c>
      <c r="G956" s="7"/>
      <c r="H956" s="7"/>
      <c r="I956" s="7"/>
      <c r="J956" s="7"/>
      <c r="K956" s="7"/>
      <c r="L956" s="64"/>
      <c r="M956" s="1189" t="s">
        <v>78</v>
      </c>
      <c r="N956" s="1190"/>
      <c r="O956" s="1190"/>
      <c r="P956" s="1190"/>
      <c r="Q956" s="1190"/>
      <c r="R956" s="1190"/>
      <c r="S956" s="1191"/>
      <c r="T956" s="1540"/>
      <c r="U956" s="1541"/>
      <c r="V956" s="1541"/>
      <c r="W956" s="1541"/>
      <c r="X956" s="1541"/>
      <c r="Y956" s="1541"/>
      <c r="Z956" s="1542"/>
      <c r="AA956" s="1207" t="s">
        <v>123</v>
      </c>
      <c r="AB956" s="1143"/>
      <c r="AC956" s="1143"/>
      <c r="AD956" s="1143"/>
      <c r="AE956" s="1143"/>
      <c r="AF956" s="1143"/>
      <c r="AG956" s="120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83</v>
      </c>
      <c r="G957" s="7"/>
      <c r="H957" s="7"/>
      <c r="I957" s="7"/>
      <c r="J957" s="7"/>
      <c r="K957" s="7"/>
      <c r="L957" s="64"/>
      <c r="M957" s="1207" t="s">
        <v>123</v>
      </c>
      <c r="N957" s="1143"/>
      <c r="O957" s="1143"/>
      <c r="P957" s="1143"/>
      <c r="Q957" s="1143"/>
      <c r="R957" s="1143"/>
      <c r="S957" s="1208"/>
      <c r="T957" s="1540"/>
      <c r="U957" s="1541"/>
      <c r="V957" s="1541"/>
      <c r="W957" s="1541"/>
      <c r="X957" s="1541"/>
      <c r="Y957" s="1541"/>
      <c r="Z957" s="1542"/>
      <c r="AA957" s="1207" t="s">
        <v>123</v>
      </c>
      <c r="AB957" s="1143"/>
      <c r="AC957" s="1143"/>
      <c r="AD957" s="1143"/>
      <c r="AE957" s="1143"/>
      <c r="AF957" s="1143"/>
      <c r="AG957" s="1208"/>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564</v>
      </c>
      <c r="G958" s="7"/>
      <c r="H958" s="7"/>
      <c r="I958" s="7"/>
      <c r="J958" s="7"/>
      <c r="K958" s="7"/>
      <c r="L958" s="7"/>
      <c r="M958" s="7"/>
      <c r="N958" s="7"/>
      <c r="O958" s="1156" t="s">
        <v>481</v>
      </c>
      <c r="P958" s="1157"/>
      <c r="Q958" s="144"/>
      <c r="R958" s="144"/>
      <c r="S958" s="145"/>
      <c r="T958" s="6" t="s">
        <v>282</v>
      </c>
      <c r="U958" s="7"/>
      <c r="V958" s="7"/>
      <c r="W958" s="1398" t="s">
        <v>561</v>
      </c>
      <c r="X958" s="1399"/>
      <c r="Y958" s="1399"/>
      <c r="Z958" s="1399"/>
      <c r="AA958" s="1399"/>
      <c r="AB958" s="1399"/>
      <c r="AC958" s="1399"/>
      <c r="AD958" s="1399"/>
      <c r="AE958" s="1399"/>
      <c r="AF958" s="1399"/>
      <c r="AG958" s="140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29" t="s">
        <v>225</v>
      </c>
      <c r="G959" s="1230"/>
      <c r="H959" s="1230"/>
      <c r="I959" s="1230"/>
      <c r="J959" s="1230"/>
      <c r="K959" s="1230"/>
      <c r="L959" s="1230"/>
      <c r="M959" s="1207"/>
      <c r="N959" s="1143"/>
      <c r="O959" s="1143"/>
      <c r="P959" s="1143"/>
      <c r="Q959" s="1143"/>
      <c r="R959" s="1143"/>
      <c r="S959" s="1208"/>
      <c r="T959" s="53"/>
      <c r="U959" s="54"/>
      <c r="V959" s="54"/>
      <c r="W959" s="54"/>
      <c r="X959" s="54"/>
      <c r="Y959" s="54"/>
      <c r="Z959" s="224" t="s">
        <v>226</v>
      </c>
      <c r="AA959" s="1401"/>
      <c r="AB959" s="1338"/>
      <c r="AC959" s="1338"/>
      <c r="AD959" s="1338"/>
      <c r="AE959" s="1338"/>
      <c r="AF959" s="1338"/>
      <c r="AG959" s="140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 customHeight="1">
      <c r="A963" s="1094" t="s">
        <v>128</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5" customFormat="1" ht="12.9"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3"/>
      <c r="D968" s="1212" t="s">
        <v>423</v>
      </c>
      <c r="E968" s="1213"/>
      <c r="F968" s="1213"/>
      <c r="G968" s="1213"/>
      <c r="H968" s="1213"/>
      <c r="I968" s="1213"/>
      <c r="J968" s="1213"/>
      <c r="K968" s="1213"/>
      <c r="L968" s="1213"/>
      <c r="M968" s="1213"/>
      <c r="N968" s="1213"/>
      <c r="O968" s="1213"/>
      <c r="P968" s="1213"/>
      <c r="Q968" s="1214"/>
      <c r="R968" s="1212" t="s">
        <v>424</v>
      </c>
      <c r="S968" s="1213"/>
      <c r="T968" s="1213"/>
      <c r="U968" s="1213"/>
      <c r="V968" s="1213"/>
      <c r="W968" s="1213"/>
      <c r="X968" s="1213"/>
      <c r="Y968" s="1213"/>
      <c r="Z968" s="1213"/>
      <c r="AA968" s="1214"/>
      <c r="AB968" s="1212" t="s">
        <v>425</v>
      </c>
      <c r="AC968" s="1213"/>
      <c r="AD968" s="1213"/>
      <c r="AE968" s="1213"/>
      <c r="AF968" s="1213"/>
      <c r="AG968" s="1213"/>
      <c r="AH968" s="1213"/>
      <c r="AI968" s="1214"/>
      <c r="AJ968" s="1212" t="s">
        <v>426</v>
      </c>
      <c r="AK968" s="1213"/>
      <c r="AL968" s="1213"/>
      <c r="AM968" s="1213"/>
      <c r="AN968" s="1213"/>
      <c r="AO968" s="1213"/>
      <c r="AP968" s="1213"/>
      <c r="AQ968" s="121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4"/>
      <c r="D969" s="1265" t="s">
        <v>418</v>
      </c>
      <c r="E969" s="1266"/>
      <c r="F969" s="1266"/>
      <c r="G969" s="1266"/>
      <c r="H969" s="1266"/>
      <c r="I969" s="1266"/>
      <c r="J969" s="1266"/>
      <c r="K969" s="1266"/>
      <c r="L969" s="1266"/>
      <c r="M969" s="1266"/>
      <c r="N969" s="1266"/>
      <c r="O969" s="1266"/>
      <c r="P969" s="1266"/>
      <c r="Q969" s="1267"/>
      <c r="R969" s="1268">
        <f>IF(ISNA(IF($BA$827="4%",(INDEX($BC$833:$BG$889,MATCH($BO$833,$BB$842:$BB$899,0),MATCH(D969,$BC$830:$BG$830,0))),(INDEX($BJ$842:$BN$899,MATCH($BO$833,$BI$842:$BI$899,0),MATCH(D969,$BJ$840:$BN$840,0))))),0,IF($BA$827="4%",(INDEX($BC$833:$BG$889,MATCH($BO$833,$BB$842:$BB$899,0),MATCH(D969,$BC$830:$BG$830,0))),(INDEX($BJ$842:$BN$899,MATCH($BO$833,$BI$842:$BI$899,0),MATCH(D969,$BJ$840:$BN$840,0)))))</f>
        <v>307732</v>
      </c>
      <c r="S969" s="1268"/>
      <c r="T969" s="1268"/>
      <c r="U969" s="1268"/>
      <c r="V969" s="1268"/>
      <c r="W969" s="1268"/>
      <c r="X969" s="1268"/>
      <c r="Y969" s="1268"/>
      <c r="Z969" s="1268"/>
      <c r="AA969" s="1268"/>
      <c r="AB969" s="1376">
        <f>BN659</f>
        <v>0</v>
      </c>
      <c r="AC969" s="1377"/>
      <c r="AD969" s="1377"/>
      <c r="AE969" s="1377"/>
      <c r="AF969" s="1377"/>
      <c r="AG969" s="1377"/>
      <c r="AH969" s="1377"/>
      <c r="AI969" s="1378"/>
      <c r="AJ969" s="1179">
        <f>IF(ISERROR((R969*AB969)),0,(R969*AB969))</f>
        <v>0</v>
      </c>
      <c r="AK969" s="1180"/>
      <c r="AL969" s="1180"/>
      <c r="AM969" s="1180"/>
      <c r="AN969" s="1180"/>
      <c r="AO969" s="1180"/>
      <c r="AP969" s="1180"/>
      <c r="AQ969" s="11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65" t="s">
        <v>441</v>
      </c>
      <c r="E970" s="1266"/>
      <c r="F970" s="1266"/>
      <c r="G970" s="1266"/>
      <c r="H970" s="1266"/>
      <c r="I970" s="1266"/>
      <c r="J970" s="1266"/>
      <c r="K970" s="1266"/>
      <c r="L970" s="1266"/>
      <c r="M970" s="1266"/>
      <c r="N970" s="1266"/>
      <c r="O970" s="1266"/>
      <c r="P970" s="1266"/>
      <c r="Q970" s="1267"/>
      <c r="R970" s="1268">
        <f>IF(ISNA(IF($BA$827="4%",(INDEX($BC$833:$BG$889,MATCH($BO$833,$BB$842:$BB$899,0),MATCH(D970,$BC$830:$BG$830,0))),(INDEX($BJ$842:$BN$899,MATCH($BO$833,$BI$842:$BI$899,0),MATCH(D970,$BJ$840:$BN$840,0))))),0,IF($BA$827="4%",(INDEX($BC$833:$BG$889,MATCH($BO$833,$BB$842:$BB$899,0),MATCH(D970,$BC$830:$BG$830,0))),(INDEX($BJ$842:$BN$899,MATCH($BO$833,$BI$842:$BI$899,0),MATCH(D970,$BJ$840:$BN$840,0)))))</f>
        <v>354812</v>
      </c>
      <c r="S970" s="1268"/>
      <c r="T970" s="1268"/>
      <c r="U970" s="1268"/>
      <c r="V970" s="1268"/>
      <c r="W970" s="1268"/>
      <c r="X970" s="1268"/>
      <c r="Y970" s="1268"/>
      <c r="Z970" s="1268"/>
      <c r="AA970" s="1268"/>
      <c r="AB970" s="1376">
        <f>BS659</f>
        <v>53</v>
      </c>
      <c r="AC970" s="1377"/>
      <c r="AD970" s="1377"/>
      <c r="AE970" s="1377"/>
      <c r="AF970" s="1377"/>
      <c r="AG970" s="1377"/>
      <c r="AH970" s="1377"/>
      <c r="AI970" s="1378"/>
      <c r="AJ970" s="1179">
        <f>IF(ISERROR((R970*AB970)),0,(R970*AB970))</f>
        <v>18805036</v>
      </c>
      <c r="AK970" s="1180"/>
      <c r="AL970" s="1180"/>
      <c r="AM970" s="1180"/>
      <c r="AN970" s="1180"/>
      <c r="AO970" s="1180"/>
      <c r="AP970" s="1180"/>
      <c r="AQ970" s="118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65" t="s">
        <v>779</v>
      </c>
      <c r="E971" s="1266"/>
      <c r="F971" s="1266"/>
      <c r="G971" s="1266"/>
      <c r="H971" s="1266"/>
      <c r="I971" s="1266"/>
      <c r="J971" s="1266"/>
      <c r="K971" s="1266"/>
      <c r="L971" s="1266"/>
      <c r="M971" s="1266"/>
      <c r="N971" s="1266"/>
      <c r="O971" s="1266"/>
      <c r="P971" s="1266"/>
      <c r="Q971" s="1267"/>
      <c r="R971" s="1268">
        <f>IF(ISNA(IF($BA$827="4%",(INDEX($BC$833:$BG$889,MATCH($BO$833,$BB$842:$BB$899,0),MATCH(D971,$BC$830:$BG$830,0))),(INDEX($BJ$842:$BN$899,MATCH($BO$833,$BI$842:$BI$899,0),MATCH(D971,$BJ$840:$BN$840,0))))),0,IF($BA$827="4%",(INDEX($BC$833:$BG$889,MATCH($BO$833,$BB$842:$BB$899,0),MATCH(D971,$BC$830:$BG$830,0))),(INDEX($BJ$842:$BN$899,MATCH($BO$833,$BI$842:$BI$899,0),MATCH(D971,$BJ$840:$BN$840,0)))))</f>
        <v>428000</v>
      </c>
      <c r="S971" s="1268"/>
      <c r="T971" s="1268"/>
      <c r="U971" s="1268"/>
      <c r="V971" s="1268"/>
      <c r="W971" s="1268"/>
      <c r="X971" s="1268"/>
      <c r="Y971" s="1268"/>
      <c r="Z971" s="1268"/>
      <c r="AA971" s="1268"/>
      <c r="AB971" s="1376">
        <f>BX659</f>
        <v>0</v>
      </c>
      <c r="AC971" s="1377"/>
      <c r="AD971" s="1377"/>
      <c r="AE971" s="1377"/>
      <c r="AF971" s="1377"/>
      <c r="AG971" s="1377"/>
      <c r="AH971" s="1377"/>
      <c r="AI971" s="1378"/>
      <c r="AJ971" s="1179">
        <f>IF(ISERROR((R971*AB971)),0,(R971*AB971))</f>
        <v>0</v>
      </c>
      <c r="AK971" s="1180"/>
      <c r="AL971" s="1180"/>
      <c r="AM971" s="1180"/>
      <c r="AN971" s="1180"/>
      <c r="AO971" s="1180"/>
      <c r="AP971" s="1180"/>
      <c r="AQ971" s="118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65" t="s">
        <v>780</v>
      </c>
      <c r="E972" s="1266"/>
      <c r="F972" s="1266"/>
      <c r="G972" s="1266"/>
      <c r="H972" s="1266"/>
      <c r="I972" s="1266"/>
      <c r="J972" s="1266"/>
      <c r="K972" s="1266"/>
      <c r="L972" s="1266"/>
      <c r="M972" s="1266"/>
      <c r="N972" s="1266"/>
      <c r="O972" s="1266"/>
      <c r="P972" s="1266"/>
      <c r="Q972" s="1267"/>
      <c r="R972" s="1268">
        <f>IF(ISNA(IF($BA$827="4%",(INDEX($BC$833:$BG$889,MATCH($BO$833,$BB$842:$BB$899,0),MATCH(D972,$BC$830:$BG$830,0))),(INDEX($BJ$842:$BN$899,MATCH($BO$833,$BI$842:$BI$899,0),MATCH(D972,$BJ$840:$BN$840,0))))),0,IF($BA$827="4%",(INDEX($BC$833:$BG$889,MATCH($BO$833,$BB$842:$BB$899,0),MATCH(D972,$BC$830:$BG$830,0))),(INDEX($BJ$842:$BN$899,MATCH($BO$833,$BI$842:$BI$899,0),MATCH(D972,$BJ$840:$BN$840,0)))))</f>
        <v>547840</v>
      </c>
      <c r="S972" s="1268"/>
      <c r="T972" s="1268"/>
      <c r="U972" s="1268"/>
      <c r="V972" s="1268"/>
      <c r="W972" s="1268"/>
      <c r="X972" s="1268"/>
      <c r="Y972" s="1268"/>
      <c r="Z972" s="1268"/>
      <c r="AA972" s="1268"/>
      <c r="AB972" s="1376">
        <f>CC659</f>
        <v>1</v>
      </c>
      <c r="AC972" s="1377"/>
      <c r="AD972" s="1377"/>
      <c r="AE972" s="1377"/>
      <c r="AF972" s="1377"/>
      <c r="AG972" s="1377"/>
      <c r="AH972" s="1377"/>
      <c r="AI972" s="1378"/>
      <c r="AJ972" s="1179">
        <f>IF(ISERROR((R972*AB972)),0,(R972*AB972))</f>
        <v>547840</v>
      </c>
      <c r="AK972" s="1180"/>
      <c r="AL972" s="1180"/>
      <c r="AM972" s="1180"/>
      <c r="AN972" s="1180"/>
      <c r="AO972" s="1180"/>
      <c r="AP972" s="1180"/>
      <c r="AQ972" s="118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65" t="s">
        <v>790</v>
      </c>
      <c r="E973" s="1266"/>
      <c r="F973" s="1266"/>
      <c r="G973" s="1266"/>
      <c r="H973" s="1266"/>
      <c r="I973" s="1266"/>
      <c r="J973" s="1266"/>
      <c r="K973" s="1266"/>
      <c r="L973" s="1266"/>
      <c r="M973" s="1266"/>
      <c r="N973" s="1266"/>
      <c r="O973" s="1266"/>
      <c r="P973" s="1266"/>
      <c r="Q973" s="1267"/>
      <c r="R973" s="1268">
        <f>IF(ISNA(IF($BA$827="4%",(INDEX($BC$833:$BG$889,MATCH($BO$833,$BB$842:$BB$899,0),MATCH(D973,$BC$830:$BG$830,0))),(INDEX($BJ$842:$BN$899,MATCH($BO$833,$BI$842:$BI$899,0),MATCH(D973,$BJ$840:$BN$840,0))))),0,IF($BA$827="4%",(INDEX($BC$833:$BG$889,MATCH($BO$833,$BB$842:$BB$899,0),MATCH(D973,$BC$830:$BG$830,0))),(INDEX($BJ$842:$BN$899,MATCH($BO$833,$BI$842:$BI$899,0),MATCH(D973,$BJ$840:$BN$840,0)))))</f>
        <v>610328</v>
      </c>
      <c r="S973" s="1268"/>
      <c r="T973" s="1268"/>
      <c r="U973" s="1268"/>
      <c r="V973" s="1268"/>
      <c r="W973" s="1268"/>
      <c r="X973" s="1268"/>
      <c r="Y973" s="1268"/>
      <c r="Z973" s="1268"/>
      <c r="AA973" s="1268"/>
      <c r="AB973" s="1376">
        <f>CM659+CH659</f>
        <v>0</v>
      </c>
      <c r="AC973" s="1377"/>
      <c r="AD973" s="1377"/>
      <c r="AE973" s="1377"/>
      <c r="AF973" s="1377"/>
      <c r="AG973" s="1377"/>
      <c r="AH973" s="1377"/>
      <c r="AI973" s="1378"/>
      <c r="AJ973" s="1179">
        <f>IF(ISERROR((R973*AB973)),0,(R973*AB973))</f>
        <v>0</v>
      </c>
      <c r="AK973" s="1180"/>
      <c r="AL973" s="1180"/>
      <c r="AM973" s="1180"/>
      <c r="AN973" s="1180"/>
      <c r="AO973" s="1180"/>
      <c r="AP973" s="1180"/>
      <c r="AQ973" s="118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4" t="s">
        <v>959</v>
      </c>
      <c r="C974" s="1575"/>
      <c r="D974" s="1575"/>
      <c r="E974" s="1575"/>
      <c r="F974" s="1575"/>
      <c r="G974" s="1575"/>
      <c r="H974" s="1575"/>
      <c r="I974" s="1575"/>
      <c r="J974" s="1575"/>
      <c r="K974" s="1575"/>
      <c r="L974" s="1575"/>
      <c r="M974" s="1575"/>
      <c r="N974" s="1575"/>
      <c r="O974" s="1575"/>
      <c r="P974" s="1575"/>
      <c r="Q974" s="1575"/>
      <c r="R974" s="1575"/>
      <c r="S974" s="1575"/>
      <c r="T974" s="1575"/>
      <c r="U974" s="1575"/>
      <c r="V974" s="1575"/>
      <c r="W974" s="1575"/>
      <c r="X974" s="1575"/>
      <c r="Y974" s="1575"/>
      <c r="Z974" s="1575"/>
      <c r="AA974" s="1576"/>
      <c r="AB974" s="1376">
        <f>SUM(AB969:AI973)</f>
        <v>54</v>
      </c>
      <c r="AC974" s="1377"/>
      <c r="AD974" s="1377"/>
      <c r="AE974" s="1377"/>
      <c r="AF974" s="1377"/>
      <c r="AG974" s="1377"/>
      <c r="AH974" s="1377"/>
      <c r="AI974" s="1378"/>
      <c r="AJ974" s="1179"/>
      <c r="AK974" s="1180"/>
      <c r="AL974" s="1180"/>
      <c r="AM974" s="1180"/>
      <c r="AN974" s="1180"/>
      <c r="AO974" s="1180"/>
      <c r="AP974" s="1180"/>
      <c r="AQ974" s="118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79" t="s">
        <v>746</v>
      </c>
      <c r="C975" s="1380"/>
      <c r="D975" s="1380"/>
      <c r="E975" s="1380"/>
      <c r="F975" s="1380"/>
      <c r="G975" s="1380"/>
      <c r="H975" s="1380"/>
      <c r="I975" s="1380"/>
      <c r="J975" s="1380"/>
      <c r="K975" s="1380"/>
      <c r="L975" s="1380"/>
      <c r="M975" s="1380"/>
      <c r="N975" s="1380"/>
      <c r="O975" s="1380"/>
      <c r="P975" s="1380"/>
      <c r="Q975" s="1380"/>
      <c r="R975" s="1380"/>
      <c r="S975" s="1380"/>
      <c r="T975" s="1380"/>
      <c r="U975" s="1380"/>
      <c r="V975" s="1380"/>
      <c r="W975" s="1380"/>
      <c r="X975" s="1380"/>
      <c r="Y975" s="1380"/>
      <c r="Z975" s="1380"/>
      <c r="AA975" s="1380"/>
      <c r="AB975" s="1380"/>
      <c r="AC975" s="1380"/>
      <c r="AD975" s="1380"/>
      <c r="AE975" s="1380"/>
      <c r="AF975" s="1380"/>
      <c r="AG975" s="1380"/>
      <c r="AH975" s="1380"/>
      <c r="AI975" s="1381"/>
      <c r="AJ975" s="1179">
        <f>SUM(AJ969:AQ973)</f>
        <v>19352876</v>
      </c>
      <c r="AK975" s="1180"/>
      <c r="AL975" s="1180"/>
      <c r="AM975" s="1180"/>
      <c r="AN975" s="1180"/>
      <c r="AO975" s="1180"/>
      <c r="AP975" s="1180"/>
      <c r="AQ975" s="118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2"/>
      <c r="C976" s="1183"/>
      <c r="D976" s="1183"/>
      <c r="E976" s="1183"/>
      <c r="F976" s="1183"/>
      <c r="G976" s="1183"/>
      <c r="H976" s="1183"/>
      <c r="I976" s="1183"/>
      <c r="J976" s="1183"/>
      <c r="K976" s="1183"/>
      <c r="L976" s="1183"/>
      <c r="M976" s="1183"/>
      <c r="N976" s="1183"/>
      <c r="O976" s="1183"/>
      <c r="P976" s="1183"/>
      <c r="Q976" s="1183"/>
      <c r="R976" s="1183"/>
      <c r="S976" s="1183"/>
      <c r="T976" s="1183"/>
      <c r="U976" s="1183"/>
      <c r="V976" s="1183"/>
      <c r="W976" s="1183"/>
      <c r="X976" s="1183"/>
      <c r="Y976" s="1183"/>
      <c r="Z976" s="1183"/>
      <c r="AA976" s="1183"/>
      <c r="AB976" s="1183"/>
      <c r="AC976" s="1183"/>
      <c r="AD976" s="1183"/>
      <c r="AE976" s="1184"/>
      <c r="AF976" s="1537" t="s">
        <v>478</v>
      </c>
      <c r="AG976" s="1538"/>
      <c r="AH976" s="1538"/>
      <c r="AI976" s="1539"/>
      <c r="AJ976" s="1182"/>
      <c r="AK976" s="1183"/>
      <c r="AL976" s="1183"/>
      <c r="AM976" s="1183"/>
      <c r="AN976" s="1183"/>
      <c r="AO976" s="1183"/>
      <c r="AP976" s="1183"/>
      <c r="AQ976" s="118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5" t="s">
        <v>480</v>
      </c>
      <c r="D977" s="1167" t="s">
        <v>1877</v>
      </c>
      <c r="E977" s="1168"/>
      <c r="F977" s="1168"/>
      <c r="G977" s="1168"/>
      <c r="H977" s="1168"/>
      <c r="I977" s="1168"/>
      <c r="J977" s="1168"/>
      <c r="K977" s="1168"/>
      <c r="L977" s="1168"/>
      <c r="M977" s="1168"/>
      <c r="N977" s="1168"/>
      <c r="O977" s="1168"/>
      <c r="P977" s="1168"/>
      <c r="Q977" s="1168"/>
      <c r="R977" s="1168"/>
      <c r="S977" s="1168"/>
      <c r="T977" s="1168"/>
      <c r="U977" s="1168"/>
      <c r="V977" s="1168"/>
      <c r="W977" s="1168"/>
      <c r="X977" s="1168"/>
      <c r="Y977" s="1168"/>
      <c r="Z977" s="1168"/>
      <c r="AA977" s="1168"/>
      <c r="AB977" s="1168"/>
      <c r="AC977" s="1168"/>
      <c r="AD977" s="1168"/>
      <c r="AE977" s="1169"/>
      <c r="AF977" s="82"/>
      <c r="AG977" s="1572" t="s">
        <v>107</v>
      </c>
      <c r="AH977" s="1573"/>
      <c r="AI977" s="85"/>
      <c r="AJ977" s="1386">
        <f>ROUND(IF(AND(AG977="yes",D983&lt;&gt;""),AJ975*0.2,0),0)</f>
        <v>3870575</v>
      </c>
      <c r="AK977" s="1387"/>
      <c r="AL977" s="1387"/>
      <c r="AM977" s="1387"/>
      <c r="AN977" s="1387"/>
      <c r="AO977" s="1387"/>
      <c r="AP977" s="1387"/>
      <c r="AQ977" s="138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6"/>
      <c r="C978" s="857"/>
      <c r="D978" s="1259" t="s">
        <v>2307</v>
      </c>
      <c r="E978" s="1260"/>
      <c r="F978" s="1260"/>
      <c r="G978" s="1260"/>
      <c r="H978" s="1260"/>
      <c r="I978" s="1260"/>
      <c r="J978" s="1260"/>
      <c r="K978" s="1260"/>
      <c r="L978" s="1260"/>
      <c r="M978" s="1260"/>
      <c r="N978" s="1260"/>
      <c r="O978" s="1260"/>
      <c r="P978" s="1260"/>
      <c r="Q978" s="1260"/>
      <c r="R978" s="1260"/>
      <c r="S978" s="1260"/>
      <c r="T978" s="1260"/>
      <c r="U978" s="1260"/>
      <c r="V978" s="1260"/>
      <c r="W978" s="1260"/>
      <c r="X978" s="1260"/>
      <c r="Y978" s="1260"/>
      <c r="Z978" s="1260"/>
      <c r="AA978" s="1260"/>
      <c r="AB978" s="1260"/>
      <c r="AC978" s="1260"/>
      <c r="AD978" s="1260"/>
      <c r="AE978" s="1261"/>
      <c r="AF978" s="79"/>
      <c r="AG978" s="21"/>
      <c r="AH978" s="21"/>
      <c r="AI978" s="83"/>
      <c r="AJ978" s="1392"/>
      <c r="AK978" s="1393"/>
      <c r="AL978" s="1393"/>
      <c r="AM978" s="1393"/>
      <c r="AN978" s="1393"/>
      <c r="AO978" s="1393"/>
      <c r="AP978" s="1393"/>
      <c r="AQ978" s="139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6"/>
      <c r="C979" s="857"/>
      <c r="D979" s="1259"/>
      <c r="E979" s="1260"/>
      <c r="F979" s="1260"/>
      <c r="G979" s="1260"/>
      <c r="H979" s="1260"/>
      <c r="I979" s="1260"/>
      <c r="J979" s="1260"/>
      <c r="K979" s="1260"/>
      <c r="L979" s="1260"/>
      <c r="M979" s="1260"/>
      <c r="N979" s="1260"/>
      <c r="O979" s="1260"/>
      <c r="P979" s="1260"/>
      <c r="Q979" s="1260"/>
      <c r="R979" s="1260"/>
      <c r="S979" s="1260"/>
      <c r="T979" s="1260"/>
      <c r="U979" s="1260"/>
      <c r="V979" s="1260"/>
      <c r="W979" s="1260"/>
      <c r="X979" s="1260"/>
      <c r="Y979" s="1260"/>
      <c r="Z979" s="1260"/>
      <c r="AA979" s="1260"/>
      <c r="AB979" s="1260"/>
      <c r="AC979" s="1260"/>
      <c r="AD979" s="1260"/>
      <c r="AE979" s="1261"/>
      <c r="AF979" s="79"/>
      <c r="AG979" s="21"/>
      <c r="AH979" s="21"/>
      <c r="AI979" s="83"/>
      <c r="AJ979" s="1392"/>
      <c r="AK979" s="1393"/>
      <c r="AL979" s="1393"/>
      <c r="AM979" s="1393"/>
      <c r="AN979" s="1393"/>
      <c r="AO979" s="1393"/>
      <c r="AP979" s="1393"/>
      <c r="AQ979" s="139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6"/>
      <c r="C980" s="857"/>
      <c r="D980" s="1259"/>
      <c r="E980" s="1260"/>
      <c r="F980" s="1260"/>
      <c r="G980" s="1260"/>
      <c r="H980" s="1260"/>
      <c r="I980" s="1260"/>
      <c r="J980" s="1260"/>
      <c r="K980" s="1260"/>
      <c r="L980" s="1260"/>
      <c r="M980" s="1260"/>
      <c r="N980" s="1260"/>
      <c r="O980" s="1260"/>
      <c r="P980" s="1260"/>
      <c r="Q980" s="1260"/>
      <c r="R980" s="1260"/>
      <c r="S980" s="1260"/>
      <c r="T980" s="1260"/>
      <c r="U980" s="1260"/>
      <c r="V980" s="1260"/>
      <c r="W980" s="1260"/>
      <c r="X980" s="1260"/>
      <c r="Y980" s="1260"/>
      <c r="Z980" s="1260"/>
      <c r="AA980" s="1260"/>
      <c r="AB980" s="1260"/>
      <c r="AC980" s="1260"/>
      <c r="AD980" s="1260"/>
      <c r="AE980" s="1261"/>
      <c r="AF980" s="79"/>
      <c r="AG980" s="21"/>
      <c r="AH980" s="21"/>
      <c r="AI980" s="83"/>
      <c r="AJ980" s="1392"/>
      <c r="AK980" s="1393"/>
      <c r="AL980" s="1393"/>
      <c r="AM980" s="1393"/>
      <c r="AN980" s="1393"/>
      <c r="AO980" s="1393"/>
      <c r="AP980" s="1393"/>
      <c r="AQ980" s="139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6"/>
      <c r="C981" s="857"/>
      <c r="D981" s="1259"/>
      <c r="E981" s="1260"/>
      <c r="F981" s="1260"/>
      <c r="G981" s="1260"/>
      <c r="H981" s="1260"/>
      <c r="I981" s="1260"/>
      <c r="J981" s="1260"/>
      <c r="K981" s="1260"/>
      <c r="L981" s="1260"/>
      <c r="M981" s="1260"/>
      <c r="N981" s="1260"/>
      <c r="O981" s="1260"/>
      <c r="P981" s="1260"/>
      <c r="Q981" s="1260"/>
      <c r="R981" s="1260"/>
      <c r="S981" s="1260"/>
      <c r="T981" s="1260"/>
      <c r="U981" s="1260"/>
      <c r="V981" s="1260"/>
      <c r="W981" s="1260"/>
      <c r="X981" s="1260"/>
      <c r="Y981" s="1260"/>
      <c r="Z981" s="1260"/>
      <c r="AA981" s="1260"/>
      <c r="AB981" s="1260"/>
      <c r="AC981" s="1260"/>
      <c r="AD981" s="1260"/>
      <c r="AE981" s="1261"/>
      <c r="AF981" s="79"/>
      <c r="AG981" s="21"/>
      <c r="AH981" s="21"/>
      <c r="AI981" s="83"/>
      <c r="AJ981" s="1392"/>
      <c r="AK981" s="1393"/>
      <c r="AL981" s="1393"/>
      <c r="AM981" s="1393"/>
      <c r="AN981" s="1393"/>
      <c r="AO981" s="1393"/>
      <c r="AP981" s="1393"/>
      <c r="AQ981" s="139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6"/>
      <c r="C982" s="857"/>
      <c r="D982" s="1262" t="s">
        <v>2255</v>
      </c>
      <c r="E982" s="1263"/>
      <c r="F982" s="1263"/>
      <c r="G982" s="1263"/>
      <c r="H982" s="1263"/>
      <c r="I982" s="1263"/>
      <c r="J982" s="1263"/>
      <c r="K982" s="1263"/>
      <c r="L982" s="1263"/>
      <c r="M982" s="1263"/>
      <c r="N982" s="1263"/>
      <c r="O982" s="1263"/>
      <c r="P982" s="1263"/>
      <c r="Q982" s="1263"/>
      <c r="R982" s="1263"/>
      <c r="S982" s="1263"/>
      <c r="T982" s="1263"/>
      <c r="U982" s="1263"/>
      <c r="V982" s="1263"/>
      <c r="W982" s="1263"/>
      <c r="X982" s="1263"/>
      <c r="Y982" s="1263"/>
      <c r="Z982" s="1263"/>
      <c r="AA982" s="1263"/>
      <c r="AB982" s="1263"/>
      <c r="AC982" s="1263"/>
      <c r="AD982" s="1263"/>
      <c r="AE982" s="1264"/>
      <c r="AF982" s="79"/>
      <c r="AG982" s="21"/>
      <c r="AH982" s="21"/>
      <c r="AI982" s="83"/>
      <c r="AJ982" s="1392"/>
      <c r="AK982" s="1393"/>
      <c r="AL982" s="1393"/>
      <c r="AM982" s="1393"/>
      <c r="AN982" s="1393"/>
      <c r="AO982" s="1393"/>
      <c r="AP982" s="1393"/>
      <c r="AQ982" s="139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6"/>
      <c r="C983" s="857"/>
      <c r="D983" s="1395" t="s">
        <v>2460</v>
      </c>
      <c r="E983" s="1396"/>
      <c r="F983" s="1396"/>
      <c r="G983" s="1396"/>
      <c r="H983" s="1396"/>
      <c r="I983" s="1396"/>
      <c r="J983" s="1396"/>
      <c r="K983" s="1396"/>
      <c r="L983" s="1396"/>
      <c r="M983" s="1396"/>
      <c r="N983" s="1396"/>
      <c r="O983" s="1396"/>
      <c r="P983" s="1396"/>
      <c r="Q983" s="1396"/>
      <c r="R983" s="1396"/>
      <c r="S983" s="1396"/>
      <c r="T983" s="1396"/>
      <c r="U983" s="1396"/>
      <c r="V983" s="1396"/>
      <c r="W983" s="1396"/>
      <c r="X983" s="1396"/>
      <c r="Y983" s="1396"/>
      <c r="Z983" s="1396"/>
      <c r="AA983" s="1396"/>
      <c r="AB983" s="1396"/>
      <c r="AC983" s="1396"/>
      <c r="AD983" s="1396"/>
      <c r="AE983" s="1397"/>
      <c r="AF983" s="80"/>
      <c r="AG983" s="11"/>
      <c r="AH983" s="11"/>
      <c r="AI983" s="81"/>
      <c r="AJ983" s="1389"/>
      <c r="AK983" s="1390"/>
      <c r="AL983" s="1390"/>
      <c r="AM983" s="1390"/>
      <c r="AN983" s="1390"/>
      <c r="AO983" s="1390"/>
      <c r="AP983" s="1390"/>
      <c r="AQ983" s="139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8"/>
      <c r="C984" s="859"/>
      <c r="D984" s="1382" t="s">
        <v>1984</v>
      </c>
      <c r="E984" s="1239"/>
      <c r="F984" s="1239"/>
      <c r="G984" s="1239"/>
      <c r="H984" s="1239"/>
      <c r="I984" s="1239"/>
      <c r="J984" s="1239"/>
      <c r="K984" s="1239"/>
      <c r="L984" s="1239"/>
      <c r="M984" s="1239"/>
      <c r="N984" s="1239"/>
      <c r="O984" s="1239"/>
      <c r="P984" s="1239"/>
      <c r="Q984" s="1239"/>
      <c r="R984" s="1239"/>
      <c r="S984" s="1239"/>
      <c r="T984" s="1239"/>
      <c r="U984" s="1239"/>
      <c r="V984" s="1239"/>
      <c r="W984" s="1239"/>
      <c r="X984" s="1239"/>
      <c r="Y984" s="1239"/>
      <c r="Z984" s="1239"/>
      <c r="AA984" s="1239"/>
      <c r="AB984" s="1239"/>
      <c r="AC984" s="1239"/>
      <c r="AD984" s="1239"/>
      <c r="AE984" s="1383"/>
      <c r="AF984" s="82"/>
      <c r="AG984" s="1384" t="s">
        <v>481</v>
      </c>
      <c r="AH984" s="1385"/>
      <c r="AI984" s="85"/>
      <c r="AJ984" s="1386">
        <f>ROUND(IF(AG984="yes",AJ975*0.05,0),0)</f>
        <v>0</v>
      </c>
      <c r="AK984" s="1387"/>
      <c r="AL984" s="1387"/>
      <c r="AM984" s="1387"/>
      <c r="AN984" s="1387"/>
      <c r="AO984" s="1387"/>
      <c r="AP984" s="1387"/>
      <c r="AQ984" s="138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6"/>
      <c r="C985" s="860"/>
      <c r="D985" s="1259" t="s">
        <v>1878</v>
      </c>
      <c r="E985" s="1260"/>
      <c r="F985" s="1260"/>
      <c r="G985" s="1260"/>
      <c r="H985" s="1260"/>
      <c r="I985" s="1260"/>
      <c r="J985" s="1260"/>
      <c r="K985" s="1260"/>
      <c r="L985" s="1260"/>
      <c r="M985" s="1260"/>
      <c r="N985" s="1260"/>
      <c r="O985" s="1260"/>
      <c r="P985" s="1260"/>
      <c r="Q985" s="1260"/>
      <c r="R985" s="1260"/>
      <c r="S985" s="1260"/>
      <c r="T985" s="1260"/>
      <c r="U985" s="1260"/>
      <c r="V985" s="1260"/>
      <c r="W985" s="1260"/>
      <c r="X985" s="1260"/>
      <c r="Y985" s="1260"/>
      <c r="Z985" s="1260"/>
      <c r="AA985" s="1260"/>
      <c r="AB985" s="1260"/>
      <c r="AC985" s="1260"/>
      <c r="AD985" s="1260"/>
      <c r="AE985" s="1261"/>
      <c r="AF985" s="79"/>
      <c r="AG985" s="21"/>
      <c r="AH985" s="21"/>
      <c r="AI985" s="83"/>
      <c r="AJ985" s="1392"/>
      <c r="AK985" s="1393"/>
      <c r="AL985" s="1393"/>
      <c r="AM985" s="1393"/>
      <c r="AN985" s="1393"/>
      <c r="AO985" s="1393"/>
      <c r="AP985" s="1393"/>
      <c r="AQ985" s="139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6"/>
      <c r="C986" s="860"/>
      <c r="D986" s="1259"/>
      <c r="E986" s="1260"/>
      <c r="F986" s="1260"/>
      <c r="G986" s="1260"/>
      <c r="H986" s="1260"/>
      <c r="I986" s="1260"/>
      <c r="J986" s="1260"/>
      <c r="K986" s="1260"/>
      <c r="L986" s="1260"/>
      <c r="M986" s="1260"/>
      <c r="N986" s="1260"/>
      <c r="O986" s="1260"/>
      <c r="P986" s="1260"/>
      <c r="Q986" s="1260"/>
      <c r="R986" s="1260"/>
      <c r="S986" s="1260"/>
      <c r="T986" s="1260"/>
      <c r="U986" s="1260"/>
      <c r="V986" s="1260"/>
      <c r="W986" s="1260"/>
      <c r="X986" s="1260"/>
      <c r="Y986" s="1260"/>
      <c r="Z986" s="1260"/>
      <c r="AA986" s="1260"/>
      <c r="AB986" s="1260"/>
      <c r="AC986" s="1260"/>
      <c r="AD986" s="1260"/>
      <c r="AE986" s="1261"/>
      <c r="AF986" s="79"/>
      <c r="AG986" s="21"/>
      <c r="AH986" s="21"/>
      <c r="AI986" s="83"/>
      <c r="AJ986" s="1392"/>
      <c r="AK986" s="1393"/>
      <c r="AL986" s="1393"/>
      <c r="AM986" s="1393"/>
      <c r="AN986" s="1393"/>
      <c r="AO986" s="1393"/>
      <c r="AP986" s="1393"/>
      <c r="AQ986" s="139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6"/>
      <c r="C987" s="860"/>
      <c r="D987" s="1259"/>
      <c r="E987" s="1260"/>
      <c r="F987" s="1260"/>
      <c r="G987" s="1260"/>
      <c r="H987" s="1260"/>
      <c r="I987" s="1260"/>
      <c r="J987" s="1260"/>
      <c r="K987" s="1260"/>
      <c r="L987" s="1260"/>
      <c r="M987" s="1260"/>
      <c r="N987" s="1260"/>
      <c r="O987" s="1260"/>
      <c r="P987" s="1260"/>
      <c r="Q987" s="1260"/>
      <c r="R987" s="1260"/>
      <c r="S987" s="1260"/>
      <c r="T987" s="1260"/>
      <c r="U987" s="1260"/>
      <c r="V987" s="1260"/>
      <c r="W987" s="1260"/>
      <c r="X987" s="1260"/>
      <c r="Y987" s="1260"/>
      <c r="Z987" s="1260"/>
      <c r="AA987" s="1260"/>
      <c r="AB987" s="1260"/>
      <c r="AC987" s="1260"/>
      <c r="AD987" s="1260"/>
      <c r="AE987" s="1261"/>
      <c r="AF987" s="79"/>
      <c r="AG987" s="21"/>
      <c r="AH987" s="21"/>
      <c r="AI987" s="83"/>
      <c r="AJ987" s="1392"/>
      <c r="AK987" s="1393"/>
      <c r="AL987" s="1393"/>
      <c r="AM987" s="1393"/>
      <c r="AN987" s="1393"/>
      <c r="AO987" s="1393"/>
      <c r="AP987" s="1393"/>
      <c r="AQ987" s="139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6"/>
      <c r="C988" s="860"/>
      <c r="D988" s="1259"/>
      <c r="E988" s="1260"/>
      <c r="F988" s="1260"/>
      <c r="G988" s="1260"/>
      <c r="H988" s="1260"/>
      <c r="I988" s="1260"/>
      <c r="J988" s="1260"/>
      <c r="K988" s="1260"/>
      <c r="L988" s="1260"/>
      <c r="M988" s="1260"/>
      <c r="N988" s="1260"/>
      <c r="O988" s="1260"/>
      <c r="P988" s="1260"/>
      <c r="Q988" s="1260"/>
      <c r="R988" s="1260"/>
      <c r="S988" s="1260"/>
      <c r="T988" s="1260"/>
      <c r="U988" s="1260"/>
      <c r="V988" s="1260"/>
      <c r="W988" s="1260"/>
      <c r="X988" s="1260"/>
      <c r="Y988" s="1260"/>
      <c r="Z988" s="1260"/>
      <c r="AA988" s="1260"/>
      <c r="AB988" s="1260"/>
      <c r="AC988" s="1260"/>
      <c r="AD988" s="1260"/>
      <c r="AE988" s="1261"/>
      <c r="AF988" s="79"/>
      <c r="AG988" s="21"/>
      <c r="AH988" s="21"/>
      <c r="AI988" s="83"/>
      <c r="AJ988" s="1392"/>
      <c r="AK988" s="1393"/>
      <c r="AL988" s="1393"/>
      <c r="AM988" s="1393"/>
      <c r="AN988" s="1393"/>
      <c r="AO988" s="1393"/>
      <c r="AP988" s="1393"/>
      <c r="AQ988" s="1394"/>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1"/>
      <c r="C989" s="862"/>
      <c r="D989" s="1262"/>
      <c r="E989" s="1263"/>
      <c r="F989" s="1263"/>
      <c r="G989" s="1263"/>
      <c r="H989" s="1263"/>
      <c r="I989" s="1263"/>
      <c r="J989" s="1263"/>
      <c r="K989" s="1263"/>
      <c r="L989" s="1263"/>
      <c r="M989" s="1263"/>
      <c r="N989" s="1263"/>
      <c r="O989" s="1263"/>
      <c r="P989" s="1263"/>
      <c r="Q989" s="1263"/>
      <c r="R989" s="1263"/>
      <c r="S989" s="1263"/>
      <c r="T989" s="1263"/>
      <c r="U989" s="1263"/>
      <c r="V989" s="1263"/>
      <c r="W989" s="1263"/>
      <c r="X989" s="1263"/>
      <c r="Y989" s="1263"/>
      <c r="Z989" s="1263"/>
      <c r="AA989" s="1263"/>
      <c r="AB989" s="1263"/>
      <c r="AC989" s="1263"/>
      <c r="AD989" s="1263"/>
      <c r="AE989" s="1264"/>
      <c r="AF989" s="80"/>
      <c r="AG989" s="11"/>
      <c r="AH989" s="11"/>
      <c r="AI989" s="81"/>
      <c r="AJ989" s="1389"/>
      <c r="AK989" s="1390"/>
      <c r="AL989" s="1390"/>
      <c r="AM989" s="1390"/>
      <c r="AN989" s="1390"/>
      <c r="AO989" s="1390"/>
      <c r="AP989" s="1390"/>
      <c r="AQ989" s="1391"/>
      <c r="AR989" s="43"/>
      <c r="AS989" s="43"/>
      <c r="AT989" s="43"/>
      <c r="AU989" s="43"/>
      <c r="AV989" s="43"/>
      <c r="AW989" s="43"/>
      <c r="AX989" s="43"/>
      <c r="AY989" s="43"/>
      <c r="AZ989" s="43">
        <v>1</v>
      </c>
      <c r="BA989" s="43">
        <f t="shared" ref="BA989:BA999" si="57">IF((_xlfn.XLOOKUP(AZ989,C1044:C1082,A1044:A1082,"",0,1))="Yes",BB989,0)</f>
        <v>0</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8"/>
      <c r="C990" s="552" t="s">
        <v>484</v>
      </c>
      <c r="D990" s="1382" t="s">
        <v>1985</v>
      </c>
      <c r="E990" s="1239"/>
      <c r="F990" s="1239"/>
      <c r="G990" s="1239"/>
      <c r="H990" s="1239"/>
      <c r="I990" s="1239"/>
      <c r="J990" s="1239"/>
      <c r="K990" s="1239"/>
      <c r="L990" s="1239"/>
      <c r="M990" s="1239"/>
      <c r="N990" s="1239"/>
      <c r="O990" s="1239"/>
      <c r="P990" s="1239"/>
      <c r="Q990" s="1239"/>
      <c r="R990" s="1239"/>
      <c r="S990" s="1239"/>
      <c r="T990" s="1239"/>
      <c r="U990" s="1239"/>
      <c r="V990" s="1239"/>
      <c r="W990" s="1239"/>
      <c r="X990" s="1239"/>
      <c r="Y990" s="1239"/>
      <c r="Z990" s="1239"/>
      <c r="AA990" s="1239"/>
      <c r="AB990" s="1239"/>
      <c r="AC990" s="1239"/>
      <c r="AD990" s="1239"/>
      <c r="AE990" s="1383"/>
      <c r="AF990" s="84"/>
      <c r="AG990" s="1384" t="s">
        <v>481</v>
      </c>
      <c r="AH990" s="1385"/>
      <c r="AI990" s="85"/>
      <c r="AJ990" s="1386">
        <f>ROUND(IF(AG990="yes",AJ975*0.1,0),0)</f>
        <v>0</v>
      </c>
      <c r="AK990" s="1387"/>
      <c r="AL990" s="1387"/>
      <c r="AM990" s="1387"/>
      <c r="AN990" s="1387"/>
      <c r="AO990" s="1387"/>
      <c r="AP990" s="1387"/>
      <c r="AQ990" s="1388"/>
      <c r="AR990" s="43"/>
      <c r="AS990" s="43"/>
      <c r="AT990" s="43"/>
      <c r="AU990" s="43"/>
      <c r="AV990" s="43"/>
      <c r="AW990" s="43"/>
      <c r="AX990" s="43"/>
      <c r="AY990" s="43"/>
      <c r="AZ990" s="43">
        <v>2</v>
      </c>
      <c r="BA990" s="43">
        <f t="shared" si="57"/>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29" t="s">
        <v>1986</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92"/>
      <c r="AK991" s="1393"/>
      <c r="AL991" s="1393"/>
      <c r="AM991" s="1393"/>
      <c r="AN991" s="1393"/>
      <c r="AO991" s="1393"/>
      <c r="AP991" s="1393"/>
      <c r="AQ991" s="1394"/>
      <c r="AR991" s="43"/>
      <c r="AS991" s="43"/>
      <c r="AT991" s="43"/>
      <c r="AU991" s="43"/>
      <c r="AV991" s="43"/>
      <c r="AW991" s="43"/>
      <c r="AX991" s="43"/>
      <c r="AY991" s="43"/>
      <c r="AZ991" s="43">
        <v>3</v>
      </c>
      <c r="BA991" s="43">
        <f t="shared" si="57"/>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92"/>
      <c r="AK992" s="1393"/>
      <c r="AL992" s="1393"/>
      <c r="AM992" s="1393"/>
      <c r="AN992" s="1393"/>
      <c r="AO992" s="1393"/>
      <c r="AP992" s="1393"/>
      <c r="AQ992" s="1394"/>
      <c r="AR992" s="43"/>
      <c r="AS992" s="43"/>
      <c r="AT992" s="43"/>
      <c r="AU992" s="43"/>
      <c r="AV992" s="43"/>
      <c r="AW992" s="43"/>
      <c r="AX992" s="43"/>
      <c r="AY992" s="43"/>
      <c r="AZ992" s="41">
        <v>4</v>
      </c>
      <c r="BA992" s="43">
        <f t="shared" si="57"/>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3"/>
      <c r="C993" s="862"/>
      <c r="D993" s="1373"/>
      <c r="E993" s="1374"/>
      <c r="F993" s="1374"/>
      <c r="G993" s="1374"/>
      <c r="H993" s="1374"/>
      <c r="I993" s="1374"/>
      <c r="J993" s="1374"/>
      <c r="K993" s="1374"/>
      <c r="L993" s="1374"/>
      <c r="M993" s="1374"/>
      <c r="N993" s="1374"/>
      <c r="O993" s="1374"/>
      <c r="P993" s="1374"/>
      <c r="Q993" s="1374"/>
      <c r="R993" s="1374"/>
      <c r="S993" s="1374"/>
      <c r="T993" s="1374"/>
      <c r="U993" s="1374"/>
      <c r="V993" s="1374"/>
      <c r="W993" s="1374"/>
      <c r="X993" s="1374"/>
      <c r="Y993" s="1374"/>
      <c r="Z993" s="1374"/>
      <c r="AA993" s="1374"/>
      <c r="AB993" s="1374"/>
      <c r="AC993" s="1374"/>
      <c r="AD993" s="1374"/>
      <c r="AE993" s="1375"/>
      <c r="AF993" s="80"/>
      <c r="AG993" s="11"/>
      <c r="AH993" s="11"/>
      <c r="AI993" s="81"/>
      <c r="AJ993" s="1389"/>
      <c r="AK993" s="1390"/>
      <c r="AL993" s="1390"/>
      <c r="AM993" s="1390"/>
      <c r="AN993" s="1390"/>
      <c r="AO993" s="1390"/>
      <c r="AP993" s="1390"/>
      <c r="AQ993" s="1391"/>
      <c r="AR993" s="43"/>
      <c r="AS993" s="43"/>
      <c r="AT993" s="43"/>
      <c r="AU993" s="43"/>
      <c r="AV993" s="43"/>
      <c r="AW993" s="43"/>
      <c r="AX993" s="43"/>
      <c r="AY993" s="43"/>
      <c r="AZ993" s="41">
        <v>5</v>
      </c>
      <c r="BA993" s="43">
        <f t="shared" si="57"/>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382" t="s">
        <v>1879</v>
      </c>
      <c r="E994" s="1239"/>
      <c r="F994" s="1239"/>
      <c r="G994" s="1239"/>
      <c r="H994" s="1239"/>
      <c r="I994" s="1239"/>
      <c r="J994" s="1239"/>
      <c r="K994" s="1239"/>
      <c r="L994" s="1239"/>
      <c r="M994" s="1239"/>
      <c r="N994" s="1239"/>
      <c r="O994" s="1239"/>
      <c r="P994" s="1239"/>
      <c r="Q994" s="1239"/>
      <c r="R994" s="1239"/>
      <c r="S994" s="1239"/>
      <c r="T994" s="1239"/>
      <c r="U994" s="1239"/>
      <c r="V994" s="1239"/>
      <c r="W994" s="1239"/>
      <c r="X994" s="1239"/>
      <c r="Y994" s="1239"/>
      <c r="Z994" s="1239"/>
      <c r="AA994" s="1239"/>
      <c r="AB994" s="1239"/>
      <c r="AC994" s="1239"/>
      <c r="AD994" s="1239"/>
      <c r="AE994" s="1383"/>
      <c r="AF994" s="82"/>
      <c r="AG994" s="1384" t="s">
        <v>481</v>
      </c>
      <c r="AH994" s="1385"/>
      <c r="AI994" s="85"/>
      <c r="AJ994" s="1386">
        <f>ROUND(IF(AG994="yes",AJ975*0.02,0),0)</f>
        <v>0</v>
      </c>
      <c r="AK994" s="1387"/>
      <c r="AL994" s="1387"/>
      <c r="AM994" s="1387"/>
      <c r="AN994" s="1387"/>
      <c r="AO994" s="1387"/>
      <c r="AP994" s="1387"/>
      <c r="AQ994" s="1388"/>
      <c r="AR994" s="43"/>
      <c r="AS994" s="43"/>
      <c r="AT994" s="43"/>
      <c r="AU994" s="43"/>
      <c r="AV994" s="43"/>
      <c r="AW994" s="43"/>
      <c r="AX994" s="43"/>
      <c r="AY994" s="43"/>
      <c r="AZ994" s="41">
        <v>6</v>
      </c>
      <c r="BA994" s="43">
        <f t="shared" si="57"/>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73" t="s">
        <v>1880</v>
      </c>
      <c r="E995" s="1374"/>
      <c r="F995" s="1374"/>
      <c r="G995" s="1374"/>
      <c r="H995" s="1374"/>
      <c r="I995" s="1374"/>
      <c r="J995" s="1374"/>
      <c r="K995" s="1374"/>
      <c r="L995" s="1374"/>
      <c r="M995" s="1374"/>
      <c r="N995" s="1374"/>
      <c r="O995" s="1374"/>
      <c r="P995" s="1374"/>
      <c r="Q995" s="1374"/>
      <c r="R995" s="1374"/>
      <c r="S995" s="1374"/>
      <c r="T995" s="1374"/>
      <c r="U995" s="1374"/>
      <c r="V995" s="1374"/>
      <c r="W995" s="1374"/>
      <c r="X995" s="1374"/>
      <c r="Y995" s="1374"/>
      <c r="Z995" s="1374"/>
      <c r="AA995" s="1374"/>
      <c r="AB995" s="1374"/>
      <c r="AC995" s="1374"/>
      <c r="AD995" s="1374"/>
      <c r="AE995" s="1375"/>
      <c r="AF995" s="80"/>
      <c r="AG995" s="11"/>
      <c r="AH995" s="11"/>
      <c r="AI995" s="81"/>
      <c r="AJ995" s="1389"/>
      <c r="AK995" s="1390"/>
      <c r="AL995" s="1390"/>
      <c r="AM995" s="1390"/>
      <c r="AN995" s="1390"/>
      <c r="AO995" s="1390"/>
      <c r="AP995" s="1390"/>
      <c r="AQ995" s="1391"/>
      <c r="AR995" s="43"/>
      <c r="AS995" s="43"/>
      <c r="AT995" s="43"/>
      <c r="AU995" s="43"/>
      <c r="AV995" s="43"/>
      <c r="AW995" s="43"/>
      <c r="AX995" s="43"/>
      <c r="AY995" s="43"/>
      <c r="AZ995" s="41">
        <v>7</v>
      </c>
      <c r="BA995" s="43">
        <f t="shared" si="57"/>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382" t="s">
        <v>1881</v>
      </c>
      <c r="E996" s="1239"/>
      <c r="F996" s="1239"/>
      <c r="G996" s="1239"/>
      <c r="H996" s="1239"/>
      <c r="I996" s="1239"/>
      <c r="J996" s="1239"/>
      <c r="K996" s="1239"/>
      <c r="L996" s="1239"/>
      <c r="M996" s="1239"/>
      <c r="N996" s="1239"/>
      <c r="O996" s="1239"/>
      <c r="P996" s="1239"/>
      <c r="Q996" s="1239"/>
      <c r="R996" s="1239"/>
      <c r="S996" s="1239"/>
      <c r="T996" s="1239"/>
      <c r="U996" s="1239"/>
      <c r="V996" s="1239"/>
      <c r="W996" s="1239"/>
      <c r="X996" s="1239"/>
      <c r="Y996" s="1239"/>
      <c r="Z996" s="1239"/>
      <c r="AA996" s="1239"/>
      <c r="AB996" s="1239"/>
      <c r="AC996" s="1239"/>
      <c r="AD996" s="1239"/>
      <c r="AE996" s="1383"/>
      <c r="AF996" s="82"/>
      <c r="AG996" s="1384" t="s">
        <v>481</v>
      </c>
      <c r="AH996" s="1385"/>
      <c r="AI996" s="82"/>
      <c r="AJ996" s="1386">
        <f>ROUND(IF(AG996="yes",AJ975*0.02,0),0)</f>
        <v>0</v>
      </c>
      <c r="AK996" s="1387"/>
      <c r="AL996" s="1387"/>
      <c r="AM996" s="1387"/>
      <c r="AN996" s="1387"/>
      <c r="AO996" s="1387"/>
      <c r="AP996" s="1387"/>
      <c r="AQ996" s="1388"/>
      <c r="AS996" s="958"/>
      <c r="AT996" s="958"/>
      <c r="AU996" s="958"/>
      <c r="AV996" s="43"/>
      <c r="AW996" s="43"/>
      <c r="AX996" s="43"/>
      <c r="AY996" s="43"/>
      <c r="AZ996" s="41">
        <v>8</v>
      </c>
      <c r="BA996" s="43">
        <f t="shared" si="57"/>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29" t="s">
        <v>1882</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3" t="str">
        <f>IF(AND(AG996="yes",V215&lt;&gt;1),"The project may not be eligible for this boost","")</f>
        <v/>
      </c>
      <c r="AG997" s="1584"/>
      <c r="AH997" s="1584"/>
      <c r="AI997" s="1585"/>
      <c r="AJ997" s="1392"/>
      <c r="AK997" s="1393"/>
      <c r="AL997" s="1393"/>
      <c r="AM997" s="1393"/>
      <c r="AN997" s="1393"/>
      <c r="AO997" s="1393"/>
      <c r="AP997" s="1393"/>
      <c r="AQ997" s="1394"/>
      <c r="AR997" s="957"/>
      <c r="AS997" s="958"/>
      <c r="AT997" s="958"/>
      <c r="AU997" s="958"/>
      <c r="AV997" s="43"/>
      <c r="AW997" s="43"/>
      <c r="AX997" s="43"/>
      <c r="AY997" s="43"/>
      <c r="AZ997" s="41">
        <v>9</v>
      </c>
      <c r="BA997" s="43">
        <f t="shared" si="57"/>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1"/>
      <c r="C998" s="862"/>
      <c r="D998" s="1373"/>
      <c r="E998" s="1374"/>
      <c r="F998" s="1374"/>
      <c r="G998" s="1374"/>
      <c r="H998" s="1374"/>
      <c r="I998" s="1374"/>
      <c r="J998" s="1374"/>
      <c r="K998" s="1374"/>
      <c r="L998" s="1374"/>
      <c r="M998" s="1374"/>
      <c r="N998" s="1374"/>
      <c r="O998" s="1374"/>
      <c r="P998" s="1374"/>
      <c r="Q998" s="1374"/>
      <c r="R998" s="1374"/>
      <c r="S998" s="1374"/>
      <c r="T998" s="1374"/>
      <c r="U998" s="1374"/>
      <c r="V998" s="1374"/>
      <c r="W998" s="1374"/>
      <c r="X998" s="1374"/>
      <c r="Y998" s="1374"/>
      <c r="Z998" s="1374"/>
      <c r="AA998" s="1374"/>
      <c r="AB998" s="1374"/>
      <c r="AC998" s="1374"/>
      <c r="AD998" s="1374"/>
      <c r="AE998" s="1375"/>
      <c r="AF998" s="1586"/>
      <c r="AG998" s="1587"/>
      <c r="AH998" s="1587"/>
      <c r="AI998" s="1588"/>
      <c r="AJ998" s="1389"/>
      <c r="AK998" s="1390"/>
      <c r="AL998" s="1390"/>
      <c r="AM998" s="1390"/>
      <c r="AN998" s="1390"/>
      <c r="AO998" s="1390"/>
      <c r="AP998" s="1390"/>
      <c r="AQ998" s="1391"/>
      <c r="AR998" s="957"/>
      <c r="AS998" s="958"/>
      <c r="AT998" s="958"/>
      <c r="AU998" s="43"/>
      <c r="AV998" s="43"/>
      <c r="AW998" s="43"/>
      <c r="AX998" s="43"/>
      <c r="AY998" s="43"/>
      <c r="AZ998" s="41">
        <v>10</v>
      </c>
      <c r="BA998" s="43">
        <f t="shared" si="57"/>
        <v>0</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595</v>
      </c>
      <c r="D999" s="1167" t="s">
        <v>1883</v>
      </c>
      <c r="E999" s="1168"/>
      <c r="F999" s="1168"/>
      <c r="G999" s="1168"/>
      <c r="H999" s="1168"/>
      <c r="I999" s="1168"/>
      <c r="J999" s="1168"/>
      <c r="K999" s="1168"/>
      <c r="L999" s="1168"/>
      <c r="M999" s="1168"/>
      <c r="N999" s="1168"/>
      <c r="O999" s="1168"/>
      <c r="P999" s="1168"/>
      <c r="Q999" s="1168"/>
      <c r="R999" s="1168"/>
      <c r="S999" s="1168"/>
      <c r="T999" s="1168"/>
      <c r="U999" s="1168"/>
      <c r="V999" s="1168"/>
      <c r="W999" s="1168"/>
      <c r="X999" s="1168"/>
      <c r="Y999" s="1168"/>
      <c r="Z999" s="1168"/>
      <c r="AA999" s="1168"/>
      <c r="AB999" s="1168"/>
      <c r="AC999" s="1168"/>
      <c r="AD999" s="1168"/>
      <c r="AE999" s="1169"/>
      <c r="AF999" s="82"/>
      <c r="AG999" s="1384" t="s">
        <v>481</v>
      </c>
      <c r="AH999" s="1385"/>
      <c r="AI999" s="85"/>
      <c r="AJ999" s="1386">
        <f>IF(AG999="yes",AJ975*BA1000,0)</f>
        <v>0</v>
      </c>
      <c r="AK999" s="1387"/>
      <c r="AL999" s="1387"/>
      <c r="AM999" s="1387"/>
      <c r="AN999" s="1387"/>
      <c r="AO999" s="1387"/>
      <c r="AP999" s="1387"/>
      <c r="AQ999" s="1388"/>
      <c r="AR999" s="43"/>
      <c r="AS999" s="43"/>
      <c r="AT999" s="43"/>
      <c r="AU999" s="43"/>
      <c r="AV999" s="43"/>
      <c r="AW999" s="43"/>
      <c r="AX999" s="43"/>
      <c r="AY999" s="43"/>
      <c r="AZ999" s="41">
        <v>11</v>
      </c>
      <c r="BA999" s="43">
        <f t="shared" si="57"/>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29" t="s">
        <v>1987</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44" t="str">
        <f>IF(AND(AG999="Yes",BA1000=0),BA1002,"")</f>
        <v/>
      </c>
      <c r="AG1000" s="1245"/>
      <c r="AH1000" s="1245"/>
      <c r="AI1000" s="1246"/>
      <c r="AJ1000" s="1392"/>
      <c r="AK1000" s="1393"/>
      <c r="AL1000" s="1393"/>
      <c r="AM1000" s="1393"/>
      <c r="AN1000" s="1393"/>
      <c r="AO1000" s="1393"/>
      <c r="AP1000" s="1393"/>
      <c r="AQ1000" s="1394"/>
      <c r="AR1000" s="43"/>
      <c r="AS1000" s="43"/>
      <c r="AT1000" s="43"/>
      <c r="AU1000" s="43"/>
      <c r="AV1000" s="43"/>
      <c r="AW1000" s="43"/>
      <c r="AX1000" s="43"/>
      <c r="AY1000" s="43"/>
      <c r="AZ1000" s="917" t="s">
        <v>1998</v>
      </c>
      <c r="BA1000" s="956">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44"/>
      <c r="AG1001" s="1245"/>
      <c r="AH1001" s="1245"/>
      <c r="AI1001" s="1246"/>
      <c r="AJ1001" s="1392"/>
      <c r="AK1001" s="1393"/>
      <c r="AL1001" s="1393"/>
      <c r="AM1001" s="1393"/>
      <c r="AN1001" s="1393"/>
      <c r="AO1001" s="1393"/>
      <c r="AP1001" s="1393"/>
      <c r="AQ1001" s="1394"/>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4"/>
      <c r="C1002" s="860"/>
      <c r="D1002" s="1373"/>
      <c r="E1002" s="1374"/>
      <c r="F1002" s="1374"/>
      <c r="G1002" s="1374"/>
      <c r="H1002" s="1374"/>
      <c r="I1002" s="1374"/>
      <c r="J1002" s="1374"/>
      <c r="K1002" s="1374"/>
      <c r="L1002" s="1374"/>
      <c r="M1002" s="1374"/>
      <c r="N1002" s="1374"/>
      <c r="O1002" s="1374"/>
      <c r="P1002" s="1374"/>
      <c r="Q1002" s="1374"/>
      <c r="R1002" s="1374"/>
      <c r="S1002" s="1374"/>
      <c r="T1002" s="1374"/>
      <c r="U1002" s="1374"/>
      <c r="V1002" s="1374"/>
      <c r="W1002" s="1374"/>
      <c r="X1002" s="1374"/>
      <c r="Y1002" s="1374"/>
      <c r="Z1002" s="1374"/>
      <c r="AA1002" s="1374"/>
      <c r="AB1002" s="1374"/>
      <c r="AC1002" s="1374"/>
      <c r="AD1002" s="1374"/>
      <c r="AE1002" s="1375"/>
      <c r="AF1002" s="1569"/>
      <c r="AG1002" s="1570"/>
      <c r="AH1002" s="1570"/>
      <c r="AI1002" s="1571"/>
      <c r="AJ1002" s="1389"/>
      <c r="AK1002" s="1390"/>
      <c r="AL1002" s="1390"/>
      <c r="AM1002" s="1390"/>
      <c r="AN1002" s="1390"/>
      <c r="AO1002" s="1390"/>
      <c r="AP1002" s="1390"/>
      <c r="AQ1002" s="1391"/>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600</v>
      </c>
      <c r="D1003" s="1560" t="s">
        <v>1884</v>
      </c>
      <c r="E1003" s="1561"/>
      <c r="F1003" s="1561"/>
      <c r="G1003" s="1561"/>
      <c r="H1003" s="1561"/>
      <c r="I1003" s="1561"/>
      <c r="J1003" s="1561"/>
      <c r="K1003" s="1561"/>
      <c r="L1003" s="1561"/>
      <c r="M1003" s="1561"/>
      <c r="N1003" s="1561"/>
      <c r="O1003" s="1561"/>
      <c r="P1003" s="1561"/>
      <c r="Q1003" s="1561"/>
      <c r="R1003" s="1561"/>
      <c r="S1003" s="1561"/>
      <c r="T1003" s="1561"/>
      <c r="U1003" s="1561"/>
      <c r="V1003" s="1561"/>
      <c r="W1003" s="1561"/>
      <c r="X1003" s="1561"/>
      <c r="Y1003" s="1561"/>
      <c r="Z1003" s="1561"/>
      <c r="AA1003" s="1561"/>
      <c r="AB1003" s="1561"/>
      <c r="AC1003" s="1561"/>
      <c r="AD1003" s="1561"/>
      <c r="AE1003" s="1562"/>
      <c r="AF1003" s="82"/>
      <c r="AG1003" s="1384" t="s">
        <v>481</v>
      </c>
      <c r="AH1003" s="1385"/>
      <c r="AI1003" s="85"/>
      <c r="AJ1003" s="1386">
        <f>ROUND(IF(AND(AG1003="Yes",AF1006&lt;&gt;"",J1007&lt;&gt;"N/A"),MIN(AF1006,(0.15*AJ975)),0),0)</f>
        <v>0</v>
      </c>
      <c r="AK1003" s="1387"/>
      <c r="AL1003" s="1387"/>
      <c r="AM1003" s="1387"/>
      <c r="AN1003" s="1387"/>
      <c r="AO1003" s="1387"/>
      <c r="AP1003" s="1387"/>
      <c r="AQ1003" s="138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4"/>
      <c r="C1004" s="865"/>
      <c r="D1004" s="1563"/>
      <c r="E1004" s="1564"/>
      <c r="F1004" s="1564"/>
      <c r="G1004" s="1564"/>
      <c r="H1004" s="1564"/>
      <c r="I1004" s="1564"/>
      <c r="J1004" s="1564"/>
      <c r="K1004" s="1564"/>
      <c r="L1004" s="1564"/>
      <c r="M1004" s="1564"/>
      <c r="N1004" s="1564"/>
      <c r="O1004" s="1564"/>
      <c r="P1004" s="1564"/>
      <c r="Q1004" s="1564"/>
      <c r="R1004" s="1564"/>
      <c r="S1004" s="1564"/>
      <c r="T1004" s="1564"/>
      <c r="U1004" s="1564"/>
      <c r="V1004" s="1564"/>
      <c r="W1004" s="1564"/>
      <c r="X1004" s="1564"/>
      <c r="Y1004" s="1564"/>
      <c r="Z1004" s="1564"/>
      <c r="AA1004" s="1564"/>
      <c r="AB1004" s="1564"/>
      <c r="AC1004" s="1564"/>
      <c r="AD1004" s="1564"/>
      <c r="AE1004" s="1565"/>
      <c r="AF1004" s="1244" t="str">
        <f>IF(AG1003="yes","Please Select Type and Enter Amount:","")</f>
        <v/>
      </c>
      <c r="AG1004" s="1245"/>
      <c r="AH1004" s="1245"/>
      <c r="AI1004" s="1246"/>
      <c r="AJ1004" s="1392"/>
      <c r="AK1004" s="1393"/>
      <c r="AL1004" s="1393"/>
      <c r="AM1004" s="1393"/>
      <c r="AN1004" s="1393"/>
      <c r="AO1004" s="1393"/>
      <c r="AP1004" s="1393"/>
      <c r="AQ1004" s="139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4"/>
      <c r="C1005" s="865"/>
      <c r="D1005" s="1529" t="s">
        <v>1885</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44"/>
      <c r="AG1005" s="1245"/>
      <c r="AH1005" s="1245"/>
      <c r="AI1005" s="1246"/>
      <c r="AJ1005" s="1392"/>
      <c r="AK1005" s="1393"/>
      <c r="AL1005" s="1393"/>
      <c r="AM1005" s="1393"/>
      <c r="AN1005" s="1393"/>
      <c r="AO1005" s="1393"/>
      <c r="AP1005" s="1393"/>
      <c r="AQ1005" s="139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4"/>
      <c r="C1006" s="865"/>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47"/>
      <c r="AG1006" s="1247"/>
      <c r="AH1006" s="1247"/>
      <c r="AI1006" s="1247"/>
      <c r="AJ1006" s="1392"/>
      <c r="AK1006" s="1393"/>
      <c r="AL1006" s="1393"/>
      <c r="AM1006" s="1393"/>
      <c r="AN1006" s="1393"/>
      <c r="AO1006" s="1393"/>
      <c r="AP1006" s="1393"/>
      <c r="AQ1006" s="1394"/>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4"/>
      <c r="C1007" s="865"/>
      <c r="D1007" s="866" t="s">
        <v>882</v>
      </c>
      <c r="E1007" s="88"/>
      <c r="F1007" s="88"/>
      <c r="G1007" s="407"/>
      <c r="H1007" s="407"/>
      <c r="I1007" s="55"/>
      <c r="J1007" s="1566" t="s">
        <v>123</v>
      </c>
      <c r="K1007" s="1567"/>
      <c r="L1007" s="1567"/>
      <c r="M1007" s="1567"/>
      <c r="N1007" s="1567"/>
      <c r="O1007" s="1567"/>
      <c r="P1007" s="1567"/>
      <c r="Q1007" s="1567"/>
      <c r="R1007" s="1567"/>
      <c r="S1007" s="1567"/>
      <c r="T1007" s="1567"/>
      <c r="U1007" s="1567"/>
      <c r="V1007" s="1567"/>
      <c r="W1007" s="1567"/>
      <c r="X1007" s="1567"/>
      <c r="Y1007" s="1567"/>
      <c r="Z1007" s="1567"/>
      <c r="AA1007" s="1567"/>
      <c r="AB1007" s="1567"/>
      <c r="AC1007" s="1567"/>
      <c r="AD1007" s="1567"/>
      <c r="AE1007" s="1568"/>
      <c r="AF1007" s="1247"/>
      <c r="AG1007" s="1247"/>
      <c r="AH1007" s="1247"/>
      <c r="AI1007" s="1247"/>
      <c r="AJ1007" s="1389"/>
      <c r="AK1007" s="1390"/>
      <c r="AL1007" s="1390"/>
      <c r="AM1007" s="1390"/>
      <c r="AN1007" s="1390"/>
      <c r="AO1007" s="1390"/>
      <c r="AP1007" s="1390"/>
      <c r="AQ1007" s="139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572</v>
      </c>
      <c r="D1008" s="1382" t="s">
        <v>1886</v>
      </c>
      <c r="E1008" s="1239"/>
      <c r="F1008" s="1239"/>
      <c r="G1008" s="1239"/>
      <c r="H1008" s="1239"/>
      <c r="I1008" s="1239"/>
      <c r="J1008" s="1239"/>
      <c r="K1008" s="1239"/>
      <c r="L1008" s="1239"/>
      <c r="M1008" s="1239"/>
      <c r="N1008" s="1239"/>
      <c r="O1008" s="1239"/>
      <c r="P1008" s="1239"/>
      <c r="Q1008" s="1239"/>
      <c r="R1008" s="1239"/>
      <c r="S1008" s="1239"/>
      <c r="T1008" s="1239"/>
      <c r="U1008" s="1239"/>
      <c r="V1008" s="1239"/>
      <c r="W1008" s="1239"/>
      <c r="X1008" s="1239"/>
      <c r="Y1008" s="1239"/>
      <c r="Z1008" s="1239"/>
      <c r="AA1008" s="1239"/>
      <c r="AB1008" s="1239"/>
      <c r="AC1008" s="1239"/>
      <c r="AD1008" s="1239"/>
      <c r="AE1008" s="1383"/>
      <c r="AF1008" s="82"/>
      <c r="AG1008" s="1384" t="s">
        <v>107</v>
      </c>
      <c r="AH1008" s="1385"/>
      <c r="AI1008" s="85"/>
      <c r="AJ1008" s="1386">
        <f>ROUND(IF(AG1008="Yes",AF1010,0),0)</f>
        <v>1619383</v>
      </c>
      <c r="AK1008" s="1387"/>
      <c r="AL1008" s="1387"/>
      <c r="AM1008" s="1387"/>
      <c r="AN1008" s="1387"/>
      <c r="AO1008" s="1387"/>
      <c r="AP1008" s="1387"/>
      <c r="AQ1008" s="138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29" t="s">
        <v>1988</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48" t="str">
        <f>IF(AG1008="yes","Please Enter Amount:","")</f>
        <v>Please Enter Amount:</v>
      </c>
      <c r="AG1009" s="1249"/>
      <c r="AH1009" s="1249"/>
      <c r="AI1009" s="1250"/>
      <c r="AJ1009" s="1392"/>
      <c r="AK1009" s="1393"/>
      <c r="AL1009" s="1393"/>
      <c r="AM1009" s="1393"/>
      <c r="AN1009" s="1393"/>
      <c r="AO1009" s="1393"/>
      <c r="AP1009" s="1393"/>
      <c r="AQ1009" s="139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47">
        <f>'Sources and Uses Budget'!B84</f>
        <v>1619383</v>
      </c>
      <c r="AG1010" s="1247"/>
      <c r="AH1010" s="1247"/>
      <c r="AI1010" s="1247"/>
      <c r="AJ1010" s="1392"/>
      <c r="AK1010" s="1393"/>
      <c r="AL1010" s="1393"/>
      <c r="AM1010" s="1393"/>
      <c r="AN1010" s="1393"/>
      <c r="AO1010" s="1393"/>
      <c r="AP1010" s="1393"/>
      <c r="AQ1010" s="139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3"/>
      <c r="C1011" s="865"/>
      <c r="D1011" s="1373"/>
      <c r="E1011" s="1374"/>
      <c r="F1011" s="1374"/>
      <c r="G1011" s="1374"/>
      <c r="H1011" s="1374"/>
      <c r="I1011" s="1374"/>
      <c r="J1011" s="1374"/>
      <c r="K1011" s="1374"/>
      <c r="L1011" s="1374"/>
      <c r="M1011" s="1374"/>
      <c r="N1011" s="1374"/>
      <c r="O1011" s="1374"/>
      <c r="P1011" s="1374"/>
      <c r="Q1011" s="1374"/>
      <c r="R1011" s="1374"/>
      <c r="S1011" s="1374"/>
      <c r="T1011" s="1374"/>
      <c r="U1011" s="1374"/>
      <c r="V1011" s="1374"/>
      <c r="W1011" s="1374"/>
      <c r="X1011" s="1374"/>
      <c r="Y1011" s="1374"/>
      <c r="Z1011" s="1374"/>
      <c r="AA1011" s="1374"/>
      <c r="AB1011" s="1374"/>
      <c r="AC1011" s="1374"/>
      <c r="AD1011" s="1374"/>
      <c r="AE1011" s="1375"/>
      <c r="AF1011" s="1247"/>
      <c r="AG1011" s="1247"/>
      <c r="AH1011" s="1247"/>
      <c r="AI1011" s="1247"/>
      <c r="AJ1011" s="1389"/>
      <c r="AK1011" s="1390"/>
      <c r="AL1011" s="1390"/>
      <c r="AM1011" s="1390"/>
      <c r="AN1011" s="1390"/>
      <c r="AO1011" s="1390"/>
      <c r="AP1011" s="1390"/>
      <c r="AQ1011" s="1391"/>
      <c r="AT1011" s="43"/>
      <c r="AU1011" s="43"/>
      <c r="AV1011" s="43"/>
      <c r="AW1011" s="43"/>
      <c r="AX1011" s="38"/>
      <c r="AY1011" s="38"/>
      <c r="AZ1011" s="21"/>
      <c r="BA1011" s="21"/>
      <c r="BB1011" s="21"/>
      <c r="BC1011" s="43"/>
      <c r="BD1011" s="43"/>
    </row>
    <row r="1012" spans="1:97" ht="12.9" customHeight="1">
      <c r="A1012" s="21"/>
      <c r="B1012" s="82"/>
      <c r="C1012" s="552" t="s">
        <v>577</v>
      </c>
      <c r="D1012" s="1167" t="s">
        <v>1887</v>
      </c>
      <c r="E1012" s="1168"/>
      <c r="F1012" s="1168"/>
      <c r="G1012" s="1168"/>
      <c r="H1012" s="1168"/>
      <c r="I1012" s="1168"/>
      <c r="J1012" s="1168"/>
      <c r="K1012" s="1168"/>
      <c r="L1012" s="1168"/>
      <c r="M1012" s="1168"/>
      <c r="N1012" s="1168"/>
      <c r="O1012" s="1168"/>
      <c r="P1012" s="1168"/>
      <c r="Q1012" s="1168"/>
      <c r="R1012" s="1168"/>
      <c r="S1012" s="1168"/>
      <c r="T1012" s="1168"/>
      <c r="U1012" s="1168"/>
      <c r="V1012" s="1168"/>
      <c r="W1012" s="1168"/>
      <c r="X1012" s="1168"/>
      <c r="Y1012" s="1168"/>
      <c r="Z1012" s="1168"/>
      <c r="AA1012" s="1168"/>
      <c r="AB1012" s="1168"/>
      <c r="AC1012" s="1168"/>
      <c r="AD1012" s="1168"/>
      <c r="AE1012" s="1169"/>
      <c r="AF1012" s="82"/>
      <c r="AG1012" s="1384" t="s">
        <v>107</v>
      </c>
      <c r="AH1012" s="1385"/>
      <c r="AI1012" s="85"/>
      <c r="AJ1012" s="1386">
        <f>ROUND(IF(AG1012="yes",(AJ975*0.1),0),0)</f>
        <v>1935288</v>
      </c>
      <c r="AK1012" s="1387"/>
      <c r="AL1012" s="1387"/>
      <c r="AM1012" s="1387"/>
      <c r="AN1012" s="1387"/>
      <c r="AO1012" s="1387"/>
      <c r="AP1012" s="1387"/>
      <c r="AQ1012" s="1388"/>
      <c r="AT1012" s="43"/>
      <c r="AU1012" s="43"/>
      <c r="AV1012" s="43"/>
      <c r="AW1012" s="43"/>
      <c r="AX1012" s="38"/>
      <c r="AY1012" s="38"/>
      <c r="AZ1012" s="21"/>
      <c r="BA1012" s="21"/>
      <c r="BB1012" s="21"/>
      <c r="BC1012" s="43"/>
      <c r="BD1012" s="43"/>
    </row>
    <row r="1013" spans="1:97" ht="12.9" customHeight="1">
      <c r="A1013" s="21"/>
      <c r="B1013" s="79"/>
      <c r="C1013" s="553"/>
      <c r="D1013" s="1529" t="s">
        <v>1888</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92"/>
      <c r="AK1013" s="1393"/>
      <c r="AL1013" s="1393"/>
      <c r="AM1013" s="1393"/>
      <c r="AN1013" s="1393"/>
      <c r="AO1013" s="1393"/>
      <c r="AP1013" s="1393"/>
      <c r="AQ1013" s="1394"/>
      <c r="AT1013" s="43"/>
      <c r="AU1013" s="43"/>
      <c r="AV1013" s="43"/>
      <c r="AW1013" s="43"/>
      <c r="AX1013" s="38"/>
      <c r="AY1013" s="38"/>
      <c r="AZ1013" s="21"/>
      <c r="BA1013" s="21"/>
      <c r="BB1013" s="21"/>
      <c r="BC1013" s="43"/>
      <c r="BD1013" s="43"/>
    </row>
    <row r="1014" spans="1:97" ht="12.9" customHeight="1">
      <c r="A1014" s="551"/>
      <c r="B1014" s="80"/>
      <c r="C1014" s="553"/>
      <c r="D1014" s="1373"/>
      <c r="E1014" s="1374"/>
      <c r="F1014" s="1374"/>
      <c r="G1014" s="1374"/>
      <c r="H1014" s="1374"/>
      <c r="I1014" s="1374"/>
      <c r="J1014" s="1374"/>
      <c r="K1014" s="1374"/>
      <c r="L1014" s="1374"/>
      <c r="M1014" s="1374"/>
      <c r="N1014" s="1374"/>
      <c r="O1014" s="1374"/>
      <c r="P1014" s="1374"/>
      <c r="Q1014" s="1374"/>
      <c r="R1014" s="1374"/>
      <c r="S1014" s="1374"/>
      <c r="T1014" s="1374"/>
      <c r="U1014" s="1374"/>
      <c r="V1014" s="1374"/>
      <c r="W1014" s="1374"/>
      <c r="X1014" s="1374"/>
      <c r="Y1014" s="1374"/>
      <c r="Z1014" s="1374"/>
      <c r="AA1014" s="1374"/>
      <c r="AB1014" s="1374"/>
      <c r="AC1014" s="1374"/>
      <c r="AD1014" s="1374"/>
      <c r="AE1014" s="1375"/>
      <c r="AF1014" s="79"/>
      <c r="AG1014" s="21"/>
      <c r="AH1014" s="21"/>
      <c r="AI1014" s="83"/>
      <c r="AJ1014" s="1389"/>
      <c r="AK1014" s="1390"/>
      <c r="AL1014" s="1390"/>
      <c r="AM1014" s="1390"/>
      <c r="AN1014" s="1390"/>
      <c r="AO1014" s="1390"/>
      <c r="AP1014" s="1390"/>
      <c r="AQ1014" s="1391"/>
      <c r="AT1014" s="43"/>
      <c r="AU1014" s="43"/>
      <c r="AV1014" s="43"/>
      <c r="AW1014" s="43"/>
      <c r="AX1014" s="38"/>
      <c r="AY1014" s="38"/>
      <c r="AZ1014" s="21"/>
      <c r="BA1014" s="21"/>
      <c r="BB1014" s="21"/>
      <c r="BC1014" s="43"/>
      <c r="BD1014" s="43"/>
    </row>
    <row r="1015" spans="1:97" ht="12.9" customHeight="1">
      <c r="A1015" s="551"/>
      <c r="B1015" s="79"/>
      <c r="C1015" s="552" t="s">
        <v>580</v>
      </c>
      <c r="D1015" s="1382" t="s">
        <v>1989</v>
      </c>
      <c r="E1015" s="1239"/>
      <c r="F1015" s="1239"/>
      <c r="G1015" s="1239"/>
      <c r="H1015" s="1239"/>
      <c r="I1015" s="1239"/>
      <c r="J1015" s="1239"/>
      <c r="K1015" s="1239"/>
      <c r="L1015" s="1239"/>
      <c r="M1015" s="1239"/>
      <c r="N1015" s="1239"/>
      <c r="O1015" s="1239"/>
      <c r="P1015" s="1239"/>
      <c r="Q1015" s="1239"/>
      <c r="R1015" s="1239"/>
      <c r="S1015" s="1239"/>
      <c r="T1015" s="1239"/>
      <c r="U1015" s="1239"/>
      <c r="V1015" s="1239"/>
      <c r="W1015" s="1239"/>
      <c r="X1015" s="1239"/>
      <c r="Y1015" s="1239"/>
      <c r="Z1015" s="1239"/>
      <c r="AA1015" s="1239"/>
      <c r="AB1015" s="1239"/>
      <c r="AC1015" s="1239"/>
      <c r="AD1015" s="1239"/>
      <c r="AE1015" s="1383"/>
      <c r="AF1015" s="82"/>
      <c r="AG1015" s="1384" t="s">
        <v>481</v>
      </c>
      <c r="AH1015" s="1385"/>
      <c r="AI1015" s="85"/>
      <c r="AJ1015" s="1386">
        <f>ROUND(IF(AG1015="yes",(AJ975*0.15),0),0)</f>
        <v>0</v>
      </c>
      <c r="AK1015" s="1387"/>
      <c r="AL1015" s="1387"/>
      <c r="AM1015" s="1387"/>
      <c r="AN1015" s="1387"/>
      <c r="AO1015" s="1387"/>
      <c r="AP1015" s="1387"/>
      <c r="AQ1015" s="1388"/>
      <c r="AT1015" s="43"/>
      <c r="AU1015" s="43"/>
      <c r="AV1015" s="43"/>
      <c r="AW1015" s="43"/>
      <c r="AX1015" s="43"/>
      <c r="AY1015" s="43"/>
      <c r="AZ1015" s="43"/>
      <c r="BA1015" s="43"/>
      <c r="BB1015" s="43"/>
      <c r="BC1015" s="43"/>
      <c r="BD1015" s="43"/>
    </row>
    <row r="1016" spans="1:97" ht="12.9" customHeight="1">
      <c r="A1016" s="551"/>
      <c r="B1016" s="79"/>
      <c r="C1016" s="553"/>
      <c r="D1016" s="1543" t="s">
        <v>1990</v>
      </c>
      <c r="E1016" s="989"/>
      <c r="F1016" s="989"/>
      <c r="G1016" s="989"/>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1544"/>
      <c r="AF1016" s="867"/>
      <c r="AG1016" s="868"/>
      <c r="AH1016" s="868"/>
      <c r="AI1016" s="869"/>
      <c r="AJ1016" s="1392"/>
      <c r="AK1016" s="1393"/>
      <c r="AL1016" s="1393"/>
      <c r="AM1016" s="1393"/>
      <c r="AN1016" s="1393"/>
      <c r="AO1016" s="1393"/>
      <c r="AP1016" s="1393"/>
      <c r="AQ1016" s="1394"/>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3"/>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44"/>
      <c r="AF1017" s="867"/>
      <c r="AG1017" s="868"/>
      <c r="AH1017" s="868"/>
      <c r="AI1017" s="869"/>
      <c r="AJ1017" s="1392"/>
      <c r="AK1017" s="1393"/>
      <c r="AL1017" s="1393"/>
      <c r="AM1017" s="1393"/>
      <c r="AN1017" s="1393"/>
      <c r="AO1017" s="1393"/>
      <c r="AP1017" s="1393"/>
      <c r="AQ1017" s="139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5"/>
      <c r="E1018" s="1546"/>
      <c r="F1018" s="1546"/>
      <c r="G1018" s="1546"/>
      <c r="H1018" s="1546"/>
      <c r="I1018" s="1546"/>
      <c r="J1018" s="1546"/>
      <c r="K1018" s="1546"/>
      <c r="L1018" s="1546"/>
      <c r="M1018" s="1546"/>
      <c r="N1018" s="1546"/>
      <c r="O1018" s="1546"/>
      <c r="P1018" s="1546"/>
      <c r="Q1018" s="1546"/>
      <c r="R1018" s="1546"/>
      <c r="S1018" s="1546"/>
      <c r="T1018" s="1546"/>
      <c r="U1018" s="1546"/>
      <c r="V1018" s="1546"/>
      <c r="W1018" s="1546"/>
      <c r="X1018" s="1546"/>
      <c r="Y1018" s="1546"/>
      <c r="Z1018" s="1546"/>
      <c r="AA1018" s="1546"/>
      <c r="AB1018" s="1546"/>
      <c r="AC1018" s="1546"/>
      <c r="AD1018" s="1546"/>
      <c r="AE1018" s="1547"/>
      <c r="AF1018" s="870"/>
      <c r="AG1018" s="871"/>
      <c r="AH1018" s="871"/>
      <c r="AI1018" s="872"/>
      <c r="AJ1018" s="1389"/>
      <c r="AK1018" s="1390"/>
      <c r="AL1018" s="1390"/>
      <c r="AM1018" s="1390"/>
      <c r="AN1018" s="1390"/>
      <c r="AO1018" s="1390"/>
      <c r="AP1018" s="1390"/>
      <c r="AQ1018" s="139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580</v>
      </c>
      <c r="D1019" s="1167" t="s">
        <v>1991</v>
      </c>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1557" t="s">
        <v>481</v>
      </c>
      <c r="AH1019" s="1558"/>
      <c r="AI1019" s="83"/>
      <c r="AJ1019" s="1386">
        <f>ROUND(IF(AG1019="yes",(AJ975*0.1),0),0)</f>
        <v>0</v>
      </c>
      <c r="AK1019" s="1387"/>
      <c r="AL1019" s="1387"/>
      <c r="AM1019" s="1387"/>
      <c r="AN1019" s="1387"/>
      <c r="AO1019" s="1387"/>
      <c r="AP1019" s="1387"/>
      <c r="AQ1019" s="138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3" t="s">
        <v>1992</v>
      </c>
      <c r="E1020" s="989"/>
      <c r="F1020" s="989"/>
      <c r="G1020" s="989"/>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1544"/>
      <c r="AF1020" s="79"/>
      <c r="AG1020" s="21"/>
      <c r="AH1020" s="21"/>
      <c r="AI1020" s="83"/>
      <c r="AJ1020" s="1392"/>
      <c r="AK1020" s="1393"/>
      <c r="AL1020" s="1393"/>
      <c r="AM1020" s="1393"/>
      <c r="AN1020" s="1393"/>
      <c r="AO1020" s="1393"/>
      <c r="AP1020" s="1393"/>
      <c r="AQ1020" s="139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3"/>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44"/>
      <c r="AF1021" s="79"/>
      <c r="AG1021" s="21"/>
      <c r="AH1021" s="21"/>
      <c r="AI1021" s="83"/>
      <c r="AJ1021" s="1392"/>
      <c r="AK1021" s="1393"/>
      <c r="AL1021" s="1393"/>
      <c r="AM1021" s="1393"/>
      <c r="AN1021" s="1393"/>
      <c r="AO1021" s="1393"/>
      <c r="AP1021" s="1393"/>
      <c r="AQ1021" s="139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3"/>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44"/>
      <c r="AF1022" s="79"/>
      <c r="AG1022" s="21"/>
      <c r="AH1022" s="21"/>
      <c r="AI1022" s="83"/>
      <c r="AJ1022" s="1392"/>
      <c r="AK1022" s="1393"/>
      <c r="AL1022" s="1393"/>
      <c r="AM1022" s="1393"/>
      <c r="AN1022" s="1393"/>
      <c r="AO1022" s="1393"/>
      <c r="AP1022" s="1393"/>
      <c r="AQ1022" s="139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5"/>
      <c r="E1023" s="1546"/>
      <c r="F1023" s="1546"/>
      <c r="G1023" s="1546"/>
      <c r="H1023" s="1546"/>
      <c r="I1023" s="1546"/>
      <c r="J1023" s="1546"/>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79"/>
      <c r="AG1023" s="21"/>
      <c r="AH1023" s="21"/>
      <c r="AI1023" s="83"/>
      <c r="AJ1023" s="1392"/>
      <c r="AK1023" s="1393"/>
      <c r="AL1023" s="1393"/>
      <c r="AM1023" s="1393"/>
      <c r="AN1023" s="1393"/>
      <c r="AO1023" s="1393"/>
      <c r="AP1023" s="1393"/>
      <c r="AQ1023" s="139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3" t="s">
        <v>1993</v>
      </c>
      <c r="D1024" s="1382" t="s">
        <v>1889</v>
      </c>
      <c r="E1024" s="1239"/>
      <c r="F1024" s="1239"/>
      <c r="G1024" s="1239"/>
      <c r="H1024" s="1239"/>
      <c r="I1024" s="1239"/>
      <c r="J1024" s="1239"/>
      <c r="K1024" s="1239"/>
      <c r="L1024" s="1239"/>
      <c r="M1024" s="1239"/>
      <c r="N1024" s="1239"/>
      <c r="O1024" s="1239"/>
      <c r="P1024" s="1239"/>
      <c r="Q1024" s="1239"/>
      <c r="R1024" s="1239"/>
      <c r="S1024" s="1239"/>
      <c r="T1024" s="1239"/>
      <c r="U1024" s="1239"/>
      <c r="V1024" s="1239"/>
      <c r="W1024" s="1239"/>
      <c r="X1024" s="1239"/>
      <c r="Y1024" s="1239"/>
      <c r="Z1024" s="1239"/>
      <c r="AA1024" s="1239"/>
      <c r="AB1024" s="1239"/>
      <c r="AC1024" s="1239"/>
      <c r="AD1024" s="1239"/>
      <c r="AE1024" s="1383"/>
      <c r="AF1024" s="82"/>
      <c r="AG1024" s="1384" t="s">
        <v>481</v>
      </c>
      <c r="AH1024" s="1385"/>
      <c r="AI1024" s="85"/>
      <c r="AJ1024" s="1386">
        <f>ROUND(IF(AG1024="yes",(AJ975*0.1),0),0)</f>
        <v>0</v>
      </c>
      <c r="AK1024" s="1387"/>
      <c r="AL1024" s="1387"/>
      <c r="AM1024" s="1387"/>
      <c r="AN1024" s="1387"/>
      <c r="AO1024" s="1387"/>
      <c r="AP1024" s="1387"/>
      <c r="AQ1024" s="138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29" t="s">
        <v>2197</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92"/>
      <c r="AK1025" s="1393"/>
      <c r="AL1025" s="1393"/>
      <c r="AM1025" s="1393"/>
      <c r="AN1025" s="1393"/>
      <c r="AO1025" s="1393"/>
      <c r="AP1025" s="1393"/>
      <c r="AQ1025" s="139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92"/>
      <c r="AK1026" s="1393"/>
      <c r="AL1026" s="1393"/>
      <c r="AM1026" s="1393"/>
      <c r="AN1026" s="1393"/>
      <c r="AO1026" s="1393"/>
      <c r="AP1026" s="1393"/>
      <c r="AQ1026" s="139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73"/>
      <c r="E1027" s="1374"/>
      <c r="F1027" s="1374"/>
      <c r="G1027" s="1374"/>
      <c r="H1027" s="1374"/>
      <c r="I1027" s="1374"/>
      <c r="J1027" s="1374"/>
      <c r="K1027" s="1374"/>
      <c r="L1027" s="1374"/>
      <c r="M1027" s="1374"/>
      <c r="N1027" s="1374"/>
      <c r="O1027" s="1374"/>
      <c r="P1027" s="1374"/>
      <c r="Q1027" s="1374"/>
      <c r="R1027" s="1374"/>
      <c r="S1027" s="1374"/>
      <c r="T1027" s="1374"/>
      <c r="U1027" s="1374"/>
      <c r="V1027" s="1374"/>
      <c r="W1027" s="1374"/>
      <c r="X1027" s="1374"/>
      <c r="Y1027" s="1374"/>
      <c r="Z1027" s="1374"/>
      <c r="AA1027" s="1374"/>
      <c r="AB1027" s="1374"/>
      <c r="AC1027" s="1374"/>
      <c r="AD1027" s="1374"/>
      <c r="AE1027" s="1375"/>
      <c r="AF1027" s="79"/>
      <c r="AG1027" s="21"/>
      <c r="AH1027" s="21"/>
      <c r="AI1027" s="83"/>
      <c r="AJ1027" s="1389"/>
      <c r="AK1027" s="1390"/>
      <c r="AL1027" s="1390"/>
      <c r="AM1027" s="1390"/>
      <c r="AN1027" s="1390"/>
      <c r="AO1027" s="1390"/>
      <c r="AP1027" s="1390"/>
      <c r="AQ1027" s="139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4"/>
      <c r="D1028" s="1224" t="s">
        <v>747</v>
      </c>
      <c r="E1028" s="1224"/>
      <c r="F1028" s="1224"/>
      <c r="G1028" s="1224"/>
      <c r="H1028" s="1224"/>
      <c r="I1028" s="1224"/>
      <c r="J1028" s="1224"/>
      <c r="K1028" s="1224"/>
      <c r="L1028" s="1224"/>
      <c r="M1028" s="1224"/>
      <c r="N1028" s="1224"/>
      <c r="O1028" s="1224"/>
      <c r="P1028" s="1224"/>
      <c r="Q1028" s="1224"/>
      <c r="R1028" s="1224"/>
      <c r="S1028" s="1224"/>
      <c r="T1028" s="1224"/>
      <c r="U1028" s="1224"/>
      <c r="V1028" s="1224"/>
      <c r="W1028" s="1224"/>
      <c r="X1028" s="1224"/>
      <c r="Y1028" s="1224"/>
      <c r="Z1028" s="1224"/>
      <c r="AA1028" s="1224"/>
      <c r="AB1028" s="1224"/>
      <c r="AC1028" s="1224"/>
      <c r="AD1028" s="1224"/>
      <c r="AE1028" s="1224"/>
      <c r="AF1028" s="1224"/>
      <c r="AG1028" s="1224"/>
      <c r="AH1028" s="1224"/>
      <c r="AI1028" s="1225"/>
      <c r="AJ1028" s="1164">
        <f>SUM(AJ975:AQ1027)</f>
        <v>26778122</v>
      </c>
      <c r="AK1028" s="1165"/>
      <c r="AL1028" s="1165"/>
      <c r="AM1028" s="1165"/>
      <c r="AN1028" s="1165"/>
      <c r="AO1028" s="1165"/>
      <c r="AP1028" s="1165"/>
      <c r="AQ1028" s="116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9">
        <f>'Sources and Uses Budget'!S106+'Sources and Uses Budget'!T106</f>
        <v>34274148</v>
      </c>
      <c r="Y1032" s="1459"/>
      <c r="Z1032" s="1459"/>
      <c r="AA1032" s="1459"/>
      <c r="AB1032" s="1459"/>
      <c r="AC1032" s="145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55">
        <f>IFERROR(X1032/AJ1028,"")</f>
        <v>1.2799309824639682</v>
      </c>
      <c r="Y1033" s="1456"/>
      <c r="Z1033" s="1456"/>
      <c r="AA1033" s="1456"/>
      <c r="AB1033" s="1456"/>
      <c r="AC1033" s="145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3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39"/>
      <c r="F1034" s="1239"/>
      <c r="G1034" s="1239"/>
      <c r="H1034" s="1239"/>
      <c r="I1034" s="1239"/>
      <c r="J1034" s="1239"/>
      <c r="K1034" s="1239"/>
      <c r="L1034" s="1239"/>
      <c r="M1034" s="1239"/>
      <c r="N1034" s="1239"/>
      <c r="O1034" s="1239"/>
      <c r="P1034" s="1239"/>
      <c r="Q1034" s="1239"/>
      <c r="R1034" s="1239"/>
      <c r="S1034" s="1239"/>
      <c r="T1034" s="1239"/>
      <c r="U1034" s="1239"/>
      <c r="V1034" s="1239"/>
      <c r="W1034" s="1239"/>
      <c r="X1034" s="1239"/>
      <c r="Y1034" s="1239"/>
      <c r="Z1034" s="1239"/>
      <c r="AA1034" s="1239"/>
      <c r="AB1034" s="1239"/>
      <c r="AC1034" s="1239"/>
      <c r="AD1034" s="1239"/>
      <c r="AE1034" s="1239"/>
      <c r="AF1034" s="1239"/>
      <c r="AG1034" s="1239"/>
      <c r="AH1034" s="1239"/>
      <c r="AI1034" s="1239"/>
      <c r="AJ1034" s="1239"/>
      <c r="AK1034" s="123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39"/>
      <c r="E1035" s="1239"/>
      <c r="F1035" s="1239"/>
      <c r="G1035" s="1239"/>
      <c r="H1035" s="1239"/>
      <c r="I1035" s="1239"/>
      <c r="J1035" s="1239"/>
      <c r="K1035" s="1239"/>
      <c r="L1035" s="1239"/>
      <c r="M1035" s="1239"/>
      <c r="N1035" s="1239"/>
      <c r="O1035" s="1239"/>
      <c r="P1035" s="1239"/>
      <c r="Q1035" s="1239"/>
      <c r="R1035" s="1239"/>
      <c r="S1035" s="1239"/>
      <c r="T1035" s="1239"/>
      <c r="U1035" s="1239"/>
      <c r="V1035" s="1239"/>
      <c r="W1035" s="1239"/>
      <c r="X1035" s="1239"/>
      <c r="Y1035" s="1239"/>
      <c r="Z1035" s="1239"/>
      <c r="AA1035" s="1239"/>
      <c r="AB1035" s="1239"/>
      <c r="AC1035" s="1239"/>
      <c r="AD1035" s="1239"/>
      <c r="AE1035" s="1239"/>
      <c r="AF1035" s="1239"/>
      <c r="AG1035" s="1239"/>
      <c r="AH1035" s="1239"/>
      <c r="AI1035" s="1239"/>
      <c r="AJ1035" s="1239"/>
      <c r="AK1035" s="123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39"/>
      <c r="E1036" s="1239"/>
      <c r="F1036" s="1239"/>
      <c r="G1036" s="1239"/>
      <c r="H1036" s="1239"/>
      <c r="I1036" s="1239"/>
      <c r="J1036" s="1239"/>
      <c r="K1036" s="1239"/>
      <c r="L1036" s="1239"/>
      <c r="M1036" s="1239"/>
      <c r="N1036" s="1239"/>
      <c r="O1036" s="1239"/>
      <c r="P1036" s="1239"/>
      <c r="Q1036" s="1239"/>
      <c r="R1036" s="1239"/>
      <c r="S1036" s="1239"/>
      <c r="T1036" s="1239"/>
      <c r="U1036" s="1239"/>
      <c r="V1036" s="1239"/>
      <c r="W1036" s="1239"/>
      <c r="X1036" s="1239"/>
      <c r="Y1036" s="1239"/>
      <c r="Z1036" s="1239"/>
      <c r="AA1036" s="1239"/>
      <c r="AB1036" s="1239"/>
      <c r="AC1036" s="1239"/>
      <c r="AD1036" s="1239"/>
      <c r="AE1036" s="1239"/>
      <c r="AF1036" s="1239"/>
      <c r="AG1036" s="1239"/>
      <c r="AH1036" s="1239"/>
      <c r="AI1036" s="1239"/>
      <c r="AJ1036" s="1239"/>
      <c r="AK1036" s="123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58"/>
      <c r="C1039" s="1458"/>
      <c r="D1039" s="1458"/>
      <c r="E1039" s="1458"/>
      <c r="F1039" s="1458"/>
      <c r="G1039" s="1458"/>
      <c r="H1039" s="1458"/>
      <c r="I1039" s="1458"/>
      <c r="J1039" s="1458"/>
      <c r="K1039" s="1458"/>
      <c r="L1039" s="1458"/>
      <c r="M1039" s="1458"/>
      <c r="N1039" s="1458"/>
      <c r="O1039" s="1458"/>
      <c r="P1039" s="1458"/>
      <c r="Q1039" s="1458"/>
      <c r="R1039" s="1458"/>
      <c r="S1039" s="1458"/>
      <c r="T1039" s="1458"/>
      <c r="U1039" s="1458"/>
      <c r="V1039" s="1458"/>
      <c r="W1039" s="1458"/>
      <c r="X1039" s="1458"/>
      <c r="Y1039" s="1458"/>
      <c r="Z1039" s="1458"/>
      <c r="AA1039" s="1458"/>
      <c r="AB1039" s="1458"/>
      <c r="AC1039" s="1458"/>
      <c r="AD1039" s="1458"/>
      <c r="AE1039" s="1458"/>
      <c r="AF1039" s="1458"/>
      <c r="AG1039" s="1458"/>
      <c r="AH1039" s="1458"/>
      <c r="AI1039" s="1458"/>
      <c r="AJ1039" s="1458"/>
      <c r="AK1039" s="145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59" t="s">
        <v>988</v>
      </c>
      <c r="B1040" s="1559"/>
      <c r="C1040" s="1559"/>
      <c r="D1040" s="1559"/>
      <c r="E1040" s="1559"/>
      <c r="F1040" s="1559"/>
      <c r="G1040" s="1559"/>
      <c r="H1040" s="1559"/>
      <c r="I1040" s="1559"/>
      <c r="J1040" s="1559"/>
      <c r="K1040" s="1559"/>
      <c r="L1040" s="1559"/>
      <c r="M1040" s="1559"/>
      <c r="N1040" s="1559"/>
      <c r="O1040" s="1559"/>
      <c r="P1040" s="1559"/>
      <c r="Q1040" s="1559"/>
      <c r="R1040" s="1559"/>
      <c r="S1040" s="1559"/>
      <c r="T1040" s="1559"/>
      <c r="U1040" s="1559"/>
      <c r="V1040" s="1559"/>
      <c r="W1040" s="1559"/>
      <c r="X1040" s="1559"/>
      <c r="Y1040" s="1559"/>
      <c r="Z1040" s="1559"/>
      <c r="AA1040" s="1559"/>
      <c r="AB1040" s="1559"/>
      <c r="AC1040" s="1559"/>
      <c r="AD1040" s="1559"/>
      <c r="AE1040" s="1559"/>
      <c r="AF1040" s="1559"/>
      <c r="AG1040" s="1559"/>
      <c r="AH1040" s="1559"/>
      <c r="AI1040" s="1559"/>
      <c r="AJ1040" s="1559"/>
      <c r="AK1040" s="1559"/>
      <c r="AL1040" s="1559"/>
      <c r="AM1040" s="1559"/>
      <c r="AN1040" s="1559"/>
      <c r="AO1040" s="1559"/>
      <c r="AP1040" s="1559"/>
      <c r="AQ1040" s="1559"/>
      <c r="AR1040" s="1559"/>
      <c r="AS1040" s="1559"/>
      <c r="AT1040" s="155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44" t="s">
        <v>123</v>
      </c>
      <c r="B1044" s="1144"/>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44" t="s">
        <v>123</v>
      </c>
      <c r="B1046" s="1144"/>
      <c r="C1046" s="1">
        <v>2</v>
      </c>
      <c r="D1046" s="1068" t="s">
        <v>2309</v>
      </c>
      <c r="E1046" s="1068"/>
      <c r="F1046" s="1068"/>
      <c r="G1046" s="1068"/>
      <c r="H1046" s="1068"/>
      <c r="I1046" s="1068"/>
      <c r="J1046" s="1068"/>
      <c r="K1046" s="1068"/>
      <c r="L1046" s="1068"/>
      <c r="M1046" s="1068"/>
      <c r="N1046" s="1068"/>
      <c r="O1046" s="1068"/>
      <c r="P1046" s="1068"/>
      <c r="Q1046" s="1068"/>
      <c r="R1046" s="1068"/>
      <c r="S1046" s="1068"/>
      <c r="T1046" s="1068"/>
      <c r="U1046" s="1068"/>
      <c r="V1046" s="1068"/>
      <c r="W1046" s="1068"/>
      <c r="X1046" s="1068"/>
      <c r="Y1046" s="1068"/>
      <c r="Z1046" s="1068"/>
      <c r="AA1046" s="1068"/>
      <c r="AB1046" s="1068"/>
      <c r="AC1046" s="1068"/>
      <c r="AD1046" s="1068"/>
      <c r="AE1046" s="1068"/>
      <c r="AF1046" s="1068"/>
      <c r="AG1046" s="1068"/>
      <c r="AH1046" s="1068"/>
      <c r="AI1046" s="1068"/>
      <c r="AJ1046" s="1068"/>
      <c r="AK1046" s="1068"/>
      <c r="AL1046" s="1068"/>
      <c r="AM1046" s="1068"/>
      <c r="AN1046" s="1068"/>
      <c r="AO1046" s="1068"/>
      <c r="AP1046" s="1068"/>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8"/>
      <c r="E1047" s="1068"/>
      <c r="F1047" s="1068"/>
      <c r="G1047" s="1068"/>
      <c r="H1047" s="1068"/>
      <c r="I1047" s="1068"/>
      <c r="J1047" s="1068"/>
      <c r="K1047" s="1068"/>
      <c r="L1047" s="1068"/>
      <c r="M1047" s="1068"/>
      <c r="N1047" s="1068"/>
      <c r="O1047" s="1068"/>
      <c r="P1047" s="1068"/>
      <c r="Q1047" s="1068"/>
      <c r="R1047" s="1068"/>
      <c r="S1047" s="1068"/>
      <c r="T1047" s="1068"/>
      <c r="U1047" s="1068"/>
      <c r="V1047" s="1068"/>
      <c r="W1047" s="1068"/>
      <c r="X1047" s="1068"/>
      <c r="Y1047" s="1068"/>
      <c r="Z1047" s="1068"/>
      <c r="AA1047" s="1068"/>
      <c r="AB1047" s="1068"/>
      <c r="AC1047" s="1068"/>
      <c r="AD1047" s="1068"/>
      <c r="AE1047" s="1068"/>
      <c r="AF1047" s="1068"/>
      <c r="AG1047" s="1068"/>
      <c r="AH1047" s="1068"/>
      <c r="AI1047" s="1068"/>
      <c r="AJ1047" s="1068"/>
      <c r="AK1047" s="1068"/>
      <c r="AL1047" s="1068"/>
      <c r="AM1047" s="1068"/>
      <c r="AN1047" s="1068"/>
      <c r="AO1047" s="1068"/>
      <c r="AP1047" s="1068"/>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44" t="s">
        <v>123</v>
      </c>
      <c r="B1049" s="1144"/>
      <c r="C1049" s="1">
        <v>3</v>
      </c>
      <c r="D1049" s="986" t="s">
        <v>2310</v>
      </c>
      <c r="E1049" s="986"/>
      <c r="F1049" s="986"/>
      <c r="G1049" s="986"/>
      <c r="H1049" s="986"/>
      <c r="I1049" s="986"/>
      <c r="J1049" s="986"/>
      <c r="K1049" s="986"/>
      <c r="L1049" s="986"/>
      <c r="M1049" s="986"/>
      <c r="N1049" s="986"/>
      <c r="O1049" s="986"/>
      <c r="P1049" s="986"/>
      <c r="Q1049" s="986"/>
      <c r="R1049" s="986"/>
      <c r="S1049" s="986"/>
      <c r="T1049" s="986"/>
      <c r="U1049" s="986"/>
      <c r="V1049" s="986"/>
      <c r="W1049" s="986"/>
      <c r="X1049" s="986"/>
      <c r="Y1049" s="986"/>
      <c r="Z1049" s="986"/>
      <c r="AA1049" s="986"/>
      <c r="AB1049" s="986"/>
      <c r="AC1049" s="986"/>
      <c r="AD1049" s="986"/>
      <c r="AE1049" s="986"/>
      <c r="AF1049" s="986"/>
      <c r="AG1049" s="986"/>
      <c r="AH1049" s="986"/>
      <c r="AI1049" s="986"/>
      <c r="AJ1049" s="986"/>
      <c r="AK1049" s="986"/>
      <c r="AL1049" s="986"/>
      <c r="AM1049" s="986"/>
      <c r="AN1049" s="986"/>
      <c r="AO1049" s="986"/>
      <c r="AP1049" s="98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6"/>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44" t="s">
        <v>123</v>
      </c>
      <c r="B1054" s="1144"/>
      <c r="C1054" s="1">
        <v>4</v>
      </c>
      <c r="D1054" s="986" t="s">
        <v>2311</v>
      </c>
      <c r="E1054" s="986"/>
      <c r="F1054" s="986"/>
      <c r="G1054" s="986"/>
      <c r="H1054" s="986"/>
      <c r="I1054" s="986"/>
      <c r="J1054" s="986"/>
      <c r="K1054" s="986"/>
      <c r="L1054" s="986"/>
      <c r="M1054" s="986"/>
      <c r="N1054" s="986"/>
      <c r="O1054" s="986"/>
      <c r="P1054" s="986"/>
      <c r="Q1054" s="986"/>
      <c r="R1054" s="986"/>
      <c r="S1054" s="986"/>
      <c r="T1054" s="986"/>
      <c r="U1054" s="986"/>
      <c r="V1054" s="986"/>
      <c r="W1054" s="986"/>
      <c r="X1054" s="986"/>
      <c r="Y1054" s="986"/>
      <c r="Z1054" s="986"/>
      <c r="AA1054" s="986"/>
      <c r="AB1054" s="986"/>
      <c r="AC1054" s="986"/>
      <c r="AD1054" s="986"/>
      <c r="AE1054" s="986"/>
      <c r="AF1054" s="986"/>
      <c r="AG1054" s="986"/>
      <c r="AH1054" s="986"/>
      <c r="AI1054" s="986"/>
      <c r="AJ1054" s="986"/>
      <c r="AK1054" s="986"/>
      <c r="AL1054" s="986"/>
      <c r="AM1054" s="986"/>
      <c r="AN1054" s="986"/>
      <c r="AO1054" s="986"/>
      <c r="AP1054" s="986"/>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6"/>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44" t="s">
        <v>123</v>
      </c>
      <c r="B1059" s="1144"/>
      <c r="C1059" s="1">
        <v>5</v>
      </c>
      <c r="D1059" s="983" t="s">
        <v>2312</v>
      </c>
      <c r="E1059" s="983"/>
      <c r="F1059" s="983"/>
      <c r="G1059" s="983"/>
      <c r="H1059" s="983"/>
      <c r="I1059" s="983"/>
      <c r="J1059" s="983"/>
      <c r="K1059" s="983"/>
      <c r="L1059" s="983"/>
      <c r="M1059" s="983"/>
      <c r="N1059" s="983"/>
      <c r="O1059" s="983"/>
      <c r="P1059" s="983"/>
      <c r="Q1059" s="983"/>
      <c r="R1059" s="983"/>
      <c r="S1059" s="983"/>
      <c r="T1059" s="983"/>
      <c r="U1059" s="983"/>
      <c r="V1059" s="983"/>
      <c r="W1059" s="983"/>
      <c r="X1059" s="983"/>
      <c r="Y1059" s="983"/>
      <c r="Z1059" s="983"/>
      <c r="AA1059" s="983"/>
      <c r="AB1059" s="983"/>
      <c r="AC1059" s="983"/>
      <c r="AD1059" s="983"/>
      <c r="AE1059" s="983"/>
      <c r="AF1059" s="983"/>
      <c r="AG1059" s="983"/>
      <c r="AH1059" s="983"/>
      <c r="AI1059" s="983"/>
      <c r="AJ1059" s="983"/>
      <c r="AK1059" s="983"/>
      <c r="AL1059" s="983"/>
      <c r="AM1059" s="983"/>
      <c r="AN1059" s="983"/>
      <c r="AO1059" s="983"/>
      <c r="AP1059" s="98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3"/>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44" t="s">
        <v>123</v>
      </c>
      <c r="B1063" s="1144"/>
      <c r="C1063" s="1">
        <v>6</v>
      </c>
      <c r="D1063" s="983" t="s">
        <v>2032</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44" t="s">
        <v>123</v>
      </c>
      <c r="B1067" s="1144"/>
      <c r="C1067" s="963">
        <v>7</v>
      </c>
      <c r="D1067" s="986" t="s">
        <v>1713</v>
      </c>
      <c r="E1067" s="986"/>
      <c r="F1067" s="986"/>
      <c r="G1067" s="986"/>
      <c r="H1067" s="986"/>
      <c r="I1067" s="986"/>
      <c r="J1067" s="986"/>
      <c r="K1067" s="986"/>
      <c r="L1067" s="986"/>
      <c r="M1067" s="986"/>
      <c r="N1067" s="986"/>
      <c r="O1067" s="986"/>
      <c r="P1067" s="986"/>
      <c r="Q1067" s="986"/>
      <c r="R1067" s="986"/>
      <c r="S1067" s="986"/>
      <c r="T1067" s="986"/>
      <c r="U1067" s="986"/>
      <c r="V1067" s="986"/>
      <c r="W1067" s="986"/>
      <c r="X1067" s="986"/>
      <c r="Y1067" s="986"/>
      <c r="Z1067" s="986"/>
      <c r="AA1067" s="986"/>
      <c r="AB1067" s="986"/>
      <c r="AC1067" s="986"/>
      <c r="AD1067" s="986"/>
      <c r="AE1067" s="986"/>
      <c r="AF1067" s="986"/>
      <c r="AG1067" s="986"/>
      <c r="AH1067" s="986"/>
      <c r="AI1067" s="986"/>
      <c r="AJ1067" s="986"/>
      <c r="AK1067" s="986"/>
      <c r="AL1067" s="986"/>
      <c r="AM1067" s="986"/>
      <c r="AN1067" s="986"/>
      <c r="AO1067" s="986"/>
      <c r="AP1067" s="98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6"/>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44" t="s">
        <v>123</v>
      </c>
      <c r="B1071" s="1144"/>
      <c r="C1071" s="963">
        <v>8</v>
      </c>
      <c r="D1071" s="1069" t="s">
        <v>1516</v>
      </c>
      <c r="E1071" s="1069"/>
      <c r="F1071" s="1069"/>
      <c r="G1071" s="1069"/>
      <c r="H1071" s="1069"/>
      <c r="I1071" s="1069"/>
      <c r="J1071" s="1069"/>
      <c r="K1071" s="1069"/>
      <c r="L1071" s="1069"/>
      <c r="M1071" s="1069"/>
      <c r="N1071" s="1069"/>
      <c r="O1071" s="1069"/>
      <c r="P1071" s="1069"/>
      <c r="Q1071" s="1069"/>
      <c r="R1071" s="1069"/>
      <c r="S1071" s="1069"/>
      <c r="T1071" s="1069"/>
      <c r="U1071" s="1069"/>
      <c r="V1071" s="1069"/>
      <c r="W1071" s="1069"/>
      <c r="X1071" s="1069"/>
      <c r="Y1071" s="1069"/>
      <c r="Z1071" s="1069"/>
      <c r="AA1071" s="1069"/>
      <c r="AB1071" s="1069"/>
      <c r="AC1071" s="1069"/>
      <c r="AD1071" s="1069"/>
      <c r="AE1071" s="1069"/>
      <c r="AF1071" s="1069"/>
      <c r="AG1071" s="1069"/>
      <c r="AH1071" s="1069"/>
      <c r="AI1071" s="1069"/>
      <c r="AJ1071" s="1069"/>
      <c r="AK1071" s="1069"/>
      <c r="AL1071" s="1069"/>
      <c r="AM1071" s="1069"/>
      <c r="AN1071" s="1069"/>
      <c r="AO1071" s="1069"/>
      <c r="AP1071" s="1069"/>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9"/>
      <c r="E1072" s="1069"/>
      <c r="F1072" s="1069"/>
      <c r="G1072" s="1069"/>
      <c r="H1072" s="1069"/>
      <c r="I1072" s="1069"/>
      <c r="J1072" s="1069"/>
      <c r="K1072" s="1069"/>
      <c r="L1072" s="1069"/>
      <c r="M1072" s="1069"/>
      <c r="N1072" s="1069"/>
      <c r="O1072" s="1069"/>
      <c r="P1072" s="1069"/>
      <c r="Q1072" s="1069"/>
      <c r="R1072" s="1069"/>
      <c r="S1072" s="1069"/>
      <c r="T1072" s="1069"/>
      <c r="U1072" s="1069"/>
      <c r="V1072" s="1069"/>
      <c r="W1072" s="1069"/>
      <c r="X1072" s="1069"/>
      <c r="Y1072" s="1069"/>
      <c r="Z1072" s="1069"/>
      <c r="AA1072" s="1069"/>
      <c r="AB1072" s="1069"/>
      <c r="AC1072" s="1069"/>
      <c r="AD1072" s="1069"/>
      <c r="AE1072" s="1069"/>
      <c r="AF1072" s="1069"/>
      <c r="AG1072" s="1069"/>
      <c r="AH1072" s="1069"/>
      <c r="AI1072" s="1069"/>
      <c r="AJ1072" s="1069"/>
      <c r="AK1072" s="1069"/>
      <c r="AL1072" s="1069"/>
      <c r="AM1072" s="1069"/>
      <c r="AN1072" s="1069"/>
      <c r="AO1072" s="1069"/>
      <c r="AP1072" s="1069"/>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70" t="s">
        <v>123</v>
      </c>
      <c r="B1074" s="1070"/>
      <c r="C1074" s="963">
        <v>9</v>
      </c>
      <c r="D1074" s="1069" t="s">
        <v>1518</v>
      </c>
      <c r="E1074" s="1069"/>
      <c r="F1074" s="1069"/>
      <c r="G1074" s="1069"/>
      <c r="H1074" s="1069"/>
      <c r="I1074" s="1069"/>
      <c r="J1074" s="1069"/>
      <c r="K1074" s="1069"/>
      <c r="L1074" s="1069"/>
      <c r="M1074" s="1069"/>
      <c r="N1074" s="1069"/>
      <c r="O1074" s="1069"/>
      <c r="P1074" s="1069"/>
      <c r="Q1074" s="1069"/>
      <c r="R1074" s="1069"/>
      <c r="S1074" s="1069"/>
      <c r="T1074" s="1069"/>
      <c r="U1074" s="1069"/>
      <c r="V1074" s="1069"/>
      <c r="W1074" s="1069"/>
      <c r="X1074" s="1069"/>
      <c r="Y1074" s="1069"/>
      <c r="Z1074" s="1069"/>
      <c r="AA1074" s="1069"/>
      <c r="AB1074" s="1069"/>
      <c r="AC1074" s="1069"/>
      <c r="AD1074" s="1069"/>
      <c r="AE1074" s="1069"/>
      <c r="AF1074" s="1069"/>
      <c r="AG1074" s="1069"/>
      <c r="AH1074" s="1069"/>
      <c r="AI1074" s="1069"/>
      <c r="AJ1074" s="1069"/>
      <c r="AK1074" s="1069"/>
      <c r="AL1074" s="1069"/>
      <c r="AM1074" s="1069"/>
      <c r="AN1074" s="1069"/>
      <c r="AO1074" s="1069"/>
      <c r="AP1074" s="1069"/>
    </row>
    <row r="1075" spans="1:97" ht="15" customHeight="1">
      <c r="A1075" s="44"/>
      <c r="B1075" s="32"/>
      <c r="C1075" s="963"/>
      <c r="D1075" s="1069"/>
      <c r="E1075" s="1069"/>
      <c r="F1075" s="1069"/>
      <c r="G1075" s="1069"/>
      <c r="H1075" s="1069"/>
      <c r="I1075" s="1069"/>
      <c r="J1075" s="1069"/>
      <c r="K1075" s="1069"/>
      <c r="L1075" s="1069"/>
      <c r="M1075" s="1069"/>
      <c r="N1075" s="1069"/>
      <c r="O1075" s="1069"/>
      <c r="P1075" s="1069"/>
      <c r="Q1075" s="1069"/>
      <c r="R1075" s="1069"/>
      <c r="S1075" s="1069"/>
      <c r="T1075" s="1069"/>
      <c r="U1075" s="1069"/>
      <c r="V1075" s="1069"/>
      <c r="W1075" s="1069"/>
      <c r="X1075" s="1069"/>
      <c r="Y1075" s="1069"/>
      <c r="Z1075" s="1069"/>
      <c r="AA1075" s="1069"/>
      <c r="AB1075" s="1069"/>
      <c r="AC1075" s="1069"/>
      <c r="AD1075" s="1069"/>
      <c r="AE1075" s="1069"/>
      <c r="AF1075" s="1069"/>
      <c r="AG1075" s="1069"/>
      <c r="AH1075" s="1069"/>
      <c r="AI1075" s="1069"/>
      <c r="AJ1075" s="1069"/>
      <c r="AK1075" s="1069"/>
      <c r="AL1075" s="1069"/>
      <c r="AM1075" s="1069"/>
      <c r="AN1075" s="1069"/>
      <c r="AO1075" s="1069"/>
      <c r="AP1075" s="1069"/>
    </row>
    <row r="1076" spans="1:97" ht="9.75" customHeight="1">
      <c r="D1076" s="1069"/>
      <c r="E1076" s="1069"/>
      <c r="F1076" s="1069"/>
      <c r="G1076" s="1069"/>
      <c r="H1076" s="1069"/>
      <c r="I1076" s="1069"/>
      <c r="J1076" s="1069"/>
      <c r="K1076" s="1069"/>
      <c r="L1076" s="1069"/>
      <c r="M1076" s="1069"/>
      <c r="N1076" s="1069"/>
      <c r="O1076" s="1069"/>
      <c r="P1076" s="1069"/>
      <c r="Q1076" s="1069"/>
      <c r="R1076" s="1069"/>
      <c r="S1076" s="1069"/>
      <c r="T1076" s="1069"/>
      <c r="U1076" s="1069"/>
      <c r="V1076" s="1069"/>
      <c r="W1076" s="1069"/>
      <c r="X1076" s="1069"/>
      <c r="Y1076" s="1069"/>
      <c r="Z1076" s="1069"/>
      <c r="AA1076" s="1069"/>
      <c r="AB1076" s="1069"/>
      <c r="AC1076" s="1069"/>
      <c r="AD1076" s="1069"/>
      <c r="AE1076" s="1069"/>
      <c r="AF1076" s="1069"/>
      <c r="AG1076" s="1069"/>
      <c r="AH1076" s="1069"/>
      <c r="AI1076" s="1069"/>
      <c r="AJ1076" s="1069"/>
      <c r="AK1076" s="1069"/>
      <c r="AL1076" s="1069"/>
      <c r="AM1076" s="1069"/>
      <c r="AN1076" s="1069"/>
      <c r="AO1076" s="1069"/>
      <c r="AP1076" s="1069"/>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70" t="s">
        <v>123</v>
      </c>
      <c r="B1078" s="1070"/>
      <c r="C1078" s="963">
        <v>10</v>
      </c>
      <c r="D1078" s="986" t="s">
        <v>2004</v>
      </c>
      <c r="E1078" s="986"/>
      <c r="F1078" s="986"/>
      <c r="G1078" s="986"/>
      <c r="H1078" s="986"/>
      <c r="I1078" s="986"/>
      <c r="J1078" s="986"/>
      <c r="K1078" s="986"/>
      <c r="L1078" s="986"/>
      <c r="M1078" s="986"/>
      <c r="N1078" s="986"/>
      <c r="O1078" s="986"/>
      <c r="P1078" s="986"/>
      <c r="Q1078" s="986"/>
      <c r="R1078" s="986"/>
      <c r="S1078" s="986"/>
      <c r="T1078" s="986"/>
      <c r="U1078" s="986"/>
      <c r="V1078" s="986"/>
      <c r="W1078" s="986"/>
      <c r="X1078" s="986"/>
      <c r="Y1078" s="986"/>
      <c r="Z1078" s="986"/>
      <c r="AA1078" s="986"/>
      <c r="AB1078" s="986"/>
      <c r="AC1078" s="986"/>
      <c r="AD1078" s="986"/>
      <c r="AE1078" s="986"/>
      <c r="AF1078" s="986"/>
      <c r="AG1078" s="986"/>
      <c r="AH1078" s="986"/>
      <c r="AI1078" s="986"/>
      <c r="AJ1078" s="986"/>
      <c r="AK1078" s="986"/>
      <c r="AL1078" s="986"/>
      <c r="AM1078" s="986"/>
      <c r="AN1078" s="986"/>
      <c r="AO1078" s="986"/>
      <c r="AP1078" s="986"/>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6"/>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70" t="s">
        <v>123</v>
      </c>
      <c r="B1082" s="1070"/>
      <c r="C1082" s="963">
        <v>11</v>
      </c>
      <c r="D1082" s="983" t="s">
        <v>2313</v>
      </c>
      <c r="E1082" s="983"/>
      <c r="F1082" s="983"/>
      <c r="G1082" s="983"/>
      <c r="H1082" s="983"/>
      <c r="I1082" s="983"/>
      <c r="J1082" s="983"/>
      <c r="K1082" s="983"/>
      <c r="L1082" s="983"/>
      <c r="M1082" s="983"/>
      <c r="N1082" s="983"/>
      <c r="O1082" s="983"/>
      <c r="P1082" s="983"/>
      <c r="Q1082" s="983"/>
      <c r="R1082" s="983"/>
      <c r="S1082" s="983"/>
      <c r="T1082" s="983"/>
      <c r="U1082" s="983"/>
      <c r="V1082" s="983"/>
      <c r="W1082" s="983"/>
      <c r="X1082" s="983"/>
      <c r="Y1082" s="983"/>
      <c r="Z1082" s="983"/>
      <c r="AA1082" s="983"/>
      <c r="AB1082" s="983"/>
      <c r="AC1082" s="983"/>
      <c r="AD1082" s="983"/>
      <c r="AE1082" s="983"/>
      <c r="AF1082" s="983"/>
      <c r="AG1082" s="983"/>
      <c r="AH1082" s="983"/>
      <c r="AI1082" s="983"/>
      <c r="AJ1082" s="983"/>
      <c r="AK1082" s="983"/>
      <c r="AL1082" s="983"/>
      <c r="AM1082" s="983"/>
      <c r="AN1082" s="983"/>
      <c r="AO1082" s="983"/>
      <c r="AP1082" s="983"/>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3"/>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3" t="s">
        <v>1517</v>
      </c>
      <c r="E1088" s="992"/>
      <c r="F1088" s="992"/>
      <c r="G1088" s="992"/>
      <c r="H1088" s="992"/>
      <c r="I1088" s="992"/>
      <c r="J1088" s="992"/>
      <c r="K1088" s="992"/>
      <c r="L1088" s="992"/>
      <c r="M1088" s="992"/>
      <c r="N1088" s="992"/>
      <c r="O1088" s="992"/>
      <c r="P1088" s="992"/>
      <c r="Q1088" s="992"/>
      <c r="R1088" s="992"/>
      <c r="S1088" s="992"/>
      <c r="T1088" s="992"/>
      <c r="U1088" s="992"/>
      <c r="V1088" s="992"/>
      <c r="W1088" s="992"/>
      <c r="X1088" s="992"/>
      <c r="Y1088" s="992"/>
      <c r="Z1088" s="992"/>
      <c r="AA1088" s="992"/>
      <c r="AB1088" s="992"/>
      <c r="AC1088" s="992"/>
      <c r="AD1088" s="992"/>
      <c r="AE1088" s="992"/>
      <c r="AF1088" s="992"/>
      <c r="AG1088" s="992"/>
      <c r="AH1088" s="992"/>
      <c r="AI1088" s="992"/>
      <c r="AJ1088" s="992"/>
      <c r="AK1088" s="992"/>
    </row>
    <row r="1089" spans="4:37" ht="0" hidden="1" customHeight="1">
      <c r="D1089" s="992"/>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AC874:AH874"/>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G990:AH990"/>
    <mergeCell ref="AJ990:AQ993"/>
    <mergeCell ref="F914:T914"/>
    <mergeCell ref="U914:Z914"/>
    <mergeCell ref="AA914:AF914"/>
    <mergeCell ref="T845:V845"/>
    <mergeCell ref="AA928:AF928"/>
    <mergeCell ref="F928:T928"/>
    <mergeCell ref="F916:T916"/>
    <mergeCell ref="F917:T917"/>
    <mergeCell ref="F918:T918"/>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7:AK677"/>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T400:AJ400"/>
    <mergeCell ref="AM564:AS564"/>
    <mergeCell ref="Q565:S565"/>
    <mergeCell ref="T565:V565"/>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T566:V566"/>
    <mergeCell ref="BE606:BF606"/>
    <mergeCell ref="AG585:AH585"/>
    <mergeCell ref="AE563:AH563"/>
    <mergeCell ref="AI563:AL563"/>
    <mergeCell ref="AM563:AS563"/>
    <mergeCell ref="AM566:AS566"/>
    <mergeCell ref="AI566:AL566"/>
    <mergeCell ref="AM567:AS567"/>
    <mergeCell ref="CC599:CG599"/>
    <mergeCell ref="P422:R422"/>
    <mergeCell ref="S403:U403"/>
    <mergeCell ref="AE403:AJ403"/>
    <mergeCell ref="AG446:AJ446"/>
    <mergeCell ref="D445:AF445"/>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D440:AF440"/>
    <mergeCell ref="AH505:AK505"/>
    <mergeCell ref="I419:K419"/>
    <mergeCell ref="D439:AF439"/>
    <mergeCell ref="D472:V472"/>
    <mergeCell ref="M499:P499"/>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B493:P494"/>
    <mergeCell ref="W473:Y473"/>
    <mergeCell ref="D476:V476"/>
    <mergeCell ref="E419:G419"/>
    <mergeCell ref="AE425:AF425"/>
    <mergeCell ref="AG443:AJ443"/>
    <mergeCell ref="S402:U402"/>
    <mergeCell ref="AC516:AF516"/>
    <mergeCell ref="AG448:AJ448"/>
    <mergeCell ref="AG449:AJ449"/>
    <mergeCell ref="D474:V474"/>
    <mergeCell ref="AC505:AF505"/>
    <mergeCell ref="AC507:AF507"/>
    <mergeCell ref="AC508:AF508"/>
    <mergeCell ref="AC511:AF511"/>
    <mergeCell ref="AH507:AK507"/>
    <mergeCell ref="W472:Y472"/>
    <mergeCell ref="Q489:AK489"/>
    <mergeCell ref="D451:AF451"/>
    <mergeCell ref="AC456:AF456"/>
    <mergeCell ref="AH504:AK504"/>
    <mergeCell ref="AH509:AK509"/>
    <mergeCell ref="D454:AJ454"/>
    <mergeCell ref="W474:Y474"/>
    <mergeCell ref="W470:Y470"/>
    <mergeCell ref="D469:V469"/>
    <mergeCell ref="Q493:R494"/>
    <mergeCell ref="S493:AK494"/>
    <mergeCell ref="Q495:AK495"/>
    <mergeCell ref="Q498:AK498"/>
    <mergeCell ref="AG456:AJ456"/>
    <mergeCell ref="W476:Y476"/>
    <mergeCell ref="D479:Y481"/>
    <mergeCell ref="D449:AF449"/>
    <mergeCell ref="W469:Y469"/>
    <mergeCell ref="D471:V471"/>
    <mergeCell ref="W471:Y471"/>
    <mergeCell ref="Q492:AK492"/>
    <mergeCell ref="AO635:AS635"/>
    <mergeCell ref="W566:Y566"/>
    <mergeCell ref="Z566:AD566"/>
    <mergeCell ref="AE566:AH566"/>
    <mergeCell ref="AH527:AK527"/>
    <mergeCell ref="AC523:AF523"/>
    <mergeCell ref="AC524:AF524"/>
    <mergeCell ref="AH522:AK522"/>
    <mergeCell ref="O523:AA523"/>
    <mergeCell ref="AH523:AK523"/>
    <mergeCell ref="AC537:AF537"/>
    <mergeCell ref="AC538:AF538"/>
    <mergeCell ref="AC534:AF534"/>
    <mergeCell ref="Z559:AD559"/>
    <mergeCell ref="AC545:AF545"/>
    <mergeCell ref="AH543:AK543"/>
    <mergeCell ref="AH545:AK545"/>
    <mergeCell ref="AH538:AK538"/>
    <mergeCell ref="AH525:AK525"/>
    <mergeCell ref="AM562:AS562"/>
    <mergeCell ref="Q559:S559"/>
    <mergeCell ref="AM569:AS569"/>
    <mergeCell ref="Q560:S560"/>
    <mergeCell ref="AC527:AF527"/>
    <mergeCell ref="AM560:AS560"/>
    <mergeCell ref="Q561:S561"/>
    <mergeCell ref="AO642:AS642"/>
    <mergeCell ref="G661:R661"/>
    <mergeCell ref="G703:J703"/>
    <mergeCell ref="T703:X703"/>
    <mergeCell ref="P657:R657"/>
    <mergeCell ref="N659:O659"/>
    <mergeCell ref="AA658:AK658"/>
    <mergeCell ref="Z657:AE657"/>
    <mergeCell ref="AI657:AK657"/>
    <mergeCell ref="AI673:AK673"/>
    <mergeCell ref="G649:L649"/>
    <mergeCell ref="Z679:AK679"/>
    <mergeCell ref="G673:L673"/>
    <mergeCell ref="Z687:AK687"/>
    <mergeCell ref="AG675:AH675"/>
    <mergeCell ref="AI681:AK681"/>
    <mergeCell ref="AI649:AK649"/>
    <mergeCell ref="G656:R656"/>
    <mergeCell ref="Z688:AK688"/>
    <mergeCell ref="G686:R686"/>
    <mergeCell ref="G699:J702"/>
    <mergeCell ref="AA650:AK650"/>
    <mergeCell ref="G677:R677"/>
    <mergeCell ref="G647:R647"/>
    <mergeCell ref="G669:R669"/>
    <mergeCell ref="K699:N702"/>
    <mergeCell ref="O699:S702"/>
    <mergeCell ref="AO643:AS643"/>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AF636:AJ636"/>
    <mergeCell ref="AC640:AE640"/>
    <mergeCell ref="AF640:AJ640"/>
    <mergeCell ref="G681:L681"/>
    <mergeCell ref="N651:O651"/>
    <mergeCell ref="H650:R650"/>
    <mergeCell ref="G655:R655"/>
    <mergeCell ref="Z655:AK655"/>
    <mergeCell ref="AK636:AN636"/>
    <mergeCell ref="AA666:AK666"/>
    <mergeCell ref="B642:AN642"/>
    <mergeCell ref="Z664:AK664"/>
    <mergeCell ref="G664:R664"/>
    <mergeCell ref="H666:R666"/>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O726:S726"/>
    <mergeCell ref="G717:J717"/>
    <mergeCell ref="G716:J716"/>
    <mergeCell ref="AC705:AG705"/>
    <mergeCell ref="Y706:AB706"/>
    <mergeCell ref="AC706:AG706"/>
    <mergeCell ref="K707:N707"/>
    <mergeCell ref="G725:J725"/>
    <mergeCell ref="T724:X724"/>
    <mergeCell ref="AM699:AO702"/>
    <mergeCell ref="AM704:AO704"/>
    <mergeCell ref="AH703:AL703"/>
    <mergeCell ref="Y704:AB704"/>
    <mergeCell ref="AG691:AH691"/>
    <mergeCell ref="AM712:AO712"/>
    <mergeCell ref="AM705:AO705"/>
    <mergeCell ref="G687:R687"/>
    <mergeCell ref="Z689:AE689"/>
    <mergeCell ref="G712:J712"/>
    <mergeCell ref="K706:N706"/>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G728:J728"/>
    <mergeCell ref="K728:N728"/>
    <mergeCell ref="O728:S728"/>
    <mergeCell ref="T728:X728"/>
    <mergeCell ref="Y728:AB728"/>
    <mergeCell ref="AC728:AG728"/>
    <mergeCell ref="AH728:AL728"/>
    <mergeCell ref="C739:AH740"/>
    <mergeCell ref="AC704:AG704"/>
    <mergeCell ref="AH709:AL709"/>
    <mergeCell ref="AM714:AO714"/>
    <mergeCell ref="B724:F724"/>
    <mergeCell ref="G709:J709"/>
    <mergeCell ref="B707:F707"/>
    <mergeCell ref="AM708:AO708"/>
    <mergeCell ref="O706:S706"/>
    <mergeCell ref="T706:X706"/>
    <mergeCell ref="AM706:AO706"/>
    <mergeCell ref="G710:J710"/>
    <mergeCell ref="B710:F710"/>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C748:AM755"/>
    <mergeCell ref="G727:J727"/>
    <mergeCell ref="K727:N727"/>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BG620:BH620"/>
    <mergeCell ref="BG615:BH615"/>
    <mergeCell ref="BE611:BF611"/>
    <mergeCell ref="BE614:BF614"/>
    <mergeCell ref="BG613:BH613"/>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20:BL620"/>
    <mergeCell ref="BE604:BF604"/>
    <mergeCell ref="BI603:BJ603"/>
    <mergeCell ref="BI614:BJ614"/>
    <mergeCell ref="BG614:BH614"/>
    <mergeCell ref="BG600:BH600"/>
    <mergeCell ref="BI600:BJ600"/>
    <mergeCell ref="BI602:BJ602"/>
    <mergeCell ref="BK600:BL600"/>
    <mergeCell ref="BE600:BF600"/>
    <mergeCell ref="N617:O617"/>
    <mergeCell ref="BK612:BL612"/>
    <mergeCell ref="A619:AT620"/>
    <mergeCell ref="BE620:BF620"/>
    <mergeCell ref="BI613:BJ613"/>
    <mergeCell ref="BI620:BJ620"/>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AE559:AH559"/>
    <mergeCell ref="AI559:AL559"/>
    <mergeCell ref="AM559:AS559"/>
    <mergeCell ref="Q557:S557"/>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Z603:AK603"/>
    <mergeCell ref="G604:R604"/>
    <mergeCell ref="P607:R607"/>
    <mergeCell ref="H608:R608"/>
    <mergeCell ref="T561:V561"/>
    <mergeCell ref="W561:Y561"/>
    <mergeCell ref="Z561:AD561"/>
    <mergeCell ref="AE561:AH561"/>
    <mergeCell ref="AI561:AL561"/>
    <mergeCell ref="AM561:AS561"/>
    <mergeCell ref="G583:L583"/>
    <mergeCell ref="Z583:AE583"/>
    <mergeCell ref="Z573:AK573"/>
    <mergeCell ref="G573:R573"/>
    <mergeCell ref="BK613:BL613"/>
    <mergeCell ref="BK601:BL601"/>
    <mergeCell ref="BK619:BL619"/>
    <mergeCell ref="BK611:BL611"/>
    <mergeCell ref="BK605:BL605"/>
    <mergeCell ref="AG609:AH609"/>
    <mergeCell ref="BI608:BJ608"/>
    <mergeCell ref="BK610:BL610"/>
    <mergeCell ref="BG612:BH612"/>
    <mergeCell ref="BE613:BF613"/>
    <mergeCell ref="BE617:BF617"/>
    <mergeCell ref="Z614:AK614"/>
    <mergeCell ref="P599:R599"/>
    <mergeCell ref="AG617:AH617"/>
    <mergeCell ref="BE619:BF619"/>
    <mergeCell ref="BG601:BH601"/>
    <mergeCell ref="BI601:BJ601"/>
    <mergeCell ref="BG599:BH599"/>
    <mergeCell ref="BI612:BJ612"/>
    <mergeCell ref="AA608:AK608"/>
    <mergeCell ref="G613:R613"/>
    <mergeCell ref="G614:R614"/>
    <mergeCell ref="BK608:BL608"/>
    <mergeCell ref="BI607:BJ607"/>
    <mergeCell ref="BI609:BJ609"/>
    <mergeCell ref="BE602:BF602"/>
    <mergeCell ref="BG602:BH602"/>
    <mergeCell ref="BE601:BF601"/>
    <mergeCell ref="G599:L599"/>
    <mergeCell ref="G606:R606"/>
    <mergeCell ref="G605:R605"/>
    <mergeCell ref="BE603:BF603"/>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T559:V559"/>
    <mergeCell ref="W559:Y559"/>
    <mergeCell ref="Q562:S562"/>
    <mergeCell ref="T562:V562"/>
    <mergeCell ref="W562:Y562"/>
    <mergeCell ref="AE562:AH562"/>
    <mergeCell ref="AI562:AL562"/>
    <mergeCell ref="AI557:AL557"/>
    <mergeCell ref="R413:S413"/>
    <mergeCell ref="AF419:AH419"/>
    <mergeCell ref="AG394:AJ394"/>
    <mergeCell ref="Q395:U395"/>
    <mergeCell ref="Q391:U391"/>
    <mergeCell ref="D203:M203"/>
    <mergeCell ref="H327:R327"/>
    <mergeCell ref="H325:M325"/>
    <mergeCell ref="AA292:AK292"/>
    <mergeCell ref="M235:AK235"/>
    <mergeCell ref="P204:U204"/>
    <mergeCell ref="AE554:AH556"/>
    <mergeCell ref="AI554:AL556"/>
    <mergeCell ref="Q554:S556"/>
    <mergeCell ref="T554:V556"/>
    <mergeCell ref="Z554:AD556"/>
    <mergeCell ref="W554:Y556"/>
    <mergeCell ref="AH533:AK533"/>
    <mergeCell ref="O532:AA532"/>
    <mergeCell ref="AH544:AK544"/>
    <mergeCell ref="AC521:AF521"/>
    <mergeCell ref="AH511:AK511"/>
    <mergeCell ref="AH510:AK510"/>
    <mergeCell ref="O529:AA529"/>
    <mergeCell ref="AC529:AF529"/>
    <mergeCell ref="AC512:AF512"/>
    <mergeCell ref="B517:H519"/>
    <mergeCell ref="AC510:AF510"/>
    <mergeCell ref="B505:H506"/>
    <mergeCell ref="B507:H516"/>
    <mergeCell ref="N372:Q372"/>
    <mergeCell ref="M357:N357"/>
    <mergeCell ref="AD412:AE412"/>
    <mergeCell ref="AE431:AF431"/>
    <mergeCell ref="AI309:AK309"/>
    <mergeCell ref="AA308:AK308"/>
    <mergeCell ref="AC513:AF513"/>
    <mergeCell ref="AH513:AK513"/>
    <mergeCell ref="K404:AJ404"/>
    <mergeCell ref="AG402:AJ402"/>
    <mergeCell ref="Q390:U390"/>
    <mergeCell ref="K405:AJ405"/>
    <mergeCell ref="S406:AJ406"/>
    <mergeCell ref="AG455:AJ455"/>
    <mergeCell ref="AH512:AK512"/>
    <mergeCell ref="AC504:AF504"/>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H334:M334"/>
    <mergeCell ref="AA337:AK337"/>
    <mergeCell ref="AJ357:AK357"/>
    <mergeCell ref="AC543:AF543"/>
    <mergeCell ref="O535:AA535"/>
    <mergeCell ref="AI558:AL558"/>
    <mergeCell ref="AC518:AF518"/>
    <mergeCell ref="H15:AJ15"/>
    <mergeCell ref="AC218:AM218"/>
    <mergeCell ref="Y118:AK118"/>
    <mergeCell ref="Y121:AK121"/>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A19:AL19"/>
    <mergeCell ref="O225:P225"/>
    <mergeCell ref="I185:AE185"/>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T568:V568"/>
    <mergeCell ref="W568:Y568"/>
    <mergeCell ref="Z568:AD568"/>
    <mergeCell ref="H576:R576"/>
    <mergeCell ref="G574:R574"/>
    <mergeCell ref="G580:R580"/>
    <mergeCell ref="G615:L615"/>
    <mergeCell ref="AI615:AK615"/>
    <mergeCell ref="Z607:AE607"/>
    <mergeCell ref="P575:R575"/>
    <mergeCell ref="Z581:AK581"/>
    <mergeCell ref="Z595:AK595"/>
    <mergeCell ref="G612:R612"/>
    <mergeCell ref="Z596:AK596"/>
    <mergeCell ref="Z590:AK590"/>
    <mergeCell ref="G589:R589"/>
    <mergeCell ref="G603:R603"/>
    <mergeCell ref="AA584:AK584"/>
    <mergeCell ref="C561:L561"/>
    <mergeCell ref="C562:L562"/>
    <mergeCell ref="M562:P562"/>
    <mergeCell ref="C563:L563"/>
    <mergeCell ref="M563:P563"/>
    <mergeCell ref="AA576:AK576"/>
    <mergeCell ref="Z575:AE575"/>
    <mergeCell ref="AI575:AK575"/>
    <mergeCell ref="Z589:AK589"/>
    <mergeCell ref="G611:R611"/>
    <mergeCell ref="Z572:AK572"/>
    <mergeCell ref="G587:R587"/>
    <mergeCell ref="N609:O609"/>
    <mergeCell ref="C564:L564"/>
    <mergeCell ref="M564:P564"/>
    <mergeCell ref="M636:P636"/>
    <mergeCell ref="M637:P637"/>
    <mergeCell ref="Z579:AK579"/>
    <mergeCell ref="G579:R579"/>
    <mergeCell ref="M631:P631"/>
    <mergeCell ref="T631:V631"/>
    <mergeCell ref="T632:V632"/>
    <mergeCell ref="T633:V633"/>
    <mergeCell ref="M632:P632"/>
    <mergeCell ref="Q634:S634"/>
    <mergeCell ref="Q635:S635"/>
    <mergeCell ref="AO626:AS628"/>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T638:V638"/>
    <mergeCell ref="Z633:AB633"/>
    <mergeCell ref="Z634:AB634"/>
    <mergeCell ref="Z635:AB635"/>
    <mergeCell ref="AC634:AE634"/>
    <mergeCell ref="AF634:AJ634"/>
    <mergeCell ref="AK634:AN634"/>
    <mergeCell ref="AO638:AS638"/>
    <mergeCell ref="AO633:AS633"/>
    <mergeCell ref="W631:Y631"/>
    <mergeCell ref="W632:Y632"/>
    <mergeCell ref="W633:Y633"/>
    <mergeCell ref="W634:Y63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Z646:AK646"/>
    <mergeCell ref="G645:R645"/>
    <mergeCell ref="Z645:AK645"/>
    <mergeCell ref="C639:L639"/>
    <mergeCell ref="AK633:AN633"/>
    <mergeCell ref="D984:AE984"/>
    <mergeCell ref="AB969:AI969"/>
    <mergeCell ref="AJ969:AQ969"/>
    <mergeCell ref="D970:Q970"/>
    <mergeCell ref="AB968:AI968"/>
    <mergeCell ref="L945:S945"/>
    <mergeCell ref="M952:S952"/>
    <mergeCell ref="AA957:AG957"/>
    <mergeCell ref="W958:AG958"/>
    <mergeCell ref="AA959:AG959"/>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D972:Q972"/>
    <mergeCell ref="R972:AA972"/>
    <mergeCell ref="Z637:AB637"/>
    <mergeCell ref="Z638:AB638"/>
    <mergeCell ref="M633:P633"/>
    <mergeCell ref="AK632:AN632"/>
    <mergeCell ref="AC635:AE635"/>
    <mergeCell ref="W639:Y639"/>
    <mergeCell ref="W640:Y640"/>
    <mergeCell ref="Q636:S636"/>
    <mergeCell ref="Q637:S637"/>
    <mergeCell ref="Q638:S638"/>
    <mergeCell ref="T634:V634"/>
    <mergeCell ref="Q633:S633"/>
    <mergeCell ref="AO641:AS641"/>
    <mergeCell ref="W635:Y635"/>
    <mergeCell ref="B641:AN641"/>
    <mergeCell ref="Q629:S629"/>
    <mergeCell ref="Q630:S630"/>
    <mergeCell ref="AC633:AE633"/>
    <mergeCell ref="AF633:AJ633"/>
    <mergeCell ref="Z631:AB631"/>
    <mergeCell ref="Z632:AB632"/>
    <mergeCell ref="C636:L636"/>
    <mergeCell ref="C637:L637"/>
    <mergeCell ref="AO640:AS640"/>
    <mergeCell ref="T639:V639"/>
    <mergeCell ref="AO639:AS639"/>
    <mergeCell ref="AO634:AS634"/>
    <mergeCell ref="AO631:AS631"/>
    <mergeCell ref="AO632:AS632"/>
    <mergeCell ref="Q631:S631"/>
    <mergeCell ref="Q632:S632"/>
    <mergeCell ref="T635:V635"/>
    <mergeCell ref="T636:V636"/>
    <mergeCell ref="T637:V637"/>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Y703:AB703"/>
    <mergeCell ref="AC703:AG703"/>
    <mergeCell ref="D994:AE994"/>
    <mergeCell ref="AG994:AH994"/>
    <mergeCell ref="AJ994:AQ995"/>
    <mergeCell ref="AJ977:AQ983"/>
    <mergeCell ref="D983:AE983"/>
    <mergeCell ref="AE941:AK941"/>
    <mergeCell ref="AA956:AG956"/>
    <mergeCell ref="AA912:AF912"/>
    <mergeCell ref="F913:T913"/>
    <mergeCell ref="U913:Z913"/>
    <mergeCell ref="AA913:AF913"/>
    <mergeCell ref="F909:T909"/>
    <mergeCell ref="B714:F714"/>
    <mergeCell ref="G723:J723"/>
    <mergeCell ref="B722:F722"/>
    <mergeCell ref="AM729:AO729"/>
    <mergeCell ref="B730:F730"/>
    <mergeCell ref="G730:J730"/>
    <mergeCell ref="K730:N730"/>
    <mergeCell ref="O730:S730"/>
    <mergeCell ref="T730:X730"/>
    <mergeCell ref="B703:F703"/>
    <mergeCell ref="B738:F738"/>
    <mergeCell ref="O775:S775"/>
    <mergeCell ref="O762:S762"/>
    <mergeCell ref="O770:S773"/>
    <mergeCell ref="AC784:AG784"/>
    <mergeCell ref="Z800:AE800"/>
    <mergeCell ref="G737:J737"/>
    <mergeCell ref="J781:N781"/>
    <mergeCell ref="O781:S781"/>
    <mergeCell ref="U814:X814"/>
    <mergeCell ref="J756:N759"/>
    <mergeCell ref="AH705:AL705"/>
    <mergeCell ref="K709:N709"/>
    <mergeCell ref="O709:S709"/>
    <mergeCell ref="K711:N711"/>
    <mergeCell ref="O711:S711"/>
    <mergeCell ref="T711:X711"/>
    <mergeCell ref="F818:L818"/>
    <mergeCell ref="Y812:AB812"/>
    <mergeCell ref="Q815:T815"/>
    <mergeCell ref="AG741:AJ741"/>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C558:L558"/>
    <mergeCell ref="M638:P638"/>
    <mergeCell ref="M558:P558"/>
    <mergeCell ref="C559:L559"/>
    <mergeCell ref="G648:R648"/>
    <mergeCell ref="V378:W378"/>
    <mergeCell ref="J386:U386"/>
    <mergeCell ref="AG378:AH378"/>
    <mergeCell ref="Z636:AB636"/>
    <mergeCell ref="AC639:AE639"/>
    <mergeCell ref="AF639:AJ639"/>
    <mergeCell ref="G711:J711"/>
    <mergeCell ref="O707:S707"/>
    <mergeCell ref="G713:J713"/>
    <mergeCell ref="B719:F719"/>
    <mergeCell ref="B721:F721"/>
    <mergeCell ref="B711:F711"/>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H314:R314"/>
    <mergeCell ref="AI317:AK317"/>
    <mergeCell ref="H323:R323"/>
    <mergeCell ref="W263:X263"/>
    <mergeCell ref="M259:T259"/>
    <mergeCell ref="H313:R313"/>
    <mergeCell ref="M266:AE266"/>
    <mergeCell ref="AA309:AF309"/>
    <mergeCell ref="AA294:AF294"/>
    <mergeCell ref="AA310:AF310"/>
    <mergeCell ref="AA289:AK289"/>
    <mergeCell ref="AB278:AD278"/>
    <mergeCell ref="U265:W265"/>
    <mergeCell ref="L280:Q280"/>
    <mergeCell ref="AA326:AF326"/>
    <mergeCell ref="AA331:AK331"/>
    <mergeCell ref="H329:R329"/>
    <mergeCell ref="H339:R339"/>
    <mergeCell ref="AA329:AK329"/>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AF253:AK253"/>
    <mergeCell ref="AC255:AE255"/>
    <mergeCell ref="M256:AE256"/>
    <mergeCell ref="AA297:AK297"/>
    <mergeCell ref="M261:AE261"/>
    <mergeCell ref="P317:R317"/>
    <mergeCell ref="H302:M302"/>
    <mergeCell ref="M263:T263"/>
    <mergeCell ref="D272:H272"/>
    <mergeCell ref="H305:R305"/>
    <mergeCell ref="H311:R311"/>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AI301:AK301"/>
    <mergeCell ref="L277:AD277"/>
    <mergeCell ref="W255:X255"/>
    <mergeCell ref="W204:AB204"/>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H306:R306"/>
    <mergeCell ref="H289:R289"/>
    <mergeCell ref="M262:AE262"/>
    <mergeCell ref="AA293:AF293"/>
    <mergeCell ref="M267:T267"/>
    <mergeCell ref="AA315:AK315"/>
    <mergeCell ref="AA313:AK313"/>
    <mergeCell ref="AA316:AK316"/>
    <mergeCell ref="AA314:AK314"/>
    <mergeCell ref="AA317:AF317"/>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C881:AH881"/>
    <mergeCell ref="AN883:AO883"/>
    <mergeCell ref="F900:T900"/>
    <mergeCell ref="W858:AC858"/>
    <mergeCell ref="F912:T912"/>
    <mergeCell ref="U912:Z912"/>
    <mergeCell ref="U918:Z918"/>
    <mergeCell ref="W866:AC866"/>
    <mergeCell ref="U904:Z904"/>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Y711:AB711"/>
    <mergeCell ref="AC711:AG711"/>
    <mergeCell ref="AH711:AL711"/>
    <mergeCell ref="T707:X707"/>
    <mergeCell ref="Y707:AB707"/>
    <mergeCell ref="B726:F726"/>
    <mergeCell ref="O760:S760"/>
    <mergeCell ref="K737:N737"/>
    <mergeCell ref="AH729:AL729"/>
    <mergeCell ref="AH731:AL731"/>
    <mergeCell ref="T734:X734"/>
    <mergeCell ref="Y734:AB734"/>
    <mergeCell ref="AC734:AG734"/>
    <mergeCell ref="O708:S708"/>
    <mergeCell ref="T708:X708"/>
    <mergeCell ref="Y708:AB708"/>
    <mergeCell ref="O710:S710"/>
    <mergeCell ref="T710:X710"/>
    <mergeCell ref="Y710:AB710"/>
    <mergeCell ref="B523:H545"/>
    <mergeCell ref="B520:H522"/>
    <mergeCell ref="AH499:AK499"/>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O737:S737"/>
    <mergeCell ref="O741:R741"/>
    <mergeCell ref="O756:S759"/>
    <mergeCell ref="Y736:AB736"/>
    <mergeCell ref="AC736:AG736"/>
    <mergeCell ref="AH736:AL736"/>
    <mergeCell ref="O776:S776"/>
    <mergeCell ref="Q813:T813"/>
    <mergeCell ref="M810:P811"/>
    <mergeCell ref="Q810:T811"/>
    <mergeCell ref="AC812:AF812"/>
    <mergeCell ref="X763:AB763"/>
    <mergeCell ref="Z804:AE804"/>
    <mergeCell ref="J763:N763"/>
    <mergeCell ref="X783:AB783"/>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G707:J707"/>
    <mergeCell ref="K703:N703"/>
    <mergeCell ref="O703:S703"/>
    <mergeCell ref="C640:L640"/>
    <mergeCell ref="B713:F713"/>
    <mergeCell ref="B708:F708"/>
    <mergeCell ref="AH707:AL707"/>
    <mergeCell ref="AH708:AL708"/>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B733:F733"/>
    <mergeCell ref="G733:J733"/>
    <mergeCell ref="B737:F737"/>
    <mergeCell ref="G719:J719"/>
    <mergeCell ref="AH716:AL716"/>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U909:Z909"/>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C817:AF817"/>
    <mergeCell ref="Q816:T816"/>
    <mergeCell ref="Q814:T814"/>
    <mergeCell ref="W842:AC842"/>
    <mergeCell ref="W841:AC841"/>
    <mergeCell ref="W836:AC836"/>
    <mergeCell ref="W838:AC838"/>
    <mergeCell ref="W844:AC844"/>
    <mergeCell ref="W830:AC830"/>
    <mergeCell ref="W840:AC840"/>
    <mergeCell ref="J836:V836"/>
    <mergeCell ref="T847:V847"/>
    <mergeCell ref="Y819:AB819"/>
    <mergeCell ref="W852:AC852"/>
    <mergeCell ref="U815:X815"/>
    <mergeCell ref="AC819:AF819"/>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A916:AF916"/>
    <mergeCell ref="AJ1028:AQ1028"/>
    <mergeCell ref="D1019:AE1019"/>
    <mergeCell ref="AA301:AF301"/>
    <mergeCell ref="AA307:AK307"/>
    <mergeCell ref="AA300:AK300"/>
    <mergeCell ref="H297:R297"/>
    <mergeCell ref="M554:P556"/>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L512:AB512"/>
    <mergeCell ref="G477:V477"/>
    <mergeCell ref="P351:Z351"/>
    <mergeCell ref="J387:U387"/>
    <mergeCell ref="AJ975:AQ975"/>
    <mergeCell ref="AA340:AK340"/>
    <mergeCell ref="AC536:AF536"/>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AC522:AF522"/>
    <mergeCell ref="AH518:AK518"/>
    <mergeCell ref="W477:Y477"/>
    <mergeCell ref="AG395:AJ395"/>
    <mergeCell ref="Z435:AA435"/>
    <mergeCell ref="AG391:AJ391"/>
    <mergeCell ref="AH508:AK508"/>
    <mergeCell ref="Q496:AK496"/>
    <mergeCell ref="AH506:AK506"/>
    <mergeCell ref="Q497:AK497"/>
    <mergeCell ref="AC506:AF506"/>
    <mergeCell ref="AC503:AK503"/>
    <mergeCell ref="P341:R341"/>
    <mergeCell ref="D450:AF450"/>
    <mergeCell ref="AC509:AF509"/>
    <mergeCell ref="AG392:AJ392"/>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G722:J722"/>
    <mergeCell ref="G706:J706"/>
    <mergeCell ref="G714:J714"/>
    <mergeCell ref="T714:X714"/>
    <mergeCell ref="Y714:AB714"/>
    <mergeCell ref="AC714:AG714"/>
    <mergeCell ref="B720:F720"/>
    <mergeCell ref="AH706:AL706"/>
    <mergeCell ref="AI390:AJ390"/>
    <mergeCell ref="P345:Z345"/>
    <mergeCell ref="P346:Z346"/>
    <mergeCell ref="P347:Z347"/>
    <mergeCell ref="P348:Z348"/>
    <mergeCell ref="P349:U349"/>
    <mergeCell ref="X349:Z349"/>
    <mergeCell ref="P350:U350"/>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AK639:AN639"/>
    <mergeCell ref="Z639:AB639"/>
    <mergeCell ref="Z640:AB640"/>
    <mergeCell ref="M639:P639"/>
    <mergeCell ref="M640:P640"/>
    <mergeCell ref="Q639:S639"/>
    <mergeCell ref="Q640:S640"/>
    <mergeCell ref="Z647:AK647"/>
    <mergeCell ref="B643:AN643"/>
    <mergeCell ref="AO629:AS629"/>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AM728:AO728"/>
    <mergeCell ref="B728:F728"/>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K733:N733"/>
    <mergeCell ref="O733:S733"/>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H326:M326"/>
    <mergeCell ref="AA318:AF318"/>
    <mergeCell ref="AA319:AK319"/>
    <mergeCell ref="AA322:AK322"/>
    <mergeCell ref="AA324:AK324"/>
    <mergeCell ref="AA323:AK323"/>
    <mergeCell ref="AA321:AK321"/>
    <mergeCell ref="AA325:AF325"/>
    <mergeCell ref="AA327:AK327"/>
    <mergeCell ref="D1046:AP1047"/>
    <mergeCell ref="D1074:AP1076"/>
    <mergeCell ref="D1049:AP1052"/>
    <mergeCell ref="D1054:AP1057"/>
    <mergeCell ref="D1067:AP1069"/>
    <mergeCell ref="D1071:AP1072"/>
    <mergeCell ref="D1078:AP1080"/>
    <mergeCell ref="A1078:B1078"/>
    <mergeCell ref="A1082:B1082"/>
    <mergeCell ref="D1082:AP1083"/>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G9" sqref="G9"/>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2" t="s">
        <v>183</v>
      </c>
      <c r="G1" s="1593"/>
      <c r="H1" s="1593"/>
      <c r="I1" s="1593"/>
      <c r="J1" s="1593"/>
      <c r="K1" s="1593"/>
      <c r="L1" s="1593"/>
      <c r="M1" s="1593"/>
      <c r="N1" s="1593"/>
      <c r="O1" s="1593"/>
      <c r="P1" s="1593"/>
      <c r="Q1" s="1593"/>
      <c r="R1" s="1594"/>
      <c r="S1" s="200"/>
      <c r="T1" s="199"/>
      <c r="U1" s="201"/>
    </row>
    <row r="2" spans="1:21" s="230" customFormat="1" ht="60" customHeight="1">
      <c r="A2" s="229"/>
      <c r="B2" s="230" t="s">
        <v>796</v>
      </c>
      <c r="C2" s="230" t="s">
        <v>506</v>
      </c>
      <c r="D2" s="230" t="s">
        <v>505</v>
      </c>
      <c r="E2" s="230" t="s">
        <v>797</v>
      </c>
      <c r="F2" s="231" t="str">
        <f>Application!B629&amp;Application!C629</f>
        <v>1)Permanent Loan</v>
      </c>
      <c r="G2" s="231" t="str">
        <f>Application!B630&amp;Application!C630</f>
        <v>2)Alliance Housing Fund</v>
      </c>
      <c r="H2" s="231" t="str">
        <f>Application!B631&amp;Application!C631</f>
        <v>3)REAP: Regional Competitiveness Grant</v>
      </c>
      <c r="I2" s="231" t="str">
        <f>Application!B632&amp;Application!C632</f>
        <v>4)City of Merced PLHA</v>
      </c>
      <c r="J2" s="231" t="str">
        <f>Application!B633&amp;Application!C633</f>
        <v>5)FHLB AHP</v>
      </c>
      <c r="K2" s="231" t="str">
        <f>Application!B634&amp;Application!C634</f>
        <v>6)City of Merced-Value of Donated Land</v>
      </c>
      <c r="L2" s="231" t="str">
        <f>Application!B635&amp;Application!C635</f>
        <v>7)Impact Fee Waiver</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400000</v>
      </c>
      <c r="C4" s="239">
        <v>400000</v>
      </c>
      <c r="D4" s="239"/>
      <c r="E4" s="239">
        <f>B4-SUM(F4:Q4)</f>
        <v>0</v>
      </c>
      <c r="F4" s="239"/>
      <c r="G4" s="239"/>
      <c r="H4" s="239"/>
      <c r="I4" s="239"/>
      <c r="J4" s="239"/>
      <c r="K4" s="239">
        <f>B4</f>
        <v>400000</v>
      </c>
      <c r="L4" s="239"/>
      <c r="M4" s="239"/>
      <c r="N4" s="239"/>
      <c r="O4" s="239"/>
      <c r="P4" s="239"/>
      <c r="Q4" s="239"/>
      <c r="R4" s="239">
        <f>C4</f>
        <v>400000</v>
      </c>
      <c r="S4" s="240"/>
      <c r="T4" s="240"/>
      <c r="U4" s="235"/>
    </row>
    <row r="5" spans="1:21" s="236" customFormat="1" ht="13.2">
      <c r="A5" s="298" t="s">
        <v>67</v>
      </c>
      <c r="B5" s="238">
        <f>SUM(C5+D5)</f>
        <v>0</v>
      </c>
      <c r="C5" s="239"/>
      <c r="D5" s="239"/>
      <c r="E5" s="239">
        <f t="shared" ref="E5:E7" si="0">B5-SUM(F5:Q5)</f>
        <v>0</v>
      </c>
      <c r="F5" s="239"/>
      <c r="G5" s="239"/>
      <c r="H5" s="239"/>
      <c r="I5" s="239"/>
      <c r="J5" s="239"/>
      <c r="K5" s="239"/>
      <c r="L5" s="239"/>
      <c r="M5" s="239"/>
      <c r="N5" s="239"/>
      <c r="O5" s="239"/>
      <c r="P5" s="239"/>
      <c r="Q5" s="239"/>
      <c r="R5" s="239">
        <f>SUM(E5:Q5)</f>
        <v>0</v>
      </c>
      <c r="S5" s="240"/>
      <c r="T5" s="240"/>
      <c r="U5" s="235"/>
    </row>
    <row r="6" spans="1:21" s="236" customFormat="1" ht="11.4">
      <c r="A6" s="237" t="s">
        <v>342</v>
      </c>
      <c r="B6" s="238">
        <f>SUM(C6+D6)</f>
        <v>15000</v>
      </c>
      <c r="C6" s="239">
        <v>15000</v>
      </c>
      <c r="D6" s="239"/>
      <c r="E6" s="239">
        <f t="shared" si="0"/>
        <v>15000</v>
      </c>
      <c r="F6" s="239"/>
      <c r="G6" s="239"/>
      <c r="H6" s="239"/>
      <c r="I6" s="239"/>
      <c r="J6" s="239"/>
      <c r="K6" s="239"/>
      <c r="L6" s="239"/>
      <c r="M6" s="239"/>
      <c r="N6" s="239"/>
      <c r="O6" s="239"/>
      <c r="P6" s="239"/>
      <c r="Q6" s="239"/>
      <c r="R6" s="239">
        <f>SUM(E6:Q6)</f>
        <v>15000</v>
      </c>
      <c r="S6" s="240"/>
      <c r="T6" s="240"/>
      <c r="U6" s="235"/>
    </row>
    <row r="7" spans="1:21" s="236" customFormat="1" ht="11.4">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415000</v>
      </c>
      <c r="C8" s="238">
        <f t="shared" ref="C8:R8" si="1">SUM(C4:C7)</f>
        <v>415000</v>
      </c>
      <c r="D8" s="238">
        <f t="shared" si="1"/>
        <v>0</v>
      </c>
      <c r="E8" s="238">
        <f t="shared" si="1"/>
        <v>15000</v>
      </c>
      <c r="F8" s="238">
        <f t="shared" si="1"/>
        <v>0</v>
      </c>
      <c r="G8" s="238">
        <f t="shared" si="1"/>
        <v>0</v>
      </c>
      <c r="H8" s="238">
        <f t="shared" si="1"/>
        <v>0</v>
      </c>
      <c r="I8" s="238">
        <f t="shared" si="1"/>
        <v>0</v>
      </c>
      <c r="J8" s="238">
        <f t="shared" si="1"/>
        <v>0</v>
      </c>
      <c r="K8" s="238">
        <f t="shared" si="1"/>
        <v>400000</v>
      </c>
      <c r="L8" s="238">
        <f t="shared" si="1"/>
        <v>0</v>
      </c>
      <c r="M8" s="238">
        <f t="shared" si="1"/>
        <v>0</v>
      </c>
      <c r="N8" s="238">
        <f t="shared" si="1"/>
        <v>0</v>
      </c>
      <c r="O8" s="238">
        <f t="shared" si="1"/>
        <v>0</v>
      </c>
      <c r="P8" s="238">
        <f t="shared" si="1"/>
        <v>0</v>
      </c>
      <c r="Q8" s="238">
        <f t="shared" si="1"/>
        <v>0</v>
      </c>
      <c r="R8" s="238">
        <f t="shared" si="1"/>
        <v>415000</v>
      </c>
      <c r="S8" s="240"/>
      <c r="T8" s="240"/>
      <c r="U8" s="235"/>
    </row>
    <row r="9" spans="1:21" s="236" customFormat="1" ht="11.4">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2">SUM(C9:C10)</f>
        <v>0</v>
      </c>
      <c r="D11" s="238">
        <f t="shared" si="2"/>
        <v>0</v>
      </c>
      <c r="E11" s="238">
        <f t="shared" si="2"/>
        <v>0</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0</v>
      </c>
      <c r="S11" s="240"/>
      <c r="T11" s="238">
        <f t="shared" si="2"/>
        <v>0</v>
      </c>
      <c r="U11" s="235"/>
    </row>
    <row r="12" spans="1:21" s="236" customFormat="1">
      <c r="A12" s="241" t="s">
        <v>710</v>
      </c>
      <c r="B12" s="238">
        <f t="shared" ref="B12:R12" si="3">SUM(B8+B11)</f>
        <v>415000</v>
      </c>
      <c r="C12" s="238">
        <f t="shared" si="3"/>
        <v>415000</v>
      </c>
      <c r="D12" s="238">
        <f t="shared" si="3"/>
        <v>0</v>
      </c>
      <c r="E12" s="238">
        <f t="shared" si="3"/>
        <v>15000</v>
      </c>
      <c r="F12" s="238">
        <f t="shared" si="3"/>
        <v>0</v>
      </c>
      <c r="G12" s="238">
        <f t="shared" si="3"/>
        <v>0</v>
      </c>
      <c r="H12" s="238">
        <f t="shared" si="3"/>
        <v>0</v>
      </c>
      <c r="I12" s="238">
        <f t="shared" si="3"/>
        <v>0</v>
      </c>
      <c r="J12" s="238">
        <f t="shared" si="3"/>
        <v>0</v>
      </c>
      <c r="K12" s="238">
        <f t="shared" si="3"/>
        <v>400000</v>
      </c>
      <c r="L12" s="238">
        <f t="shared" si="3"/>
        <v>0</v>
      </c>
      <c r="M12" s="238">
        <f t="shared" si="3"/>
        <v>0</v>
      </c>
      <c r="N12" s="238">
        <f t="shared" si="3"/>
        <v>0</v>
      </c>
      <c r="O12" s="238">
        <f t="shared" si="3"/>
        <v>0</v>
      </c>
      <c r="P12" s="238">
        <f t="shared" si="3"/>
        <v>0</v>
      </c>
      <c r="Q12" s="238">
        <f t="shared" si="3"/>
        <v>0</v>
      </c>
      <c r="R12" s="238">
        <f t="shared" si="3"/>
        <v>415000</v>
      </c>
      <c r="S12" s="240"/>
      <c r="T12" s="240"/>
      <c r="U12" s="235"/>
    </row>
    <row r="13" spans="1:21" s="236" customFormat="1" ht="11.4">
      <c r="A13" s="453" t="s">
        <v>1109</v>
      </c>
      <c r="B13" s="238">
        <f>SUM(C13+D13)</f>
        <v>35000</v>
      </c>
      <c r="C13" s="239">
        <f>30000+5000</f>
        <v>35000</v>
      </c>
      <c r="D13" s="239"/>
      <c r="E13" s="239">
        <f t="shared" ref="E13:E14" si="4">B13-SUM(F13:Q13)</f>
        <v>35000</v>
      </c>
      <c r="F13" s="239"/>
      <c r="G13" s="239"/>
      <c r="H13" s="239"/>
      <c r="I13" s="239"/>
      <c r="J13" s="239"/>
      <c r="K13" s="239"/>
      <c r="L13" s="239"/>
      <c r="M13" s="239"/>
      <c r="N13" s="239"/>
      <c r="O13" s="239"/>
      <c r="P13" s="239"/>
      <c r="Q13" s="239"/>
      <c r="R13" s="239">
        <f>SUM(E13:Q13)</f>
        <v>35000</v>
      </c>
      <c r="S13" s="239">
        <v>30000</v>
      </c>
      <c r="T13" s="239"/>
      <c r="U13" s="235"/>
    </row>
    <row r="14" spans="1:21" s="236" customFormat="1" ht="22.8">
      <c r="A14" s="237" t="s">
        <v>1140</v>
      </c>
      <c r="B14" s="238">
        <f>SUM(C14+D14)</f>
        <v>0</v>
      </c>
      <c r="C14" s="239"/>
      <c r="D14" s="239"/>
      <c r="E14" s="239">
        <f t="shared" si="4"/>
        <v>0</v>
      </c>
      <c r="F14" s="239"/>
      <c r="G14" s="239"/>
      <c r="H14" s="239"/>
      <c r="I14" s="239"/>
      <c r="J14" s="239"/>
      <c r="K14" s="239"/>
      <c r="L14" s="239"/>
      <c r="M14" s="239"/>
      <c r="N14" s="239"/>
      <c r="O14" s="239"/>
      <c r="P14" s="239"/>
      <c r="Q14" s="239"/>
      <c r="R14" s="239">
        <f>SUM(E14:Q14)</f>
        <v>0</v>
      </c>
      <c r="S14" s="239">
        <f t="shared" ref="S14" si="5">C14</f>
        <v>0</v>
      </c>
      <c r="T14" s="239"/>
      <c r="U14" s="235"/>
    </row>
    <row r="15" spans="1:21" s="236" customFormat="1" ht="11.4">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ht="11.4">
      <c r="A21" s="237" t="s">
        <v>913</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ht="11.4">
      <c r="A22" s="237" t="s">
        <v>914</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ht="11.4">
      <c r="A23" s="237" t="s">
        <v>915</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ht="11.4">
      <c r="A24" s="248" t="s">
        <v>1939</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ht="11.4">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221</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916</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9">SUM(C29+D29)</f>
        <v>1187124</v>
      </c>
      <c r="C29" s="239">
        <v>1187124</v>
      </c>
      <c r="D29" s="239"/>
      <c r="E29" s="239">
        <f t="shared" ref="E29:E37" si="10">B29-SUM(F29:Q29)</f>
        <v>1187124</v>
      </c>
      <c r="F29" s="239"/>
      <c r="G29" s="239"/>
      <c r="H29" s="239"/>
      <c r="I29" s="239"/>
      <c r="J29" s="239"/>
      <c r="K29" s="239"/>
      <c r="L29" s="239"/>
      <c r="M29" s="239"/>
      <c r="N29" s="239"/>
      <c r="O29" s="239"/>
      <c r="P29" s="239"/>
      <c r="Q29" s="239"/>
      <c r="R29" s="239">
        <f t="shared" ref="R29:R37" si="11">SUM(E29:Q29)</f>
        <v>1187124</v>
      </c>
      <c r="S29" s="239">
        <f t="shared" ref="S29:S37" si="12">C29</f>
        <v>1187124</v>
      </c>
      <c r="T29" s="239"/>
      <c r="U29" s="235"/>
    </row>
    <row r="30" spans="1:21" s="236" customFormat="1" ht="11.4">
      <c r="A30" s="237" t="s">
        <v>910</v>
      </c>
      <c r="B30" s="238">
        <f t="shared" si="9"/>
        <v>19174485</v>
      </c>
      <c r="C30" s="239">
        <v>19174485</v>
      </c>
      <c r="D30" s="239"/>
      <c r="E30" s="239">
        <f t="shared" si="10"/>
        <v>9422496</v>
      </c>
      <c r="F30" s="239">
        <f>Application!AO629</f>
        <v>1458000</v>
      </c>
      <c r="G30" s="239">
        <f>Application!AO630</f>
        <v>3392621</v>
      </c>
      <c r="H30" s="239">
        <f>Application!AO631</f>
        <v>2497538</v>
      </c>
      <c r="I30" s="239">
        <f>Application!AO632</f>
        <v>1608830</v>
      </c>
      <c r="J30" s="239">
        <f>Application!AO633</f>
        <v>795000</v>
      </c>
      <c r="K30" s="239"/>
      <c r="L30" s="239"/>
      <c r="M30" s="239"/>
      <c r="N30" s="239"/>
      <c r="O30" s="239"/>
      <c r="P30" s="239"/>
      <c r="Q30" s="239"/>
      <c r="R30" s="239">
        <f t="shared" si="11"/>
        <v>19174485</v>
      </c>
      <c r="S30" s="239">
        <f t="shared" si="12"/>
        <v>19174485</v>
      </c>
      <c r="T30" s="239"/>
      <c r="U30" s="235"/>
    </row>
    <row r="31" spans="1:21" s="236" customFormat="1" ht="11.4">
      <c r="A31" s="237" t="s">
        <v>911</v>
      </c>
      <c r="B31" s="238">
        <f t="shared" si="9"/>
        <v>1425313</v>
      </c>
      <c r="C31" s="239">
        <v>1425313</v>
      </c>
      <c r="D31" s="239"/>
      <c r="E31" s="239">
        <f t="shared" si="10"/>
        <v>1425313</v>
      </c>
      <c r="F31" s="239"/>
      <c r="G31" s="239"/>
      <c r="H31" s="239"/>
      <c r="I31" s="239"/>
      <c r="J31" s="239"/>
      <c r="K31" s="239"/>
      <c r="L31" s="239"/>
      <c r="M31" s="239"/>
      <c r="N31" s="239"/>
      <c r="O31" s="239"/>
      <c r="P31" s="239"/>
      <c r="Q31" s="239"/>
      <c r="R31" s="239">
        <f t="shared" si="11"/>
        <v>1425313</v>
      </c>
      <c r="S31" s="239">
        <f t="shared" si="12"/>
        <v>1425313</v>
      </c>
      <c r="T31" s="239"/>
      <c r="U31" s="235"/>
    </row>
    <row r="32" spans="1:21" s="236" customFormat="1" ht="11.4">
      <c r="A32" s="237" t="s">
        <v>912</v>
      </c>
      <c r="B32" s="238">
        <f t="shared" si="9"/>
        <v>610849</v>
      </c>
      <c r="C32" s="239">
        <v>610849</v>
      </c>
      <c r="D32" s="239"/>
      <c r="E32" s="239">
        <f t="shared" si="10"/>
        <v>610849</v>
      </c>
      <c r="F32" s="239"/>
      <c r="G32" s="239"/>
      <c r="H32" s="239"/>
      <c r="I32" s="239"/>
      <c r="J32" s="239"/>
      <c r="K32" s="239"/>
      <c r="L32" s="239"/>
      <c r="M32" s="239"/>
      <c r="N32" s="239"/>
      <c r="O32" s="239"/>
      <c r="P32" s="239"/>
      <c r="Q32" s="239"/>
      <c r="R32" s="239">
        <f t="shared" si="11"/>
        <v>610849</v>
      </c>
      <c r="S32" s="239">
        <f t="shared" si="12"/>
        <v>610849</v>
      </c>
      <c r="T32" s="239"/>
      <c r="U32" s="235"/>
    </row>
    <row r="33" spans="1:21" s="236" customFormat="1" ht="11.4">
      <c r="A33" s="237" t="s">
        <v>913</v>
      </c>
      <c r="B33" s="238">
        <f t="shared" si="9"/>
        <v>814465</v>
      </c>
      <c r="C33" s="239">
        <v>814465</v>
      </c>
      <c r="D33" s="239"/>
      <c r="E33" s="239">
        <f t="shared" si="10"/>
        <v>814465</v>
      </c>
      <c r="F33" s="239"/>
      <c r="G33" s="239"/>
      <c r="H33" s="239"/>
      <c r="I33" s="239"/>
      <c r="J33" s="239"/>
      <c r="K33" s="239"/>
      <c r="L33" s="239"/>
      <c r="M33" s="239"/>
      <c r="N33" s="239"/>
      <c r="O33" s="239"/>
      <c r="P33" s="239"/>
      <c r="Q33" s="239"/>
      <c r="R33" s="239">
        <f t="shared" si="11"/>
        <v>814465</v>
      </c>
      <c r="S33" s="239">
        <f t="shared" si="12"/>
        <v>814465</v>
      </c>
      <c r="T33" s="239"/>
      <c r="U33" s="235"/>
    </row>
    <row r="34" spans="1:21" s="236" customFormat="1" ht="11.4">
      <c r="A34" s="237" t="s">
        <v>914</v>
      </c>
      <c r="B34" s="238">
        <f t="shared" si="9"/>
        <v>0</v>
      </c>
      <c r="C34" s="239"/>
      <c r="D34" s="239"/>
      <c r="E34" s="239">
        <f t="shared" si="10"/>
        <v>0</v>
      </c>
      <c r="F34" s="239"/>
      <c r="G34" s="239"/>
      <c r="H34" s="239"/>
      <c r="I34" s="239"/>
      <c r="J34" s="239"/>
      <c r="K34" s="239"/>
      <c r="L34" s="239"/>
      <c r="M34" s="239"/>
      <c r="N34" s="239"/>
      <c r="O34" s="239"/>
      <c r="P34" s="239"/>
      <c r="Q34" s="239"/>
      <c r="R34" s="239">
        <f t="shared" si="11"/>
        <v>0</v>
      </c>
      <c r="S34" s="239">
        <f t="shared" si="12"/>
        <v>0</v>
      </c>
      <c r="T34" s="239"/>
      <c r="U34" s="235"/>
    </row>
    <row r="35" spans="1:21" s="236" customFormat="1" ht="11.4">
      <c r="A35" s="237" t="s">
        <v>915</v>
      </c>
      <c r="B35" s="238">
        <f t="shared" si="9"/>
        <v>281890</v>
      </c>
      <c r="C35" s="239">
        <v>281890</v>
      </c>
      <c r="D35" s="239"/>
      <c r="E35" s="239">
        <f t="shared" si="10"/>
        <v>281890</v>
      </c>
      <c r="F35" s="239"/>
      <c r="G35" s="239"/>
      <c r="H35" s="239"/>
      <c r="I35" s="239"/>
      <c r="J35" s="239"/>
      <c r="K35" s="239"/>
      <c r="L35" s="239"/>
      <c r="M35" s="239"/>
      <c r="N35" s="239"/>
      <c r="O35" s="239"/>
      <c r="P35" s="239"/>
      <c r="Q35" s="239"/>
      <c r="R35" s="239">
        <f t="shared" si="11"/>
        <v>281890</v>
      </c>
      <c r="S35" s="239">
        <f t="shared" si="12"/>
        <v>281890</v>
      </c>
      <c r="T35" s="239"/>
      <c r="U35" s="235"/>
    </row>
    <row r="36" spans="1:21" s="236" customFormat="1" ht="11.4">
      <c r="A36" s="248" t="s">
        <v>1939</v>
      </c>
      <c r="B36" s="238">
        <f t="shared" si="9"/>
        <v>108000</v>
      </c>
      <c r="C36" s="239">
        <v>108000</v>
      </c>
      <c r="D36" s="239"/>
      <c r="E36" s="239">
        <f t="shared" si="10"/>
        <v>108000</v>
      </c>
      <c r="F36" s="239"/>
      <c r="G36" s="239"/>
      <c r="H36" s="239"/>
      <c r="I36" s="239"/>
      <c r="J36" s="239"/>
      <c r="K36" s="239"/>
      <c r="L36" s="239"/>
      <c r="M36" s="239"/>
      <c r="N36" s="239"/>
      <c r="O36" s="239"/>
      <c r="P36" s="239"/>
      <c r="Q36" s="239"/>
      <c r="R36" s="239">
        <f t="shared" si="11"/>
        <v>108000</v>
      </c>
      <c r="S36" s="239">
        <f t="shared" si="12"/>
        <v>108000</v>
      </c>
      <c r="T36" s="239"/>
      <c r="U36" s="235"/>
    </row>
    <row r="37" spans="1:21" s="236" customFormat="1" ht="11.4">
      <c r="A37" s="244" t="s">
        <v>532</v>
      </c>
      <c r="B37" s="238">
        <f t="shared" si="9"/>
        <v>0</v>
      </c>
      <c r="C37" s="239"/>
      <c r="D37" s="239"/>
      <c r="E37" s="239">
        <f t="shared" si="10"/>
        <v>0</v>
      </c>
      <c r="F37" s="239"/>
      <c r="G37" s="239"/>
      <c r="H37" s="239"/>
      <c r="I37" s="239"/>
      <c r="J37" s="239"/>
      <c r="K37" s="239"/>
      <c r="L37" s="239"/>
      <c r="M37" s="239"/>
      <c r="N37" s="239"/>
      <c r="O37" s="239"/>
      <c r="P37" s="239"/>
      <c r="Q37" s="239"/>
      <c r="R37" s="239">
        <f t="shared" si="11"/>
        <v>0</v>
      </c>
      <c r="S37" s="239">
        <f t="shared" si="12"/>
        <v>0</v>
      </c>
      <c r="T37" s="239"/>
      <c r="U37" s="235"/>
    </row>
    <row r="38" spans="1:21" s="236" customFormat="1">
      <c r="A38" s="241" t="s">
        <v>918</v>
      </c>
      <c r="B38" s="238">
        <f t="shared" si="9"/>
        <v>23602126</v>
      </c>
      <c r="C38" s="238">
        <f>SUM(C29:C37)</f>
        <v>23602126</v>
      </c>
      <c r="D38" s="238">
        <f>SUM(D29:D37)</f>
        <v>0</v>
      </c>
      <c r="E38" s="238">
        <f>SUM(E29:E37)</f>
        <v>13850137</v>
      </c>
      <c r="F38" s="238">
        <f t="shared" ref="F38:T38" si="13">SUM(F29:F37)</f>
        <v>1458000</v>
      </c>
      <c r="G38" s="238">
        <f t="shared" si="13"/>
        <v>3392621</v>
      </c>
      <c r="H38" s="238">
        <f t="shared" si="13"/>
        <v>2497538</v>
      </c>
      <c r="I38" s="238">
        <f t="shared" si="13"/>
        <v>1608830</v>
      </c>
      <c r="J38" s="238">
        <f t="shared" si="13"/>
        <v>795000</v>
      </c>
      <c r="K38" s="238">
        <f t="shared" si="13"/>
        <v>0</v>
      </c>
      <c r="L38" s="238">
        <f t="shared" si="13"/>
        <v>0</v>
      </c>
      <c r="M38" s="238">
        <f t="shared" si="13"/>
        <v>0</v>
      </c>
      <c r="N38" s="238">
        <f t="shared" si="13"/>
        <v>0</v>
      </c>
      <c r="O38" s="238">
        <f t="shared" si="13"/>
        <v>0</v>
      </c>
      <c r="P38" s="238">
        <f t="shared" si="13"/>
        <v>0</v>
      </c>
      <c r="Q38" s="238">
        <f t="shared" si="13"/>
        <v>0</v>
      </c>
      <c r="R38" s="238">
        <f t="shared" si="13"/>
        <v>23602126</v>
      </c>
      <c r="S38" s="242">
        <f t="shared" si="13"/>
        <v>23602126</v>
      </c>
      <c r="T38" s="242">
        <f t="shared" si="13"/>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600000</v>
      </c>
      <c r="C40" s="239">
        <v>600000</v>
      </c>
      <c r="D40" s="239"/>
      <c r="E40" s="239">
        <f t="shared" ref="E40:E41" si="14">B40-SUM(F40:Q40)</f>
        <v>600000</v>
      </c>
      <c r="F40" s="239"/>
      <c r="G40" s="239"/>
      <c r="H40" s="239"/>
      <c r="I40" s="239"/>
      <c r="J40" s="239"/>
      <c r="K40" s="239"/>
      <c r="L40" s="239"/>
      <c r="M40" s="239"/>
      <c r="N40" s="239"/>
      <c r="O40" s="239"/>
      <c r="P40" s="239"/>
      <c r="Q40" s="239"/>
      <c r="R40" s="239">
        <f>SUM(E40:Q40)</f>
        <v>600000</v>
      </c>
      <c r="S40" s="239">
        <f t="shared" ref="S40:S41" si="15">C40</f>
        <v>600000</v>
      </c>
      <c r="T40" s="239"/>
      <c r="U40" s="235"/>
    </row>
    <row r="41" spans="1:21" s="236" customFormat="1" ht="11.4">
      <c r="A41" s="237" t="s">
        <v>921</v>
      </c>
      <c r="B41" s="238">
        <f>SUM(C41+D41)</f>
        <v>200000</v>
      </c>
      <c r="C41" s="239">
        <v>200000</v>
      </c>
      <c r="D41" s="239"/>
      <c r="E41" s="239">
        <f t="shared" si="14"/>
        <v>200000</v>
      </c>
      <c r="F41" s="239"/>
      <c r="G41" s="239"/>
      <c r="H41" s="239"/>
      <c r="I41" s="239"/>
      <c r="J41" s="239"/>
      <c r="K41" s="239"/>
      <c r="L41" s="239"/>
      <c r="M41" s="239"/>
      <c r="N41" s="239"/>
      <c r="O41" s="239"/>
      <c r="P41" s="239"/>
      <c r="Q41" s="239"/>
      <c r="R41" s="239">
        <f>SUM(E41:Q41)</f>
        <v>200000</v>
      </c>
      <c r="S41" s="239">
        <f t="shared" si="15"/>
        <v>200000</v>
      </c>
      <c r="T41" s="239"/>
      <c r="U41" s="235"/>
    </row>
    <row r="42" spans="1:21" s="236" customFormat="1">
      <c r="A42" s="241" t="s">
        <v>922</v>
      </c>
      <c r="B42" s="238">
        <f>SUM(C42:D42)</f>
        <v>800000</v>
      </c>
      <c r="C42" s="238">
        <f>SUM(C39:C41)</f>
        <v>800000</v>
      </c>
      <c r="D42" s="238">
        <f>SUM(D39:D41)</f>
        <v>0</v>
      </c>
      <c r="E42" s="238">
        <f t="shared" ref="E42:T42" si="16">SUM(E40:E41)</f>
        <v>800000</v>
      </c>
      <c r="F42" s="238">
        <f t="shared" si="16"/>
        <v>0</v>
      </c>
      <c r="G42" s="238">
        <f t="shared" si="16"/>
        <v>0</v>
      </c>
      <c r="H42" s="238">
        <f t="shared" si="16"/>
        <v>0</v>
      </c>
      <c r="I42" s="238">
        <f t="shared" si="16"/>
        <v>0</v>
      </c>
      <c r="J42" s="238">
        <f t="shared" si="16"/>
        <v>0</v>
      </c>
      <c r="K42" s="238">
        <f t="shared" si="16"/>
        <v>0</v>
      </c>
      <c r="L42" s="238">
        <f t="shared" si="16"/>
        <v>0</v>
      </c>
      <c r="M42" s="238">
        <f t="shared" si="16"/>
        <v>0</v>
      </c>
      <c r="N42" s="238">
        <f t="shared" si="16"/>
        <v>0</v>
      </c>
      <c r="O42" s="238">
        <f t="shared" si="16"/>
        <v>0</v>
      </c>
      <c r="P42" s="238">
        <f t="shared" si="16"/>
        <v>0</v>
      </c>
      <c r="Q42" s="238">
        <f t="shared" si="16"/>
        <v>0</v>
      </c>
      <c r="R42" s="238">
        <f t="shared" si="16"/>
        <v>800000</v>
      </c>
      <c r="S42" s="242">
        <f t="shared" si="16"/>
        <v>800000</v>
      </c>
      <c r="T42" s="242">
        <f t="shared" si="16"/>
        <v>0</v>
      </c>
      <c r="U42" s="235"/>
    </row>
    <row r="43" spans="1:21" s="236" customFormat="1">
      <c r="A43" s="241" t="s">
        <v>923</v>
      </c>
      <c r="B43" s="238">
        <f>SUM(C43:D43)</f>
        <v>200000</v>
      </c>
      <c r="C43" s="239">
        <v>200000</v>
      </c>
      <c r="D43" s="239"/>
      <c r="E43" s="239">
        <f>B43-SUM(F43:Q43)</f>
        <v>200000</v>
      </c>
      <c r="F43" s="239">
        <v>0</v>
      </c>
      <c r="G43" s="239"/>
      <c r="H43" s="239"/>
      <c r="I43" s="239"/>
      <c r="J43" s="239"/>
      <c r="K43" s="239"/>
      <c r="L43" s="239"/>
      <c r="M43" s="239"/>
      <c r="N43" s="239"/>
      <c r="O43" s="239"/>
      <c r="P43" s="239"/>
      <c r="Q43" s="239"/>
      <c r="R43" s="239">
        <f>SUM(E43:Q43)</f>
        <v>200000</v>
      </c>
      <c r="S43" s="239">
        <f>C43</f>
        <v>200000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7">SUM(C45+D45)</f>
        <v>2178173</v>
      </c>
      <c r="C45" s="239">
        <v>2178173</v>
      </c>
      <c r="D45" s="239"/>
      <c r="E45" s="239">
        <f t="shared" ref="E45:E52" si="18">B45-SUM(F45:Q45)</f>
        <v>2178173</v>
      </c>
      <c r="F45" s="239"/>
      <c r="G45" s="239"/>
      <c r="H45" s="239"/>
      <c r="I45" s="239"/>
      <c r="J45" s="239"/>
      <c r="K45" s="239"/>
      <c r="L45" s="239"/>
      <c r="M45" s="239"/>
      <c r="N45" s="239"/>
      <c r="O45" s="239"/>
      <c r="P45" s="239"/>
      <c r="Q45" s="239"/>
      <c r="R45" s="239">
        <f t="shared" ref="R45:R52" si="19">SUM(E45:Q45)</f>
        <v>2178173</v>
      </c>
      <c r="S45" s="239">
        <v>1400254</v>
      </c>
      <c r="T45" s="239"/>
      <c r="U45" s="235"/>
    </row>
    <row r="46" spans="1:21" s="236" customFormat="1" ht="11.4">
      <c r="A46" s="237" t="s">
        <v>926</v>
      </c>
      <c r="B46" s="238">
        <f t="shared" si="17"/>
        <v>204716</v>
      </c>
      <c r="C46" s="239">
        <v>204716</v>
      </c>
      <c r="D46" s="239"/>
      <c r="E46" s="239">
        <f t="shared" si="18"/>
        <v>204716</v>
      </c>
      <c r="F46" s="239"/>
      <c r="G46" s="239"/>
      <c r="H46" s="239"/>
      <c r="I46" s="239"/>
      <c r="J46" s="239"/>
      <c r="K46" s="239"/>
      <c r="L46" s="239"/>
      <c r="M46" s="239"/>
      <c r="N46" s="239"/>
      <c r="O46" s="239"/>
      <c r="P46" s="239"/>
      <c r="Q46" s="239"/>
      <c r="R46" s="239">
        <f t="shared" si="19"/>
        <v>204716</v>
      </c>
      <c r="S46" s="239">
        <v>131603</v>
      </c>
      <c r="T46" s="239"/>
      <c r="U46" s="235"/>
    </row>
    <row r="47" spans="1:21" s="236" customFormat="1" ht="12" customHeight="1">
      <c r="A47" s="237" t="s">
        <v>927</v>
      </c>
      <c r="B47" s="238">
        <f t="shared" si="17"/>
        <v>0</v>
      </c>
      <c r="C47" s="239"/>
      <c r="D47" s="239"/>
      <c r="E47" s="239">
        <f t="shared" si="18"/>
        <v>0</v>
      </c>
      <c r="F47" s="239"/>
      <c r="G47" s="239"/>
      <c r="H47" s="239"/>
      <c r="I47" s="239"/>
      <c r="J47" s="239"/>
      <c r="K47" s="239"/>
      <c r="L47" s="239"/>
      <c r="M47" s="239"/>
      <c r="N47" s="239"/>
      <c r="O47" s="239"/>
      <c r="P47" s="239"/>
      <c r="Q47" s="239"/>
      <c r="R47" s="239">
        <f t="shared" si="19"/>
        <v>0</v>
      </c>
      <c r="S47" s="239">
        <f t="shared" ref="S47:S52" si="20">C47</f>
        <v>0</v>
      </c>
      <c r="T47" s="239"/>
      <c r="U47" s="235"/>
    </row>
    <row r="48" spans="1:21" s="236" customFormat="1" ht="11.4">
      <c r="A48" s="237" t="s">
        <v>928</v>
      </c>
      <c r="B48" s="238">
        <f t="shared" si="17"/>
        <v>278547</v>
      </c>
      <c r="C48" s="239">
        <v>278547</v>
      </c>
      <c r="D48" s="239"/>
      <c r="E48" s="239">
        <f t="shared" si="18"/>
        <v>278547</v>
      </c>
      <c r="F48" s="239"/>
      <c r="G48" s="239"/>
      <c r="H48" s="239"/>
      <c r="I48" s="239"/>
      <c r="J48" s="239"/>
      <c r="K48" s="239"/>
      <c r="L48" s="239"/>
      <c r="M48" s="239"/>
      <c r="N48" s="239"/>
      <c r="O48" s="239"/>
      <c r="P48" s="239"/>
      <c r="Q48" s="239"/>
      <c r="R48" s="239">
        <f t="shared" si="19"/>
        <v>278547</v>
      </c>
      <c r="S48" s="239">
        <f t="shared" si="20"/>
        <v>278547</v>
      </c>
      <c r="T48" s="239"/>
      <c r="U48" s="235"/>
    </row>
    <row r="49" spans="1:21" s="236" customFormat="1" ht="11.4">
      <c r="A49" s="237" t="s">
        <v>931</v>
      </c>
      <c r="B49" s="238">
        <f t="shared" si="17"/>
        <v>100000</v>
      </c>
      <c r="C49" s="239">
        <v>100000</v>
      </c>
      <c r="D49" s="239"/>
      <c r="E49" s="239">
        <f t="shared" si="18"/>
        <v>100000</v>
      </c>
      <c r="F49" s="239"/>
      <c r="G49" s="239"/>
      <c r="H49" s="239"/>
      <c r="I49" s="239"/>
      <c r="J49" s="239"/>
      <c r="K49" s="239"/>
      <c r="L49" s="239"/>
      <c r="M49" s="239"/>
      <c r="N49" s="239"/>
      <c r="O49" s="239"/>
      <c r="P49" s="239"/>
      <c r="Q49" s="239"/>
      <c r="R49" s="239">
        <f t="shared" si="19"/>
        <v>100000</v>
      </c>
      <c r="S49" s="239">
        <f t="shared" si="20"/>
        <v>100000</v>
      </c>
      <c r="T49" s="239"/>
      <c r="U49" s="235"/>
    </row>
    <row r="50" spans="1:21" s="236" customFormat="1" ht="11.4">
      <c r="A50" s="237" t="s">
        <v>929</v>
      </c>
      <c r="B50" s="238">
        <f t="shared" si="17"/>
        <v>8000</v>
      </c>
      <c r="C50" s="239">
        <v>8000</v>
      </c>
      <c r="D50" s="239"/>
      <c r="E50" s="239">
        <f t="shared" si="18"/>
        <v>8000</v>
      </c>
      <c r="F50" s="239"/>
      <c r="G50" s="239"/>
      <c r="H50" s="239"/>
      <c r="I50" s="239"/>
      <c r="J50" s="239"/>
      <c r="K50" s="239"/>
      <c r="L50" s="239"/>
      <c r="M50" s="239"/>
      <c r="N50" s="239"/>
      <c r="O50" s="239"/>
      <c r="P50" s="239"/>
      <c r="Q50" s="239"/>
      <c r="R50" s="239">
        <f t="shared" si="19"/>
        <v>8000</v>
      </c>
      <c r="S50" s="239">
        <f t="shared" si="20"/>
        <v>8000</v>
      </c>
      <c r="T50" s="239"/>
      <c r="U50" s="235"/>
    </row>
    <row r="51" spans="1:21" s="236" customFormat="1" ht="11.4">
      <c r="A51" s="237" t="s">
        <v>930</v>
      </c>
      <c r="B51" s="238">
        <f t="shared" si="17"/>
        <v>297000</v>
      </c>
      <c r="C51" s="239">
        <v>297000</v>
      </c>
      <c r="D51" s="239"/>
      <c r="E51" s="239">
        <f t="shared" si="18"/>
        <v>297000</v>
      </c>
      <c r="F51" s="239"/>
      <c r="G51" s="239"/>
      <c r="H51" s="239"/>
      <c r="I51" s="239"/>
      <c r="J51" s="239"/>
      <c r="K51" s="239"/>
      <c r="L51" s="239"/>
      <c r="M51" s="239"/>
      <c r="N51" s="239"/>
      <c r="O51" s="239"/>
      <c r="P51" s="239"/>
      <c r="Q51" s="239"/>
      <c r="R51" s="239">
        <f t="shared" si="19"/>
        <v>297000</v>
      </c>
      <c r="S51" s="239">
        <f t="shared" si="20"/>
        <v>297000</v>
      </c>
      <c r="T51" s="239"/>
      <c r="U51" s="235"/>
    </row>
    <row r="52" spans="1:21" s="236" customFormat="1" ht="11.4">
      <c r="A52" s="244" t="s">
        <v>532</v>
      </c>
      <c r="B52" s="238">
        <f t="shared" si="17"/>
        <v>0</v>
      </c>
      <c r="C52" s="239"/>
      <c r="D52" s="239"/>
      <c r="E52" s="239">
        <f t="shared" si="18"/>
        <v>0</v>
      </c>
      <c r="F52" s="239"/>
      <c r="G52" s="239"/>
      <c r="H52" s="239"/>
      <c r="I52" s="239"/>
      <c r="J52" s="239"/>
      <c r="K52" s="239"/>
      <c r="L52" s="239"/>
      <c r="M52" s="239"/>
      <c r="N52" s="239"/>
      <c r="O52" s="239"/>
      <c r="P52" s="239"/>
      <c r="Q52" s="239"/>
      <c r="R52" s="239">
        <f t="shared" si="19"/>
        <v>0</v>
      </c>
      <c r="S52" s="239">
        <f t="shared" si="20"/>
        <v>0</v>
      </c>
      <c r="T52" s="239"/>
      <c r="U52" s="235"/>
    </row>
    <row r="53" spans="1:21" s="246" customFormat="1">
      <c r="A53" s="241" t="s">
        <v>932</v>
      </c>
      <c r="B53" s="242">
        <f>SUM(C53:D53)</f>
        <v>3066436</v>
      </c>
      <c r="C53" s="242">
        <f t="shared" ref="C53:T53" si="21">SUM(C45:C52)</f>
        <v>3066436</v>
      </c>
      <c r="D53" s="242">
        <f t="shared" si="21"/>
        <v>0</v>
      </c>
      <c r="E53" s="242">
        <f t="shared" si="21"/>
        <v>3066436</v>
      </c>
      <c r="F53" s="242">
        <f t="shared" si="21"/>
        <v>0</v>
      </c>
      <c r="G53" s="242">
        <f t="shared" si="21"/>
        <v>0</v>
      </c>
      <c r="H53" s="242">
        <f t="shared" si="21"/>
        <v>0</v>
      </c>
      <c r="I53" s="242">
        <f t="shared" si="21"/>
        <v>0</v>
      </c>
      <c r="J53" s="242">
        <f t="shared" si="21"/>
        <v>0</v>
      </c>
      <c r="K53" s="242">
        <f t="shared" si="21"/>
        <v>0</v>
      </c>
      <c r="L53" s="242">
        <f t="shared" si="21"/>
        <v>0</v>
      </c>
      <c r="M53" s="242">
        <f t="shared" si="21"/>
        <v>0</v>
      </c>
      <c r="N53" s="242">
        <f t="shared" si="21"/>
        <v>0</v>
      </c>
      <c r="O53" s="242">
        <f t="shared" si="21"/>
        <v>0</v>
      </c>
      <c r="P53" s="242">
        <f t="shared" si="21"/>
        <v>0</v>
      </c>
      <c r="Q53" s="242">
        <f t="shared" si="21"/>
        <v>0</v>
      </c>
      <c r="R53" s="238">
        <f t="shared" si="21"/>
        <v>3066436</v>
      </c>
      <c r="S53" s="242">
        <f t="shared" si="21"/>
        <v>2215404</v>
      </c>
      <c r="T53" s="242">
        <f t="shared" si="21"/>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22">SUM(C55+D55)</f>
        <v>14580</v>
      </c>
      <c r="C55" s="239">
        <v>14580</v>
      </c>
      <c r="D55" s="239"/>
      <c r="E55" s="239">
        <f t="shared" ref="E55:E60" si="23">B55-SUM(F55:Q55)</f>
        <v>14580</v>
      </c>
      <c r="F55" s="239"/>
      <c r="G55" s="239"/>
      <c r="H55" s="239"/>
      <c r="I55" s="239"/>
      <c r="J55" s="239"/>
      <c r="K55" s="239"/>
      <c r="L55" s="239"/>
      <c r="M55" s="239"/>
      <c r="N55" s="239"/>
      <c r="O55" s="239"/>
      <c r="P55" s="239"/>
      <c r="Q55" s="239"/>
      <c r="R55" s="239">
        <f t="shared" ref="R55:R60" si="24">SUM(E55:Q55)</f>
        <v>14580</v>
      </c>
      <c r="S55" s="240"/>
      <c r="T55" s="240"/>
      <c r="U55" s="235"/>
    </row>
    <row r="56" spans="1:21" s="236" customFormat="1" ht="12" customHeight="1">
      <c r="A56" s="237" t="s">
        <v>927</v>
      </c>
      <c r="B56" s="238">
        <f t="shared" si="22"/>
        <v>0</v>
      </c>
      <c r="C56" s="239"/>
      <c r="D56" s="239"/>
      <c r="E56" s="239">
        <f t="shared" si="23"/>
        <v>0</v>
      </c>
      <c r="F56" s="239"/>
      <c r="G56" s="239"/>
      <c r="H56" s="239"/>
      <c r="I56" s="239"/>
      <c r="J56" s="239"/>
      <c r="K56" s="239"/>
      <c r="L56" s="239"/>
      <c r="M56" s="239"/>
      <c r="N56" s="239"/>
      <c r="O56" s="239"/>
      <c r="P56" s="239"/>
      <c r="Q56" s="239"/>
      <c r="R56" s="239">
        <f t="shared" si="24"/>
        <v>0</v>
      </c>
      <c r="S56" s="240"/>
      <c r="T56" s="240"/>
      <c r="U56" s="235"/>
    </row>
    <row r="57" spans="1:21" s="236" customFormat="1" ht="11.4">
      <c r="A57" s="237" t="s">
        <v>931</v>
      </c>
      <c r="B57" s="238">
        <f t="shared" si="22"/>
        <v>15000</v>
      </c>
      <c r="C57" s="239">
        <v>15000</v>
      </c>
      <c r="D57" s="239"/>
      <c r="E57" s="239">
        <f t="shared" si="23"/>
        <v>15000</v>
      </c>
      <c r="F57" s="239"/>
      <c r="G57" s="239"/>
      <c r="H57" s="239"/>
      <c r="I57" s="239"/>
      <c r="J57" s="239"/>
      <c r="K57" s="239"/>
      <c r="L57" s="239"/>
      <c r="M57" s="239"/>
      <c r="N57" s="239"/>
      <c r="O57" s="239"/>
      <c r="P57" s="239"/>
      <c r="Q57" s="239"/>
      <c r="R57" s="239">
        <f t="shared" si="24"/>
        <v>15000</v>
      </c>
      <c r="S57" s="240"/>
      <c r="T57" s="240"/>
      <c r="U57" s="235"/>
    </row>
    <row r="58" spans="1:21" s="236" customFormat="1" ht="11.4">
      <c r="A58" s="237" t="s">
        <v>929</v>
      </c>
      <c r="B58" s="238">
        <f t="shared" si="22"/>
        <v>0</v>
      </c>
      <c r="C58" s="239"/>
      <c r="D58" s="239"/>
      <c r="E58" s="239">
        <f t="shared" si="23"/>
        <v>0</v>
      </c>
      <c r="F58" s="239"/>
      <c r="G58" s="239"/>
      <c r="H58" s="239"/>
      <c r="I58" s="239"/>
      <c r="J58" s="239"/>
      <c r="K58" s="239"/>
      <c r="L58" s="239"/>
      <c r="M58" s="239"/>
      <c r="N58" s="239"/>
      <c r="O58" s="239"/>
      <c r="P58" s="239"/>
      <c r="Q58" s="239"/>
      <c r="R58" s="239">
        <f t="shared" si="24"/>
        <v>0</v>
      </c>
      <c r="S58" s="240"/>
      <c r="T58" s="240"/>
      <c r="U58" s="235"/>
    </row>
    <row r="59" spans="1:21" s="236" customFormat="1" ht="11.4">
      <c r="A59" s="237" t="s">
        <v>930</v>
      </c>
      <c r="B59" s="238">
        <f t="shared" si="22"/>
        <v>0</v>
      </c>
      <c r="C59" s="239"/>
      <c r="D59" s="239"/>
      <c r="E59" s="239">
        <f t="shared" si="23"/>
        <v>0</v>
      </c>
      <c r="F59" s="239"/>
      <c r="G59" s="239"/>
      <c r="H59" s="239"/>
      <c r="I59" s="239"/>
      <c r="J59" s="239"/>
      <c r="K59" s="239"/>
      <c r="L59" s="239"/>
      <c r="M59" s="239"/>
      <c r="N59" s="239"/>
      <c r="O59" s="239"/>
      <c r="P59" s="239"/>
      <c r="Q59" s="239"/>
      <c r="R59" s="239">
        <f t="shared" si="24"/>
        <v>0</v>
      </c>
      <c r="S59" s="240"/>
      <c r="T59" s="240"/>
      <c r="U59" s="235"/>
    </row>
    <row r="60" spans="1:21" s="236" customFormat="1" ht="11.4">
      <c r="A60" s="244" t="s">
        <v>532</v>
      </c>
      <c r="B60" s="238">
        <f t="shared" si="22"/>
        <v>0</v>
      </c>
      <c r="C60" s="239"/>
      <c r="D60" s="239"/>
      <c r="E60" s="239">
        <f t="shared" si="23"/>
        <v>0</v>
      </c>
      <c r="F60" s="239"/>
      <c r="G60" s="239"/>
      <c r="H60" s="239"/>
      <c r="I60" s="239"/>
      <c r="J60" s="239"/>
      <c r="K60" s="239"/>
      <c r="L60" s="239"/>
      <c r="M60" s="239"/>
      <c r="N60" s="239"/>
      <c r="O60" s="239"/>
      <c r="P60" s="239"/>
      <c r="Q60" s="239"/>
      <c r="R60" s="239">
        <f t="shared" si="24"/>
        <v>0</v>
      </c>
      <c r="S60" s="240"/>
      <c r="T60" s="240"/>
      <c r="U60" s="235"/>
    </row>
    <row r="61" spans="1:21" s="236" customFormat="1" ht="13.95" customHeight="1">
      <c r="A61" s="241" t="s">
        <v>499</v>
      </c>
      <c r="B61" s="238">
        <f>SUM(C61:D61)</f>
        <v>29580</v>
      </c>
      <c r="C61" s="238">
        <f t="shared" ref="C61:R61" si="25">SUM(C55:C60)</f>
        <v>29580</v>
      </c>
      <c r="D61" s="238">
        <f t="shared" si="25"/>
        <v>0</v>
      </c>
      <c r="E61" s="238">
        <f t="shared" si="25"/>
        <v>29580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29580</v>
      </c>
      <c r="S61" s="240"/>
      <c r="T61" s="240"/>
      <c r="U61" s="235"/>
    </row>
    <row r="62" spans="1:21" s="236" customFormat="1" ht="11.4">
      <c r="A62" s="247" t="s">
        <v>500</v>
      </c>
      <c r="B62" s="238">
        <f>SUM(C62:D62)</f>
        <v>28148142</v>
      </c>
      <c r="C62" s="238">
        <f t="shared" ref="C62:R62" si="26">SUM(C8+C11+C13+C14+C15+C26+C27+C38+C42+C43+C53+C61)</f>
        <v>28148142</v>
      </c>
      <c r="D62" s="238">
        <f t="shared" si="26"/>
        <v>0</v>
      </c>
      <c r="E62" s="238">
        <f t="shared" si="26"/>
        <v>17996153</v>
      </c>
      <c r="F62" s="238">
        <f t="shared" si="26"/>
        <v>1458000</v>
      </c>
      <c r="G62" s="238">
        <f t="shared" si="26"/>
        <v>3392621</v>
      </c>
      <c r="H62" s="238">
        <f t="shared" si="26"/>
        <v>2497538</v>
      </c>
      <c r="I62" s="238">
        <f t="shared" si="26"/>
        <v>1608830</v>
      </c>
      <c r="J62" s="238">
        <f t="shared" si="26"/>
        <v>795000</v>
      </c>
      <c r="K62" s="238">
        <f t="shared" si="26"/>
        <v>400000</v>
      </c>
      <c r="L62" s="238">
        <f t="shared" si="26"/>
        <v>0</v>
      </c>
      <c r="M62" s="238">
        <f t="shared" si="26"/>
        <v>0</v>
      </c>
      <c r="N62" s="238">
        <f t="shared" si="26"/>
        <v>0</v>
      </c>
      <c r="O62" s="238">
        <f t="shared" si="26"/>
        <v>0</v>
      </c>
      <c r="P62" s="238">
        <f t="shared" si="26"/>
        <v>0</v>
      </c>
      <c r="Q62" s="238">
        <f t="shared" si="26"/>
        <v>0</v>
      </c>
      <c r="R62" s="238">
        <f t="shared" si="26"/>
        <v>28148142</v>
      </c>
      <c r="S62" s="238">
        <f>SUM(S10+S13+S14+S15+S26+S27+S38+S42+S43+S53)</f>
        <v>26847530</v>
      </c>
      <c r="T62" s="238">
        <f>SUM(T11+T13+T14+T15+T26+T27+T38+T42+T43+T53)</f>
        <v>0</v>
      </c>
      <c r="U62" s="235"/>
    </row>
    <row r="63" spans="1:21" s="236" customFormat="1" ht="22.8">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320000</v>
      </c>
      <c r="C64" s="239">
        <f>220000+50000+30000+20000</f>
        <v>320000</v>
      </c>
      <c r="D64" s="239"/>
      <c r="E64" s="239">
        <f t="shared" ref="E64:E68" si="27">B64-SUM(F64:Q64)</f>
        <v>320000</v>
      </c>
      <c r="F64" s="239"/>
      <c r="G64" s="239"/>
      <c r="H64" s="239"/>
      <c r="I64" s="239"/>
      <c r="J64" s="239"/>
      <c r="K64" s="239"/>
      <c r="L64" s="239"/>
      <c r="M64" s="239"/>
      <c r="N64" s="239"/>
      <c r="O64" s="239"/>
      <c r="P64" s="239"/>
      <c r="Q64" s="239"/>
      <c r="R64" s="239">
        <f>SUM(E64:Q64)</f>
        <v>320000</v>
      </c>
      <c r="S64" s="239">
        <f>32143+57857+100000</f>
        <v>190000</v>
      </c>
      <c r="T64" s="239"/>
      <c r="U64" s="235"/>
    </row>
    <row r="65" spans="1:21" s="236" customFormat="1" ht="22.8">
      <c r="A65" s="237" t="s">
        <v>1941</v>
      </c>
      <c r="B65" s="238">
        <f>SUM(C65+D65)</f>
        <v>0</v>
      </c>
      <c r="C65" s="239"/>
      <c r="D65" s="239"/>
      <c r="E65" s="239">
        <f t="shared" si="27"/>
        <v>0</v>
      </c>
      <c r="F65" s="239"/>
      <c r="G65" s="239"/>
      <c r="H65" s="239"/>
      <c r="I65" s="239"/>
      <c r="J65" s="239"/>
      <c r="K65" s="239"/>
      <c r="L65" s="239"/>
      <c r="M65" s="239"/>
      <c r="N65" s="239"/>
      <c r="O65" s="239"/>
      <c r="P65" s="239"/>
      <c r="Q65" s="239"/>
      <c r="R65" s="239">
        <f>SUM(E65:Q65)</f>
        <v>0</v>
      </c>
      <c r="S65" s="239">
        <f t="shared" ref="S65:S68" si="28">C65</f>
        <v>0</v>
      </c>
      <c r="T65" s="239"/>
      <c r="U65" s="235"/>
    </row>
    <row r="66" spans="1:21" s="236" customFormat="1" ht="22.8">
      <c r="A66" s="237" t="s">
        <v>1942</v>
      </c>
      <c r="B66" s="238">
        <f>SUM(C66+D66)</f>
        <v>0</v>
      </c>
      <c r="C66" s="239"/>
      <c r="D66" s="239"/>
      <c r="E66" s="239">
        <f t="shared" si="27"/>
        <v>0</v>
      </c>
      <c r="F66" s="239"/>
      <c r="G66" s="239"/>
      <c r="H66" s="239"/>
      <c r="I66" s="239"/>
      <c r="J66" s="239"/>
      <c r="K66" s="239"/>
      <c r="L66" s="239"/>
      <c r="M66" s="239"/>
      <c r="N66" s="239"/>
      <c r="O66" s="239"/>
      <c r="P66" s="239"/>
      <c r="Q66" s="239"/>
      <c r="R66" s="239">
        <f>SUM(E66:Q66)</f>
        <v>0</v>
      </c>
      <c r="S66" s="239">
        <f t="shared" si="28"/>
        <v>0</v>
      </c>
      <c r="T66" s="239"/>
      <c r="U66" s="235"/>
    </row>
    <row r="67" spans="1:21" s="236" customFormat="1" ht="11.4">
      <c r="A67" s="237" t="s">
        <v>1943</v>
      </c>
      <c r="B67" s="238">
        <f>SUM(C67+D67)</f>
        <v>0</v>
      </c>
      <c r="C67" s="239"/>
      <c r="D67" s="239"/>
      <c r="E67" s="239">
        <f t="shared" si="27"/>
        <v>0</v>
      </c>
      <c r="F67" s="239"/>
      <c r="G67" s="239"/>
      <c r="H67" s="239"/>
      <c r="I67" s="239"/>
      <c r="J67" s="239"/>
      <c r="K67" s="239"/>
      <c r="L67" s="239"/>
      <c r="M67" s="239"/>
      <c r="N67" s="239"/>
      <c r="O67" s="239"/>
      <c r="P67" s="239"/>
      <c r="Q67" s="239"/>
      <c r="R67" s="239">
        <f>SUM(E67:Q67)</f>
        <v>0</v>
      </c>
      <c r="S67" s="239">
        <f t="shared" si="28"/>
        <v>0</v>
      </c>
      <c r="T67" s="239"/>
      <c r="U67" s="235"/>
    </row>
    <row r="68" spans="1:21" s="236" customFormat="1" ht="11.4">
      <c r="A68" s="244" t="s">
        <v>532</v>
      </c>
      <c r="B68" s="238">
        <f>SUM(C68+D68)</f>
        <v>0</v>
      </c>
      <c r="C68" s="239"/>
      <c r="D68" s="239"/>
      <c r="E68" s="239">
        <f t="shared" si="27"/>
        <v>0</v>
      </c>
      <c r="F68" s="239"/>
      <c r="G68" s="239"/>
      <c r="H68" s="239"/>
      <c r="I68" s="239"/>
      <c r="J68" s="239"/>
      <c r="K68" s="239"/>
      <c r="L68" s="239"/>
      <c r="M68" s="239"/>
      <c r="N68" s="239"/>
      <c r="O68" s="239"/>
      <c r="P68" s="239"/>
      <c r="Q68" s="239"/>
      <c r="R68" s="239">
        <f>SUM(E68:Q68)</f>
        <v>0</v>
      </c>
      <c r="S68" s="239">
        <f t="shared" si="28"/>
        <v>0</v>
      </c>
      <c r="T68" s="239"/>
      <c r="U68" s="235"/>
    </row>
    <row r="69" spans="1:21" s="236" customFormat="1">
      <c r="A69" s="241" t="s">
        <v>1944</v>
      </c>
      <c r="B69" s="238">
        <f>SUM(C69:D69)</f>
        <v>320000</v>
      </c>
      <c r="C69" s="238">
        <f>SUM(C63:C68)</f>
        <v>320000</v>
      </c>
      <c r="D69" s="238">
        <f>SUM(D63:D68)</f>
        <v>0</v>
      </c>
      <c r="E69" s="238">
        <f t="shared" ref="E69:T69" si="29">SUM(E64:E68)</f>
        <v>320000</v>
      </c>
      <c r="F69" s="238">
        <f t="shared" si="29"/>
        <v>0</v>
      </c>
      <c r="G69" s="238">
        <f t="shared" si="29"/>
        <v>0</v>
      </c>
      <c r="H69" s="238">
        <f t="shared" si="29"/>
        <v>0</v>
      </c>
      <c r="I69" s="238">
        <f t="shared" si="29"/>
        <v>0</v>
      </c>
      <c r="J69" s="238">
        <f t="shared" si="29"/>
        <v>0</v>
      </c>
      <c r="K69" s="238">
        <f t="shared" si="29"/>
        <v>0</v>
      </c>
      <c r="L69" s="238">
        <f t="shared" si="29"/>
        <v>0</v>
      </c>
      <c r="M69" s="238">
        <f t="shared" si="29"/>
        <v>0</v>
      </c>
      <c r="N69" s="238">
        <f t="shared" si="29"/>
        <v>0</v>
      </c>
      <c r="O69" s="238">
        <f t="shared" si="29"/>
        <v>0</v>
      </c>
      <c r="P69" s="238">
        <f t="shared" si="29"/>
        <v>0</v>
      </c>
      <c r="Q69" s="238">
        <f t="shared" si="29"/>
        <v>0</v>
      </c>
      <c r="R69" s="238">
        <f t="shared" si="29"/>
        <v>320000</v>
      </c>
      <c r="S69" s="242">
        <f t="shared" si="29"/>
        <v>190000</v>
      </c>
      <c r="T69" s="242">
        <f t="shared" si="29"/>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f t="shared" ref="E71:E75" si="30">B71-SUM(F71:Q71)</f>
        <v>0</v>
      </c>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f t="shared" si="30"/>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1238</v>
      </c>
      <c r="B73" s="238">
        <f>SUM(C73+D73)</f>
        <v>0</v>
      </c>
      <c r="C73" s="239"/>
      <c r="D73" s="239"/>
      <c r="E73" s="239">
        <f t="shared" si="30"/>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162536</v>
      </c>
      <c r="C74" s="239">
        <v>162536</v>
      </c>
      <c r="D74" s="239"/>
      <c r="E74" s="239">
        <f t="shared" si="30"/>
        <v>162536</v>
      </c>
      <c r="F74" s="239"/>
      <c r="G74" s="239"/>
      <c r="H74" s="239"/>
      <c r="I74" s="239"/>
      <c r="J74" s="239"/>
      <c r="K74" s="239"/>
      <c r="L74" s="239"/>
      <c r="M74" s="239"/>
      <c r="N74" s="239"/>
      <c r="O74" s="239"/>
      <c r="P74" s="239"/>
      <c r="Q74" s="239"/>
      <c r="R74" s="239">
        <f>SUM(E74:Q74)</f>
        <v>162536</v>
      </c>
      <c r="S74" s="240"/>
      <c r="T74" s="240"/>
      <c r="U74" s="235"/>
    </row>
    <row r="75" spans="1:21" s="236" customFormat="1" ht="11.4">
      <c r="A75" s="244" t="s">
        <v>532</v>
      </c>
      <c r="B75" s="238">
        <f>SUM(C75+D75)</f>
        <v>0</v>
      </c>
      <c r="C75" s="239"/>
      <c r="D75" s="239"/>
      <c r="E75" s="239">
        <f t="shared" si="30"/>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162536</v>
      </c>
      <c r="C76" s="238">
        <f t="shared" ref="C76:Q76" si="31">SUM(C71:C75)</f>
        <v>162536</v>
      </c>
      <c r="D76" s="238">
        <f t="shared" si="31"/>
        <v>0</v>
      </c>
      <c r="E76" s="238">
        <f>SUM(E71:E75)</f>
        <v>162536</v>
      </c>
      <c r="F76" s="238">
        <f>SUM(F71:F75)</f>
        <v>0</v>
      </c>
      <c r="G76" s="238">
        <f>SUM(G71:G75)</f>
        <v>0</v>
      </c>
      <c r="H76" s="238">
        <f t="shared" si="31"/>
        <v>0</v>
      </c>
      <c r="I76" s="238">
        <f t="shared" si="31"/>
        <v>0</v>
      </c>
      <c r="J76" s="238">
        <f t="shared" si="31"/>
        <v>0</v>
      </c>
      <c r="K76" s="238">
        <f t="shared" si="31"/>
        <v>0</v>
      </c>
      <c r="L76" s="238">
        <f t="shared" si="31"/>
        <v>0</v>
      </c>
      <c r="M76" s="238">
        <f t="shared" si="31"/>
        <v>0</v>
      </c>
      <c r="N76" s="238">
        <f t="shared" si="31"/>
        <v>0</v>
      </c>
      <c r="O76" s="238">
        <f t="shared" si="31"/>
        <v>0</v>
      </c>
      <c r="P76" s="238">
        <f t="shared" si="31"/>
        <v>0</v>
      </c>
      <c r="Q76" s="238">
        <f t="shared" si="31"/>
        <v>0</v>
      </c>
      <c r="R76" s="238">
        <f>SUM(R71:R75)</f>
        <v>162536</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1732</v>
      </c>
      <c r="B78" s="238">
        <f>SUM(C78+D78)</f>
        <v>1782951</v>
      </c>
      <c r="C78" s="239">
        <v>1782951</v>
      </c>
      <c r="D78" s="239"/>
      <c r="E78" s="239">
        <f t="shared" ref="E78:E79" si="32">B78-SUM(F78:Q78)</f>
        <v>1782951</v>
      </c>
      <c r="F78" s="239"/>
      <c r="G78" s="239"/>
      <c r="H78" s="239"/>
      <c r="I78" s="239"/>
      <c r="J78" s="239"/>
      <c r="K78" s="239"/>
      <c r="L78" s="239"/>
      <c r="M78" s="239"/>
      <c r="N78" s="239"/>
      <c r="O78" s="239"/>
      <c r="P78" s="239"/>
      <c r="Q78" s="239"/>
      <c r="R78" s="239">
        <f>SUM(E78:Q78)</f>
        <v>1782951</v>
      </c>
      <c r="S78" s="239">
        <f t="shared" ref="S78:S79" si="33">C78</f>
        <v>1782951</v>
      </c>
      <c r="T78" s="239"/>
      <c r="U78" s="235"/>
    </row>
    <row r="79" spans="1:21" s="236" customFormat="1" ht="11.4">
      <c r="A79" s="237" t="s">
        <v>537</v>
      </c>
      <c r="B79" s="238">
        <f>SUM(C79+D79)</f>
        <v>316818</v>
      </c>
      <c r="C79" s="239">
        <v>316818</v>
      </c>
      <c r="D79" s="239"/>
      <c r="E79" s="239">
        <f t="shared" si="32"/>
        <v>316818</v>
      </c>
      <c r="F79" s="239"/>
      <c r="G79" s="239"/>
      <c r="H79" s="239"/>
      <c r="I79" s="239"/>
      <c r="J79" s="239"/>
      <c r="K79" s="239"/>
      <c r="L79" s="239"/>
      <c r="M79" s="239"/>
      <c r="N79" s="239"/>
      <c r="O79" s="239"/>
      <c r="P79" s="239"/>
      <c r="Q79" s="239"/>
      <c r="R79" s="239">
        <f>SUM(E79:Q79)</f>
        <v>316818</v>
      </c>
      <c r="S79" s="239">
        <f t="shared" si="33"/>
        <v>316818</v>
      </c>
      <c r="T79" s="239"/>
      <c r="U79" s="235"/>
    </row>
    <row r="80" spans="1:21" s="236" customFormat="1">
      <c r="A80" s="241" t="s">
        <v>1733</v>
      </c>
      <c r="B80" s="238">
        <f>SUM(C80:D80)</f>
        <v>2099769</v>
      </c>
      <c r="C80" s="663">
        <f>SUM(C78:C79)</f>
        <v>2099769</v>
      </c>
      <c r="D80" s="663">
        <f t="shared" ref="D80:R80" si="34">SUM(D78:D79)</f>
        <v>0</v>
      </c>
      <c r="E80" s="663">
        <f t="shared" si="34"/>
        <v>2099769</v>
      </c>
      <c r="F80" s="663">
        <f t="shared" si="34"/>
        <v>0</v>
      </c>
      <c r="G80" s="663">
        <f t="shared" si="34"/>
        <v>0</v>
      </c>
      <c r="H80" s="663">
        <f t="shared" si="34"/>
        <v>0</v>
      </c>
      <c r="I80" s="663">
        <f t="shared" si="34"/>
        <v>0</v>
      </c>
      <c r="J80" s="663">
        <f t="shared" si="34"/>
        <v>0</v>
      </c>
      <c r="K80" s="663">
        <f t="shared" si="34"/>
        <v>0</v>
      </c>
      <c r="L80" s="663">
        <f t="shared" si="34"/>
        <v>0</v>
      </c>
      <c r="M80" s="663">
        <f t="shared" si="34"/>
        <v>0</v>
      </c>
      <c r="N80" s="663">
        <f t="shared" si="34"/>
        <v>0</v>
      </c>
      <c r="O80" s="663">
        <f t="shared" si="34"/>
        <v>0</v>
      </c>
      <c r="P80" s="663">
        <f t="shared" si="34"/>
        <v>0</v>
      </c>
      <c r="Q80" s="663">
        <f t="shared" si="34"/>
        <v>0</v>
      </c>
      <c r="R80" s="663">
        <f t="shared" si="34"/>
        <v>2099769</v>
      </c>
      <c r="S80" s="663">
        <f>SUM(S78:S79)</f>
        <v>2099769</v>
      </c>
      <c r="T80" s="663">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2098</v>
      </c>
      <c r="B82" s="238">
        <f>SUM(C82+D82)</f>
        <v>140300</v>
      </c>
      <c r="C82" s="239">
        <v>140300</v>
      </c>
      <c r="D82" s="239"/>
      <c r="E82" s="239">
        <f t="shared" ref="E82:E94" si="35">B82-SUM(F82:Q82)</f>
        <v>140300</v>
      </c>
      <c r="F82" s="239"/>
      <c r="G82" s="239"/>
      <c r="H82" s="239"/>
      <c r="I82" s="239"/>
      <c r="J82" s="239"/>
      <c r="K82" s="239"/>
      <c r="L82" s="239"/>
      <c r="M82" s="239"/>
      <c r="N82" s="239"/>
      <c r="O82" s="239"/>
      <c r="P82" s="239"/>
      <c r="Q82" s="239"/>
      <c r="R82" s="239">
        <f>SUM(E82:Q82)</f>
        <v>140300</v>
      </c>
      <c r="S82" s="240"/>
      <c r="T82" s="240"/>
      <c r="U82" s="235"/>
    </row>
    <row r="83" spans="1:21" s="236" customFormat="1" ht="11.4">
      <c r="A83" s="237" t="s">
        <v>515</v>
      </c>
      <c r="B83" s="238">
        <f t="shared" ref="B83:B93" si="36">SUM(C83+D83)</f>
        <v>150000</v>
      </c>
      <c r="C83" s="239">
        <f>85000+65000</f>
        <v>150000</v>
      </c>
      <c r="D83" s="239"/>
      <c r="E83" s="239">
        <f t="shared" si="35"/>
        <v>150000</v>
      </c>
      <c r="F83" s="239"/>
      <c r="G83" s="239"/>
      <c r="H83" s="239"/>
      <c r="I83" s="239"/>
      <c r="J83" s="239"/>
      <c r="K83" s="239"/>
      <c r="L83" s="239"/>
      <c r="M83" s="239"/>
      <c r="N83" s="239"/>
      <c r="O83" s="239"/>
      <c r="P83" s="239"/>
      <c r="Q83" s="239"/>
      <c r="R83" s="239">
        <f t="shared" ref="R83:R93" si="37">SUM(E83:Q83)</f>
        <v>150000</v>
      </c>
      <c r="S83" s="239">
        <f t="shared" ref="S83:S86" si="38">C83</f>
        <v>150000</v>
      </c>
      <c r="T83" s="239"/>
      <c r="U83" s="235"/>
    </row>
    <row r="84" spans="1:21" s="236" customFormat="1" ht="11.4">
      <c r="A84" s="237" t="s">
        <v>516</v>
      </c>
      <c r="B84" s="238">
        <f t="shared" si="36"/>
        <v>1619383</v>
      </c>
      <c r="C84" s="239">
        <f>1203349+416034</f>
        <v>1619383</v>
      </c>
      <c r="D84" s="239"/>
      <c r="E84" s="239">
        <f t="shared" si="35"/>
        <v>1203349</v>
      </c>
      <c r="F84" s="239"/>
      <c r="G84" s="239"/>
      <c r="H84" s="239"/>
      <c r="I84" s="239"/>
      <c r="J84" s="239"/>
      <c r="K84" s="239"/>
      <c r="L84" s="239">
        <f>Application!AM563</f>
        <v>416034</v>
      </c>
      <c r="M84" s="239"/>
      <c r="N84" s="239"/>
      <c r="O84" s="239"/>
      <c r="P84" s="239"/>
      <c r="Q84" s="239"/>
      <c r="R84" s="239">
        <f t="shared" si="37"/>
        <v>1619383</v>
      </c>
      <c r="S84" s="239">
        <f>R84-L84</f>
        <v>1203349</v>
      </c>
      <c r="T84" s="239"/>
      <c r="U84" s="235"/>
    </row>
    <row r="85" spans="1:21" s="236" customFormat="1" ht="11.4">
      <c r="A85" s="237" t="s">
        <v>517</v>
      </c>
      <c r="B85" s="238">
        <f t="shared" si="36"/>
        <v>540000</v>
      </c>
      <c r="C85" s="239">
        <v>540000</v>
      </c>
      <c r="D85" s="239"/>
      <c r="E85" s="239">
        <f t="shared" si="35"/>
        <v>540000</v>
      </c>
      <c r="F85" s="239"/>
      <c r="G85" s="239"/>
      <c r="H85" s="239"/>
      <c r="I85" s="239"/>
      <c r="J85" s="239"/>
      <c r="K85" s="239"/>
      <c r="L85" s="239"/>
      <c r="M85" s="239"/>
      <c r="N85" s="239"/>
      <c r="O85" s="239"/>
      <c r="P85" s="239"/>
      <c r="Q85" s="239"/>
      <c r="R85" s="239">
        <f t="shared" si="37"/>
        <v>540000</v>
      </c>
      <c r="S85" s="239">
        <f t="shared" si="38"/>
        <v>540000</v>
      </c>
      <c r="T85" s="239"/>
      <c r="U85" s="235"/>
    </row>
    <row r="86" spans="1:21" s="236" customFormat="1" ht="11.4">
      <c r="A86" s="237" t="s">
        <v>518</v>
      </c>
      <c r="B86" s="238">
        <f t="shared" si="36"/>
        <v>0</v>
      </c>
      <c r="C86" s="239"/>
      <c r="D86" s="239"/>
      <c r="E86" s="239">
        <f t="shared" si="35"/>
        <v>0</v>
      </c>
      <c r="F86" s="239"/>
      <c r="G86" s="239"/>
      <c r="H86" s="239"/>
      <c r="I86" s="239"/>
      <c r="J86" s="239"/>
      <c r="K86" s="239"/>
      <c r="L86" s="239"/>
      <c r="M86" s="239"/>
      <c r="N86" s="239"/>
      <c r="O86" s="239"/>
      <c r="P86" s="239"/>
      <c r="Q86" s="239"/>
      <c r="R86" s="239">
        <f t="shared" si="37"/>
        <v>0</v>
      </c>
      <c r="S86" s="239">
        <f t="shared" si="38"/>
        <v>0</v>
      </c>
      <c r="T86" s="239"/>
      <c r="U86" s="235"/>
    </row>
    <row r="87" spans="1:21" s="236" customFormat="1" ht="11.4">
      <c r="A87" s="237" t="s">
        <v>519</v>
      </c>
      <c r="B87" s="238">
        <f t="shared" si="36"/>
        <v>63250</v>
      </c>
      <c r="C87" s="239">
        <v>63250</v>
      </c>
      <c r="D87" s="239"/>
      <c r="E87" s="239">
        <f t="shared" si="35"/>
        <v>63250</v>
      </c>
      <c r="F87" s="239"/>
      <c r="G87" s="239"/>
      <c r="H87" s="239"/>
      <c r="I87" s="239"/>
      <c r="J87" s="239"/>
      <c r="K87" s="239"/>
      <c r="L87" s="239"/>
      <c r="M87" s="239"/>
      <c r="N87" s="239"/>
      <c r="O87" s="239"/>
      <c r="P87" s="239"/>
      <c r="Q87" s="239"/>
      <c r="R87" s="239">
        <f t="shared" si="37"/>
        <v>63250</v>
      </c>
      <c r="S87" s="240"/>
      <c r="T87" s="240"/>
      <c r="U87" s="235"/>
    </row>
    <row r="88" spans="1:21" s="236" customFormat="1" ht="11.4">
      <c r="A88" s="237" t="s">
        <v>520</v>
      </c>
      <c r="B88" s="238">
        <f t="shared" si="36"/>
        <v>135000</v>
      </c>
      <c r="C88" s="239">
        <v>135000</v>
      </c>
      <c r="D88" s="239"/>
      <c r="E88" s="239">
        <f t="shared" si="35"/>
        <v>135000</v>
      </c>
      <c r="F88" s="239"/>
      <c r="G88" s="239"/>
      <c r="H88" s="239"/>
      <c r="I88" s="239"/>
      <c r="J88" s="239"/>
      <c r="K88" s="239"/>
      <c r="L88" s="239"/>
      <c r="M88" s="239"/>
      <c r="N88" s="239"/>
      <c r="O88" s="239"/>
      <c r="P88" s="239"/>
      <c r="Q88" s="239"/>
      <c r="R88" s="239">
        <f t="shared" si="37"/>
        <v>135000</v>
      </c>
      <c r="S88" s="239">
        <f t="shared" ref="S88:S94" si="39">C88</f>
        <v>135000</v>
      </c>
      <c r="T88" s="239"/>
      <c r="U88" s="235"/>
    </row>
    <row r="89" spans="1:21" s="236" customFormat="1" ht="11.4">
      <c r="A89" s="237" t="s">
        <v>521</v>
      </c>
      <c r="B89" s="238">
        <f t="shared" si="36"/>
        <v>15000</v>
      </c>
      <c r="C89" s="239">
        <v>15000</v>
      </c>
      <c r="D89" s="239"/>
      <c r="E89" s="239">
        <f t="shared" si="35"/>
        <v>15000</v>
      </c>
      <c r="F89" s="239"/>
      <c r="G89" s="239"/>
      <c r="H89" s="239"/>
      <c r="I89" s="239"/>
      <c r="J89" s="239"/>
      <c r="K89" s="239"/>
      <c r="L89" s="239"/>
      <c r="M89" s="239"/>
      <c r="N89" s="239"/>
      <c r="O89" s="239"/>
      <c r="P89" s="239"/>
      <c r="Q89" s="239"/>
      <c r="R89" s="239">
        <f t="shared" si="37"/>
        <v>15000</v>
      </c>
      <c r="S89" s="239">
        <v>0</v>
      </c>
      <c r="T89" s="239"/>
      <c r="U89" s="235"/>
    </row>
    <row r="90" spans="1:21" s="236" customFormat="1" ht="11.4">
      <c r="A90" s="248" t="s">
        <v>1314</v>
      </c>
      <c r="B90" s="238">
        <f t="shared" si="36"/>
        <v>0</v>
      </c>
      <c r="C90" s="239"/>
      <c r="D90" s="239"/>
      <c r="E90" s="239">
        <f t="shared" si="35"/>
        <v>0</v>
      </c>
      <c r="F90" s="239"/>
      <c r="G90" s="239"/>
      <c r="H90" s="239"/>
      <c r="I90" s="239"/>
      <c r="J90" s="239"/>
      <c r="K90" s="239"/>
      <c r="L90" s="239"/>
      <c r="M90" s="239"/>
      <c r="N90" s="239"/>
      <c r="O90" s="239"/>
      <c r="P90" s="239"/>
      <c r="Q90" s="239"/>
      <c r="R90" s="239">
        <f t="shared" si="37"/>
        <v>0</v>
      </c>
      <c r="S90" s="239">
        <f t="shared" si="39"/>
        <v>0</v>
      </c>
      <c r="T90" s="239"/>
      <c r="U90" s="235"/>
    </row>
    <row r="91" spans="1:21" s="236" customFormat="1" ht="11.4">
      <c r="A91" s="248" t="s">
        <v>1731</v>
      </c>
      <c r="B91" s="238">
        <f t="shared" si="36"/>
        <v>15000</v>
      </c>
      <c r="C91" s="239">
        <v>15000</v>
      </c>
      <c r="D91" s="239"/>
      <c r="E91" s="239">
        <f t="shared" si="35"/>
        <v>15000</v>
      </c>
      <c r="F91" s="239"/>
      <c r="G91" s="239"/>
      <c r="H91" s="239"/>
      <c r="I91" s="239"/>
      <c r="J91" s="239"/>
      <c r="K91" s="239"/>
      <c r="L91" s="239"/>
      <c r="M91" s="239"/>
      <c r="N91" s="239"/>
      <c r="O91" s="239"/>
      <c r="P91" s="239"/>
      <c r="Q91" s="239"/>
      <c r="R91" s="239">
        <f t="shared" si="37"/>
        <v>15000</v>
      </c>
      <c r="S91" s="239">
        <f t="shared" si="39"/>
        <v>15000</v>
      </c>
      <c r="T91" s="239"/>
      <c r="U91" s="235"/>
    </row>
    <row r="92" spans="1:21" s="236" customFormat="1" ht="11.4">
      <c r="A92" s="244" t="s">
        <v>2457</v>
      </c>
      <c r="B92" s="238">
        <f t="shared" si="36"/>
        <v>100000</v>
      </c>
      <c r="C92" s="239">
        <f>60000+40000</f>
        <v>100000</v>
      </c>
      <c r="D92" s="239"/>
      <c r="E92" s="239">
        <f t="shared" si="35"/>
        <v>100000</v>
      </c>
      <c r="F92" s="239"/>
      <c r="G92" s="239"/>
      <c r="H92" s="239"/>
      <c r="I92" s="239"/>
      <c r="J92" s="239"/>
      <c r="K92" s="239"/>
      <c r="L92" s="239"/>
      <c r="M92" s="239"/>
      <c r="N92" s="239"/>
      <c r="O92" s="239"/>
      <c r="P92" s="239"/>
      <c r="Q92" s="239"/>
      <c r="R92" s="239">
        <f t="shared" si="37"/>
        <v>100000</v>
      </c>
      <c r="S92" s="239">
        <f t="shared" si="39"/>
        <v>100000</v>
      </c>
      <c r="T92" s="239"/>
      <c r="U92" s="235"/>
    </row>
    <row r="93" spans="1:21" s="236" customFormat="1" ht="11.4">
      <c r="A93" s="244" t="s">
        <v>2458</v>
      </c>
      <c r="B93" s="238">
        <f t="shared" si="36"/>
        <v>135000</v>
      </c>
      <c r="C93" s="239">
        <f>75000+60000</f>
        <v>135000</v>
      </c>
      <c r="D93" s="239"/>
      <c r="E93" s="239">
        <f t="shared" si="35"/>
        <v>135000</v>
      </c>
      <c r="F93" s="239"/>
      <c r="G93" s="239"/>
      <c r="H93" s="239"/>
      <c r="I93" s="239"/>
      <c r="J93" s="239"/>
      <c r="K93" s="239"/>
      <c r="L93" s="239"/>
      <c r="M93" s="239"/>
      <c r="N93" s="239"/>
      <c r="O93" s="239"/>
      <c r="P93" s="239"/>
      <c r="Q93" s="239"/>
      <c r="R93" s="239">
        <f t="shared" si="37"/>
        <v>135000</v>
      </c>
      <c r="S93" s="239">
        <f t="shared" si="39"/>
        <v>135000</v>
      </c>
      <c r="T93" s="239"/>
      <c r="U93" s="235"/>
    </row>
    <row r="94" spans="1:21" s="236" customFormat="1" ht="11.4">
      <c r="A94" s="244" t="s">
        <v>2459</v>
      </c>
      <c r="B94" s="238">
        <f>SUM(C94+D94)</f>
        <v>58500</v>
      </c>
      <c r="C94" s="239">
        <v>58500</v>
      </c>
      <c r="D94" s="239"/>
      <c r="E94" s="239">
        <f t="shared" si="35"/>
        <v>58500</v>
      </c>
      <c r="F94" s="239"/>
      <c r="G94" s="239"/>
      <c r="H94" s="239"/>
      <c r="I94" s="239"/>
      <c r="J94" s="239"/>
      <c r="K94" s="239"/>
      <c r="L94" s="239"/>
      <c r="M94" s="239"/>
      <c r="N94" s="239"/>
      <c r="O94" s="239"/>
      <c r="P94" s="239"/>
      <c r="Q94" s="239"/>
      <c r="R94" s="239">
        <f>SUM(E94:Q94)</f>
        <v>58500</v>
      </c>
      <c r="S94" s="239">
        <f t="shared" si="39"/>
        <v>58500</v>
      </c>
      <c r="T94" s="239"/>
      <c r="U94" s="235"/>
    </row>
    <row r="95" spans="1:21" s="236" customFormat="1">
      <c r="A95" s="241" t="s">
        <v>522</v>
      </c>
      <c r="B95" s="238">
        <f>SUM(C95:D95)</f>
        <v>2971433</v>
      </c>
      <c r="C95" s="238">
        <f t="shared" ref="C95:R95" si="40">SUM(C82:C94)</f>
        <v>2971433</v>
      </c>
      <c r="D95" s="238">
        <f t="shared" si="40"/>
        <v>0</v>
      </c>
      <c r="E95" s="238">
        <f t="shared" si="40"/>
        <v>2555399</v>
      </c>
      <c r="F95" s="238">
        <f t="shared" si="40"/>
        <v>0</v>
      </c>
      <c r="G95" s="238">
        <f t="shared" si="40"/>
        <v>0</v>
      </c>
      <c r="H95" s="238">
        <f t="shared" si="40"/>
        <v>0</v>
      </c>
      <c r="I95" s="238">
        <f t="shared" si="40"/>
        <v>0</v>
      </c>
      <c r="J95" s="238">
        <f t="shared" si="40"/>
        <v>0</v>
      </c>
      <c r="K95" s="238">
        <f t="shared" si="40"/>
        <v>0</v>
      </c>
      <c r="L95" s="238">
        <f t="shared" si="40"/>
        <v>416034</v>
      </c>
      <c r="M95" s="238">
        <f t="shared" si="40"/>
        <v>0</v>
      </c>
      <c r="N95" s="238">
        <f t="shared" si="40"/>
        <v>0</v>
      </c>
      <c r="O95" s="238">
        <f t="shared" si="40"/>
        <v>0</v>
      </c>
      <c r="P95" s="238">
        <f t="shared" si="40"/>
        <v>0</v>
      </c>
      <c r="Q95" s="238">
        <f t="shared" si="40"/>
        <v>0</v>
      </c>
      <c r="R95" s="238">
        <f t="shared" si="40"/>
        <v>2971433</v>
      </c>
      <c r="S95" s="242">
        <f>SUM(S83:S86,S88:S94)</f>
        <v>2336849</v>
      </c>
      <c r="T95" s="238">
        <f>SUM(T83:T86,T88:T94)</f>
        <v>0</v>
      </c>
      <c r="U95" s="235"/>
    </row>
    <row r="96" spans="1:21" s="236" customFormat="1">
      <c r="A96" s="241" t="s">
        <v>523</v>
      </c>
      <c r="B96" s="238">
        <f>SUM(C96:D96)</f>
        <v>33701880</v>
      </c>
      <c r="C96" s="238">
        <f t="shared" ref="C96:R96" si="41">SUM(C62+C69+C76+C80+C95)</f>
        <v>33701880</v>
      </c>
      <c r="D96" s="238">
        <f t="shared" si="41"/>
        <v>0</v>
      </c>
      <c r="E96" s="238">
        <f t="shared" si="41"/>
        <v>23133857</v>
      </c>
      <c r="F96" s="238">
        <f t="shared" si="41"/>
        <v>1458000</v>
      </c>
      <c r="G96" s="238">
        <f t="shared" si="41"/>
        <v>3392621</v>
      </c>
      <c r="H96" s="238">
        <f t="shared" si="41"/>
        <v>2497538</v>
      </c>
      <c r="I96" s="238">
        <f t="shared" si="41"/>
        <v>1608830</v>
      </c>
      <c r="J96" s="238">
        <f t="shared" si="41"/>
        <v>795000</v>
      </c>
      <c r="K96" s="238">
        <f t="shared" si="41"/>
        <v>400000</v>
      </c>
      <c r="L96" s="238">
        <f t="shared" si="41"/>
        <v>416034</v>
      </c>
      <c r="M96" s="238">
        <f t="shared" si="41"/>
        <v>0</v>
      </c>
      <c r="N96" s="238">
        <f t="shared" si="41"/>
        <v>0</v>
      </c>
      <c r="O96" s="238">
        <f t="shared" si="41"/>
        <v>0</v>
      </c>
      <c r="P96" s="238">
        <f t="shared" si="41"/>
        <v>0</v>
      </c>
      <c r="Q96" s="238">
        <f t="shared" si="41"/>
        <v>0</v>
      </c>
      <c r="R96" s="238">
        <f t="shared" si="41"/>
        <v>33701880</v>
      </c>
      <c r="S96" s="242">
        <f>SUM(+S62+S69+S80+S95)</f>
        <v>31474148</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 t="shared" ref="E98" si="42">B98-SUM(F98:Q98)</f>
        <v>2800000</v>
      </c>
      <c r="F98" s="239"/>
      <c r="G98" s="239"/>
      <c r="H98" s="239"/>
      <c r="I98" s="239"/>
      <c r="J98" s="239"/>
      <c r="K98" s="239"/>
      <c r="L98" s="239"/>
      <c r="M98" s="239"/>
      <c r="N98" s="239"/>
      <c r="O98" s="239"/>
      <c r="P98" s="239"/>
      <c r="Q98" s="239"/>
      <c r="R98" s="239">
        <f>SUM(E98:Q98)</f>
        <v>2800000</v>
      </c>
      <c r="S98" s="239">
        <f t="shared" ref="S98" si="43">C98</f>
        <v>2800000</v>
      </c>
      <c r="T98" s="239"/>
      <c r="U98" s="235"/>
    </row>
    <row r="99" spans="1:21" s="236" customFormat="1" ht="11.4">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44">SUM(C98:C102)</f>
        <v>2800000</v>
      </c>
      <c r="D103" s="238">
        <f t="shared" si="44"/>
        <v>0</v>
      </c>
      <c r="E103" s="238">
        <f t="shared" si="44"/>
        <v>2800000</v>
      </c>
      <c r="F103" s="238">
        <f t="shared" si="44"/>
        <v>0</v>
      </c>
      <c r="G103" s="238">
        <f t="shared" si="44"/>
        <v>0</v>
      </c>
      <c r="H103" s="238">
        <f t="shared" si="44"/>
        <v>0</v>
      </c>
      <c r="I103" s="238">
        <f t="shared" si="44"/>
        <v>0</v>
      </c>
      <c r="J103" s="238">
        <f t="shared" si="44"/>
        <v>0</v>
      </c>
      <c r="K103" s="238">
        <f t="shared" si="44"/>
        <v>0</v>
      </c>
      <c r="L103" s="238">
        <f t="shared" si="44"/>
        <v>0</v>
      </c>
      <c r="M103" s="238">
        <f t="shared" si="44"/>
        <v>0</v>
      </c>
      <c r="N103" s="238">
        <f t="shared" si="44"/>
        <v>0</v>
      </c>
      <c r="O103" s="238">
        <f t="shared" si="44"/>
        <v>0</v>
      </c>
      <c r="P103" s="238">
        <f t="shared" si="44"/>
        <v>0</v>
      </c>
      <c r="Q103" s="238">
        <f t="shared" si="44"/>
        <v>0</v>
      </c>
      <c r="R103" s="238">
        <f t="shared" si="44"/>
        <v>2800000</v>
      </c>
      <c r="S103" s="242">
        <f t="shared" si="44"/>
        <v>2800000</v>
      </c>
      <c r="T103" s="242">
        <f t="shared" si="44"/>
        <v>0</v>
      </c>
      <c r="U103" s="235"/>
    </row>
    <row r="104" spans="1:21" s="236" customFormat="1">
      <c r="A104" s="241" t="s">
        <v>1155</v>
      </c>
      <c r="B104" s="242">
        <f>SUM(C104:D104)</f>
        <v>36501880</v>
      </c>
      <c r="C104" s="242">
        <f t="shared" ref="C104:R104" si="45">SUM(C96+C103)</f>
        <v>36501880</v>
      </c>
      <c r="D104" s="242">
        <f t="shared" si="45"/>
        <v>0</v>
      </c>
      <c r="E104" s="242">
        <f t="shared" si="45"/>
        <v>25933857</v>
      </c>
      <c r="F104" s="242">
        <f t="shared" si="45"/>
        <v>1458000</v>
      </c>
      <c r="G104" s="242">
        <f t="shared" si="45"/>
        <v>3392621</v>
      </c>
      <c r="H104" s="242">
        <f t="shared" si="45"/>
        <v>2497538</v>
      </c>
      <c r="I104" s="242">
        <f t="shared" si="45"/>
        <v>1608830</v>
      </c>
      <c r="J104" s="242">
        <f t="shared" si="45"/>
        <v>795000</v>
      </c>
      <c r="K104" s="242">
        <f t="shared" si="45"/>
        <v>400000</v>
      </c>
      <c r="L104" s="242">
        <f t="shared" si="45"/>
        <v>416034</v>
      </c>
      <c r="M104" s="242">
        <f t="shared" si="45"/>
        <v>0</v>
      </c>
      <c r="N104" s="242">
        <f t="shared" si="45"/>
        <v>0</v>
      </c>
      <c r="O104" s="242">
        <f t="shared" si="45"/>
        <v>0</v>
      </c>
      <c r="P104" s="242">
        <f t="shared" si="45"/>
        <v>0</v>
      </c>
      <c r="Q104" s="242">
        <f t="shared" si="45"/>
        <v>0</v>
      </c>
      <c r="R104" s="238">
        <f t="shared" si="45"/>
        <v>36501880</v>
      </c>
      <c r="S104" s="242">
        <f>S96+S103</f>
        <v>34274148</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34274148</v>
      </c>
      <c r="T106" s="242">
        <f>T104+T105</f>
        <v>0</v>
      </c>
      <c r="U106" s="254"/>
    </row>
    <row r="107" spans="1:21" s="256" customFormat="1">
      <c r="A107" s="255" t="s">
        <v>1106</v>
      </c>
      <c r="B107" s="250"/>
      <c r="C107" s="250"/>
      <c r="D107" s="250"/>
      <c r="E107" s="238">
        <f>Application!AO642</f>
        <v>25933857</v>
      </c>
      <c r="F107" s="238">
        <f>Application!AO629</f>
        <v>1458000</v>
      </c>
      <c r="G107" s="238">
        <f>Application!AO630</f>
        <v>3392621</v>
      </c>
      <c r="H107" s="238">
        <f>Application!AO631</f>
        <v>2497538</v>
      </c>
      <c r="I107" s="238">
        <f>Application!AO632</f>
        <v>1608830</v>
      </c>
      <c r="J107" s="238">
        <f>Application!AO633</f>
        <v>795000</v>
      </c>
      <c r="K107" s="238">
        <f>Application!AO634</f>
        <v>400000</v>
      </c>
      <c r="L107" s="238">
        <f>Application!AO635</f>
        <v>416034</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1304</v>
      </c>
      <c r="U121" s="550"/>
    </row>
    <row r="122" spans="1:21" s="251" customFormat="1" ht="11.4">
      <c r="A122" s="252" t="s">
        <v>1289</v>
      </c>
      <c r="D122" s="1598" t="s">
        <v>1290</v>
      </c>
      <c r="E122" s="1598"/>
      <c r="F122" s="1598"/>
      <c r="U122" s="254"/>
    </row>
    <row r="123" spans="1:21" s="251" customFormat="1" ht="11.4">
      <c r="A123" s="251" t="s">
        <v>1291</v>
      </c>
      <c r="B123" s="543"/>
      <c r="D123" s="1600" t="s">
        <v>1315</v>
      </c>
      <c r="E123" s="1092"/>
      <c r="F123" s="1092"/>
      <c r="G123" s="1092"/>
      <c r="H123" s="1092"/>
      <c r="I123" s="1092"/>
      <c r="J123" s="1092"/>
      <c r="K123" s="1092"/>
      <c r="L123" s="1092"/>
      <c r="M123" s="1092"/>
      <c r="N123" s="1092"/>
      <c r="O123" s="1092"/>
      <c r="P123" s="1092"/>
      <c r="Q123" s="1092"/>
      <c r="R123" s="1092"/>
      <c r="S123" s="1092"/>
      <c r="U123" s="254"/>
    </row>
    <row r="124" spans="1:21" s="251" customFormat="1" ht="13.2">
      <c r="A124" s="207" t="s">
        <v>1292</v>
      </c>
      <c r="B124" s="543"/>
      <c r="C124" s="207"/>
      <c r="D124" s="1092"/>
      <c r="E124" s="1092"/>
      <c r="F124" s="1092"/>
      <c r="G124" s="1092"/>
      <c r="H124" s="1092"/>
      <c r="I124" s="1092"/>
      <c r="J124" s="1092"/>
      <c r="K124" s="1092"/>
      <c r="L124" s="1092"/>
      <c r="M124" s="1092"/>
      <c r="N124" s="1092"/>
      <c r="O124" s="1092"/>
      <c r="P124" s="1092"/>
      <c r="Q124" s="1092"/>
      <c r="R124" s="1092"/>
      <c r="S124" s="1092"/>
      <c r="U124" s="254"/>
    </row>
    <row r="125" spans="1:21" s="251" customFormat="1" ht="13.2">
      <c r="A125" s="207" t="s">
        <v>1293</v>
      </c>
      <c r="B125" s="543"/>
      <c r="C125" s="207"/>
      <c r="D125" s="1092"/>
      <c r="E125" s="1092"/>
      <c r="F125" s="1092"/>
      <c r="G125" s="1092"/>
      <c r="H125" s="1092"/>
      <c r="I125" s="1092"/>
      <c r="J125" s="1092"/>
      <c r="K125" s="1092"/>
      <c r="L125" s="1092"/>
      <c r="M125" s="1092"/>
      <c r="N125" s="1092"/>
      <c r="O125" s="1092"/>
      <c r="P125" s="1092"/>
      <c r="Q125" s="1092"/>
      <c r="R125" s="1092"/>
      <c r="S125" s="1092"/>
      <c r="U125" s="254"/>
    </row>
    <row r="126" spans="1:21" s="251" customFormat="1" ht="13.2">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1296</v>
      </c>
      <c r="B128" s="543"/>
      <c r="C128" s="207"/>
      <c r="D128" s="1595"/>
      <c r="E128" s="1595"/>
      <c r="F128" s="1595"/>
      <c r="G128" s="1595"/>
      <c r="H128" s="1595"/>
      <c r="I128" s="207"/>
      <c r="J128" s="1596"/>
      <c r="K128" s="1596"/>
      <c r="L128" s="207"/>
      <c r="M128" s="207"/>
      <c r="N128" s="207"/>
      <c r="O128" s="207"/>
      <c r="P128" s="207"/>
      <c r="Q128" s="207"/>
      <c r="R128" s="207"/>
      <c r="S128" s="207"/>
      <c r="U128" s="254"/>
    </row>
    <row r="129" spans="1:21" s="251" customFormat="1" ht="13.2">
      <c r="A129" s="207" t="s">
        <v>498</v>
      </c>
      <c r="B129" s="543"/>
      <c r="C129" s="207"/>
      <c r="D129" s="1597" t="s">
        <v>1297</v>
      </c>
      <c r="E129" s="1597"/>
      <c r="F129" s="1597"/>
      <c r="G129" s="1597"/>
      <c r="H129" s="1597"/>
      <c r="I129" s="207"/>
      <c r="J129" s="207" t="s">
        <v>1298</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1299</v>
      </c>
      <c r="B131" s="544">
        <f>SUM(B123:B129)</f>
        <v>0</v>
      </c>
      <c r="C131" s="207"/>
      <c r="D131" s="1147"/>
      <c r="E131" s="1147"/>
      <c r="F131" s="1147"/>
      <c r="G131" s="1147"/>
      <c r="H131" s="1147"/>
      <c r="I131" s="207"/>
      <c r="J131" s="1147"/>
      <c r="K131" s="1147"/>
      <c r="L131" s="1147"/>
      <c r="M131" s="1147"/>
      <c r="N131" s="207"/>
      <c r="O131" s="207"/>
      <c r="P131" s="207"/>
      <c r="Q131" s="207"/>
      <c r="R131" s="207"/>
      <c r="S131" s="207"/>
      <c r="U131" s="254"/>
    </row>
    <row r="132" spans="1:21" s="251" customFormat="1" ht="13.2">
      <c r="A132" s="545"/>
      <c r="B132" s="207"/>
      <c r="C132" s="207"/>
      <c r="D132" s="1069" t="s">
        <v>1300</v>
      </c>
      <c r="E132" s="1069"/>
      <c r="F132" s="1069"/>
      <c r="G132" s="1069"/>
      <c r="H132" s="1069"/>
      <c r="I132" s="207"/>
      <c r="J132" s="1069" t="s">
        <v>1301</v>
      </c>
      <c r="K132" s="1069"/>
      <c r="L132" s="1069"/>
      <c r="M132" s="1069"/>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2116</v>
      </c>
      <c r="B135" s="207"/>
      <c r="C135" s="207"/>
      <c r="D135" s="207"/>
      <c r="E135" s="207"/>
      <c r="F135" s="207"/>
      <c r="G135" s="207"/>
      <c r="H135" s="207"/>
      <c r="I135" s="207"/>
      <c r="J135" s="207"/>
      <c r="K135" s="207"/>
      <c r="L135" s="207"/>
      <c r="M135" s="207"/>
      <c r="N135" s="942"/>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595"/>
      <c r="C138" s="1595"/>
      <c r="D138" s="349"/>
      <c r="E138" s="1596"/>
      <c r="F138" s="1596"/>
      <c r="G138" s="207"/>
      <c r="H138" s="207"/>
      <c r="I138" s="207"/>
      <c r="J138" s="207"/>
      <c r="K138" s="207"/>
      <c r="L138" s="207"/>
      <c r="M138" s="207"/>
      <c r="N138" s="207"/>
      <c r="O138" s="207"/>
      <c r="P138" s="207"/>
      <c r="Q138" s="207"/>
      <c r="R138" s="207"/>
      <c r="S138" s="207"/>
    </row>
    <row r="139" spans="1:21" ht="12" customHeight="1">
      <c r="A139" s="1599" t="s">
        <v>1303</v>
      </c>
      <c r="B139" s="1599"/>
      <c r="C139" s="1599"/>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B11" sqref="B11:S1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1" t="s">
        <v>1737</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2.9"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1818</v>
      </c>
    </row>
    <row r="7" spans="1:40" ht="12.9"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2.9" customHeight="1">
      <c r="B8" s="202"/>
      <c r="T8" s="1609"/>
      <c r="U8" s="1609"/>
      <c r="V8" s="1609"/>
      <c r="W8" s="1609"/>
      <c r="X8" s="1609"/>
      <c r="Y8" s="1609"/>
      <c r="Z8" s="1609"/>
      <c r="AA8" s="1609"/>
      <c r="AB8" s="1609"/>
      <c r="AC8" s="1609"/>
      <c r="AD8" s="1609"/>
      <c r="AE8" s="1609"/>
      <c r="AF8" s="1609"/>
      <c r="AG8" s="1609"/>
      <c r="AH8" s="1609"/>
      <c r="AI8" s="1609"/>
      <c r="AJ8" s="1609"/>
      <c r="AK8" s="1609"/>
      <c r="AL8" s="1609"/>
      <c r="AM8" s="1609"/>
    </row>
    <row r="9" spans="1:40" ht="12.9" customHeight="1">
      <c r="B9" s="202"/>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 customHeight="1">
      <c r="B11" s="1119" t="s">
        <v>507</v>
      </c>
      <c r="C11" s="1120"/>
      <c r="D11" s="1120"/>
      <c r="E11" s="1120"/>
      <c r="F11" s="1120"/>
      <c r="G11" s="1120"/>
      <c r="H11" s="1120"/>
      <c r="I11" s="1120"/>
      <c r="J11" s="1120"/>
      <c r="K11" s="1120"/>
      <c r="L11" s="1120"/>
      <c r="M11" s="1120"/>
      <c r="N11" s="1120"/>
      <c r="O11" s="1120"/>
      <c r="P11" s="1120"/>
      <c r="Q11" s="1120"/>
      <c r="R11" s="1120"/>
      <c r="S11" s="1122"/>
      <c r="T11" s="1639">
        <f>IF('Sources and Basis Breakdown'!F105=0,'Sources and Basis Breakdown'!E105,'Sources and Basis Breakdown'!F105)</f>
        <v>34274148</v>
      </c>
      <c r="U11" s="1626"/>
      <c r="V11" s="1626"/>
      <c r="W11" s="1626"/>
      <c r="X11" s="1626"/>
      <c r="Y11" s="1625">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 customHeight="1">
      <c r="B12" s="1633" t="s">
        <v>446</v>
      </c>
      <c r="C12" s="1015"/>
      <c r="D12" s="1015"/>
      <c r="E12" s="1015"/>
      <c r="F12" s="1015"/>
      <c r="G12" s="1015"/>
      <c r="H12" s="1015"/>
      <c r="I12" s="1015"/>
      <c r="J12" s="1015"/>
      <c r="K12" s="1015"/>
      <c r="L12" s="1015"/>
      <c r="M12" s="1015"/>
      <c r="N12" s="1015"/>
      <c r="O12" s="1015"/>
      <c r="P12" s="1015"/>
      <c r="Q12" s="1015"/>
      <c r="R12" s="1015"/>
      <c r="S12" s="1634"/>
      <c r="T12" s="1628"/>
      <c r="U12" s="1629"/>
      <c r="V12" s="1629"/>
      <c r="W12" s="1629"/>
      <c r="X12" s="1630"/>
      <c r="Y12" s="1628"/>
      <c r="Z12" s="1629"/>
      <c r="AA12" s="1629"/>
      <c r="AB12" s="1629"/>
      <c r="AC12" s="1630"/>
      <c r="AD12" s="1628"/>
      <c r="AE12" s="1629"/>
      <c r="AF12" s="1629"/>
      <c r="AG12" s="1629"/>
      <c r="AH12" s="1630"/>
      <c r="AI12" s="1628"/>
      <c r="AJ12" s="1629"/>
      <c r="AK12" s="1629"/>
      <c r="AL12" s="1629"/>
      <c r="AM12" s="1630"/>
    </row>
    <row r="13" spans="1:40" ht="12.9" customHeight="1">
      <c r="B13" s="8"/>
      <c r="C13" s="1635" t="s">
        <v>1705</v>
      </c>
      <c r="D13" s="1636"/>
      <c r="E13" s="1636"/>
      <c r="F13" s="1636"/>
      <c r="G13" s="1636"/>
      <c r="H13" s="1636"/>
      <c r="I13" s="1636"/>
      <c r="J13" s="1636"/>
      <c r="K13" s="1636"/>
      <c r="L13" s="1636"/>
      <c r="M13" s="1636"/>
      <c r="N13" s="1636"/>
      <c r="O13" s="1636"/>
      <c r="P13" s="1636"/>
      <c r="Q13" s="1636"/>
      <c r="R13" s="1636"/>
      <c r="S13" s="1637"/>
      <c r="T13" s="1627"/>
      <c r="U13" s="1624"/>
      <c r="V13" s="1624"/>
      <c r="W13" s="1624"/>
      <c r="X13" s="1624"/>
      <c r="Y13" s="1627"/>
      <c r="Z13" s="1624"/>
      <c r="AA13" s="1624"/>
      <c r="AB13" s="1624"/>
      <c r="AC13" s="1624"/>
      <c r="AD13" s="1624"/>
      <c r="AE13" s="1624"/>
      <c r="AF13" s="1624"/>
      <c r="AG13" s="1624"/>
      <c r="AH13" s="1624"/>
      <c r="AI13" s="1624"/>
      <c r="AJ13" s="1624"/>
      <c r="AK13" s="1624"/>
      <c r="AL13" s="1624"/>
      <c r="AM13" s="1624"/>
    </row>
    <row r="14" spans="1:40" ht="12.9" customHeight="1">
      <c r="B14" s="8"/>
      <c r="C14" s="1636" t="s">
        <v>767</v>
      </c>
      <c r="D14" s="1636"/>
      <c r="E14" s="1636"/>
      <c r="F14" s="1636"/>
      <c r="G14" s="1636"/>
      <c r="H14" s="1636"/>
      <c r="I14" s="1636"/>
      <c r="J14" s="1636"/>
      <c r="K14" s="1636"/>
      <c r="L14" s="1636"/>
      <c r="M14" s="1636"/>
      <c r="N14" s="1636"/>
      <c r="O14" s="1636"/>
      <c r="P14" s="1636"/>
      <c r="Q14" s="1636"/>
      <c r="R14" s="1636"/>
      <c r="S14" s="1637"/>
      <c r="T14" s="1194"/>
      <c r="U14" s="1209"/>
      <c r="V14" s="1209"/>
      <c r="W14" s="1209"/>
      <c r="X14" s="1209"/>
      <c r="Y14" s="1194"/>
      <c r="Z14" s="1209"/>
      <c r="AA14" s="1209"/>
      <c r="AB14" s="1209"/>
      <c r="AC14" s="1209"/>
      <c r="AD14" s="1209"/>
      <c r="AE14" s="1209"/>
      <c r="AF14" s="1209"/>
      <c r="AG14" s="1209"/>
      <c r="AH14" s="1209"/>
      <c r="AI14" s="1209"/>
      <c r="AJ14" s="1209"/>
      <c r="AK14" s="1209"/>
      <c r="AL14" s="1209"/>
      <c r="AM14" s="1209"/>
    </row>
    <row r="15" spans="1:40" ht="12.9" customHeight="1">
      <c r="B15" s="8"/>
      <c r="C15" s="1636" t="s">
        <v>768</v>
      </c>
      <c r="D15" s="1636"/>
      <c r="E15" s="1636"/>
      <c r="F15" s="1636"/>
      <c r="G15" s="1636"/>
      <c r="H15" s="1636"/>
      <c r="I15" s="1636"/>
      <c r="J15" s="1636"/>
      <c r="K15" s="1636"/>
      <c r="L15" s="1636"/>
      <c r="M15" s="1636"/>
      <c r="N15" s="1636"/>
      <c r="O15" s="1636"/>
      <c r="P15" s="1636"/>
      <c r="Q15" s="1636"/>
      <c r="R15" s="1636"/>
      <c r="S15" s="1637"/>
      <c r="T15" s="1194"/>
      <c r="U15" s="1209"/>
      <c r="V15" s="1209"/>
      <c r="W15" s="1209"/>
      <c r="X15" s="1209"/>
      <c r="Y15" s="1194"/>
      <c r="Z15" s="1209"/>
      <c r="AA15" s="1209"/>
      <c r="AB15" s="1209"/>
      <c r="AC15" s="1209"/>
      <c r="AD15" s="1209"/>
      <c r="AE15" s="1209"/>
      <c r="AF15" s="1209"/>
      <c r="AG15" s="1209"/>
      <c r="AH15" s="1209"/>
      <c r="AI15" s="1209"/>
      <c r="AJ15" s="1209"/>
      <c r="AK15" s="1209"/>
      <c r="AL15" s="1209"/>
      <c r="AM15" s="1209"/>
    </row>
    <row r="16" spans="1:40" ht="12.9" customHeight="1">
      <c r="B16" s="8"/>
      <c r="C16" s="1635" t="s">
        <v>1011</v>
      </c>
      <c r="D16" s="1635"/>
      <c r="E16" s="1635"/>
      <c r="F16" s="1635"/>
      <c r="G16" s="1635"/>
      <c r="H16" s="1635"/>
      <c r="I16" s="1635"/>
      <c r="J16" s="1635"/>
      <c r="K16" s="1635"/>
      <c r="L16" s="1635"/>
      <c r="M16" s="1635"/>
      <c r="N16" s="1635"/>
      <c r="O16" s="1635"/>
      <c r="P16" s="1635"/>
      <c r="Q16" s="1635"/>
      <c r="R16" s="1635"/>
      <c r="S16" s="1638"/>
      <c r="T16" s="1194"/>
      <c r="U16" s="1209"/>
      <c r="V16" s="1209"/>
      <c r="W16" s="1209"/>
      <c r="X16" s="1209"/>
      <c r="Y16" s="1194"/>
      <c r="Z16" s="1209"/>
      <c r="AA16" s="1209"/>
      <c r="AB16" s="1209"/>
      <c r="AC16" s="1209"/>
      <c r="AD16" s="1209"/>
      <c r="AE16" s="1209"/>
      <c r="AF16" s="1209"/>
      <c r="AG16" s="1209"/>
      <c r="AH16" s="1209"/>
      <c r="AI16" s="1209"/>
      <c r="AJ16" s="1209"/>
      <c r="AK16" s="1209"/>
      <c r="AL16" s="1209"/>
      <c r="AM16" s="1209"/>
    </row>
    <row r="17" spans="1:39" ht="12.9" customHeight="1">
      <c r="B17" s="8"/>
      <c r="C17" s="1636" t="s">
        <v>769</v>
      </c>
      <c r="D17" s="1636"/>
      <c r="E17" s="1636"/>
      <c r="F17" s="1636"/>
      <c r="G17" s="1636"/>
      <c r="H17" s="1636"/>
      <c r="I17" s="1636"/>
      <c r="J17" s="1636"/>
      <c r="K17" s="1636"/>
      <c r="L17" s="1636"/>
      <c r="M17" s="1636"/>
      <c r="N17" s="1636"/>
      <c r="O17" s="1636"/>
      <c r="P17" s="1636"/>
      <c r="Q17" s="1636"/>
      <c r="R17" s="1636"/>
      <c r="S17" s="1637"/>
      <c r="T17" s="1194"/>
      <c r="U17" s="1209"/>
      <c r="V17" s="1209"/>
      <c r="W17" s="1209"/>
      <c r="X17" s="1209"/>
      <c r="Y17" s="1194"/>
      <c r="Z17" s="1209"/>
      <c r="AA17" s="1209"/>
      <c r="AB17" s="1209"/>
      <c r="AC17" s="1209"/>
      <c r="AD17" s="1209"/>
      <c r="AE17" s="1209"/>
      <c r="AF17" s="1209"/>
      <c r="AG17" s="1209"/>
      <c r="AH17" s="1209"/>
      <c r="AI17" s="1209"/>
      <c r="AJ17" s="1209"/>
      <c r="AK17" s="1209"/>
      <c r="AL17" s="1209"/>
      <c r="AM17" s="1209"/>
    </row>
    <row r="18" spans="1:39" ht="12.9" customHeight="1">
      <c r="B18" s="936"/>
      <c r="C18" s="1631" t="s">
        <v>1216</v>
      </c>
      <c r="D18" s="1631"/>
      <c r="E18" s="1631"/>
      <c r="F18" s="1631"/>
      <c r="G18" s="1631"/>
      <c r="H18" s="1631"/>
      <c r="I18" s="1631"/>
      <c r="J18" s="1631"/>
      <c r="K18" s="1631"/>
      <c r="L18" s="1631"/>
      <c r="M18" s="1631"/>
      <c r="N18" s="1631"/>
      <c r="O18" s="1631"/>
      <c r="P18" s="1631"/>
      <c r="Q18" s="1631"/>
      <c r="R18" s="1631"/>
      <c r="S18" s="1632"/>
      <c r="T18" s="1192"/>
      <c r="U18" s="1193"/>
      <c r="V18" s="1193"/>
      <c r="W18" s="1193"/>
      <c r="X18" s="1194"/>
      <c r="Y18" s="1194"/>
      <c r="Z18" s="1209"/>
      <c r="AA18" s="1209"/>
      <c r="AB18" s="1209"/>
      <c r="AC18" s="1209"/>
      <c r="AD18" s="1209"/>
      <c r="AE18" s="1209"/>
      <c r="AF18" s="1209"/>
      <c r="AG18" s="1209"/>
      <c r="AH18" s="1209"/>
      <c r="AI18" s="1209"/>
      <c r="AJ18" s="1209"/>
      <c r="AK18" s="1209"/>
      <c r="AL18" s="1209"/>
      <c r="AM18" s="1209"/>
    </row>
    <row r="19" spans="1:39" ht="12.9" customHeight="1">
      <c r="B19" s="481"/>
      <c r="C19" s="1631" t="s">
        <v>1216</v>
      </c>
      <c r="D19" s="1631"/>
      <c r="E19" s="1631"/>
      <c r="F19" s="1631"/>
      <c r="G19" s="1631"/>
      <c r="H19" s="1631"/>
      <c r="I19" s="1631"/>
      <c r="J19" s="1631"/>
      <c r="K19" s="1631"/>
      <c r="L19" s="1631"/>
      <c r="M19" s="1631"/>
      <c r="N19" s="1631"/>
      <c r="O19" s="1631"/>
      <c r="P19" s="1631"/>
      <c r="Q19" s="1631"/>
      <c r="R19" s="1631"/>
      <c r="S19" s="1632"/>
      <c r="T19" s="1194"/>
      <c r="U19" s="1209"/>
      <c r="V19" s="1209"/>
      <c r="W19" s="1209"/>
      <c r="X19" s="1209"/>
      <c r="Y19" s="1194"/>
      <c r="Z19" s="1209"/>
      <c r="AA19" s="1209"/>
      <c r="AB19" s="1209"/>
      <c r="AC19" s="1209"/>
      <c r="AD19" s="1209"/>
      <c r="AE19" s="1209"/>
      <c r="AF19" s="1209"/>
      <c r="AG19" s="1209"/>
      <c r="AH19" s="1209"/>
      <c r="AI19" s="1209"/>
      <c r="AJ19" s="1209"/>
      <c r="AK19" s="1209"/>
      <c r="AL19" s="1209"/>
      <c r="AM19" s="1209"/>
    </row>
    <row r="20" spans="1:39" ht="12.9" customHeight="1">
      <c r="B20" s="1119" t="s">
        <v>770</v>
      </c>
      <c r="C20" s="1120"/>
      <c r="D20" s="1120"/>
      <c r="E20" s="1120"/>
      <c r="F20" s="1120"/>
      <c r="G20" s="1120"/>
      <c r="H20" s="1120"/>
      <c r="I20" s="1120"/>
      <c r="J20" s="1120"/>
      <c r="K20" s="1120"/>
      <c r="L20" s="1120"/>
      <c r="M20" s="1120"/>
      <c r="N20" s="1120"/>
      <c r="O20" s="1120"/>
      <c r="P20" s="1120"/>
      <c r="Q20" s="1120"/>
      <c r="R20" s="1120"/>
      <c r="S20" s="1122"/>
      <c r="T20" s="1606">
        <f>SUM(T13:X19)</f>
        <v>0</v>
      </c>
      <c r="U20" s="1231"/>
      <c r="V20" s="1231"/>
      <c r="W20" s="1231"/>
      <c r="X20" s="1231"/>
      <c r="Y20" s="1606">
        <f>SUM(Y13:AC19)</f>
        <v>0</v>
      </c>
      <c r="Z20" s="1231"/>
      <c r="AA20" s="1231"/>
      <c r="AB20" s="1231"/>
      <c r="AC20" s="1231"/>
      <c r="AD20" s="1231">
        <f>SUM(AD13:AH19)</f>
        <v>0</v>
      </c>
      <c r="AE20" s="1231"/>
      <c r="AF20" s="1231"/>
      <c r="AG20" s="1231"/>
      <c r="AH20" s="1231"/>
      <c r="AI20" s="1231">
        <f>SUM(AI13:AM19)</f>
        <v>0</v>
      </c>
      <c r="AJ20" s="1231"/>
      <c r="AK20" s="1231"/>
      <c r="AL20" s="1231"/>
      <c r="AM20" s="1231"/>
    </row>
    <row r="21" spans="1:39" ht="12.9" customHeight="1">
      <c r="B21" s="1119" t="s">
        <v>1704</v>
      </c>
      <c r="C21" s="1120"/>
      <c r="D21" s="1120"/>
      <c r="E21" s="1120"/>
      <c r="F21" s="1120"/>
      <c r="G21" s="1120"/>
      <c r="H21" s="1120"/>
      <c r="I21" s="1120"/>
      <c r="J21" s="1120"/>
      <c r="K21" s="1120"/>
      <c r="L21" s="1120"/>
      <c r="M21" s="1120"/>
      <c r="N21" s="1120"/>
      <c r="O21" s="1120"/>
      <c r="P21" s="1120"/>
      <c r="Q21" s="1120"/>
      <c r="R21" s="1120"/>
      <c r="S21" s="1122"/>
      <c r="T21" s="1194">
        <f>T11-21367521</f>
        <v>12906627</v>
      </c>
      <c r="U21" s="1209"/>
      <c r="V21" s="1209"/>
      <c r="W21" s="1209"/>
      <c r="X21" s="1209"/>
      <c r="Y21" s="1194"/>
      <c r="Z21" s="1209"/>
      <c r="AA21" s="1209"/>
      <c r="AB21" s="1209"/>
      <c r="AC21" s="1209"/>
      <c r="AD21" s="1194"/>
      <c r="AE21" s="1209"/>
      <c r="AF21" s="1209"/>
      <c r="AG21" s="1209"/>
      <c r="AH21" s="1209"/>
      <c r="AI21" s="1194"/>
      <c r="AJ21" s="1209"/>
      <c r="AK21" s="1209"/>
      <c r="AL21" s="1209"/>
      <c r="AM21" s="1209"/>
    </row>
    <row r="22" spans="1:39" ht="12.9" customHeight="1">
      <c r="B22" s="1119" t="s">
        <v>771</v>
      </c>
      <c r="C22" s="1120"/>
      <c r="D22" s="1120"/>
      <c r="E22" s="1120"/>
      <c r="F22" s="1120"/>
      <c r="G22" s="1120"/>
      <c r="H22" s="1120"/>
      <c r="I22" s="1120"/>
      <c r="J22" s="1120"/>
      <c r="K22" s="1120"/>
      <c r="L22" s="1120"/>
      <c r="M22" s="1120"/>
      <c r="N22" s="1120"/>
      <c r="O22" s="1120"/>
      <c r="P22" s="1120"/>
      <c r="Q22" s="1120"/>
      <c r="R22" s="1120"/>
      <c r="S22" s="1122"/>
      <c r="T22" s="1640">
        <f>(ABS(T20)+ABS(T21))*-1</f>
        <v>-12906627</v>
      </c>
      <c r="U22" s="1641"/>
      <c r="V22" s="1641"/>
      <c r="W22" s="1641"/>
      <c r="X22" s="1641"/>
      <c r="Y22" s="1640">
        <f>(ABS(Y20)+ABS(Y21))*-1</f>
        <v>0</v>
      </c>
      <c r="Z22" s="1641"/>
      <c r="AA22" s="1641"/>
      <c r="AB22" s="1641"/>
      <c r="AC22" s="1641"/>
      <c r="AD22" s="1640">
        <f>(ABS(AD20)+ABS(AD21))*-1</f>
        <v>0</v>
      </c>
      <c r="AE22" s="1641"/>
      <c r="AF22" s="1641"/>
      <c r="AG22" s="1641"/>
      <c r="AH22" s="1641"/>
      <c r="AI22" s="1640">
        <f>(ABS(AI20)+ABS(AI21))*-1</f>
        <v>0</v>
      </c>
      <c r="AJ22" s="1641"/>
      <c r="AK22" s="1641"/>
      <c r="AL22" s="1641"/>
      <c r="AM22" s="1641"/>
    </row>
    <row r="23" spans="1:39" ht="12.9" customHeight="1">
      <c r="B23" s="1119" t="s">
        <v>1893</v>
      </c>
      <c r="C23" s="1120"/>
      <c r="D23" s="1120"/>
      <c r="E23" s="1120"/>
      <c r="F23" s="1120"/>
      <c r="G23" s="1120"/>
      <c r="H23" s="1120"/>
      <c r="I23" s="1120"/>
      <c r="J23" s="1120"/>
      <c r="K23" s="1120"/>
      <c r="L23" s="1120"/>
      <c r="M23" s="1120"/>
      <c r="N23" s="1120"/>
      <c r="O23" s="1120"/>
      <c r="P23" s="1120"/>
      <c r="Q23" s="1120"/>
      <c r="R23" s="1120"/>
      <c r="S23" s="1122"/>
      <c r="T23" s="1606">
        <f>T11+T22</f>
        <v>21367521</v>
      </c>
      <c r="U23" s="1231"/>
      <c r="V23" s="1231"/>
      <c r="W23" s="1231"/>
      <c r="X23" s="1231"/>
      <c r="Y23" s="1606">
        <f>Y11+Y22</f>
        <v>0</v>
      </c>
      <c r="Z23" s="1231"/>
      <c r="AA23" s="1231"/>
      <c r="AB23" s="1231"/>
      <c r="AC23" s="1231"/>
      <c r="AD23" s="1606">
        <f>IF(AD11=AD21,0,AD11)</f>
        <v>0</v>
      </c>
      <c r="AE23" s="1231"/>
      <c r="AF23" s="1231"/>
      <c r="AG23" s="1231"/>
      <c r="AH23" s="1231"/>
      <c r="AI23" s="1606">
        <f>IF(AI11=AI21,0,AI11)</f>
        <v>0</v>
      </c>
      <c r="AJ23" s="1231"/>
      <c r="AK23" s="1231"/>
      <c r="AL23" s="1231"/>
      <c r="AM23" s="1231"/>
    </row>
    <row r="24" spans="1:39" ht="12.9" customHeight="1">
      <c r="B24" s="1119" t="s">
        <v>1217</v>
      </c>
      <c r="C24" s="1120"/>
      <c r="D24" s="1120"/>
      <c r="E24" s="1120"/>
      <c r="F24" s="1120"/>
      <c r="G24" s="1120"/>
      <c r="H24" s="1120"/>
      <c r="I24" s="1120"/>
      <c r="J24" s="1120"/>
      <c r="K24" s="1120"/>
      <c r="L24" s="1120"/>
      <c r="M24" s="1120"/>
      <c r="N24" s="1120"/>
      <c r="O24" s="1120"/>
      <c r="P24" s="1120"/>
      <c r="Q24" s="1120"/>
      <c r="R24" s="1120"/>
      <c r="S24" s="1122"/>
      <c r="T24" s="1607">
        <f>Application!AJ1028</f>
        <v>26778122</v>
      </c>
      <c r="U24" s="1608"/>
      <c r="V24" s="1608"/>
      <c r="W24" s="1608"/>
      <c r="X24" s="1608"/>
      <c r="Y24" s="1608"/>
      <c r="Z24" s="1608"/>
      <c r="AA24" s="1608"/>
      <c r="AB24" s="1608"/>
      <c r="AC24" s="1608"/>
      <c r="AD24" s="1608"/>
      <c r="AE24" s="1608"/>
      <c r="AF24" s="1608"/>
      <c r="AG24" s="1608"/>
      <c r="AH24" s="1608"/>
      <c r="AI24" s="1608"/>
      <c r="AJ24" s="1608"/>
      <c r="AK24" s="1608"/>
      <c r="AL24" s="1608"/>
      <c r="AM24" s="1606"/>
    </row>
    <row r="25" spans="1:39" ht="12.9" customHeight="1">
      <c r="B25" s="1647" t="s">
        <v>1895</v>
      </c>
      <c r="C25" s="1648"/>
      <c r="D25" s="1648"/>
      <c r="E25" s="1648"/>
      <c r="F25" s="1648"/>
      <c r="G25" s="1648"/>
      <c r="H25" s="1648"/>
      <c r="I25" s="1648"/>
      <c r="J25" s="1648"/>
      <c r="K25" s="1648"/>
      <c r="L25" s="1648"/>
      <c r="M25" s="1648"/>
      <c r="N25" s="1648"/>
      <c r="O25" s="1648"/>
      <c r="P25" s="1648"/>
      <c r="Q25" s="1648"/>
      <c r="R25" s="1648"/>
      <c r="S25" s="1649"/>
      <c r="T25" s="1642">
        <f>IF(OR(AND(Application!T193="no",Application!T194="no",Application!T196="no",Application!Y211="no"),Application!T195="yes"),1,1.3)</f>
        <v>1.3</v>
      </c>
      <c r="U25" s="1643"/>
      <c r="V25" s="1643"/>
      <c r="W25" s="1643"/>
      <c r="X25" s="1643"/>
      <c r="Y25" s="1642">
        <v>1</v>
      </c>
      <c r="Z25" s="1643"/>
      <c r="AA25" s="1643"/>
      <c r="AB25" s="1643"/>
      <c r="AC25" s="1646"/>
      <c r="AD25" s="1642">
        <v>1</v>
      </c>
      <c r="AE25" s="1643"/>
      <c r="AF25" s="1643"/>
      <c r="AG25" s="1643"/>
      <c r="AH25" s="1646"/>
      <c r="AI25" s="1642">
        <v>1</v>
      </c>
      <c r="AJ25" s="1643"/>
      <c r="AK25" s="1643"/>
      <c r="AL25" s="1643"/>
      <c r="AM25" s="1646"/>
    </row>
    <row r="26" spans="1:39" ht="12.9" customHeight="1">
      <c r="B26" s="1119" t="s">
        <v>773</v>
      </c>
      <c r="C26" s="1120"/>
      <c r="D26" s="1120"/>
      <c r="E26" s="1120"/>
      <c r="F26" s="1120"/>
      <c r="G26" s="1120"/>
      <c r="H26" s="1120"/>
      <c r="I26" s="1120"/>
      <c r="J26" s="1120"/>
      <c r="K26" s="1120"/>
      <c r="L26" s="1120"/>
      <c r="M26" s="1120"/>
      <c r="N26" s="1120"/>
      <c r="O26" s="1120"/>
      <c r="P26" s="1120"/>
      <c r="Q26" s="1120"/>
      <c r="R26" s="1120"/>
      <c r="S26" s="1122"/>
      <c r="T26" s="1085">
        <f>T23*T25</f>
        <v>27777777.300000001</v>
      </c>
      <c r="U26" s="1618"/>
      <c r="V26" s="1618"/>
      <c r="W26" s="1618"/>
      <c r="X26" s="1618"/>
      <c r="Y26" s="1085">
        <f>Y23*Y25</f>
        <v>0</v>
      </c>
      <c r="Z26" s="1618"/>
      <c r="AA26" s="1618"/>
      <c r="AB26" s="1618"/>
      <c r="AC26" s="1618"/>
      <c r="AD26" s="1085">
        <f>AD23*AD25</f>
        <v>0</v>
      </c>
      <c r="AE26" s="1618"/>
      <c r="AF26" s="1618"/>
      <c r="AG26" s="1618"/>
      <c r="AH26" s="1618"/>
      <c r="AI26" s="1085">
        <f>AI23*AI25</f>
        <v>0</v>
      </c>
      <c r="AJ26" s="1618"/>
      <c r="AK26" s="1618"/>
      <c r="AL26" s="1618"/>
      <c r="AM26" s="1618"/>
    </row>
    <row r="27" spans="1:39" ht="12.9" customHeight="1">
      <c r="A27" s="4"/>
      <c r="B27" s="1650" t="s">
        <v>878</v>
      </c>
      <c r="C27" s="1651"/>
      <c r="D27" s="1651"/>
      <c r="E27" s="1651"/>
      <c r="F27" s="1651"/>
      <c r="G27" s="1651"/>
      <c r="H27" s="1651"/>
      <c r="I27" s="1651"/>
      <c r="J27" s="1651"/>
      <c r="K27" s="1651"/>
      <c r="L27" s="1651"/>
      <c r="M27" s="1651"/>
      <c r="N27" s="1651"/>
      <c r="O27" s="1651"/>
      <c r="P27" s="1651"/>
      <c r="Q27" s="1651"/>
      <c r="R27" s="1651"/>
      <c r="S27" s="1652"/>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 customHeight="1">
      <c r="A28" s="3"/>
      <c r="B28" s="1119" t="s">
        <v>842</v>
      </c>
      <c r="C28" s="1120"/>
      <c r="D28" s="1120"/>
      <c r="E28" s="1120"/>
      <c r="F28" s="1120"/>
      <c r="G28" s="1120"/>
      <c r="H28" s="1120"/>
      <c r="I28" s="1120"/>
      <c r="J28" s="1120"/>
      <c r="K28" s="1120"/>
      <c r="L28" s="1120"/>
      <c r="M28" s="1120"/>
      <c r="N28" s="1120"/>
      <c r="O28" s="1120"/>
      <c r="P28" s="1120"/>
      <c r="Q28" s="1120"/>
      <c r="R28" s="1120"/>
      <c r="S28" s="1122"/>
      <c r="T28" s="1085">
        <f>IF(ISERROR((T26*T27)),0,(T26*T27))</f>
        <v>27777777.300000001</v>
      </c>
      <c r="U28" s="1618"/>
      <c r="V28" s="1618"/>
      <c r="W28" s="1618"/>
      <c r="X28" s="1618"/>
      <c r="Y28" s="1085">
        <f>IF(ISERROR((Y26*Y27)),0,(Y26*Y27))</f>
        <v>0</v>
      </c>
      <c r="Z28" s="1618"/>
      <c r="AA28" s="1618"/>
      <c r="AB28" s="1618"/>
      <c r="AC28" s="1618"/>
      <c r="AD28" s="1085">
        <f>IF(ISERROR((AD26*AD27)),0,(AD26*AD27))</f>
        <v>0</v>
      </c>
      <c r="AE28" s="1618"/>
      <c r="AF28" s="1618"/>
      <c r="AG28" s="1618"/>
      <c r="AH28" s="1618"/>
      <c r="AI28" s="1085">
        <f>IF(ISERROR((AI26*AI27)),0,(AI26*AI27))</f>
        <v>0</v>
      </c>
      <c r="AJ28" s="1618"/>
      <c r="AK28" s="1618"/>
      <c r="AL28" s="1618"/>
      <c r="AM28" s="1618"/>
    </row>
    <row r="29" spans="1:39" ht="12.9" customHeight="1">
      <c r="B29" s="1119" t="s">
        <v>622</v>
      </c>
      <c r="C29" s="1120"/>
      <c r="D29" s="1120"/>
      <c r="E29" s="1120"/>
      <c r="F29" s="1120"/>
      <c r="G29" s="1120"/>
      <c r="H29" s="1120"/>
      <c r="I29" s="1120"/>
      <c r="J29" s="1120"/>
      <c r="K29" s="1120"/>
      <c r="L29" s="1120"/>
      <c r="M29" s="1120"/>
      <c r="N29" s="1120"/>
      <c r="O29" s="1120"/>
      <c r="P29" s="1120"/>
      <c r="Q29" s="1120"/>
      <c r="R29" s="1120"/>
      <c r="S29" s="1122"/>
      <c r="T29" s="1607">
        <f>T28+Y28+AD28+AI28</f>
        <v>27777777.300000001</v>
      </c>
      <c r="U29" s="1608"/>
      <c r="V29" s="1608"/>
      <c r="W29" s="1608"/>
      <c r="X29" s="1608"/>
      <c r="Y29" s="1608"/>
      <c r="Z29" s="1608"/>
      <c r="AA29" s="1608"/>
      <c r="AB29" s="1608"/>
      <c r="AC29" s="1608"/>
      <c r="AD29" s="1608"/>
      <c r="AE29" s="1608"/>
      <c r="AF29" s="1608"/>
      <c r="AG29" s="1608"/>
      <c r="AH29" s="1608"/>
      <c r="AI29" s="1608"/>
      <c r="AJ29" s="1608"/>
      <c r="AK29" s="1608"/>
      <c r="AL29" s="1608"/>
      <c r="AM29" s="1606"/>
    </row>
    <row r="30" spans="1:39" ht="12.9" customHeight="1">
      <c r="B30" s="1620" t="s">
        <v>1894</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 customHeight="1">
      <c r="B31" s="1602" t="s">
        <v>1896</v>
      </c>
      <c r="C31" s="1602"/>
      <c r="D31" s="1602"/>
      <c r="E31" s="1602"/>
      <c r="F31" s="1602"/>
      <c r="G31" s="1602"/>
      <c r="H31" s="1602"/>
      <c r="I31" s="1602"/>
      <c r="J31" s="1602"/>
      <c r="K31" s="1602"/>
      <c r="L31" s="1602"/>
      <c r="M31" s="1602"/>
      <c r="N31" s="1602"/>
      <c r="O31" s="1602"/>
      <c r="P31" s="1602"/>
      <c r="Q31" s="1602"/>
      <c r="R31" s="1602"/>
      <c r="S31" s="1602"/>
      <c r="T31" s="1602"/>
      <c r="U31" s="1602"/>
      <c r="V31" s="1602"/>
      <c r="W31" s="1602"/>
      <c r="X31" s="1602"/>
      <c r="Y31" s="1602"/>
      <c r="Z31" s="1602"/>
      <c r="AA31" s="1602"/>
      <c r="AB31" s="1602"/>
      <c r="AC31" s="1602"/>
      <c r="AD31" s="1602"/>
      <c r="AE31" s="1602"/>
      <c r="AF31" s="1602"/>
      <c r="AG31" s="1602"/>
      <c r="AH31" s="1602"/>
      <c r="AI31" s="1602"/>
      <c r="AJ31" s="1602"/>
      <c r="AK31" s="1602"/>
      <c r="AL31" s="1602"/>
      <c r="AM31" s="1602"/>
    </row>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9" t="s">
        <v>1599</v>
      </c>
      <c r="Z35" s="1609"/>
      <c r="AA35" s="1609"/>
      <c r="AB35" s="1609"/>
      <c r="AC35" s="1609"/>
      <c r="AD35" s="1236" t="s">
        <v>41</v>
      </c>
      <c r="AE35" s="1236"/>
      <c r="AF35" s="1236"/>
      <c r="AG35" s="1236"/>
      <c r="AH35" s="1236"/>
    </row>
    <row r="36" spans="1:44" ht="12.9" customHeight="1">
      <c r="B36" s="202"/>
      <c r="X36" s="71"/>
      <c r="Y36" s="1609"/>
      <c r="Z36" s="1609"/>
      <c r="AA36" s="1609"/>
      <c r="AB36" s="1609"/>
      <c r="AC36" s="1609"/>
      <c r="AD36" s="1236"/>
      <c r="AE36" s="1236"/>
      <c r="AF36" s="1236"/>
      <c r="AG36" s="1236"/>
      <c r="AH36" s="123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236"/>
      <c r="AE37" s="1236"/>
      <c r="AF37" s="1236"/>
      <c r="AG37" s="1236"/>
      <c r="AH37" s="1236"/>
    </row>
    <row r="38" spans="1:44" ht="12.9" customHeight="1">
      <c r="A38" s="3"/>
      <c r="B38" s="1119" t="s">
        <v>842</v>
      </c>
      <c r="C38" s="1120"/>
      <c r="D38" s="1120"/>
      <c r="E38" s="1120"/>
      <c r="F38" s="1120"/>
      <c r="G38" s="1120"/>
      <c r="H38" s="1120"/>
      <c r="I38" s="1120"/>
      <c r="J38" s="1120"/>
      <c r="K38" s="1120"/>
      <c r="L38" s="1120"/>
      <c r="M38" s="1120"/>
      <c r="N38" s="1120"/>
      <c r="O38" s="1120"/>
      <c r="P38" s="1120"/>
      <c r="Q38" s="1120"/>
      <c r="R38" s="1120"/>
      <c r="S38" s="1120"/>
      <c r="T38" s="1120"/>
      <c r="U38" s="1120"/>
      <c r="V38" s="1120"/>
      <c r="W38" s="1120"/>
      <c r="X38" s="1122"/>
      <c r="Y38" s="1231">
        <f>IF(T24&gt;=(T23+Y23+AD23+AI23),T28+Y28,0)</f>
        <v>27777777.300000001</v>
      </c>
      <c r="Z38" s="1231"/>
      <c r="AA38" s="1231"/>
      <c r="AB38" s="1231"/>
      <c r="AC38" s="1231"/>
      <c r="AD38" s="1231">
        <f>IF(T24&gt;=(T23+Y23+AD23+AI23),AD28+AI28,0)</f>
        <v>0</v>
      </c>
      <c r="AE38" s="1231"/>
      <c r="AF38" s="1231"/>
      <c r="AG38" s="1231"/>
      <c r="AH38" s="1231"/>
    </row>
    <row r="39" spans="1:44" ht="12.9" customHeight="1">
      <c r="B39" s="1119" t="s">
        <v>1803</v>
      </c>
      <c r="C39" s="1120"/>
      <c r="D39" s="1120"/>
      <c r="E39" s="1120"/>
      <c r="F39" s="1120"/>
      <c r="G39" s="1120"/>
      <c r="H39" s="1120"/>
      <c r="I39" s="1120"/>
      <c r="J39" s="1120"/>
      <c r="K39" s="1120"/>
      <c r="L39" s="1120"/>
      <c r="M39" s="1120"/>
      <c r="N39" s="1120"/>
      <c r="O39" s="1120"/>
      <c r="P39" s="1120"/>
      <c r="Q39" s="1120"/>
      <c r="R39" s="1120"/>
      <c r="S39" s="1120"/>
      <c r="T39" s="1120"/>
      <c r="U39" s="1120"/>
      <c r="V39" s="1120"/>
      <c r="W39" s="1120"/>
      <c r="X39" s="1122"/>
      <c r="Y39" s="1605">
        <v>0.09</v>
      </c>
      <c r="Z39" s="1605"/>
      <c r="AA39" s="1605"/>
      <c r="AB39" s="1605"/>
      <c r="AC39" s="1605"/>
      <c r="AD39" s="1605">
        <v>0.04</v>
      </c>
      <c r="AE39" s="1605"/>
      <c r="AF39" s="1605"/>
      <c r="AG39" s="1605"/>
      <c r="AH39" s="1605"/>
    </row>
    <row r="40" spans="1:44" ht="12.9" customHeight="1">
      <c r="A40" s="3"/>
      <c r="B40" s="1119" t="s">
        <v>23</v>
      </c>
      <c r="C40" s="1120"/>
      <c r="D40" s="1120"/>
      <c r="E40" s="1120"/>
      <c r="F40" s="1120"/>
      <c r="G40" s="1120"/>
      <c r="H40" s="1120"/>
      <c r="I40" s="1120"/>
      <c r="J40" s="1120"/>
      <c r="K40" s="1120"/>
      <c r="L40" s="1120"/>
      <c r="M40" s="1120"/>
      <c r="N40" s="1120"/>
      <c r="O40" s="1120"/>
      <c r="P40" s="1120"/>
      <c r="Q40" s="1120"/>
      <c r="R40" s="1120"/>
      <c r="S40" s="1120"/>
      <c r="T40" s="1120"/>
      <c r="U40" s="1120"/>
      <c r="V40" s="1120"/>
      <c r="W40" s="1120"/>
      <c r="X40" s="1122"/>
      <c r="Y40" s="1231">
        <f>ROUND(Y38*Y39,0)</f>
        <v>2500000</v>
      </c>
      <c r="Z40" s="1231"/>
      <c r="AA40" s="1231"/>
      <c r="AB40" s="1231"/>
      <c r="AC40" s="1231"/>
      <c r="AD40" s="1606">
        <f>ROUND(AD38*AD39,0)</f>
        <v>0</v>
      </c>
      <c r="AE40" s="1231"/>
      <c r="AF40" s="1231"/>
      <c r="AG40" s="1231"/>
      <c r="AH40" s="1231"/>
    </row>
    <row r="41" spans="1:44" ht="12.9" customHeight="1">
      <c r="B41" s="1119" t="s">
        <v>616</v>
      </c>
      <c r="C41" s="1120"/>
      <c r="D41" s="1120"/>
      <c r="E41" s="1120"/>
      <c r="F41" s="1120"/>
      <c r="G41" s="1120"/>
      <c r="H41" s="1120"/>
      <c r="I41" s="1120"/>
      <c r="J41" s="1120"/>
      <c r="K41" s="1120"/>
      <c r="L41" s="1120"/>
      <c r="M41" s="1120"/>
      <c r="N41" s="1120"/>
      <c r="O41" s="1120"/>
      <c r="P41" s="1120"/>
      <c r="Q41" s="1120"/>
      <c r="R41" s="1120"/>
      <c r="S41" s="1120"/>
      <c r="T41" s="1120"/>
      <c r="U41" s="1120"/>
      <c r="V41" s="1120"/>
      <c r="W41" s="1120"/>
      <c r="X41" s="1122"/>
      <c r="Y41" s="1607">
        <f>IF(Application!Y211="No",'Basis &amp; Credits'!AR42,AR43)</f>
        <v>2500000</v>
      </c>
      <c r="Z41" s="1608"/>
      <c r="AA41" s="1608"/>
      <c r="AB41" s="1608"/>
      <c r="AC41" s="1608"/>
      <c r="AD41" s="1608"/>
      <c r="AE41" s="1608"/>
      <c r="AF41" s="1608"/>
      <c r="AG41" s="1608"/>
      <c r="AH41" s="1606"/>
    </row>
    <row r="42" spans="1:44" ht="12.9" customHeight="1">
      <c r="A42" s="3"/>
      <c r="B42" s="1617" t="s">
        <v>1804</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118</v>
      </c>
      <c r="C45" s="3" t="s">
        <v>252</v>
      </c>
    </row>
    <row r="46" spans="1:44" ht="12.9" customHeight="1">
      <c r="D46" s="3" t="s">
        <v>253</v>
      </c>
      <c r="AB46" s="1240">
        <f>'Sources and Uses Budget'!B104-(MAX(IF('Sources and Uses Budget'!B15="",0,'Sources and Uses Budget'!B15),IF(Application!AG395="",0,Application!AG395)))</f>
        <v>36501880</v>
      </c>
      <c r="AC46" s="1241"/>
      <c r="AD46" s="1241"/>
      <c r="AE46" s="1241"/>
      <c r="AF46" s="1242"/>
    </row>
    <row r="47" spans="1:44" ht="12.9" customHeight="1">
      <c r="D47" s="3" t="s">
        <v>836</v>
      </c>
      <c r="AB47" s="1240">
        <f>Application!AO641-MAX(IF('Sources and Uses Budget'!B15="",0,'Sources and Uses Budget'!B15),IF(Application!AG395="",0,Application!AG395))</f>
        <v>10568023</v>
      </c>
      <c r="AC47" s="1241"/>
      <c r="AD47" s="1241"/>
      <c r="AE47" s="1241"/>
      <c r="AF47" s="1242"/>
    </row>
    <row r="48" spans="1:44" ht="12.9" customHeight="1">
      <c r="D48" s="3" t="s">
        <v>377</v>
      </c>
      <c r="AB48" s="1240">
        <f>AB46-AB47</f>
        <v>25933857</v>
      </c>
      <c r="AC48" s="1241"/>
      <c r="AD48" s="1241"/>
      <c r="AE48" s="1241"/>
      <c r="AF48" s="1242"/>
    </row>
    <row r="49" spans="1:40" ht="12.9" customHeight="1">
      <c r="D49" s="3" t="s">
        <v>871</v>
      </c>
      <c r="AA49" s="34"/>
      <c r="AB49" s="1612">
        <v>0.83240999999999998</v>
      </c>
      <c r="AC49" s="1613"/>
      <c r="AD49" s="1613"/>
      <c r="AE49" s="1613"/>
      <c r="AF49" s="1614"/>
    </row>
    <row r="50" spans="1:40" s="321" customFormat="1" ht="12.9" customHeight="1">
      <c r="A50"/>
      <c r="B50"/>
      <c r="C50"/>
      <c r="D50"/>
      <c r="E50" s="1619" t="s">
        <v>2329</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1"/>
      <c r="AB50" s="351"/>
      <c r="AC50" s="351"/>
      <c r="AD50" s="351"/>
      <c r="AE50" s="351"/>
      <c r="AF50" s="351"/>
      <c r="AG50"/>
      <c r="AH50"/>
      <c r="AI50"/>
      <c r="AJ50"/>
      <c r="AK50"/>
      <c r="AL50"/>
      <c r="AM50"/>
      <c r="AN50"/>
    </row>
    <row r="51" spans="1:40" s="321" customFormat="1" ht="12.9"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31155148</v>
      </c>
      <c r="AC53" s="1241"/>
      <c r="AD53" s="1241"/>
      <c r="AE53" s="1241"/>
      <c r="AF53" s="1242"/>
    </row>
    <row r="54" spans="1:40" ht="12.9" customHeight="1">
      <c r="D54" s="3" t="s">
        <v>560</v>
      </c>
      <c r="AB54" s="1240">
        <f>(AB53/10)</f>
        <v>3115514.8</v>
      </c>
      <c r="AC54" s="1241"/>
      <c r="AD54" s="1241"/>
      <c r="AE54" s="1241"/>
      <c r="AF54" s="1242"/>
    </row>
    <row r="55" spans="1:40" ht="12.9" customHeight="1">
      <c r="D55" s="3" t="s">
        <v>340</v>
      </c>
      <c r="AB55" s="1240">
        <f>(IF((Y41&lt;AB54),Y41,AB54))</f>
        <v>2500000</v>
      </c>
      <c r="AC55" s="1241"/>
      <c r="AD55" s="1241"/>
      <c r="AE55" s="1241"/>
      <c r="AF55" s="1242"/>
    </row>
    <row r="56" spans="1:40" ht="12.9" customHeight="1">
      <c r="D56" s="3" t="s">
        <v>106</v>
      </c>
      <c r="AB56" s="1240">
        <f>ROUND((10*AB55*AB49),0)</f>
        <v>20810250</v>
      </c>
      <c r="AC56" s="1241"/>
      <c r="AD56" s="1241"/>
      <c r="AE56" s="1241"/>
      <c r="AF56" s="1242"/>
    </row>
    <row r="57" spans="1:40" ht="12.9" customHeight="1">
      <c r="D57" s="3"/>
      <c r="AB57" s="274"/>
      <c r="AC57" s="274"/>
      <c r="AD57" s="274"/>
      <c r="AE57" s="274"/>
      <c r="AF57" s="274"/>
    </row>
    <row r="58" spans="1:40" ht="12.9" customHeight="1">
      <c r="D58" s="3" t="s">
        <v>105</v>
      </c>
      <c r="AB58" s="1235">
        <f>AB48-AB56</f>
        <v>5123607</v>
      </c>
      <c r="AC58" s="1235"/>
      <c r="AD58" s="1235"/>
      <c r="AE58" s="1235"/>
      <c r="AF58" s="1235"/>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3" t="s">
        <v>1741</v>
      </c>
      <c r="B60" s="1603"/>
      <c r="C60" s="1603"/>
      <c r="D60" s="1603"/>
      <c r="E60" s="1603"/>
      <c r="F60" s="1603"/>
      <c r="G60" s="1603"/>
      <c r="H60" s="1603"/>
      <c r="I60" s="1603"/>
      <c r="J60" s="1603"/>
      <c r="K60" s="1603"/>
      <c r="L60" s="1603"/>
      <c r="M60" s="1603"/>
      <c r="N60" s="1603"/>
      <c r="O60" s="1603"/>
      <c r="P60" s="1603"/>
      <c r="Q60" s="1603"/>
      <c r="R60" s="1603"/>
      <c r="S60" s="1603"/>
      <c r="T60" s="1603"/>
      <c r="U60" s="1603"/>
      <c r="V60" s="1603"/>
      <c r="W60" s="1603"/>
      <c r="X60" s="1603"/>
      <c r="Y60" s="1603"/>
      <c r="Z60" s="1603"/>
      <c r="AA60" s="1603"/>
      <c r="AB60" s="1603"/>
      <c r="AC60" s="1603"/>
      <c r="AD60" s="1603"/>
      <c r="AE60" s="1603"/>
      <c r="AF60" s="1603"/>
      <c r="AG60" s="1603"/>
      <c r="AH60" s="1603"/>
      <c r="AI60" s="1603"/>
      <c r="AJ60" s="1603"/>
      <c r="AK60" s="1603"/>
      <c r="AL60" s="1603"/>
      <c r="AM60" s="1603"/>
      <c r="AN60" s="1603"/>
    </row>
    <row r="61" spans="1:40" ht="12.9" customHeight="1" thickTop="1">
      <c r="A61" s="1198"/>
      <c r="B61" s="1198"/>
      <c r="C61" s="1198"/>
      <c r="D61" s="1198"/>
      <c r="E61" s="1198"/>
      <c r="F61" s="1198"/>
      <c r="G61" s="1198"/>
      <c r="H61" s="1198"/>
      <c r="I61" s="1198"/>
      <c r="J61" s="1198"/>
      <c r="K61" s="1198"/>
      <c r="L61" s="1198"/>
      <c r="M61" s="1198"/>
      <c r="N61" s="1198"/>
      <c r="O61" s="1198"/>
      <c r="P61" s="1198"/>
      <c r="Q61" s="1198"/>
      <c r="R61" s="1198"/>
      <c r="S61" s="1198"/>
      <c r="T61" s="1198"/>
      <c r="U61" s="1198"/>
      <c r="V61" s="1198"/>
      <c r="W61" s="1198"/>
      <c r="X61" s="1198"/>
      <c r="Y61" s="1198"/>
      <c r="Z61" s="1198"/>
      <c r="AA61" s="1198"/>
      <c r="AB61" s="1198"/>
      <c r="AC61" s="1198"/>
      <c r="AD61" s="1198"/>
      <c r="AE61" s="1198"/>
      <c r="AF61" s="1198"/>
      <c r="AG61" s="1198"/>
      <c r="AH61" s="1198"/>
      <c r="AI61" s="1198"/>
      <c r="AJ61" s="1198"/>
      <c r="AK61" s="1198"/>
      <c r="AL61" s="1198"/>
      <c r="AM61" s="1198"/>
      <c r="AN61" s="1198"/>
    </row>
    <row r="62" spans="1:40" ht="12.9" customHeight="1">
      <c r="A62" s="3" t="s">
        <v>121</v>
      </c>
      <c r="C62" s="3" t="s">
        <v>508</v>
      </c>
      <c r="Y62" s="1559" t="s">
        <v>297</v>
      </c>
      <c r="Z62" s="1559"/>
      <c r="AA62" s="1559"/>
      <c r="AB62" s="1559"/>
      <c r="AC62" s="1559"/>
      <c r="AD62" s="1559" t="s">
        <v>41</v>
      </c>
      <c r="AE62" s="1559"/>
      <c r="AF62" s="1559"/>
      <c r="AG62" s="1559"/>
      <c r="AH62" s="1559"/>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21367521</v>
      </c>
      <c r="Z63" s="1615"/>
      <c r="AA63" s="1615"/>
      <c r="AB63" s="1615"/>
      <c r="AC63" s="1615"/>
      <c r="AD63" s="1231">
        <f>IF(AND(T25=1.3,Application!D214="At-Risk"),AI28,IF(Application!D214&lt;&gt;"At-Risk",0,AD28))</f>
        <v>0</v>
      </c>
      <c r="AE63" s="1615"/>
      <c r="AF63" s="1615"/>
      <c r="AG63" s="1615"/>
      <c r="AH63" s="1615"/>
    </row>
    <row r="64" spans="1:40" ht="12.9" customHeight="1">
      <c r="C64" s="3"/>
      <c r="E64" s="1604" t="s">
        <v>1288</v>
      </c>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04"/>
      <c r="AG64" s="1604"/>
      <c r="AH64" s="1604"/>
    </row>
    <row r="65" spans="1:34" ht="21.75" customHeight="1">
      <c r="C65" s="3"/>
      <c r="E65" s="1604"/>
      <c r="F65" s="1604"/>
      <c r="G65" s="1604"/>
      <c r="H65" s="1604"/>
      <c r="I65" s="1604"/>
      <c r="J65" s="1604"/>
      <c r="K65" s="1604"/>
      <c r="L65" s="1604"/>
      <c r="M65" s="1604"/>
      <c r="N65" s="1604"/>
      <c r="O65" s="1604"/>
      <c r="P65" s="1604"/>
      <c r="Q65" s="1604"/>
      <c r="R65" s="1604"/>
      <c r="S65" s="1604"/>
      <c r="T65" s="1604"/>
      <c r="U65" s="1604"/>
      <c r="V65" s="1604"/>
      <c r="W65" s="1604"/>
      <c r="X65" s="1604"/>
      <c r="Y65" s="1604"/>
      <c r="Z65" s="1604"/>
      <c r="AA65" s="1604"/>
      <c r="AB65" s="1604"/>
      <c r="AC65" s="1604"/>
      <c r="AD65" s="1604"/>
      <c r="AE65" s="1604"/>
      <c r="AF65" s="1604"/>
      <c r="AG65" s="1604"/>
      <c r="AH65" s="1604"/>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1">
        <f>IF(Application!W198="Yes",95%, 30%)</f>
        <v>0.3</v>
      </c>
      <c r="Z66" s="1611"/>
      <c r="AA66" s="1611"/>
      <c r="AB66" s="1611"/>
      <c r="AC66" s="1611"/>
      <c r="AD66" s="1611">
        <f>IF(Application!W198="Yes",95%, 13%)</f>
        <v>0.13</v>
      </c>
      <c r="AE66" s="1611"/>
      <c r="AF66" s="1611"/>
      <c r="AG66" s="1611"/>
      <c r="AH66" s="1611"/>
    </row>
    <row r="67" spans="1:34" ht="12.9" customHeight="1">
      <c r="C67" s="3"/>
      <c r="D67" s="3" t="s">
        <v>940</v>
      </c>
      <c r="Y67" s="1231">
        <f>ROUND(Y63*Y66,0)</f>
        <v>6410256</v>
      </c>
      <c r="Z67" s="1615"/>
      <c r="AA67" s="1615"/>
      <c r="AB67" s="1615"/>
      <c r="AC67" s="1615"/>
      <c r="AD67" s="1231" t="str">
        <f>IF(OR(Application!D211="At-Risk",Application!D211="At-Risk/Located in Rural Census Tract",Application!D214="At-Risk"),ROUND(AD63*AD66,0),"$0")</f>
        <v>$0</v>
      </c>
      <c r="AE67" s="1231"/>
      <c r="AF67" s="1231"/>
      <c r="AG67" s="1231"/>
      <c r="AH67" s="1231"/>
    </row>
    <row r="68" spans="1:34" ht="12.9"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872</v>
      </c>
      <c r="AB70" s="1612">
        <v>0.88</v>
      </c>
      <c r="AC70" s="1613"/>
      <c r="AD70" s="1613"/>
      <c r="AE70" s="1613"/>
      <c r="AF70" s="1614"/>
    </row>
    <row r="71" spans="1:34" ht="12.9" customHeight="1">
      <c r="A71" s="3"/>
      <c r="C71" s="3"/>
      <c r="D71" s="3"/>
      <c r="E71" s="1616" t="s">
        <v>2231</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1"/>
      <c r="AB71" s="251"/>
      <c r="AC71" s="251"/>
    </row>
    <row r="72" spans="1:34" ht="12.9"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1"/>
      <c r="AB72" s="251"/>
      <c r="AC72" s="251"/>
    </row>
    <row r="73" spans="1:34" ht="12.9"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81">
        <f>ROUND(IF(ISERROR((AB58/AB70)),0,(AB58/AB70)),0)</f>
        <v>5822281</v>
      </c>
      <c r="AC75" s="1281"/>
      <c r="AD75" s="1281"/>
      <c r="AE75" s="1281"/>
      <c r="AF75" s="1281"/>
    </row>
    <row r="76" spans="1:34" ht="12.9" customHeight="1">
      <c r="C76" s="3"/>
      <c r="D76" s="3" t="s">
        <v>104</v>
      </c>
      <c r="AB76" s="1204">
        <f>ROUNDUP(MIN((Y67+AD67),AB75),0)</f>
        <v>5822281</v>
      </c>
      <c r="AC76" s="1205"/>
      <c r="AD76" s="1205"/>
      <c r="AE76" s="1205"/>
      <c r="AF76" s="1206"/>
    </row>
    <row r="77" spans="1:34" ht="12.9" customHeight="1">
      <c r="C77" s="3"/>
      <c r="D77" s="3" t="s">
        <v>941</v>
      </c>
      <c r="AB77" s="1610">
        <f>AB76*AB70</f>
        <v>5123607.28</v>
      </c>
      <c r="AC77" s="1610"/>
      <c r="AD77" s="1610"/>
      <c r="AE77" s="1610"/>
      <c r="AF77" s="1610"/>
    </row>
    <row r="78" spans="1:34" ht="12.9" customHeight="1">
      <c r="C78" s="3"/>
      <c r="D78" s="3"/>
      <c r="AB78" s="595"/>
      <c r="AC78" s="595"/>
      <c r="AD78" s="595"/>
      <c r="AE78" s="595"/>
      <c r="AF78" s="595"/>
    </row>
    <row r="79" spans="1:34" ht="12.9" customHeight="1">
      <c r="D79" s="3" t="s">
        <v>105</v>
      </c>
      <c r="AB79" s="1235">
        <f>AB48-(AB56+AB77)</f>
        <v>-0.2800000011920929</v>
      </c>
      <c r="AC79" s="1235"/>
      <c r="AD79" s="1235"/>
      <c r="AE79" s="1235"/>
      <c r="AF79" s="1235"/>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5"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3" t="s">
        <v>1811</v>
      </c>
      <c r="B1" s="1654"/>
      <c r="C1" s="1654"/>
      <c r="D1" s="1654"/>
      <c r="E1" s="1654"/>
      <c r="F1" s="1654"/>
      <c r="G1" s="1654"/>
      <c r="H1" s="1654"/>
      <c r="I1" s="1654"/>
      <c r="J1" s="1655"/>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400000</v>
      </c>
      <c r="C4" s="582"/>
      <c r="D4" s="582"/>
      <c r="E4" s="583"/>
      <c r="F4" s="583"/>
      <c r="G4" s="583"/>
      <c r="H4" s="583"/>
      <c r="I4" s="583"/>
      <c r="J4" s="583"/>
      <c r="K4" s="576"/>
    </row>
    <row r="5" spans="1:11" s="251" customFormat="1" ht="13.2">
      <c r="A5" s="298" t="s">
        <v>67</v>
      </c>
      <c r="B5" s="581">
        <f>'Sources and Uses Budget'!C5</f>
        <v>0</v>
      </c>
      <c r="C5" s="582"/>
      <c r="D5" s="582"/>
      <c r="E5" s="583"/>
      <c r="F5" s="583"/>
      <c r="G5" s="583"/>
      <c r="H5" s="583"/>
      <c r="I5" s="583"/>
      <c r="J5" s="583"/>
      <c r="K5" s="576"/>
    </row>
    <row r="6" spans="1:11" s="251" customFormat="1" ht="11.4">
      <c r="A6" s="237" t="s">
        <v>342</v>
      </c>
      <c r="B6" s="581">
        <f>'Sources and Uses Budget'!C6</f>
        <v>15000</v>
      </c>
      <c r="C6" s="582"/>
      <c r="D6" s="582"/>
      <c r="E6" s="583"/>
      <c r="F6" s="583"/>
      <c r="G6" s="583"/>
      <c r="H6" s="583"/>
      <c r="I6" s="583"/>
      <c r="J6" s="583"/>
      <c r="K6" s="576"/>
    </row>
    <row r="7" spans="1:11" s="251" customFormat="1" ht="11.4">
      <c r="A7" s="237" t="s">
        <v>281</v>
      </c>
      <c r="B7" s="581">
        <f>'Sources and Uses Budget'!C7</f>
        <v>0</v>
      </c>
      <c r="C7" s="582"/>
      <c r="D7" s="582"/>
      <c r="E7" s="583"/>
      <c r="F7" s="583"/>
      <c r="G7" s="583"/>
      <c r="H7" s="583"/>
      <c r="I7" s="583"/>
      <c r="J7" s="583"/>
      <c r="K7" s="576"/>
    </row>
    <row r="8" spans="1:11" s="251" customFormat="1" ht="13.8">
      <c r="A8" s="299" t="s">
        <v>703</v>
      </c>
      <c r="B8" s="581">
        <f>'Sources and Uses Budget'!C8</f>
        <v>415000</v>
      </c>
      <c r="C8" s="581">
        <f>SUM(C4:C7)</f>
        <v>0</v>
      </c>
      <c r="D8" s="581">
        <f>SUM(D4:D7)</f>
        <v>0</v>
      </c>
      <c r="E8" s="583"/>
      <c r="F8" s="583"/>
      <c r="G8" s="583"/>
      <c r="H8" s="583"/>
      <c r="I8" s="583"/>
      <c r="J8" s="583"/>
      <c r="K8" s="576"/>
    </row>
    <row r="9" spans="1:11" s="251" customFormat="1" ht="11.4">
      <c r="A9" s="237" t="s">
        <v>1712</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415000</v>
      </c>
      <c r="C12" s="581">
        <f>SUM(C8+C11)</f>
        <v>0</v>
      </c>
      <c r="D12" s="581">
        <f>SUM(D8+D11)</f>
        <v>0</v>
      </c>
      <c r="E12" s="583"/>
      <c r="F12" s="583"/>
      <c r="G12" s="583"/>
      <c r="H12" s="583"/>
      <c r="I12" s="583"/>
      <c r="J12" s="583"/>
      <c r="K12" s="576"/>
    </row>
    <row r="13" spans="1:11" s="251" customFormat="1" ht="11.4">
      <c r="A13" s="453" t="s">
        <v>1109</v>
      </c>
      <c r="B13" s="581">
        <f>'Sources and Uses Budget'!C13</f>
        <v>35000</v>
      </c>
      <c r="C13" s="582"/>
      <c r="D13" s="582"/>
      <c r="E13" s="581">
        <f>'Sources and Uses Budget'!S13</f>
        <v>30000</v>
      </c>
      <c r="F13" s="582"/>
      <c r="G13" s="582"/>
      <c r="H13" s="581">
        <f>'Sources and Uses Budget'!T13</f>
        <v>0</v>
      </c>
      <c r="I13" s="582"/>
      <c r="J13" s="582"/>
      <c r="K13" s="576"/>
    </row>
    <row r="14" spans="1:11" s="251" customFormat="1" ht="22.8">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908</v>
      </c>
      <c r="B16" s="580"/>
      <c r="C16" s="580"/>
      <c r="D16" s="580"/>
      <c r="E16" s="580"/>
      <c r="F16" s="580"/>
      <c r="G16" s="580"/>
      <c r="H16" s="580"/>
      <c r="I16" s="580"/>
      <c r="J16" s="580"/>
      <c r="K16" s="576"/>
    </row>
    <row r="17" spans="1:11" s="251" customFormat="1" ht="11.4">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917</v>
      </c>
      <c r="B27" s="580"/>
      <c r="C27" s="580"/>
      <c r="D27" s="580"/>
      <c r="E27" s="580"/>
      <c r="F27" s="580"/>
      <c r="G27" s="580"/>
      <c r="H27" s="580"/>
      <c r="I27" s="580"/>
      <c r="J27" s="580"/>
      <c r="K27" s="576"/>
    </row>
    <row r="28" spans="1:11" s="251" customFormat="1" ht="11.4">
      <c r="A28" s="237" t="s">
        <v>909</v>
      </c>
      <c r="B28" s="581">
        <f>'Sources and Uses Budget'!C29</f>
        <v>1187124</v>
      </c>
      <c r="C28" s="582"/>
      <c r="D28" s="582"/>
      <c r="E28" s="581">
        <f>'Sources and Uses Budget'!S29</f>
        <v>1187124</v>
      </c>
      <c r="F28" s="582"/>
      <c r="G28" s="582"/>
      <c r="H28" s="581">
        <f>'Sources and Uses Budget'!T29</f>
        <v>0</v>
      </c>
      <c r="I28" s="582"/>
      <c r="J28" s="582"/>
      <c r="K28" s="576"/>
    </row>
    <row r="29" spans="1:11" s="251" customFormat="1" ht="11.4">
      <c r="A29" s="237" t="s">
        <v>910</v>
      </c>
      <c r="B29" s="581">
        <f>'Sources and Uses Budget'!C30</f>
        <v>19174485</v>
      </c>
      <c r="C29" s="582"/>
      <c r="D29" s="582"/>
      <c r="E29" s="581">
        <f>'Sources and Uses Budget'!S30</f>
        <v>19174485</v>
      </c>
      <c r="F29" s="582"/>
      <c r="G29" s="582"/>
      <c r="H29" s="581">
        <f>'Sources and Uses Budget'!T30</f>
        <v>0</v>
      </c>
      <c r="I29" s="582"/>
      <c r="J29" s="582"/>
      <c r="K29" s="576"/>
    </row>
    <row r="30" spans="1:11" s="251" customFormat="1" ht="11.4">
      <c r="A30" s="237" t="s">
        <v>911</v>
      </c>
      <c r="B30" s="581">
        <f>'Sources and Uses Budget'!C31</f>
        <v>1425313</v>
      </c>
      <c r="C30" s="582"/>
      <c r="D30" s="582"/>
      <c r="E30" s="581">
        <f>'Sources and Uses Budget'!S31</f>
        <v>1425313</v>
      </c>
      <c r="F30" s="582"/>
      <c r="G30" s="582"/>
      <c r="H30" s="581">
        <f>'Sources and Uses Budget'!T31</f>
        <v>0</v>
      </c>
      <c r="I30" s="582"/>
      <c r="J30" s="582"/>
      <c r="K30" s="576"/>
    </row>
    <row r="31" spans="1:11" s="251" customFormat="1" ht="11.4">
      <c r="A31" s="237" t="s">
        <v>912</v>
      </c>
      <c r="B31" s="581">
        <f>'Sources and Uses Budget'!C32</f>
        <v>610849</v>
      </c>
      <c r="C31" s="582"/>
      <c r="D31" s="582"/>
      <c r="E31" s="581">
        <f>'Sources and Uses Budget'!S32</f>
        <v>610849</v>
      </c>
      <c r="F31" s="582"/>
      <c r="G31" s="582"/>
      <c r="H31" s="581">
        <f>'Sources and Uses Budget'!T32</f>
        <v>0</v>
      </c>
      <c r="I31" s="582"/>
      <c r="J31" s="582"/>
      <c r="K31" s="576"/>
    </row>
    <row r="32" spans="1:11" s="251" customFormat="1" ht="11.4">
      <c r="A32" s="237" t="s">
        <v>913</v>
      </c>
      <c r="B32" s="581">
        <f>'Sources and Uses Budget'!C33</f>
        <v>814465</v>
      </c>
      <c r="C32" s="582"/>
      <c r="D32" s="582"/>
      <c r="E32" s="581">
        <f>'Sources and Uses Budget'!S33</f>
        <v>814465</v>
      </c>
      <c r="F32" s="582"/>
      <c r="G32" s="582"/>
      <c r="H32" s="581">
        <f>'Sources and Uses Budget'!T33</f>
        <v>0</v>
      </c>
      <c r="I32" s="582"/>
      <c r="J32" s="582"/>
      <c r="K32" s="576"/>
    </row>
    <row r="33" spans="1:11" s="251" customFormat="1" ht="11.4">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915</v>
      </c>
      <c r="B34" s="581">
        <f>'Sources and Uses Budget'!C35</f>
        <v>281890</v>
      </c>
      <c r="C34" s="582"/>
      <c r="D34" s="582"/>
      <c r="E34" s="581">
        <f>'Sources and Uses Budget'!S35</f>
        <v>281890</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108000</v>
      </c>
      <c r="C35" s="582"/>
      <c r="D35" s="582"/>
      <c r="E35" s="581">
        <f>'Sources and Uses Budget'!S36</f>
        <v>108000</v>
      </c>
      <c r="F35" s="582"/>
      <c r="G35" s="582"/>
      <c r="H35" s="581">
        <f>'Sources and Uses Budget'!T36</f>
        <v>0</v>
      </c>
      <c r="I35" s="582"/>
      <c r="J35" s="582"/>
      <c r="K35" s="576"/>
    </row>
    <row r="36" spans="1:11" s="251" customFormat="1" ht="11.4">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23602126</v>
      </c>
      <c r="C37" s="581">
        <f>SUM(C28:C36)</f>
        <v>0</v>
      </c>
      <c r="D37" s="581">
        <f>SUM(D28:D36)</f>
        <v>0</v>
      </c>
      <c r="E37" s="581">
        <f>'Sources and Uses Budget'!S38</f>
        <v>23602126</v>
      </c>
      <c r="F37" s="584">
        <f>SUM(F28:F36)</f>
        <v>0</v>
      </c>
      <c r="G37" s="584">
        <f>SUM(G28:G36)</f>
        <v>0</v>
      </c>
      <c r="H37" s="581">
        <f>'Sources and Uses Budget'!T38</f>
        <v>0</v>
      </c>
      <c r="I37" s="584">
        <f>SUM(I28:I36)</f>
        <v>0</v>
      </c>
      <c r="J37" s="584">
        <f>SUM(J28:J36)</f>
        <v>0</v>
      </c>
      <c r="K37" s="576"/>
    </row>
    <row r="38" spans="1:11" s="251" customFormat="1" ht="11.4">
      <c r="A38" s="233" t="s">
        <v>919</v>
      </c>
      <c r="B38" s="580"/>
      <c r="C38" s="580"/>
      <c r="D38" s="580"/>
      <c r="E38" s="580"/>
      <c r="F38" s="580"/>
      <c r="G38" s="580"/>
      <c r="H38" s="580"/>
      <c r="I38" s="580"/>
      <c r="J38" s="580"/>
      <c r="K38" s="576"/>
    </row>
    <row r="39" spans="1:11" s="251" customFormat="1" ht="11.4">
      <c r="A39" s="237" t="s">
        <v>920</v>
      </c>
      <c r="B39" s="581">
        <f>'Sources and Uses Budget'!C40</f>
        <v>600000</v>
      </c>
      <c r="C39" s="582"/>
      <c r="D39" s="582"/>
      <c r="E39" s="581">
        <f>'Sources and Uses Budget'!S40</f>
        <v>600000</v>
      </c>
      <c r="F39" s="582"/>
      <c r="G39" s="582"/>
      <c r="H39" s="581">
        <f>'Sources and Uses Budget'!T40</f>
        <v>0</v>
      </c>
      <c r="I39" s="582"/>
      <c r="J39" s="582"/>
      <c r="K39" s="576"/>
    </row>
    <row r="40" spans="1:11" s="251" customFormat="1" ht="11.4">
      <c r="A40" s="237" t="s">
        <v>921</v>
      </c>
      <c r="B40" s="581">
        <f>'Sources and Uses Budget'!C41</f>
        <v>200000</v>
      </c>
      <c r="C40" s="582"/>
      <c r="D40" s="582"/>
      <c r="E40" s="581">
        <f>'Sources and Uses Budget'!S41</f>
        <v>200000</v>
      </c>
      <c r="F40" s="582"/>
      <c r="G40" s="582"/>
      <c r="H40" s="581">
        <f>'Sources and Uses Budget'!T41</f>
        <v>0</v>
      </c>
      <c r="I40" s="582"/>
      <c r="J40" s="582"/>
      <c r="K40" s="576"/>
    </row>
    <row r="41" spans="1:11" s="251" customFormat="1">
      <c r="A41" s="241" t="s">
        <v>922</v>
      </c>
      <c r="B41" s="581">
        <f>'Sources and Uses Budget'!C42</f>
        <v>800000</v>
      </c>
      <c r="C41" s="581">
        <f>SUM(C38:C40)</f>
        <v>0</v>
      </c>
      <c r="D41" s="581">
        <f>SUM(D38:D40)</f>
        <v>0</v>
      </c>
      <c r="E41" s="581">
        <f>'Sources and Uses Budget'!S42</f>
        <v>800000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200000</v>
      </c>
      <c r="C42" s="582"/>
      <c r="D42" s="582"/>
      <c r="E42" s="581">
        <f>'Sources and Uses Budget'!S43</f>
        <v>200000</v>
      </c>
      <c r="F42" s="582"/>
      <c r="G42" s="582"/>
      <c r="H42" s="581">
        <f>'Sources and Uses Budget'!T43</f>
        <v>0</v>
      </c>
      <c r="I42" s="582"/>
      <c r="J42" s="582"/>
      <c r="K42" s="576"/>
    </row>
    <row r="43" spans="1:11" s="251" customFormat="1" ht="11.4">
      <c r="A43" s="233" t="s">
        <v>924</v>
      </c>
      <c r="B43" s="580"/>
      <c r="C43" s="580"/>
      <c r="D43" s="580"/>
      <c r="E43" s="580"/>
      <c r="F43" s="580"/>
      <c r="G43" s="580"/>
      <c r="H43" s="580"/>
      <c r="I43" s="580"/>
      <c r="J43" s="580"/>
      <c r="K43" s="576"/>
    </row>
    <row r="44" spans="1:11" s="251" customFormat="1" ht="11.4">
      <c r="A44" s="237" t="s">
        <v>925</v>
      </c>
      <c r="B44" s="581">
        <f>'Sources and Uses Budget'!C45</f>
        <v>2178173</v>
      </c>
      <c r="C44" s="582"/>
      <c r="D44" s="582"/>
      <c r="E44" s="581">
        <f>'Sources and Uses Budget'!S45</f>
        <v>1400254</v>
      </c>
      <c r="F44" s="582"/>
      <c r="G44" s="582"/>
      <c r="H44" s="581">
        <f>'Sources and Uses Budget'!T45</f>
        <v>0</v>
      </c>
      <c r="I44" s="582"/>
      <c r="J44" s="582"/>
      <c r="K44" s="576"/>
    </row>
    <row r="45" spans="1:11" s="251" customFormat="1" ht="11.4">
      <c r="A45" s="237" t="s">
        <v>926</v>
      </c>
      <c r="B45" s="581">
        <f>'Sources and Uses Budget'!C46</f>
        <v>204716</v>
      </c>
      <c r="C45" s="582"/>
      <c r="D45" s="582"/>
      <c r="E45" s="581">
        <f>'Sources and Uses Budget'!S46</f>
        <v>131603</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928</v>
      </c>
      <c r="B47" s="581">
        <f>'Sources and Uses Budget'!C48</f>
        <v>278547</v>
      </c>
      <c r="C47" s="582"/>
      <c r="D47" s="582"/>
      <c r="E47" s="581">
        <f>'Sources and Uses Budget'!S48</f>
        <v>278547</v>
      </c>
      <c r="F47" s="582"/>
      <c r="G47" s="582"/>
      <c r="H47" s="581">
        <f>'Sources and Uses Budget'!T48</f>
        <v>0</v>
      </c>
      <c r="I47" s="582"/>
      <c r="J47" s="582"/>
      <c r="K47" s="576"/>
    </row>
    <row r="48" spans="1:11" s="251" customFormat="1" ht="11.4">
      <c r="A48" s="237" t="s">
        <v>931</v>
      </c>
      <c r="B48" s="581">
        <f>'Sources and Uses Budget'!C49</f>
        <v>100000</v>
      </c>
      <c r="C48" s="582"/>
      <c r="D48" s="582"/>
      <c r="E48" s="581">
        <f>'Sources and Uses Budget'!S49</f>
        <v>100000</v>
      </c>
      <c r="F48" s="582"/>
      <c r="G48" s="582"/>
      <c r="H48" s="581">
        <f>'Sources and Uses Budget'!T49</f>
        <v>0</v>
      </c>
      <c r="I48" s="582"/>
      <c r="J48" s="582"/>
      <c r="K48" s="576"/>
    </row>
    <row r="49" spans="1:11" s="251" customFormat="1" ht="11.4">
      <c r="A49" s="237" t="s">
        <v>929</v>
      </c>
      <c r="B49" s="581">
        <f>'Sources and Uses Budget'!C50</f>
        <v>8000</v>
      </c>
      <c r="C49" s="582"/>
      <c r="D49" s="582"/>
      <c r="E49" s="581">
        <f>'Sources and Uses Budget'!S50</f>
        <v>8000</v>
      </c>
      <c r="F49" s="582"/>
      <c r="G49" s="582"/>
      <c r="H49" s="581">
        <f>'Sources and Uses Budget'!T50</f>
        <v>0</v>
      </c>
      <c r="I49" s="582"/>
      <c r="J49" s="582"/>
      <c r="K49" s="576"/>
    </row>
    <row r="50" spans="1:11" s="251" customFormat="1" ht="11.4">
      <c r="A50" s="237" t="s">
        <v>930</v>
      </c>
      <c r="B50" s="581">
        <f>'Sources and Uses Budget'!C51</f>
        <v>297000</v>
      </c>
      <c r="C50" s="582"/>
      <c r="D50" s="582"/>
      <c r="E50" s="581">
        <f>'Sources and Uses Budget'!S51</f>
        <v>297000</v>
      </c>
      <c r="F50" s="582"/>
      <c r="G50" s="582"/>
      <c r="H50" s="581">
        <f>'Sources and Uses Budget'!T51</f>
        <v>0</v>
      </c>
      <c r="I50" s="582"/>
      <c r="J50" s="582"/>
      <c r="K50" s="576"/>
    </row>
    <row r="51" spans="1:11" s="251" customFormat="1" ht="11.4">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3066436</v>
      </c>
      <c r="C52" s="584">
        <f>SUM(C44:C51)</f>
        <v>0</v>
      </c>
      <c r="D52" s="584">
        <f>SUM(D44:D51)</f>
        <v>0</v>
      </c>
      <c r="E52" s="581">
        <f>'Sources and Uses Budget'!S53</f>
        <v>2215404</v>
      </c>
      <c r="F52" s="584">
        <f>SUM(F44:F51)</f>
        <v>0</v>
      </c>
      <c r="G52" s="584">
        <f>SUM(G44:G51)</f>
        <v>0</v>
      </c>
      <c r="H52" s="581">
        <f>'Sources and Uses Budget'!T53</f>
        <v>0</v>
      </c>
      <c r="I52" s="584">
        <f>SUM(I44:I51)</f>
        <v>0</v>
      </c>
      <c r="J52" s="584">
        <f>SUM(J44:J51)</f>
        <v>0</v>
      </c>
      <c r="K52" s="577"/>
    </row>
    <row r="53" spans="1:11" s="251" customFormat="1" ht="11.4">
      <c r="A53" s="233" t="s">
        <v>682</v>
      </c>
      <c r="B53" s="580"/>
      <c r="C53" s="580"/>
      <c r="D53" s="580"/>
      <c r="E53" s="580"/>
      <c r="F53" s="580"/>
      <c r="G53" s="580"/>
      <c r="H53" s="580"/>
      <c r="I53" s="580"/>
      <c r="J53" s="580"/>
      <c r="K53" s="576"/>
    </row>
    <row r="54" spans="1:11" s="251" customFormat="1" ht="11.4">
      <c r="A54" s="237" t="s">
        <v>933</v>
      </c>
      <c r="B54" s="581">
        <f>'Sources and Uses Budget'!C55</f>
        <v>14580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ht="11.4">
      <c r="A56" s="237" t="s">
        <v>931</v>
      </c>
      <c r="B56" s="581">
        <f>'Sources and Uses Budget'!C57</f>
        <v>15000</v>
      </c>
      <c r="C56" s="582"/>
      <c r="D56" s="582"/>
      <c r="E56" s="583"/>
      <c r="F56" s="583"/>
      <c r="G56" s="583"/>
      <c r="H56" s="583"/>
      <c r="I56" s="583"/>
      <c r="J56" s="583"/>
      <c r="K56" s="576"/>
    </row>
    <row r="57" spans="1:11" s="251" customFormat="1" ht="11.4">
      <c r="A57" s="237" t="s">
        <v>929</v>
      </c>
      <c r="B57" s="581">
        <f>'Sources and Uses Budget'!C58</f>
        <v>0</v>
      </c>
      <c r="C57" s="582"/>
      <c r="D57" s="582"/>
      <c r="E57" s="583"/>
      <c r="F57" s="583"/>
      <c r="G57" s="583"/>
      <c r="H57" s="583"/>
      <c r="I57" s="583"/>
      <c r="J57" s="583"/>
      <c r="K57" s="576"/>
    </row>
    <row r="58" spans="1:11" s="251" customFormat="1" ht="11.4">
      <c r="A58" s="237" t="s">
        <v>930</v>
      </c>
      <c r="B58" s="581">
        <f>'Sources and Uses Budget'!C59</f>
        <v>0</v>
      </c>
      <c r="C58" s="582"/>
      <c r="D58" s="582"/>
      <c r="E58" s="583"/>
      <c r="F58" s="583"/>
      <c r="G58" s="583"/>
      <c r="H58" s="583"/>
      <c r="I58" s="583"/>
      <c r="J58" s="583"/>
      <c r="K58" s="576"/>
    </row>
    <row r="59" spans="1:11" s="251" customFormat="1" ht="11.4">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499</v>
      </c>
      <c r="B60" s="581">
        <f>'Sources and Uses Budget'!C61</f>
        <v>29580</v>
      </c>
      <c r="C60" s="581">
        <f>SUM(C54:C59)</f>
        <v>0</v>
      </c>
      <c r="D60" s="581">
        <f>SUM(D54:D59)</f>
        <v>0</v>
      </c>
      <c r="E60" s="583"/>
      <c r="F60" s="583"/>
      <c r="G60" s="583"/>
      <c r="H60" s="583"/>
      <c r="I60" s="583"/>
      <c r="J60" s="583"/>
      <c r="K60" s="576"/>
    </row>
    <row r="61" spans="1:11" s="251" customFormat="1" ht="11.4">
      <c r="A61" s="247" t="s">
        <v>500</v>
      </c>
      <c r="B61" s="581">
        <f>'Sources and Uses Budget'!C62</f>
        <v>28148142</v>
      </c>
      <c r="C61" s="581">
        <f>SUM(C8+C11+C13+C14+C15+C25+C26+C37+C41+C42+C52+C60)</f>
        <v>0</v>
      </c>
      <c r="D61" s="581">
        <f>SUM(D8+D11+D13+D14+D15+D25+D26+D37+D41+D42+D52+D60)</f>
        <v>0</v>
      </c>
      <c r="E61" s="581">
        <f>'Sources and Uses Budget'!S62</f>
        <v>26847530</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1940</v>
      </c>
      <c r="B62" s="580"/>
      <c r="C62" s="580"/>
      <c r="D62" s="580"/>
      <c r="E62" s="580"/>
      <c r="F62" s="580"/>
      <c r="G62" s="580"/>
      <c r="H62" s="580"/>
      <c r="I62" s="580"/>
      <c r="J62" s="580"/>
      <c r="K62" s="576"/>
    </row>
    <row r="63" spans="1:11" s="251" customFormat="1" ht="11.4">
      <c r="A63" s="237" t="s">
        <v>283</v>
      </c>
      <c r="B63" s="581">
        <f>'Sources and Uses Budget'!C64</f>
        <v>320000</v>
      </c>
      <c r="C63" s="582"/>
      <c r="D63" s="582"/>
      <c r="E63" s="581">
        <f>'Sources and Uses Budget'!S64</f>
        <v>190000</v>
      </c>
      <c r="F63" s="582"/>
      <c r="G63" s="582"/>
      <c r="H63" s="581">
        <f>'Sources and Uses Budget'!T64</f>
        <v>0</v>
      </c>
      <c r="I63" s="582"/>
      <c r="J63" s="582"/>
      <c r="K63" s="576"/>
    </row>
    <row r="64" spans="1:11" s="251" customFormat="1" ht="22.8">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2.8">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ht="11.4">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11.4">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320000</v>
      </c>
      <c r="C68" s="581">
        <f>SUM(C62:C67)</f>
        <v>0</v>
      </c>
      <c r="D68" s="581">
        <f>SUM(D62:D67)</f>
        <v>0</v>
      </c>
      <c r="E68" s="581">
        <f>'Sources and Uses Budget'!S69</f>
        <v>190000</v>
      </c>
      <c r="F68" s="584">
        <f>SUM(F63:F67)</f>
        <v>0</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0</v>
      </c>
      <c r="C70" s="582"/>
      <c r="D70" s="582"/>
      <c r="E70" s="583"/>
      <c r="F70" s="583"/>
      <c r="G70" s="583"/>
      <c r="H70" s="583"/>
      <c r="I70" s="583"/>
      <c r="J70" s="583"/>
      <c r="K70" s="576"/>
    </row>
    <row r="71" spans="1:11" s="251" customFormat="1" ht="11.4">
      <c r="A71" s="237" t="s">
        <v>286</v>
      </c>
      <c r="B71" s="581">
        <f>'Sources and Uses Budget'!C72</f>
        <v>0</v>
      </c>
      <c r="C71" s="582"/>
      <c r="D71" s="582"/>
      <c r="E71" s="583"/>
      <c r="F71" s="583"/>
      <c r="G71" s="583"/>
      <c r="H71" s="583"/>
      <c r="I71" s="583"/>
      <c r="J71" s="583"/>
      <c r="K71" s="576"/>
    </row>
    <row r="72" spans="1:11" s="251" customFormat="1" ht="11.4">
      <c r="A72" s="453" t="s">
        <v>1238</v>
      </c>
      <c r="B72" s="581">
        <f>'Sources and Uses Budget'!C73</f>
        <v>0</v>
      </c>
      <c r="C72" s="582"/>
      <c r="D72" s="582"/>
      <c r="E72" s="583"/>
      <c r="F72" s="583"/>
      <c r="G72" s="583"/>
      <c r="H72" s="583"/>
      <c r="I72" s="583"/>
      <c r="J72" s="583"/>
      <c r="K72" s="576"/>
    </row>
    <row r="73" spans="1:11" s="251" customFormat="1" ht="11.4">
      <c r="A73" s="237" t="s">
        <v>287</v>
      </c>
      <c r="B73" s="581">
        <f>'Sources and Uses Budget'!C74</f>
        <v>162536</v>
      </c>
      <c r="C73" s="582"/>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162536</v>
      </c>
      <c r="C75" s="581">
        <f>SUM(C70:C74)</f>
        <v>0</v>
      </c>
      <c r="D75" s="581">
        <f>SUM(D70:D74)</f>
        <v>0</v>
      </c>
      <c r="E75" s="583"/>
      <c r="F75" s="583"/>
      <c r="G75" s="583"/>
      <c r="H75" s="583"/>
      <c r="I75" s="583"/>
      <c r="J75" s="583"/>
      <c r="K75" s="576"/>
    </row>
    <row r="76" spans="1:11" s="251" customFormat="1" ht="11.4">
      <c r="A76" s="233" t="s">
        <v>1734</v>
      </c>
      <c r="B76" s="580"/>
      <c r="C76" s="580"/>
      <c r="D76" s="580"/>
      <c r="E76" s="580"/>
      <c r="F76" s="580"/>
      <c r="G76" s="580"/>
      <c r="H76" s="580"/>
      <c r="I76" s="580"/>
      <c r="J76" s="580"/>
      <c r="K76" s="576"/>
    </row>
    <row r="77" spans="1:11" s="251" customFormat="1" ht="11.4">
      <c r="A77" s="237" t="s">
        <v>1735</v>
      </c>
      <c r="B77" s="581">
        <f>'Sources and Uses Budget'!C78</f>
        <v>1782951</v>
      </c>
      <c r="C77" s="582"/>
      <c r="D77" s="582"/>
      <c r="E77" s="581">
        <f>'Sources and Uses Budget'!S78</f>
        <v>1782951</v>
      </c>
      <c r="F77" s="582"/>
      <c r="G77" s="582"/>
      <c r="H77" s="581">
        <f>'Sources and Uses Budget'!T78</f>
        <v>0</v>
      </c>
      <c r="I77" s="582"/>
      <c r="J77" s="582"/>
      <c r="K77" s="576"/>
    </row>
    <row r="78" spans="1:11" s="251" customFormat="1" ht="11.4">
      <c r="A78" s="237" t="s">
        <v>537</v>
      </c>
      <c r="B78" s="581">
        <f>'Sources and Uses Budget'!C79</f>
        <v>316818</v>
      </c>
      <c r="C78" s="582"/>
      <c r="D78" s="582"/>
      <c r="E78" s="581">
        <f>'Sources and Uses Budget'!S79</f>
        <v>316818</v>
      </c>
      <c r="F78" s="582"/>
      <c r="G78" s="582"/>
      <c r="H78" s="581">
        <f>'Sources and Uses Budget'!T79</f>
        <v>0</v>
      </c>
      <c r="I78" s="582"/>
      <c r="J78" s="582"/>
      <c r="K78" s="576"/>
    </row>
    <row r="79" spans="1:11" s="251" customFormat="1">
      <c r="A79" s="241" t="s">
        <v>1733</v>
      </c>
      <c r="B79" s="581">
        <f>'Sources and Uses Budget'!C80</f>
        <v>2099769</v>
      </c>
      <c r="C79" s="664">
        <f>SUM(C77:C78)</f>
        <v>0</v>
      </c>
      <c r="D79" s="664">
        <f>SUM(D77:D78)</f>
        <v>0</v>
      </c>
      <c r="E79" s="581">
        <f>'Sources and Uses Budget'!S80</f>
        <v>2099769</v>
      </c>
      <c r="F79" s="664">
        <f>SUM(F77:F78)</f>
        <v>0</v>
      </c>
      <c r="G79" s="664">
        <f>SUM(G77:G78)</f>
        <v>0</v>
      </c>
      <c r="H79" s="581">
        <f>'Sources and Uses Budget'!T80</f>
        <v>0</v>
      </c>
      <c r="I79" s="664">
        <f>SUM(I77:I78)</f>
        <v>0</v>
      </c>
      <c r="J79" s="664">
        <f>SUM(J77:J78)</f>
        <v>0</v>
      </c>
      <c r="K79" s="576"/>
    </row>
    <row r="80" spans="1:11" s="251" customFormat="1" ht="11.4">
      <c r="A80" s="233" t="s">
        <v>514</v>
      </c>
      <c r="B80" s="580"/>
      <c r="C80" s="580"/>
      <c r="D80" s="580"/>
      <c r="E80" s="580"/>
      <c r="F80" s="580"/>
      <c r="G80" s="580"/>
      <c r="H80" s="580"/>
      <c r="I80" s="580"/>
      <c r="J80" s="580"/>
      <c r="K80" s="576"/>
    </row>
    <row r="81" spans="1:11" s="251" customFormat="1" ht="13.95" customHeight="1">
      <c r="A81" s="237" t="s">
        <v>2098</v>
      </c>
      <c r="B81" s="581">
        <f>'Sources and Uses Budget'!C82</f>
        <v>140300</v>
      </c>
      <c r="C81" s="582"/>
      <c r="D81" s="582"/>
      <c r="E81" s="583"/>
      <c r="F81" s="583"/>
      <c r="G81" s="583"/>
      <c r="H81" s="583"/>
      <c r="I81" s="583"/>
      <c r="J81" s="583"/>
      <c r="K81" s="576"/>
    </row>
    <row r="82" spans="1:11" s="251" customFormat="1" ht="11.4">
      <c r="A82" s="237" t="s">
        <v>515</v>
      </c>
      <c r="B82" s="581">
        <f>'Sources and Uses Budget'!C83</f>
        <v>150000</v>
      </c>
      <c r="C82" s="582"/>
      <c r="D82" s="582"/>
      <c r="E82" s="581">
        <f>'Sources and Uses Budget'!S83</f>
        <v>150000</v>
      </c>
      <c r="F82" s="582"/>
      <c r="G82" s="582"/>
      <c r="H82" s="581">
        <f>'Sources and Uses Budget'!T83</f>
        <v>0</v>
      </c>
      <c r="I82" s="582"/>
      <c r="J82" s="582"/>
      <c r="K82" s="576"/>
    </row>
    <row r="83" spans="1:11" s="251" customFormat="1" ht="11.4">
      <c r="A83" s="237" t="s">
        <v>516</v>
      </c>
      <c r="B83" s="581">
        <f>'Sources and Uses Budget'!C84</f>
        <v>1619383</v>
      </c>
      <c r="C83" s="582"/>
      <c r="D83" s="582"/>
      <c r="E83" s="581">
        <f>'Sources and Uses Budget'!S84</f>
        <v>1203349</v>
      </c>
      <c r="F83" s="582"/>
      <c r="G83" s="582"/>
      <c r="H83" s="581">
        <f>'Sources and Uses Budget'!T84</f>
        <v>0</v>
      </c>
      <c r="I83" s="582"/>
      <c r="J83" s="582"/>
      <c r="K83" s="576"/>
    </row>
    <row r="84" spans="1:11" s="251" customFormat="1" ht="11.4">
      <c r="A84" s="237" t="s">
        <v>517</v>
      </c>
      <c r="B84" s="581">
        <f>'Sources and Uses Budget'!C85</f>
        <v>540000</v>
      </c>
      <c r="C84" s="582"/>
      <c r="D84" s="582"/>
      <c r="E84" s="581">
        <f>'Sources and Uses Budget'!S85</f>
        <v>540000</v>
      </c>
      <c r="F84" s="582"/>
      <c r="G84" s="582"/>
      <c r="H84" s="581">
        <f>'Sources and Uses Budget'!T85</f>
        <v>0</v>
      </c>
      <c r="I84" s="582"/>
      <c r="J84" s="582"/>
      <c r="K84" s="576"/>
    </row>
    <row r="85" spans="1:11" s="251" customFormat="1" ht="11.4">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519</v>
      </c>
      <c r="B86" s="581">
        <f>'Sources and Uses Budget'!C87</f>
        <v>63250</v>
      </c>
      <c r="C86" s="582"/>
      <c r="D86" s="582"/>
      <c r="E86" s="583"/>
      <c r="F86" s="583"/>
      <c r="G86" s="583"/>
      <c r="H86" s="583"/>
      <c r="I86" s="583"/>
      <c r="J86" s="583"/>
      <c r="K86" s="576"/>
    </row>
    <row r="87" spans="1:11" s="251" customFormat="1" ht="11.4">
      <c r="A87" s="237" t="s">
        <v>520</v>
      </c>
      <c r="B87" s="581">
        <f>'Sources and Uses Budget'!C88</f>
        <v>135000</v>
      </c>
      <c r="C87" s="582"/>
      <c r="D87" s="582"/>
      <c r="E87" s="581">
        <f>'Sources and Uses Budget'!S88</f>
        <v>135000</v>
      </c>
      <c r="F87" s="582"/>
      <c r="G87" s="582"/>
      <c r="H87" s="581">
        <f>'Sources and Uses Budget'!T88</f>
        <v>0</v>
      </c>
      <c r="I87" s="582"/>
      <c r="J87" s="582"/>
      <c r="K87" s="576"/>
    </row>
    <row r="88" spans="1:11" s="251" customFormat="1" ht="11.4">
      <c r="A88" s="237" t="s">
        <v>521</v>
      </c>
      <c r="B88" s="581">
        <f>'Sources and Uses Budget'!C89</f>
        <v>15000</v>
      </c>
      <c r="C88" s="582"/>
      <c r="D88" s="582"/>
      <c r="E88" s="581">
        <f>'Sources and Uses Budget'!S89</f>
        <v>0</v>
      </c>
      <c r="F88" s="582"/>
      <c r="G88" s="582"/>
      <c r="H88" s="581">
        <f>'Sources and Uses Budget'!T89</f>
        <v>0</v>
      </c>
      <c r="I88" s="582"/>
      <c r="J88" s="582"/>
      <c r="K88" s="576"/>
    </row>
    <row r="89" spans="1:11" s="251" customFormat="1" ht="11.4">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ht="11.4">
      <c r="A90" s="237" t="s">
        <v>1731</v>
      </c>
      <c r="B90" s="581">
        <f>'Sources and Uses Budget'!C91</f>
        <v>15000</v>
      </c>
      <c r="C90" s="582"/>
      <c r="D90" s="582"/>
      <c r="E90" s="581">
        <f>'Sources and Uses Budget'!S91</f>
        <v>15000</v>
      </c>
      <c r="F90" s="582"/>
      <c r="G90" s="582"/>
      <c r="H90" s="581">
        <f>'Sources and Uses Budget'!T91</f>
        <v>0</v>
      </c>
      <c r="I90" s="582"/>
      <c r="J90" s="582"/>
      <c r="K90" s="576"/>
    </row>
    <row r="91" spans="1:11" s="251" customFormat="1" ht="11.4">
      <c r="A91" s="237" t="str">
        <f>'Sources and Uses Budget'!$A92</f>
        <v>Green, Prevailing Wage Monitoring</v>
      </c>
      <c r="B91" s="581">
        <f>'Sources and Uses Budget'!C92</f>
        <v>100000</v>
      </c>
      <c r="C91" s="582"/>
      <c r="D91" s="582"/>
      <c r="E91" s="581">
        <f>'Sources and Uses Budget'!S92</f>
        <v>100000</v>
      </c>
      <c r="F91" s="582"/>
      <c r="G91" s="582"/>
      <c r="H91" s="581">
        <f>'Sources and Uses Budget'!T92</f>
        <v>0</v>
      </c>
      <c r="I91" s="582"/>
      <c r="J91" s="582"/>
      <c r="K91" s="576"/>
    </row>
    <row r="92" spans="1:11" s="251" customFormat="1" ht="11.4">
      <c r="A92" s="237" t="str">
        <f>'Sources and Uses Budget'!$A93</f>
        <v>Deputy Inspections, Utility Fees</v>
      </c>
      <c r="B92" s="581">
        <f>'Sources and Uses Budget'!C93</f>
        <v>135000</v>
      </c>
      <c r="C92" s="582"/>
      <c r="D92" s="582"/>
      <c r="E92" s="581">
        <f>'Sources and Uses Budget'!S93</f>
        <v>135000</v>
      </c>
      <c r="F92" s="582"/>
      <c r="G92" s="582"/>
      <c r="H92" s="581">
        <f>'Sources and Uses Budget'!T93</f>
        <v>0</v>
      </c>
      <c r="I92" s="582"/>
      <c r="J92" s="582"/>
      <c r="K92" s="576"/>
    </row>
    <row r="93" spans="1:11" s="251" customFormat="1" ht="11.4">
      <c r="A93" s="237" t="str">
        <f>'Sources and Uses Budget'!$A94</f>
        <v>Security</v>
      </c>
      <c r="B93" s="581">
        <f>'Sources and Uses Budget'!C94</f>
        <v>58500</v>
      </c>
      <c r="C93" s="582"/>
      <c r="D93" s="582"/>
      <c r="E93" s="581">
        <f>'Sources and Uses Budget'!S94</f>
        <v>58500</v>
      </c>
      <c r="F93" s="582"/>
      <c r="G93" s="582"/>
      <c r="H93" s="581">
        <f>'Sources and Uses Budget'!T94</f>
        <v>0</v>
      </c>
      <c r="I93" s="582"/>
      <c r="J93" s="582"/>
      <c r="K93" s="576"/>
    </row>
    <row r="94" spans="1:11" s="251" customFormat="1">
      <c r="A94" s="241" t="s">
        <v>522</v>
      </c>
      <c r="B94" s="581">
        <f>'Sources and Uses Budget'!C95</f>
        <v>2971433</v>
      </c>
      <c r="C94" s="581">
        <f>SUM(C81:C93)</f>
        <v>0</v>
      </c>
      <c r="D94" s="581">
        <f>SUM(D81:D93)</f>
        <v>0</v>
      </c>
      <c r="E94" s="581">
        <f>'Sources and Uses Budget'!S95</f>
        <v>2336849</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33701880</v>
      </c>
      <c r="C95" s="581">
        <f>SUM(C61+C68+C75+C79+C94)</f>
        <v>0</v>
      </c>
      <c r="D95" s="581">
        <f>SUM(D61+D68+D75+D79+D94)</f>
        <v>0</v>
      </c>
      <c r="E95" s="581">
        <f>'Sources and Uses Budget'!S96</f>
        <v>31474148</v>
      </c>
      <c r="F95" s="584">
        <f>SUM(+F61+F68+F79+F94)</f>
        <v>0</v>
      </c>
      <c r="G95" s="584">
        <f>SUM(+G61+G68+G79+G94)</f>
        <v>0</v>
      </c>
      <c r="H95" s="581">
        <f>'Sources and Uses Budget'!T96</f>
        <v>0</v>
      </c>
      <c r="I95" s="584">
        <f>SUM(I61+I68+I79+I94)</f>
        <v>0</v>
      </c>
      <c r="J95" s="584">
        <f>SUM(J61+J68+J79+J94)</f>
        <v>0</v>
      </c>
      <c r="K95" s="576"/>
    </row>
    <row r="96" spans="1:11" s="251" customFormat="1" ht="11.4">
      <c r="A96" s="233" t="s">
        <v>524</v>
      </c>
      <c r="B96" s="580"/>
      <c r="C96" s="580"/>
      <c r="D96" s="580"/>
      <c r="E96" s="580"/>
      <c r="F96" s="580"/>
      <c r="G96" s="580"/>
      <c r="H96" s="580"/>
      <c r="I96" s="580"/>
      <c r="J96" s="580"/>
      <c r="K96" s="576"/>
    </row>
    <row r="97" spans="1:11" s="251" customFormat="1" ht="11.4">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ht="11.4">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36501880</v>
      </c>
      <c r="C103" s="584">
        <f>SUM(C95+C102)</f>
        <v>0</v>
      </c>
      <c r="D103" s="584">
        <f>SUM(D95+D102)</f>
        <v>0</v>
      </c>
      <c r="E103" s="581">
        <f>'Sources and Uses Budget'!S104</f>
        <v>34274148</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34274148</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B14" sqref="B1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2" t="s">
        <v>845</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99" t="s">
        <v>363</v>
      </c>
      <c r="AF4" s="1799"/>
      <c r="AG4" s="1799"/>
      <c r="AH4" s="1799"/>
      <c r="AI4" s="1799"/>
      <c r="AJ4" s="1799"/>
      <c r="AK4" s="1799"/>
      <c r="AL4" s="18"/>
      <c r="AN4" s="668"/>
    </row>
    <row r="5" spans="1:43" s="3" customFormat="1" ht="12.9"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5" t="s">
        <v>853</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697" t="str">
        <f>Application!M245</f>
        <v xml:space="preserve">Linc I Street Apts LLC </v>
      </c>
      <c r="C8" s="1697"/>
      <c r="D8" s="1697"/>
      <c r="E8" s="1697"/>
      <c r="F8" s="1697"/>
      <c r="G8" s="1697"/>
      <c r="H8" s="1697"/>
      <c r="I8" s="1697"/>
      <c r="J8" s="1697"/>
      <c r="K8" s="1697"/>
      <c r="L8" s="1697"/>
      <c r="M8" s="1697"/>
      <c r="N8" s="1697"/>
      <c r="O8" s="1697"/>
      <c r="P8" s="1697"/>
      <c r="Q8" s="1697"/>
      <c r="R8" s="1697"/>
      <c r="S8" s="1697"/>
      <c r="T8" s="1697"/>
      <c r="U8" s="1697"/>
      <c r="V8" s="1697"/>
      <c r="W8" s="1697"/>
      <c r="X8" s="1697"/>
      <c r="Y8" s="1697"/>
      <c r="Z8" s="1697"/>
      <c r="AA8" s="1697"/>
      <c r="AB8" s="1697"/>
      <c r="AC8" s="1697"/>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697" t="s">
        <v>1242</v>
      </c>
      <c r="C11" s="1697"/>
      <c r="D11" s="1697"/>
      <c r="E11" s="1697"/>
      <c r="F11" s="1697"/>
      <c r="G11" s="1697"/>
      <c r="H11" s="1697"/>
      <c r="I11" s="1697"/>
      <c r="J11" s="1697"/>
      <c r="K11" s="1697"/>
      <c r="L11" s="1697"/>
      <c r="M11" s="1697"/>
      <c r="N11" s="1697"/>
      <c r="O11" s="1697"/>
      <c r="P11" s="1697"/>
      <c r="Q11" s="1697"/>
      <c r="R11" s="1697"/>
      <c r="S11" s="1697"/>
      <c r="T11" s="1697"/>
      <c r="U11" s="1697"/>
      <c r="V11" s="1697"/>
      <c r="W11" s="1697"/>
      <c r="X11" s="1697"/>
      <c r="Y11" s="1697"/>
      <c r="Z11" s="1697"/>
      <c r="AA11" s="1697"/>
      <c r="AB11" s="1697"/>
      <c r="AC11" s="1697"/>
      <c r="AD11" s="1697"/>
      <c r="AE11" s="1697"/>
      <c r="AF11" s="1697"/>
      <c r="AG11" s="1697"/>
      <c r="AH11" s="1697"/>
      <c r="AI11" s="1697"/>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5" t="s">
        <v>107</v>
      </c>
      <c r="AC13" s="180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697" t="s">
        <v>1118</v>
      </c>
      <c r="C16" s="1697"/>
      <c r="D16" s="1697"/>
      <c r="E16" s="1697"/>
      <c r="F16" s="1697"/>
      <c r="G16" s="1697"/>
      <c r="H16" s="1697"/>
      <c r="I16" s="1697"/>
      <c r="J16" s="1697"/>
      <c r="K16" s="1697"/>
      <c r="L16" s="1697"/>
      <c r="M16" s="1697"/>
      <c r="N16" s="1697"/>
      <c r="O16" s="1697"/>
      <c r="P16" s="1697"/>
      <c r="Q16" s="1697"/>
      <c r="R16" s="1697"/>
      <c r="S16" s="1697"/>
      <c r="T16" s="1697"/>
      <c r="U16" s="1697"/>
      <c r="V16" s="1697"/>
      <c r="W16" s="1697"/>
      <c r="X16" s="1697"/>
      <c r="Y16" s="1697"/>
      <c r="Z16" s="1697"/>
      <c r="AA16" s="1697"/>
      <c r="AB16" s="1697"/>
      <c r="AC16" s="1697"/>
      <c r="AD16" s="1697"/>
      <c r="AE16" s="1697"/>
      <c r="AF16" s="1697"/>
      <c r="AG16" s="1697"/>
      <c r="AH16" s="1697"/>
      <c r="AI16" s="1697"/>
      <c r="AJ16" s="1697"/>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2191</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65"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95"/>
      <c r="C30" s="1795"/>
      <c r="D30" s="1795"/>
      <c r="E30" s="1795"/>
      <c r="F30" s="1795"/>
      <c r="G30" s="1795"/>
      <c r="H30" s="1795"/>
      <c r="I30" s="1795"/>
      <c r="J30" s="1795"/>
      <c r="K30" s="1795"/>
      <c r="L30" s="1795"/>
      <c r="M30" s="1795"/>
      <c r="N30" s="1795"/>
      <c r="O30" s="1795"/>
      <c r="P30" s="1795"/>
      <c r="Q30" s="1795"/>
      <c r="R30" s="1795"/>
      <c r="S30" s="1795"/>
      <c r="T30" s="1795"/>
      <c r="U30" s="1795"/>
      <c r="V30" s="1795"/>
      <c r="W30" s="1795"/>
      <c r="X30" s="1795"/>
      <c r="Y30" s="1795"/>
      <c r="Z30" s="1795"/>
      <c r="AA30" s="1795"/>
      <c r="AB30" s="1795"/>
      <c r="AC30" s="1795"/>
      <c r="AD30" s="1795"/>
      <c r="AE30" s="1795"/>
      <c r="AF30" s="1795"/>
      <c r="AG30" s="1795"/>
      <c r="AH30" s="1795"/>
      <c r="AI30" s="1795"/>
      <c r="AJ30" s="1795"/>
      <c r="AK30" s="179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0"/>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60</v>
      </c>
      <c r="AG33" s="1695"/>
      <c r="AH33" s="1695"/>
      <c r="AI33" s="1695"/>
      <c r="AJ33" s="1695"/>
      <c r="AK33" s="1695"/>
      <c r="AL33" s="1695"/>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4" t="str">
        <f>Application!AA329</f>
        <v>WinnResidential</v>
      </c>
      <c r="C35" s="1794"/>
      <c r="D35" s="1794"/>
      <c r="E35" s="1794"/>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697" t="s">
        <v>1246</v>
      </c>
      <c r="C38" s="1697"/>
      <c r="D38" s="1697"/>
      <c r="E38" s="1697"/>
      <c r="F38" s="1697"/>
      <c r="G38" s="1697"/>
      <c r="H38" s="1697"/>
      <c r="I38" s="1697"/>
      <c r="J38" s="1697"/>
      <c r="K38" s="1697"/>
      <c r="L38" s="1697"/>
      <c r="M38" s="1697"/>
      <c r="N38" s="1697"/>
      <c r="O38" s="1697"/>
      <c r="P38" s="1697"/>
      <c r="Q38" s="1697"/>
      <c r="R38" s="1697"/>
      <c r="S38" s="1697"/>
      <c r="T38" s="1697"/>
      <c r="U38" s="1697"/>
      <c r="V38" s="1697"/>
      <c r="W38" s="1697"/>
      <c r="X38" s="1697"/>
      <c r="Y38" s="1697"/>
      <c r="Z38" s="1697"/>
      <c r="AA38" s="1697"/>
      <c r="AB38" s="1697"/>
      <c r="AC38" s="1697"/>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97" t="s">
        <v>107</v>
      </c>
      <c r="AA40" s="1697"/>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697" t="s">
        <v>1118</v>
      </c>
      <c r="C43" s="1697"/>
      <c r="D43" s="1697"/>
      <c r="E43" s="1697"/>
      <c r="F43" s="1697"/>
      <c r="G43" s="1697"/>
      <c r="H43" s="1697"/>
      <c r="I43" s="1697"/>
      <c r="J43" s="1697"/>
      <c r="K43" s="1697"/>
      <c r="L43" s="1697"/>
      <c r="M43" s="1697"/>
      <c r="N43" s="1697"/>
      <c r="O43" s="1697"/>
      <c r="P43" s="1697"/>
      <c r="Q43" s="1697"/>
      <c r="R43" s="1697"/>
      <c r="S43" s="1697"/>
      <c r="T43" s="1697"/>
      <c r="U43" s="1697"/>
      <c r="V43" s="1697"/>
      <c r="W43" s="1697"/>
      <c r="X43" s="1697"/>
      <c r="Y43" s="1697"/>
      <c r="Z43" s="1697"/>
      <c r="AA43" s="1697"/>
      <c r="AB43" s="1697"/>
      <c r="AC43" s="1697"/>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7"/>
      <c r="AM47" s="90"/>
      <c r="AN47" s="279"/>
    </row>
    <row r="48" spans="1:42" s="4" customFormat="1" ht="12.75" customHeight="1">
      <c r="A48" s="5"/>
      <c r="B48" s="42"/>
      <c r="R48" s="5"/>
      <c r="S48" s="42"/>
      <c r="AN48" s="279"/>
    </row>
    <row r="49" spans="1:46" s="4" customFormat="1" ht="12.75" customHeight="1">
      <c r="B49" s="1670" t="s">
        <v>1467</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450000000000003"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2184</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2.95"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1120</v>
      </c>
      <c r="AK61" s="1796">
        <f>$AJ$31+$AJ$47</f>
        <v>10</v>
      </c>
      <c r="AL61" s="1797"/>
      <c r="AM61" s="1798"/>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99" t="s">
        <v>363</v>
      </c>
      <c r="AF64" s="1799"/>
      <c r="AG64" s="1799"/>
      <c r="AH64" s="1799"/>
      <c r="AI64" s="1799"/>
      <c r="AJ64" s="1799"/>
      <c r="AK64" s="1799"/>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697" t="s">
        <v>663</v>
      </c>
      <c r="C66" s="1697"/>
      <c r="D66" s="1697"/>
      <c r="E66" s="1697"/>
      <c r="F66" s="1697"/>
      <c r="G66" s="1697"/>
      <c r="H66" s="1697"/>
      <c r="I66" s="1697"/>
      <c r="J66" s="1697"/>
      <c r="K66" s="1697"/>
      <c r="AF66" s="1695" t="s">
        <v>937</v>
      </c>
      <c r="AG66" s="1695"/>
      <c r="AH66" s="1695"/>
      <c r="AI66" s="1695"/>
      <c r="AJ66" s="1695"/>
      <c r="AK66" s="1695"/>
      <c r="AL66" s="1695"/>
      <c r="AN66" s="279"/>
      <c r="AP66" s="4" t="s">
        <v>123</v>
      </c>
      <c r="AS66" s="4" t="s">
        <v>664</v>
      </c>
      <c r="AT66" s="4">
        <v>10</v>
      </c>
    </row>
    <row r="67" spans="1:46" s="4" customFormat="1" ht="12.75" customHeight="1">
      <c r="B67" s="1793" t="s">
        <v>1318</v>
      </c>
      <c r="C67" s="1793"/>
      <c r="D67" s="1793"/>
      <c r="E67" s="1793"/>
      <c r="F67" s="1793"/>
      <c r="G67" s="1793"/>
      <c r="H67" s="1793"/>
      <c r="I67" s="1793"/>
      <c r="J67" s="1793"/>
      <c r="K67" s="1793"/>
      <c r="L67" s="1793"/>
      <c r="M67" s="1793"/>
      <c r="N67" s="1793"/>
      <c r="O67" s="1793"/>
      <c r="P67" s="1793"/>
      <c r="Q67" s="1793"/>
      <c r="R67" s="1793"/>
      <c r="S67" s="1793"/>
      <c r="T67" s="1697" t="s">
        <v>123</v>
      </c>
      <c r="U67" s="1697"/>
      <c r="V67" s="1697"/>
      <c r="W67" s="1697"/>
      <c r="X67" s="1697"/>
      <c r="Y67" s="1697"/>
      <c r="Z67" s="1697"/>
      <c r="AA67" s="1697"/>
      <c r="AB67" s="1697"/>
      <c r="AC67" s="1697"/>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06">
        <f>VLOOKUP($B$66,$AS$64:$AU$69,2,FALSE)</f>
        <v>10</v>
      </c>
      <c r="AL68" s="1107"/>
      <c r="AM68" s="1107"/>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9" t="s">
        <v>976</v>
      </c>
      <c r="AF73" s="1799"/>
      <c r="AG73" s="1799"/>
      <c r="AH73" s="1799"/>
      <c r="AI73" s="1799"/>
      <c r="AJ73" s="1799"/>
      <c r="AK73" s="179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2100</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4"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5" t="s">
        <v>853</v>
      </c>
      <c r="AG90" s="1695"/>
      <c r="AH90" s="1695"/>
      <c r="AI90" s="1695"/>
      <c r="AJ90" s="1695"/>
      <c r="AK90" s="1695"/>
      <c r="AL90" s="1695"/>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57</v>
      </c>
      <c r="AG95" s="1695"/>
      <c r="AH95" s="1695"/>
      <c r="AI95" s="1695"/>
      <c r="AJ95" s="1695"/>
      <c r="AK95" s="1695"/>
      <c r="AL95" s="1695"/>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58</v>
      </c>
      <c r="AG100" s="1695"/>
      <c r="AH100" s="1695"/>
      <c r="AI100" s="1695"/>
      <c r="AJ100" s="1695"/>
      <c r="AK100" s="1695"/>
      <c r="AL100" s="1695"/>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59</v>
      </c>
      <c r="AG105" s="1695"/>
      <c r="AH105" s="1695"/>
      <c r="AI105" s="1695"/>
      <c r="AJ105" s="1695"/>
      <c r="AK105" s="1695"/>
      <c r="AL105" s="1695"/>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60</v>
      </c>
      <c r="AG109" s="1695"/>
      <c r="AH109" s="1695"/>
      <c r="AI109" s="1695"/>
      <c r="AJ109" s="1695"/>
      <c r="AK109" s="1695"/>
      <c r="AL109" s="1695"/>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3" t="s">
        <v>580</v>
      </c>
      <c r="I112" s="1703"/>
      <c r="J112" s="114"/>
      <c r="K112" s="114"/>
      <c r="L112" s="114"/>
      <c r="M112" s="932" t="s">
        <v>2086</v>
      </c>
      <c r="R112" s="1801"/>
      <c r="S112" s="1801"/>
      <c r="T112" s="1801"/>
      <c r="U112" s="1801"/>
      <c r="V112" s="1801"/>
      <c r="W112" s="1801"/>
      <c r="Y112" s="1582" t="str">
        <f>IF(AND(H112="(i)",NOT(Application!AF419&gt;25)),AO103,IF(AND(H112="(iv)",OR(R112=AO108,R112=AO109),NOT(AP94)),AO104,""))</f>
        <v/>
      </c>
      <c r="Z112" s="1582"/>
      <c r="AA112" s="1582"/>
      <c r="AB112" s="1582"/>
      <c r="AC112" s="1582"/>
      <c r="AD112" s="1582"/>
      <c r="AE112" s="1582"/>
      <c r="AF112" s="1582"/>
      <c r="AG112" s="1582"/>
      <c r="AH112" s="1582"/>
      <c r="AI112" s="1582"/>
      <c r="AJ112" s="1582"/>
      <c r="AK112" s="1582"/>
      <c r="AL112" s="1582"/>
      <c r="AM112" s="1802"/>
      <c r="AN112" s="952"/>
    </row>
    <row r="113" spans="1:47" s="4" customFormat="1" ht="12.75" customHeight="1">
      <c r="B113" s="5"/>
      <c r="C113" s="113"/>
      <c r="E113" s="114"/>
      <c r="F113" s="114"/>
      <c r="G113" s="114"/>
      <c r="H113" s="114"/>
      <c r="I113" s="114"/>
      <c r="J113" s="114"/>
      <c r="K113" s="114"/>
      <c r="L113" s="114"/>
      <c r="M113" s="114"/>
      <c r="Y113" s="1582"/>
      <c r="Z113" s="1582"/>
      <c r="AA113" s="1582"/>
      <c r="AB113" s="1582"/>
      <c r="AC113" s="1582"/>
      <c r="AD113" s="1582"/>
      <c r="AE113" s="1582"/>
      <c r="AF113" s="1582"/>
      <c r="AG113" s="1582"/>
      <c r="AH113" s="1582"/>
      <c r="AI113" s="1582"/>
      <c r="AJ113" s="1582"/>
      <c r="AK113" s="1582"/>
      <c r="AL113" s="1582"/>
      <c r="AM113" s="1802"/>
      <c r="AN113" s="952"/>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6" t="s">
        <v>2230</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123</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1468</v>
      </c>
      <c r="AP117" s="4">
        <v>3</v>
      </c>
    </row>
    <row r="118" spans="1:47" s="4" customFormat="1" ht="12.75" customHeight="1">
      <c r="B118" s="5"/>
      <c r="C118" s="113"/>
      <c r="E118" s="4" t="s">
        <v>146</v>
      </c>
      <c r="F118" s="114"/>
      <c r="G118" s="114"/>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697" t="s">
        <v>123</v>
      </c>
      <c r="C120" s="1697"/>
      <c r="D120" s="49"/>
      <c r="E120" s="1670" t="s">
        <v>1757</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95"/>
      <c r="F123" s="1795"/>
      <c r="G123" s="1795"/>
      <c r="H123" s="1795"/>
      <c r="I123" s="1795"/>
      <c r="J123" s="1795"/>
      <c r="K123" s="1795"/>
      <c r="L123" s="1795"/>
      <c r="M123" s="1795"/>
      <c r="N123" s="1795"/>
      <c r="O123" s="1795"/>
      <c r="P123" s="1795"/>
      <c r="Q123" s="1795"/>
      <c r="R123" s="1795"/>
      <c r="S123" s="1795"/>
      <c r="T123" s="1795"/>
      <c r="U123" s="1795"/>
      <c r="V123" s="1795"/>
      <c r="W123" s="1795"/>
      <c r="X123" s="1795"/>
      <c r="Y123" s="1795"/>
      <c r="Z123" s="1795"/>
      <c r="AA123" s="1795"/>
      <c r="AB123" s="1795"/>
      <c r="AC123" s="1795"/>
      <c r="AD123" s="1795"/>
      <c r="AE123" s="1795"/>
      <c r="AF123" s="1795"/>
      <c r="AG123" s="179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106">
        <f>VLOOKUP($H$112,$AO$96:$AP$101,2,FALSE)+IF(R112=AO108,0,VLOOKUP($H$118,$AO$116:$AP$118,2,FALSE))</f>
        <v>7</v>
      </c>
      <c r="AK124" s="110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4" t="s">
        <v>1825</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5" t="s">
        <v>60</v>
      </c>
      <c r="AG128" s="1695"/>
      <c r="AH128" s="1695"/>
      <c r="AI128" s="1695"/>
      <c r="AJ128" s="1695"/>
      <c r="AK128" s="1695"/>
      <c r="AL128" s="1695"/>
      <c r="AM128" s="4"/>
      <c r="AN128" s="296"/>
      <c r="AO128" s="4" t="str">
        <f>S133</f>
        <v>N/A</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5"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3" t="s">
        <v>123</v>
      </c>
      <c r="T133" s="1803"/>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102</v>
      </c>
      <c r="AG135" s="1695"/>
      <c r="AH135" s="1695"/>
      <c r="AI135" s="1695"/>
      <c r="AJ135" s="1695"/>
      <c r="AK135" s="1695"/>
      <c r="AL135" s="1695"/>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3" t="s">
        <v>196</v>
      </c>
      <c r="I137" s="170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06">
        <f>VLOOKUP($H$137,$AO$133:$AP$135,2,FALSE)</f>
        <v>2</v>
      </c>
      <c r="AK139" s="110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60</v>
      </c>
      <c r="AG143" s="1695"/>
      <c r="AH143" s="1695"/>
      <c r="AI143" s="1695"/>
      <c r="AJ143" s="1695"/>
      <c r="AK143" s="1695"/>
      <c r="AL143" s="169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102</v>
      </c>
      <c r="AG146" s="1695"/>
      <c r="AH146" s="1695"/>
      <c r="AI146" s="1695"/>
      <c r="AJ146" s="1695"/>
      <c r="AK146" s="1695"/>
      <c r="AL146" s="1695"/>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3" t="s">
        <v>196</v>
      </c>
      <c r="I149" s="170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06">
        <f>VLOOKUP(H149,AO140:AP142,2,FALSE)</f>
        <v>2</v>
      </c>
      <c r="AK151" s="1109"/>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0" t="s">
        <v>745</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126" t="s">
        <v>58</v>
      </c>
      <c r="AG156" s="1126"/>
      <c r="AH156" s="1126"/>
      <c r="AI156" s="1126"/>
      <c r="AJ156" s="1126"/>
      <c r="AK156" s="1126"/>
      <c r="AL156" s="1126"/>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0" t="s">
        <v>1706</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126" t="s">
        <v>59</v>
      </c>
      <c r="AG160" s="1126"/>
      <c r="AH160" s="1126"/>
      <c r="AI160" s="1126"/>
      <c r="AJ160" s="1126"/>
      <c r="AK160" s="1126"/>
      <c r="AL160" s="1126"/>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0" t="s">
        <v>1707</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126" t="s">
        <v>60</v>
      </c>
      <c r="AG164" s="1126"/>
      <c r="AH164" s="1126"/>
      <c r="AI164" s="1126"/>
      <c r="AJ164" s="1126"/>
      <c r="AK164" s="1126"/>
      <c r="AL164" s="1126"/>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126"/>
      <c r="AF165" s="1126"/>
      <c r="AG165" s="1126"/>
      <c r="AH165" s="1126"/>
      <c r="AI165" s="1126"/>
      <c r="AJ165" s="1126"/>
      <c r="AK165" s="1126"/>
      <c r="AL165" s="962"/>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0" t="s">
        <v>1708</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126" t="s">
        <v>59</v>
      </c>
      <c r="AG168" s="1126"/>
      <c r="AH168" s="1126"/>
      <c r="AI168" s="1126"/>
      <c r="AJ168" s="1126"/>
      <c r="AK168" s="1126"/>
      <c r="AL168" s="1126"/>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2"/>
      <c r="AF169" s="962"/>
      <c r="AG169" s="962"/>
      <c r="AH169" s="962"/>
      <c r="AI169" s="962"/>
      <c r="AJ169" s="962"/>
      <c r="AK169" s="962"/>
      <c r="AL169" s="962"/>
      <c r="AM169" s="20"/>
      <c r="AN169" s="279"/>
      <c r="AO169" s="4" t="s">
        <v>123</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2"/>
      <c r="AF170" s="962"/>
      <c r="AG170" s="962"/>
      <c r="AH170" s="962"/>
      <c r="AI170" s="962"/>
      <c r="AJ170" s="962"/>
      <c r="AK170" s="962"/>
      <c r="AL170" s="962"/>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196</v>
      </c>
      <c r="AP171" s="125">
        <v>4</v>
      </c>
    </row>
    <row r="172" spans="1:42" s="4" customFormat="1" ht="12.75" customHeight="1">
      <c r="B172" s="5"/>
      <c r="C172" s="45"/>
      <c r="D172" s="26" t="s">
        <v>731</v>
      </c>
      <c r="E172" s="1670" t="s">
        <v>1709</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126" t="s">
        <v>60</v>
      </c>
      <c r="AG172" s="1126"/>
      <c r="AH172" s="1126"/>
      <c r="AI172" s="1126"/>
      <c r="AJ172" s="1126"/>
      <c r="AK172" s="1126"/>
      <c r="AL172" s="1126"/>
      <c r="AM172" s="20"/>
      <c r="AN172" s="279"/>
      <c r="AO172" s="26" t="s">
        <v>889</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0" t="s">
        <v>1470</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126" t="s">
        <v>102</v>
      </c>
      <c r="AG176" s="1126"/>
      <c r="AH176" s="1126"/>
      <c r="AI176" s="1126"/>
      <c r="AJ176" s="1126"/>
      <c r="AK176" s="1126"/>
      <c r="AL176" s="1126"/>
      <c r="AM176" s="20"/>
      <c r="AN176" s="279"/>
      <c r="AO176" s="26" t="s">
        <v>280</v>
      </c>
      <c r="AP176" s="4">
        <v>1</v>
      </c>
    </row>
    <row r="177" spans="1:61" s="4" customFormat="1" ht="22.95"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280</v>
      </c>
      <c r="E179" s="1670" t="s">
        <v>1471</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126" t="s">
        <v>317</v>
      </c>
      <c r="AG179" s="1126"/>
      <c r="AH179" s="1126"/>
      <c r="AI179" s="1126"/>
      <c r="AJ179" s="1126"/>
      <c r="AK179" s="1126"/>
      <c r="AL179" s="1126"/>
      <c r="AM179" s="20"/>
      <c r="AN179" s="279"/>
    </row>
    <row r="180" spans="1:61" s="4" customFormat="1" ht="22.95"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3" t="s">
        <v>123</v>
      </c>
      <c r="I182" s="170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06">
        <f>VLOOKUP($H$182,$AO$169:$AP$176,2,FALSE)</f>
        <v>0</v>
      </c>
      <c r="AK184" s="1109"/>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5" t="s">
        <v>2283</v>
      </c>
      <c r="F188" s="1705"/>
      <c r="G188" s="1705"/>
      <c r="H188" s="1705"/>
      <c r="I188" s="1705"/>
      <c r="J188" s="1705"/>
      <c r="K188" s="1705"/>
      <c r="L188" s="1705"/>
      <c r="M188" s="1705"/>
      <c r="N188" s="1705"/>
      <c r="O188" s="1705"/>
      <c r="P188" s="1705"/>
      <c r="Q188" s="1705"/>
      <c r="R188" s="1705"/>
      <c r="S188" s="1705"/>
      <c r="T188" s="1705"/>
      <c r="U188" s="1705"/>
      <c r="V188" s="1705"/>
      <c r="W188" s="1705"/>
      <c r="X188" s="1705"/>
      <c r="Y188" s="1705"/>
      <c r="Z188" s="1705"/>
      <c r="AA188" s="1705"/>
      <c r="AB188" s="1705"/>
      <c r="AD188" s="5"/>
      <c r="AF188" s="1288" t="s">
        <v>60</v>
      </c>
      <c r="AG188" s="1288"/>
      <c r="AH188" s="1288"/>
      <c r="AI188" s="1288"/>
      <c r="AJ188" s="1288"/>
      <c r="AK188" s="1288"/>
      <c r="AL188" s="1288"/>
      <c r="AN188" s="279"/>
    </row>
    <row r="189" spans="1:61" s="4" customFormat="1" ht="12.75" customHeight="1">
      <c r="A189" s="118"/>
      <c r="B189" s="5"/>
      <c r="C189" s="128"/>
      <c r="D189" s="26"/>
      <c r="E189" s="1705"/>
      <c r="F189" s="1705"/>
      <c r="G189" s="1705"/>
      <c r="H189" s="1705"/>
      <c r="I189" s="1705"/>
      <c r="J189" s="1705"/>
      <c r="K189" s="1705"/>
      <c r="L189" s="1705"/>
      <c r="M189" s="1705"/>
      <c r="N189" s="1705"/>
      <c r="O189" s="1705"/>
      <c r="P189" s="1705"/>
      <c r="Q189" s="1705"/>
      <c r="R189" s="1705"/>
      <c r="S189" s="1705"/>
      <c r="T189" s="1705"/>
      <c r="U189" s="1705"/>
      <c r="V189" s="1705"/>
      <c r="W189" s="1705"/>
      <c r="X189" s="1705"/>
      <c r="Y189" s="1705"/>
      <c r="Z189" s="1705"/>
      <c r="AA189" s="1705"/>
      <c r="AB189" s="1705"/>
      <c r="AD189" s="5"/>
      <c r="AF189" s="1288"/>
      <c r="AG189" s="1288"/>
      <c r="AH189" s="1288"/>
      <c r="AI189" s="1288"/>
      <c r="AJ189" s="1288"/>
      <c r="AK189" s="1288"/>
      <c r="AL189" s="1288"/>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0" t="s">
        <v>2216</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126" t="s">
        <v>60</v>
      </c>
      <c r="AG191" s="1126"/>
      <c r="AH191" s="1126"/>
      <c r="AI191" s="1126"/>
      <c r="AJ191" s="1126"/>
      <c r="AK191" s="1126"/>
      <c r="AL191" s="1126"/>
      <c r="AN191" s="279"/>
      <c r="AO191" s="26" t="s">
        <v>580</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126"/>
      <c r="AG192" s="1126"/>
      <c r="AH192" s="1126"/>
      <c r="AI192" s="1126"/>
      <c r="AJ192" s="1126"/>
      <c r="AK192" s="1126"/>
      <c r="AL192" s="1126"/>
      <c r="AN192" s="279"/>
      <c r="AO192" s="26" t="s">
        <v>196</v>
      </c>
      <c r="AP192" s="26">
        <f>3*$AO$197</f>
        <v>0</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889</v>
      </c>
      <c r="AP193" s="26">
        <f>2*$AO$197</f>
        <v>0</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0" t="s">
        <v>2217</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126" t="s">
        <v>102</v>
      </c>
      <c r="AG196" s="1126"/>
      <c r="AH196" s="1126"/>
      <c r="AI196" s="1126"/>
      <c r="AJ196" s="1126"/>
      <c r="AK196" s="1126"/>
      <c r="AL196" s="1126"/>
      <c r="AN196" s="279"/>
      <c r="AY196" s="4" t="s">
        <v>2218</v>
      </c>
      <c r="AZ196" s="954">
        <f>Application!S215</f>
        <v>27</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126"/>
      <c r="AG197" s="1126"/>
      <c r="AH197" s="1126"/>
      <c r="AI197" s="1126"/>
      <c r="AJ197" s="1126"/>
      <c r="AK197" s="1126"/>
      <c r="AL197" s="1126"/>
      <c r="AN197" s="279"/>
      <c r="AO197" s="125" t="b">
        <f>IF(OR(Application!D214="Special Needs",Application!D211="At-Risk and Special Needs"),IF(BA203&gt;=0.25,TRUE,FALSE),IF(AZ203&gt;=0.25,TRUE,FALSE))</f>
        <v>0</v>
      </c>
      <c r="AY197" s="4" t="s">
        <v>2219</v>
      </c>
      <c r="AZ197" s="954">
        <f>Application!G738</f>
        <v>53</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2221</v>
      </c>
      <c r="AZ198" s="4">
        <f>Application!CC634</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1" t="s">
        <v>2273</v>
      </c>
      <c r="F201" s="1701"/>
      <c r="G201" s="1701"/>
      <c r="H201" s="1701"/>
      <c r="I201" s="1701"/>
      <c r="J201" s="1701"/>
      <c r="K201" s="1701"/>
      <c r="L201" s="1701"/>
      <c r="M201" s="1701"/>
      <c r="N201" s="1701"/>
      <c r="O201" s="1701"/>
      <c r="P201" s="1701"/>
      <c r="Q201" s="1701"/>
      <c r="R201" s="1701"/>
      <c r="S201" s="1701"/>
      <c r="T201" s="1701"/>
      <c r="U201" s="1701"/>
      <c r="V201" s="1701"/>
      <c r="W201" s="1701"/>
      <c r="X201" s="1701"/>
      <c r="Y201" s="1701"/>
      <c r="Z201" s="1701"/>
      <c r="AA201" s="1701"/>
      <c r="AB201" s="1701"/>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1"/>
      <c r="F202" s="1701"/>
      <c r="G202" s="1701"/>
      <c r="H202" s="1701"/>
      <c r="I202" s="1701"/>
      <c r="J202" s="1701"/>
      <c r="K202" s="1701"/>
      <c r="L202" s="1701"/>
      <c r="M202" s="1701"/>
      <c r="N202" s="1701"/>
      <c r="O202" s="1701"/>
      <c r="P202" s="1701"/>
      <c r="Q202" s="1701"/>
      <c r="R202" s="1701"/>
      <c r="S202" s="1701"/>
      <c r="T202" s="1701"/>
      <c r="U202" s="1701"/>
      <c r="V202" s="1701"/>
      <c r="W202" s="1701"/>
      <c r="X202" s="1701"/>
      <c r="Y202" s="1701"/>
      <c r="Z202" s="1701"/>
      <c r="AA202" s="1701"/>
      <c r="AB202" s="1701"/>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01"/>
      <c r="F203" s="1701"/>
      <c r="G203" s="1701"/>
      <c r="H203" s="1701"/>
      <c r="I203" s="1701"/>
      <c r="J203" s="1701"/>
      <c r="K203" s="1701"/>
      <c r="L203" s="1701"/>
      <c r="M203" s="1701"/>
      <c r="N203" s="1701"/>
      <c r="O203" s="1701"/>
      <c r="P203" s="1701"/>
      <c r="Q203" s="1701"/>
      <c r="R203" s="1701"/>
      <c r="S203" s="1701"/>
      <c r="T203" s="1701"/>
      <c r="U203" s="1701"/>
      <c r="V203" s="1701"/>
      <c r="W203" s="1701"/>
      <c r="X203" s="1701"/>
      <c r="Y203" s="1701"/>
      <c r="Z203" s="1701"/>
      <c r="AA203" s="1701"/>
      <c r="AB203" s="1701"/>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03" t="s">
        <v>123</v>
      </c>
      <c r="I204" s="170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106">
        <f>VLOOKUP($H$204,$AO$190:$AP$193,2,FALSE)</f>
        <v>0</v>
      </c>
      <c r="AK206" s="110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4" t="s">
        <v>1253</v>
      </c>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4"/>
      <c r="AD210" s="4"/>
      <c r="AF210" s="1695" t="s">
        <v>60</v>
      </c>
      <c r="AG210" s="1695"/>
      <c r="AH210" s="1695"/>
      <c r="AI210" s="1695"/>
      <c r="AJ210" s="1695"/>
      <c r="AK210" s="1695"/>
      <c r="AL210" s="1695"/>
      <c r="AM210" s="4"/>
      <c r="AN210" s="202"/>
      <c r="AO210" s="4" t="s">
        <v>123</v>
      </c>
      <c r="AP210" s="469">
        <v>0</v>
      </c>
    </row>
    <row r="211" spans="1:52" customFormat="1" ht="11.85" customHeight="1">
      <c r="A211" s="4"/>
      <c r="B211" s="5"/>
      <c r="C211" s="113"/>
      <c r="D211" s="26"/>
      <c r="E211" s="1704"/>
      <c r="F211" s="1704"/>
      <c r="G211" s="1704"/>
      <c r="H211" s="1704"/>
      <c r="I211" s="1704"/>
      <c r="J211" s="1704"/>
      <c r="K211" s="1704"/>
      <c r="L211" s="1704"/>
      <c r="M211" s="1704"/>
      <c r="N211" s="1704"/>
      <c r="O211" s="1704"/>
      <c r="P211" s="1704"/>
      <c r="Q211" s="1704"/>
      <c r="R211" s="1704"/>
      <c r="S211" s="1704"/>
      <c r="T211" s="1704"/>
      <c r="U211" s="1704"/>
      <c r="V211" s="1704"/>
      <c r="W211" s="1704"/>
      <c r="X211" s="1704"/>
      <c r="Y211" s="1704"/>
      <c r="Z211" s="1704"/>
      <c r="AA211" s="1704"/>
      <c r="AB211" s="1704"/>
      <c r="AC211" s="4"/>
      <c r="AD211" s="4"/>
      <c r="AE211" s="4"/>
      <c r="AM211" s="4"/>
      <c r="AN211" s="202"/>
      <c r="AO211" s="26" t="s">
        <v>580</v>
      </c>
      <c r="AP211" s="4">
        <v>3</v>
      </c>
    </row>
    <row r="212" spans="1:52" customFormat="1" ht="13.95" customHeight="1">
      <c r="A212" s="4"/>
      <c r="B212" s="42"/>
      <c r="C212" s="45"/>
      <c r="D212" s="26"/>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4"/>
      <c r="AD212" s="4"/>
      <c r="AE212" s="19"/>
      <c r="AM212" s="4"/>
      <c r="AN212" s="202"/>
      <c r="AO212" s="26" t="s">
        <v>196</v>
      </c>
      <c r="AP212" s="4">
        <v>2</v>
      </c>
    </row>
    <row r="213" spans="1:52" customFormat="1" ht="13.95" customHeight="1">
      <c r="A213" s="4"/>
      <c r="B213" s="5"/>
      <c r="C213" s="45"/>
      <c r="D213" s="26" t="s">
        <v>196</v>
      </c>
      <c r="E213" s="1707" t="s">
        <v>1254</v>
      </c>
      <c r="F213" s="1707"/>
      <c r="G213" s="1707"/>
      <c r="H213" s="1707"/>
      <c r="I213" s="1707"/>
      <c r="J213" s="1707"/>
      <c r="K213" s="1707"/>
      <c r="L213" s="1707"/>
      <c r="M213" s="1707"/>
      <c r="N213" s="1707"/>
      <c r="O213" s="1707"/>
      <c r="P213" s="1707"/>
      <c r="Q213" s="1707"/>
      <c r="R213" s="1707"/>
      <c r="S213" s="1707"/>
      <c r="T213" s="1707"/>
      <c r="U213" s="1707"/>
      <c r="V213" s="1707"/>
      <c r="W213" s="1707"/>
      <c r="X213" s="1707"/>
      <c r="Y213" s="1707"/>
      <c r="Z213" s="1707"/>
      <c r="AA213" s="1707"/>
      <c r="AB213" s="1707"/>
      <c r="AC213" s="4"/>
      <c r="AD213" s="4"/>
      <c r="AF213" s="1695" t="s">
        <v>102</v>
      </c>
      <c r="AG213" s="1695"/>
      <c r="AH213" s="1695"/>
      <c r="AI213" s="1695"/>
      <c r="AJ213" s="1695"/>
      <c r="AK213" s="1695"/>
      <c r="AL213" s="1695"/>
      <c r="AM213" s="4"/>
      <c r="AN213" s="670"/>
      <c r="AP213" s="21"/>
    </row>
    <row r="214" spans="1:52" customFormat="1" ht="12.75" customHeight="1">
      <c r="A214" s="4"/>
      <c r="B214" s="5"/>
      <c r="C214" s="113"/>
      <c r="D214" s="4"/>
      <c r="E214" s="1707"/>
      <c r="F214" s="1707"/>
      <c r="G214" s="1707"/>
      <c r="H214" s="1707"/>
      <c r="I214" s="1707"/>
      <c r="J214" s="1707"/>
      <c r="K214" s="1707"/>
      <c r="L214" s="1707"/>
      <c r="M214" s="1707"/>
      <c r="N214" s="1707"/>
      <c r="O214" s="1707"/>
      <c r="P214" s="1707"/>
      <c r="Q214" s="1707"/>
      <c r="R214" s="1707"/>
      <c r="S214" s="1707"/>
      <c r="T214" s="1707"/>
      <c r="U214" s="1707"/>
      <c r="V214" s="1707"/>
      <c r="W214" s="1707"/>
      <c r="X214" s="1707"/>
      <c r="Y214" s="1707"/>
      <c r="Z214" s="1707"/>
      <c r="AA214" s="1707"/>
      <c r="AB214" s="1707"/>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07"/>
      <c r="F215" s="1707"/>
      <c r="G215" s="1707"/>
      <c r="H215" s="1707"/>
      <c r="I215" s="1707"/>
      <c r="J215" s="1707"/>
      <c r="K215" s="1707"/>
      <c r="L215" s="1707"/>
      <c r="M215" s="1707"/>
      <c r="N215" s="1707"/>
      <c r="O215" s="1707"/>
      <c r="P215" s="1707"/>
      <c r="Q215" s="1707"/>
      <c r="R215" s="1707"/>
      <c r="S215" s="1707"/>
      <c r="T215" s="1707"/>
      <c r="U215" s="1707"/>
      <c r="V215" s="1707"/>
      <c r="W215" s="1707"/>
      <c r="X215" s="1707"/>
      <c r="Y215" s="1707"/>
      <c r="Z215" s="1707"/>
      <c r="AA215" s="1707"/>
      <c r="AB215" s="1707"/>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03" t="s">
        <v>123</v>
      </c>
      <c r="I216" s="170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106">
        <f>VLOOKUP($H$216,$AO$210:$AP$212,2,FALSE)</f>
        <v>0</v>
      </c>
      <c r="AK218" s="1109"/>
      <c r="AL218" s="10"/>
      <c r="AM218" s="4"/>
      <c r="AN218" s="202"/>
      <c r="AP218" s="1106"/>
      <c r="AQ218" s="110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0" t="s">
        <v>1487</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5" t="s">
        <v>60</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0" t="s">
        <v>881</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5" t="s">
        <v>102</v>
      </c>
      <c r="AG225" s="1695"/>
      <c r="AH225" s="1695"/>
      <c r="AI225" s="1695"/>
      <c r="AJ225" s="1695"/>
      <c r="AK225" s="1695"/>
      <c r="AL225" s="1695"/>
      <c r="AM225" s="4"/>
      <c r="AN225" s="202"/>
      <c r="AO225" s="4" t="s">
        <v>123</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3" t="s">
        <v>123</v>
      </c>
      <c r="I228" s="170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106">
        <f>VLOOKUP($H$228,$AO$225:$AP$227,2,FALSE)</f>
        <v>0</v>
      </c>
      <c r="AK230" s="110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0" t="s">
        <v>1122</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5" t="s">
        <v>60</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0" t="s">
        <v>1123</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5" t="s">
        <v>102</v>
      </c>
      <c r="AG238" s="1695"/>
      <c r="AH238" s="1695"/>
      <c r="AI238" s="1695"/>
      <c r="AJ238" s="1695"/>
      <c r="AK238" s="1695"/>
      <c r="AL238" s="1695"/>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3" t="s">
        <v>196</v>
      </c>
      <c r="I242" s="170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106">
        <f>VLOOKUP($H$242,$AO$225:$AP$227,2,FALSE)</f>
        <v>2</v>
      </c>
      <c r="AK244" s="110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0" t="s">
        <v>316</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5" t="s">
        <v>102</v>
      </c>
      <c r="AG248" s="1695"/>
      <c r="AH248" s="1695"/>
      <c r="AI248" s="1695"/>
      <c r="AJ248" s="1695"/>
      <c r="AK248" s="1695"/>
      <c r="AL248" s="1695"/>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0" t="s">
        <v>1255</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5" t="s">
        <v>317</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3" t="s">
        <v>580</v>
      </c>
      <c r="I254" s="170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106">
        <f>VLOOKUP($H$254,$AO$246:$AP$248,2,FALSE)</f>
        <v>2</v>
      </c>
      <c r="AK256" s="110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580</v>
      </c>
      <c r="E260" s="1670" t="s">
        <v>1937</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5" t="s">
        <v>102</v>
      </c>
      <c r="AG260" s="1695"/>
      <c r="AH260" s="1695"/>
      <c r="AI260" s="1695"/>
      <c r="AJ260" s="1695"/>
      <c r="AK260" s="1695"/>
      <c r="AL260" s="1695"/>
      <c r="AM260" s="102"/>
      <c r="AN260" s="202"/>
      <c r="AO260" s="4" t="s">
        <v>123</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2" t="s">
        <v>1938</v>
      </c>
      <c r="F264" s="1702"/>
      <c r="G264" s="1702"/>
      <c r="H264" s="1702"/>
      <c r="I264" s="1702"/>
      <c r="J264" s="1702"/>
      <c r="K264" s="1702"/>
      <c r="L264" s="1702"/>
      <c r="M264" s="1702"/>
      <c r="N264" s="1702"/>
      <c r="O264" s="1702"/>
      <c r="P264" s="1702"/>
      <c r="Q264" s="1702"/>
      <c r="R264" s="1702"/>
      <c r="S264" s="1702"/>
      <c r="T264" s="1702"/>
      <c r="U264" s="1702"/>
      <c r="V264" s="1702"/>
      <c r="W264" s="1702"/>
      <c r="X264" s="1702"/>
      <c r="Y264" s="1702"/>
      <c r="Z264" s="1702"/>
      <c r="AA264" s="1702"/>
      <c r="AB264" s="1702"/>
      <c r="AC264" s="1702"/>
      <c r="AD264" s="1702"/>
      <c r="AF264" s="1695" t="s">
        <v>60</v>
      </c>
      <c r="AG264" s="1695"/>
      <c r="AH264" s="1695"/>
      <c r="AI264" s="1695"/>
      <c r="AJ264" s="1695"/>
      <c r="AK264" s="1695"/>
      <c r="AL264" s="1695"/>
      <c r="AM264" s="102"/>
      <c r="AN264" s="279"/>
    </row>
    <row r="265" spans="1:82" s="4" customFormat="1" ht="12.75" customHeight="1">
      <c r="B265" s="100"/>
      <c r="C265" s="135"/>
      <c r="D265" s="26"/>
      <c r="E265" s="1702"/>
      <c r="F265" s="1702"/>
      <c r="G265" s="1702"/>
      <c r="H265" s="1702"/>
      <c r="I265" s="1702"/>
      <c r="J265" s="1702"/>
      <c r="K265" s="1702"/>
      <c r="L265" s="1702"/>
      <c r="M265" s="1702"/>
      <c r="N265" s="1702"/>
      <c r="O265" s="1702"/>
      <c r="P265" s="1702"/>
      <c r="Q265" s="1702"/>
      <c r="R265" s="1702"/>
      <c r="S265" s="1702"/>
      <c r="T265" s="1702"/>
      <c r="U265" s="1702"/>
      <c r="V265" s="1702"/>
      <c r="W265" s="1702"/>
      <c r="X265" s="1702"/>
      <c r="Y265" s="1702"/>
      <c r="Z265" s="1702"/>
      <c r="AA265" s="1702"/>
      <c r="AB265" s="1702"/>
      <c r="AC265" s="1702"/>
      <c r="AD265" s="1702"/>
      <c r="AE265" s="106"/>
      <c r="AF265" s="106"/>
      <c r="AG265" s="106"/>
      <c r="AH265" s="106"/>
      <c r="AI265" s="106"/>
      <c r="AJ265" s="106"/>
      <c r="AK265" s="106"/>
      <c r="AL265" s="106"/>
      <c r="AM265" s="102"/>
      <c r="AN265" s="279"/>
    </row>
    <row r="266" spans="1:82" s="4" customFormat="1" ht="12.75" customHeight="1">
      <c r="B266" s="100"/>
      <c r="C266" s="135"/>
      <c r="D266" s="26"/>
      <c r="E266" s="1702"/>
      <c r="F266" s="1702"/>
      <c r="G266" s="1702"/>
      <c r="H266" s="1702"/>
      <c r="I266" s="1702"/>
      <c r="J266" s="1702"/>
      <c r="K266" s="1702"/>
      <c r="L266" s="1702"/>
      <c r="M266" s="1702"/>
      <c r="N266" s="1702"/>
      <c r="O266" s="1702"/>
      <c r="P266" s="1702"/>
      <c r="Q266" s="1702"/>
      <c r="R266" s="1702"/>
      <c r="S266" s="1702"/>
      <c r="T266" s="1702"/>
      <c r="U266" s="1702"/>
      <c r="V266" s="1702"/>
      <c r="W266" s="1702"/>
      <c r="X266" s="1702"/>
      <c r="Y266" s="1702"/>
      <c r="Z266" s="1702"/>
      <c r="AA266" s="1702"/>
      <c r="AB266" s="1702"/>
      <c r="AC266" s="1702"/>
      <c r="AD266" s="1702"/>
      <c r="AE266" s="106"/>
      <c r="AF266" s="106"/>
      <c r="AG266" s="106"/>
      <c r="AH266" s="106"/>
      <c r="AI266" s="106"/>
      <c r="AJ266" s="106"/>
      <c r="AK266" s="106"/>
      <c r="AL266" s="106"/>
      <c r="AM266" s="102"/>
      <c r="AN266" s="279"/>
    </row>
    <row r="267" spans="1:82" s="4" customFormat="1" ht="12.75" customHeight="1">
      <c r="B267" s="100"/>
      <c r="C267" s="135"/>
      <c r="D267" s="26"/>
      <c r="E267" s="1702"/>
      <c r="F267" s="1702"/>
      <c r="G267" s="1702"/>
      <c r="H267" s="1702"/>
      <c r="I267" s="1702"/>
      <c r="J267" s="1702"/>
      <c r="K267" s="1702"/>
      <c r="L267" s="1702"/>
      <c r="M267" s="1702"/>
      <c r="N267" s="1702"/>
      <c r="O267" s="1702"/>
      <c r="P267" s="1702"/>
      <c r="Q267" s="1702"/>
      <c r="R267" s="1702"/>
      <c r="S267" s="1702"/>
      <c r="T267" s="1702"/>
      <c r="U267" s="1702"/>
      <c r="V267" s="1702"/>
      <c r="W267" s="1702"/>
      <c r="X267" s="1702"/>
      <c r="Y267" s="1702"/>
      <c r="Z267" s="1702"/>
      <c r="AA267" s="1702"/>
      <c r="AB267" s="1702"/>
      <c r="AC267" s="1702"/>
      <c r="AD267" s="170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3" t="s">
        <v>123</v>
      </c>
      <c r="I269" s="170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106">
        <f>VLOOKUP($H$269,$AO$260:$AP$262,2,FALSE)</f>
        <v>0</v>
      </c>
      <c r="AK271" s="1109"/>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580</v>
      </c>
      <c r="E275" s="1670" t="s">
        <v>2193</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5" t="s">
        <v>1627</v>
      </c>
      <c r="AG275" s="1695"/>
      <c r="AH275" s="1695"/>
      <c r="AI275" s="1695"/>
      <c r="AJ275" s="1695"/>
      <c r="AK275" s="1695"/>
      <c r="AL275" s="1695"/>
      <c r="AM275" s="102"/>
      <c r="AN275" s="202"/>
      <c r="AO275" s="26" t="s">
        <v>107</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3" t="s">
        <v>123</v>
      </c>
      <c r="I279" s="170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106">
        <f>VLOOKUP($H$279,$AO$274:$AP$275,2,FALSE)</f>
        <v>0</v>
      </c>
      <c r="AK281" s="110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106">
        <f>$AJ$124+$AJ$139+$AJ$151+$AJ$184+$AJ$206+$AJ$218+$AJ$230+$AJ$244+$AJ$256+$AJ$271+AJ281</f>
        <v>15</v>
      </c>
      <c r="AL283" s="1107"/>
      <c r="AM283" s="1109"/>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6" t="s">
        <v>2461</v>
      </c>
      <c r="I287" s="1066"/>
      <c r="J287" s="1066"/>
      <c r="K287" s="1066"/>
      <c r="L287" s="1066"/>
      <c r="M287" s="1066"/>
      <c r="N287" s="1066"/>
      <c r="O287" s="1066"/>
      <c r="P287" s="1066"/>
      <c r="Q287" s="1066"/>
      <c r="R287" s="1066"/>
      <c r="S287"/>
      <c r="T287" s="41" t="s">
        <v>88</v>
      </c>
      <c r="U287"/>
      <c r="V287" s="41"/>
      <c r="W287" s="41"/>
      <c r="X287" s="41"/>
      <c r="Y287" s="41"/>
      <c r="Z287"/>
      <c r="AA287" s="1066"/>
      <c r="AB287" s="1066"/>
      <c r="AC287" s="1066"/>
      <c r="AD287" s="1066"/>
      <c r="AE287" s="1066"/>
      <c r="AF287" s="1066"/>
      <c r="AG287" s="1066"/>
      <c r="AH287" s="1066"/>
      <c r="AI287" s="1066"/>
      <c r="AJ287" s="1066"/>
      <c r="AK287" s="1066"/>
      <c r="AL287" s="10"/>
      <c r="AN287" s="279"/>
      <c r="AP287" t="s">
        <v>90</v>
      </c>
    </row>
    <row r="288" spans="1:82" s="4" customFormat="1" ht="12.75" customHeight="1">
      <c r="B288" s="41" t="s">
        <v>698</v>
      </c>
      <c r="C288" s="41"/>
      <c r="D288" s="41"/>
      <c r="E288" s="41"/>
      <c r="F288" s="41"/>
      <c r="G288"/>
      <c r="H288" s="1065" t="s">
        <v>2462</v>
      </c>
      <c r="I288" s="1065"/>
      <c r="J288" s="1065"/>
      <c r="K288" s="1065"/>
      <c r="L288" s="1065"/>
      <c r="M288" s="1065"/>
      <c r="N288" s="1065"/>
      <c r="O288" s="1065"/>
      <c r="P288" s="1065"/>
      <c r="Q288" s="1065"/>
      <c r="R288" s="1065"/>
      <c r="S288"/>
      <c r="T288" s="41" t="s">
        <v>698</v>
      </c>
      <c r="U288"/>
      <c r="V288" s="41"/>
      <c r="W288" s="41"/>
      <c r="X288" s="41"/>
      <c r="Y288" s="41"/>
      <c r="Z288"/>
      <c r="AA288" s="1065"/>
      <c r="AB288" s="1065"/>
      <c r="AC288" s="1065"/>
      <c r="AD288" s="1065"/>
      <c r="AE288" s="1065"/>
      <c r="AF288" s="1065"/>
      <c r="AG288" s="1065"/>
      <c r="AH288" s="1065"/>
      <c r="AI288" s="1065"/>
      <c r="AJ288" s="1065"/>
      <c r="AK288" s="1065"/>
      <c r="AL288" s="10"/>
      <c r="AN288" s="279"/>
      <c r="AP288" t="s">
        <v>91</v>
      </c>
    </row>
    <row r="289" spans="1:42" s="4" customFormat="1" ht="12.75" customHeight="1">
      <c r="B289" s="41" t="s">
        <v>98</v>
      </c>
      <c r="C289" s="41"/>
      <c r="D289" s="41"/>
      <c r="E289" s="41"/>
      <c r="F289" s="41"/>
      <c r="G289"/>
      <c r="H289" s="1065" t="s">
        <v>2463</v>
      </c>
      <c r="I289" s="1065"/>
      <c r="J289" s="1065"/>
      <c r="K289" s="1065"/>
      <c r="L289" s="1065"/>
      <c r="M289" s="1065"/>
      <c r="N289" s="1065"/>
      <c r="O289" s="1065"/>
      <c r="P289" s="1065"/>
      <c r="Q289" s="1065"/>
      <c r="R289" s="1065"/>
      <c r="S289"/>
      <c r="T289" s="41" t="s">
        <v>98</v>
      </c>
      <c r="U289"/>
      <c r="V289" s="41"/>
      <c r="W289" s="41"/>
      <c r="X289" s="41"/>
      <c r="Y289" s="41"/>
      <c r="Z289"/>
      <c r="AA289" s="1065"/>
      <c r="AB289" s="1065"/>
      <c r="AC289" s="1065"/>
      <c r="AD289" s="1065"/>
      <c r="AE289" s="1065"/>
      <c r="AF289" s="1065"/>
      <c r="AG289" s="1065"/>
      <c r="AH289" s="1065"/>
      <c r="AI289" s="1065"/>
      <c r="AJ289" s="1065"/>
      <c r="AK289" s="1065"/>
      <c r="AL289" s="10"/>
      <c r="AN289" s="279"/>
      <c r="AO289" s="209"/>
      <c r="AP289" t="s">
        <v>92</v>
      </c>
    </row>
    <row r="290" spans="1:42" s="4" customFormat="1" ht="12.75" customHeight="1">
      <c r="B290" s="41" t="s">
        <v>373</v>
      </c>
      <c r="C290" s="41"/>
      <c r="D290" s="41"/>
      <c r="E290" s="41"/>
      <c r="F290" s="41"/>
      <c r="G290"/>
      <c r="H290" s="1065" t="s">
        <v>2464</v>
      </c>
      <c r="I290" s="1065"/>
      <c r="J290" s="1065"/>
      <c r="K290" s="1065"/>
      <c r="L290" s="1065"/>
      <c r="M290" s="1065"/>
      <c r="N290" s="1065"/>
      <c r="O290" s="1065"/>
      <c r="P290" s="1065"/>
      <c r="Q290" s="1065"/>
      <c r="R290" s="1065"/>
      <c r="S290"/>
      <c r="T290" s="41" t="s">
        <v>373</v>
      </c>
      <c r="U290"/>
      <c r="V290" s="41"/>
      <c r="W290" s="41"/>
      <c r="X290" s="41"/>
      <c r="Y290" s="41"/>
      <c r="Z290"/>
      <c r="AA290" s="1065"/>
      <c r="AB290" s="1065"/>
      <c r="AC290" s="1065"/>
      <c r="AD290" s="1065"/>
      <c r="AE290" s="1065"/>
      <c r="AF290" s="1065"/>
      <c r="AG290" s="1065"/>
      <c r="AH290" s="1065"/>
      <c r="AI290" s="1065"/>
      <c r="AJ290" s="1065"/>
      <c r="AK290" s="1065"/>
      <c r="AL290" s="10"/>
      <c r="AN290" s="279"/>
      <c r="AO290" s="209"/>
      <c r="AP290" t="s">
        <v>346</v>
      </c>
    </row>
    <row r="291" spans="1:42" s="4" customFormat="1" ht="12.75" customHeight="1">
      <c r="B291" s="41" t="s">
        <v>374</v>
      </c>
      <c r="C291" s="41"/>
      <c r="D291" s="41"/>
      <c r="E291" s="41"/>
      <c r="F291" s="41"/>
      <c r="G291" s="41"/>
      <c r="H291" s="1095" t="s">
        <v>2467</v>
      </c>
      <c r="I291" s="1095"/>
      <c r="J291" s="1095"/>
      <c r="K291" s="1095"/>
      <c r="L291" s="1095"/>
      <c r="M291" s="1095"/>
      <c r="N291" s="5" t="s">
        <v>817</v>
      </c>
      <c r="O291" s="5"/>
      <c r="P291" s="1093">
        <v>109</v>
      </c>
      <c r="Q291" s="1093"/>
      <c r="R291" s="1093"/>
      <c r="S291" s="41"/>
      <c r="T291" s="41" t="s">
        <v>374</v>
      </c>
      <c r="U291"/>
      <c r="V291" s="41"/>
      <c r="W291" s="41"/>
      <c r="X291" s="41"/>
      <c r="Y291" s="41"/>
      <c r="Z291"/>
      <c r="AA291" s="1095"/>
      <c r="AB291" s="1095"/>
      <c r="AC291" s="1095"/>
      <c r="AD291" s="1095"/>
      <c r="AE291" s="1095"/>
      <c r="AF291" s="1095"/>
      <c r="AG291" s="5" t="s">
        <v>817</v>
      </c>
      <c r="AH291" s="5"/>
      <c r="AI291" s="1093"/>
      <c r="AJ291" s="1093"/>
      <c r="AK291" s="1093"/>
      <c r="AL291" s="10"/>
      <c r="AN291" s="279"/>
      <c r="AO291" s="209"/>
      <c r="AP291" t="s">
        <v>2288</v>
      </c>
    </row>
    <row r="292" spans="1:42" s="4" customFormat="1" ht="12.75" customHeight="1">
      <c r="B292" s="41" t="s">
        <v>87</v>
      </c>
      <c r="C292" s="41"/>
      <c r="D292" s="41"/>
      <c r="E292" s="41"/>
      <c r="F292" s="41"/>
      <c r="G292" s="41"/>
      <c r="H292" s="1065" t="s">
        <v>90</v>
      </c>
      <c r="I292" s="1065"/>
      <c r="J292" s="1065"/>
      <c r="K292" s="1065"/>
      <c r="L292" s="1065"/>
      <c r="M292" s="1065"/>
      <c r="N292" s="1065"/>
      <c r="O292" s="1065"/>
      <c r="P292" s="1065"/>
      <c r="Q292" s="1065"/>
      <c r="R292" s="1065"/>
      <c r="S292" s="41"/>
      <c r="T292" s="41" t="s">
        <v>87</v>
      </c>
      <c r="U292"/>
      <c r="V292" s="41"/>
      <c r="W292" s="41"/>
      <c r="X292" s="41"/>
      <c r="Y292" s="41"/>
      <c r="Z292"/>
      <c r="AA292" s="1065"/>
      <c r="AB292" s="1065"/>
      <c r="AC292" s="1065"/>
      <c r="AD292" s="1065"/>
      <c r="AE292" s="1065"/>
      <c r="AF292" s="1065"/>
      <c r="AG292" s="1065"/>
      <c r="AH292" s="1065"/>
      <c r="AI292" s="1065"/>
      <c r="AJ292" s="1065"/>
      <c r="AK292" s="1065"/>
      <c r="AL292" s="10"/>
      <c r="AN292" s="279"/>
      <c r="AO292" s="209"/>
      <c r="AP292" t="s">
        <v>99</v>
      </c>
    </row>
    <row r="293" spans="1:42" s="4" customFormat="1" ht="12.75" customHeight="1">
      <c r="B293" s="41" t="s">
        <v>89</v>
      </c>
      <c r="C293" s="41"/>
      <c r="D293" s="41"/>
      <c r="E293" s="41"/>
      <c r="F293" s="41"/>
      <c r="G293" s="41"/>
      <c r="H293" s="1065" t="s">
        <v>2465</v>
      </c>
      <c r="I293" s="1065"/>
      <c r="J293" s="1065"/>
      <c r="K293" s="1065"/>
      <c r="L293" s="1065"/>
      <c r="M293" s="1065"/>
      <c r="N293" s="1065"/>
      <c r="O293" s="1065"/>
      <c r="P293" s="1065"/>
      <c r="Q293" s="1065"/>
      <c r="R293" s="1065"/>
      <c r="S293" s="41"/>
      <c r="T293" s="41" t="s">
        <v>89</v>
      </c>
      <c r="U293"/>
      <c r="V293" s="41"/>
      <c r="W293" s="41"/>
      <c r="X293" s="41"/>
      <c r="Y293" s="41"/>
      <c r="Z293"/>
      <c r="AA293" s="1065"/>
      <c r="AB293" s="1065"/>
      <c r="AC293" s="1065"/>
      <c r="AD293" s="1065"/>
      <c r="AE293" s="1065"/>
      <c r="AF293" s="1065"/>
      <c r="AG293" s="1065"/>
      <c r="AH293" s="1065"/>
      <c r="AI293" s="1065"/>
      <c r="AJ293" s="1065"/>
      <c r="AK293" s="1065"/>
      <c r="AL293" s="10"/>
      <c r="AN293" s="279"/>
      <c r="AP293" t="s">
        <v>96</v>
      </c>
    </row>
    <row r="294" spans="1:42" s="4" customFormat="1" ht="12.75" customHeight="1">
      <c r="B294" s="41" t="s">
        <v>100</v>
      </c>
      <c r="C294" s="41"/>
      <c r="D294" s="41"/>
      <c r="E294" s="41"/>
      <c r="F294" s="41"/>
      <c r="G294" s="41"/>
      <c r="H294" s="1706" t="s">
        <v>2466</v>
      </c>
      <c r="I294" s="1706"/>
      <c r="J294" s="1706"/>
      <c r="K294" s="1706"/>
      <c r="L294" s="1706"/>
      <c r="M294" s="1706"/>
      <c r="N294" s="1706"/>
      <c r="O294" s="1706"/>
      <c r="P294" s="1706"/>
      <c r="Q294" s="1706"/>
      <c r="R294" s="1706"/>
      <c r="S294" s="41"/>
      <c r="T294" s="41" t="s">
        <v>100</v>
      </c>
      <c r="U294" s="41"/>
      <c r="V294" s="41"/>
      <c r="W294" s="41"/>
      <c r="X294" s="41"/>
      <c r="Y294" s="41"/>
      <c r="Z294" s="12"/>
      <c r="AA294" s="1706"/>
      <c r="AB294" s="1706"/>
      <c r="AC294" s="1706"/>
      <c r="AD294" s="1706"/>
      <c r="AE294" s="1706"/>
      <c r="AF294" s="1706"/>
      <c r="AG294" s="1706"/>
      <c r="AH294" s="1706"/>
      <c r="AI294" s="1706"/>
      <c r="AJ294" s="1706"/>
      <c r="AK294" s="1706"/>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6" t="s">
        <v>2468</v>
      </c>
      <c r="I296" s="1066"/>
      <c r="J296" s="1066"/>
      <c r="K296" s="1066"/>
      <c r="L296" s="1066"/>
      <c r="M296" s="1066"/>
      <c r="N296" s="1066"/>
      <c r="O296" s="1066"/>
      <c r="P296" s="1066"/>
      <c r="Q296" s="1066"/>
      <c r="R296" s="1066"/>
      <c r="S296"/>
      <c r="T296" s="41" t="s">
        <v>88</v>
      </c>
      <c r="U296"/>
      <c r="V296" s="41"/>
      <c r="W296" s="41"/>
      <c r="X296" s="41"/>
      <c r="Y296" s="41"/>
      <c r="Z296"/>
      <c r="AA296" s="1066"/>
      <c r="AB296" s="1066"/>
      <c r="AC296" s="1066"/>
      <c r="AD296" s="1066"/>
      <c r="AE296" s="1066"/>
      <c r="AF296" s="1066"/>
      <c r="AG296" s="1066"/>
      <c r="AH296" s="1066"/>
      <c r="AI296" s="1066"/>
      <c r="AJ296" s="1066"/>
      <c r="AK296" s="1066"/>
      <c r="AL296" s="10"/>
      <c r="AN296" s="279"/>
      <c r="AP296" t="s">
        <v>95</v>
      </c>
    </row>
    <row r="297" spans="1:42" s="20" customFormat="1" ht="12.75" customHeight="1">
      <c r="A297" s="4"/>
      <c r="B297" s="41" t="s">
        <v>698</v>
      </c>
      <c r="C297" s="41"/>
      <c r="D297" s="41"/>
      <c r="E297" s="41"/>
      <c r="F297" s="41"/>
      <c r="G297"/>
      <c r="H297" s="1065" t="s">
        <v>2469</v>
      </c>
      <c r="I297" s="1065"/>
      <c r="J297" s="1065"/>
      <c r="K297" s="1065"/>
      <c r="L297" s="1065"/>
      <c r="M297" s="1065"/>
      <c r="N297" s="1065"/>
      <c r="O297" s="1065"/>
      <c r="P297" s="1065"/>
      <c r="Q297" s="1065"/>
      <c r="R297" s="1065"/>
      <c r="S297"/>
      <c r="T297" s="41" t="s">
        <v>698</v>
      </c>
      <c r="U297"/>
      <c r="V297" s="41"/>
      <c r="W297" s="41"/>
      <c r="X297" s="41"/>
      <c r="Y297" s="41"/>
      <c r="Z297"/>
      <c r="AA297" s="1065"/>
      <c r="AB297" s="1065"/>
      <c r="AC297" s="1065"/>
      <c r="AD297" s="1065"/>
      <c r="AE297" s="1065"/>
      <c r="AF297" s="1065"/>
      <c r="AG297" s="1065"/>
      <c r="AH297" s="1065"/>
      <c r="AI297" s="1065"/>
      <c r="AJ297" s="1065"/>
      <c r="AK297" s="1065"/>
      <c r="AL297" s="10"/>
      <c r="AM297" s="4"/>
      <c r="AN297" s="279"/>
      <c r="AO297" s="4"/>
      <c r="AP297" s="48" t="s">
        <v>347</v>
      </c>
    </row>
    <row r="298" spans="1:42" s="20" customFormat="1" ht="12.75" customHeight="1">
      <c r="A298" s="4"/>
      <c r="B298" s="41" t="s">
        <v>98</v>
      </c>
      <c r="C298" s="41"/>
      <c r="D298" s="41"/>
      <c r="E298" s="41"/>
      <c r="F298" s="41"/>
      <c r="G298"/>
      <c r="H298" s="1065" t="s">
        <v>2470</v>
      </c>
      <c r="I298" s="1065"/>
      <c r="J298" s="1065"/>
      <c r="K298" s="1065"/>
      <c r="L298" s="1065"/>
      <c r="M298" s="1065"/>
      <c r="N298" s="1065"/>
      <c r="O298" s="1065"/>
      <c r="P298" s="1065"/>
      <c r="Q298" s="1065"/>
      <c r="R298" s="1065"/>
      <c r="S298"/>
      <c r="T298" s="41" t="s">
        <v>98</v>
      </c>
      <c r="U298"/>
      <c r="V298" s="41"/>
      <c r="W298" s="41"/>
      <c r="X298" s="41"/>
      <c r="Y298" s="41"/>
      <c r="Z298"/>
      <c r="AA298" s="1065"/>
      <c r="AB298" s="1065"/>
      <c r="AC298" s="1065"/>
      <c r="AD298" s="1065"/>
      <c r="AE298" s="1065"/>
      <c r="AF298" s="1065"/>
      <c r="AG298" s="1065"/>
      <c r="AH298" s="1065"/>
      <c r="AI298" s="1065"/>
      <c r="AJ298" s="1065"/>
      <c r="AK298" s="1065"/>
      <c r="AL298" s="10"/>
      <c r="AM298" s="4"/>
      <c r="AN298" s="279"/>
      <c r="AO298" s="4"/>
    </row>
    <row r="299" spans="1:42" s="4" customFormat="1" ht="12.75" customHeight="1">
      <c r="B299" s="41" t="s">
        <v>373</v>
      </c>
      <c r="C299" s="41"/>
      <c r="D299" s="41"/>
      <c r="E299" s="41"/>
      <c r="F299" s="41"/>
      <c r="G299"/>
      <c r="H299" s="1065" t="s">
        <v>2471</v>
      </c>
      <c r="I299" s="1065"/>
      <c r="J299" s="1065"/>
      <c r="K299" s="1065"/>
      <c r="L299" s="1065"/>
      <c r="M299" s="1065"/>
      <c r="N299" s="1065"/>
      <c r="O299" s="1065"/>
      <c r="P299" s="1065"/>
      <c r="Q299" s="1065"/>
      <c r="R299" s="1065"/>
      <c r="S299"/>
      <c r="T299" s="41" t="s">
        <v>373</v>
      </c>
      <c r="U299"/>
      <c r="V299" s="41"/>
      <c r="W299" s="41"/>
      <c r="X299" s="41"/>
      <c r="Y299" s="41"/>
      <c r="Z299"/>
      <c r="AA299" s="1065"/>
      <c r="AB299" s="1065"/>
      <c r="AC299" s="1065"/>
      <c r="AD299" s="1065"/>
      <c r="AE299" s="1065"/>
      <c r="AF299" s="1065"/>
      <c r="AG299" s="1065"/>
      <c r="AH299" s="1065"/>
      <c r="AI299" s="1065"/>
      <c r="AJ299" s="1065"/>
      <c r="AK299" s="1065"/>
      <c r="AL299" s="10"/>
      <c r="AN299" s="279"/>
    </row>
    <row r="300" spans="1:42" s="4" customFormat="1" ht="12.75" customHeight="1">
      <c r="B300" s="41" t="s">
        <v>374</v>
      </c>
      <c r="C300" s="41"/>
      <c r="D300" s="41"/>
      <c r="E300" s="41"/>
      <c r="F300" s="41"/>
      <c r="G300" s="41"/>
      <c r="H300" s="1095" t="s">
        <v>2474</v>
      </c>
      <c r="I300" s="1095"/>
      <c r="J300" s="1095"/>
      <c r="K300" s="1095"/>
      <c r="L300" s="1095"/>
      <c r="M300" s="1095"/>
      <c r="N300" s="5" t="s">
        <v>817</v>
      </c>
      <c r="O300" s="5"/>
      <c r="P300" s="1093"/>
      <c r="Q300" s="1093"/>
      <c r="R300" s="1093"/>
      <c r="S300" s="41"/>
      <c r="T300" s="41" t="s">
        <v>374</v>
      </c>
      <c r="U300"/>
      <c r="V300" s="41"/>
      <c r="W300" s="41"/>
      <c r="X300" s="41"/>
      <c r="Y300" s="41"/>
      <c r="Z300"/>
      <c r="AA300" s="1095"/>
      <c r="AB300" s="1095"/>
      <c r="AC300" s="1095"/>
      <c r="AD300" s="1095"/>
      <c r="AE300" s="1095"/>
      <c r="AF300" s="1095"/>
      <c r="AG300" s="5" t="s">
        <v>817</v>
      </c>
      <c r="AH300" s="5"/>
      <c r="AI300" s="1093"/>
      <c r="AJ300" s="1093"/>
      <c r="AK300" s="1093"/>
      <c r="AL300" s="10"/>
      <c r="AN300" s="279"/>
    </row>
    <row r="301" spans="1:42" s="4" customFormat="1" ht="12.75" customHeight="1">
      <c r="B301" s="41" t="s">
        <v>87</v>
      </c>
      <c r="C301" s="41"/>
      <c r="D301" s="41"/>
      <c r="E301" s="41"/>
      <c r="F301" s="41"/>
      <c r="G301" s="41"/>
      <c r="H301" s="1065" t="s">
        <v>91</v>
      </c>
      <c r="I301" s="1065"/>
      <c r="J301" s="1065"/>
      <c r="K301" s="1065"/>
      <c r="L301" s="1065"/>
      <c r="M301" s="1065"/>
      <c r="N301" s="1065"/>
      <c r="O301" s="1065"/>
      <c r="P301" s="1065"/>
      <c r="Q301" s="1065"/>
      <c r="R301" s="1065"/>
      <c r="S301" s="41"/>
      <c r="T301" s="41" t="s">
        <v>87</v>
      </c>
      <c r="U301"/>
      <c r="V301" s="41"/>
      <c r="W301" s="41"/>
      <c r="X301" s="41"/>
      <c r="Y301" s="41"/>
      <c r="Z301"/>
      <c r="AA301" s="1065"/>
      <c r="AB301" s="1065"/>
      <c r="AC301" s="1065"/>
      <c r="AD301" s="1065"/>
      <c r="AE301" s="1065"/>
      <c r="AF301" s="1065"/>
      <c r="AG301" s="1065"/>
      <c r="AH301" s="1065"/>
      <c r="AI301" s="1065"/>
      <c r="AJ301" s="1065"/>
      <c r="AK301" s="1065"/>
      <c r="AL301" s="10"/>
      <c r="AN301" s="279"/>
    </row>
    <row r="302" spans="1:42" s="4" customFormat="1" ht="12.75" customHeight="1">
      <c r="B302" s="41" t="s">
        <v>89</v>
      </c>
      <c r="C302" s="41"/>
      <c r="D302" s="41"/>
      <c r="E302" s="41"/>
      <c r="F302" s="41"/>
      <c r="G302" s="41"/>
      <c r="H302" s="1065" t="s">
        <v>2472</v>
      </c>
      <c r="I302" s="1065"/>
      <c r="J302" s="1065"/>
      <c r="K302" s="1065"/>
      <c r="L302" s="1065"/>
      <c r="M302" s="1065"/>
      <c r="N302" s="1065"/>
      <c r="O302" s="1065"/>
      <c r="P302" s="1065"/>
      <c r="Q302" s="1065"/>
      <c r="R302" s="1065"/>
      <c r="S302" s="41"/>
      <c r="T302" s="41" t="s">
        <v>89</v>
      </c>
      <c r="U302"/>
      <c r="V302" s="41"/>
      <c r="W302" s="41"/>
      <c r="X302" s="41"/>
      <c r="Y302" s="41"/>
      <c r="Z302"/>
      <c r="AA302" s="1065"/>
      <c r="AB302" s="1065"/>
      <c r="AC302" s="1065"/>
      <c r="AD302" s="1065"/>
      <c r="AE302" s="1065"/>
      <c r="AF302" s="1065"/>
      <c r="AG302" s="1065"/>
      <c r="AH302" s="1065"/>
      <c r="AI302" s="1065"/>
      <c r="AJ302" s="1065"/>
      <c r="AK302" s="1065"/>
      <c r="AL302" s="10"/>
      <c r="AN302" s="279"/>
    </row>
    <row r="303" spans="1:42" s="4" customFormat="1" ht="12.75" customHeight="1">
      <c r="B303" s="41" t="s">
        <v>100</v>
      </c>
      <c r="C303" s="41"/>
      <c r="D303" s="41"/>
      <c r="E303" s="41"/>
      <c r="F303" s="41"/>
      <c r="G303" s="41"/>
      <c r="H303" s="1706" t="s">
        <v>2473</v>
      </c>
      <c r="I303" s="1706"/>
      <c r="J303" s="1706"/>
      <c r="K303" s="1706"/>
      <c r="L303" s="1706"/>
      <c r="M303" s="1706"/>
      <c r="N303" s="1706"/>
      <c r="O303" s="1706"/>
      <c r="P303" s="1706"/>
      <c r="Q303" s="1706"/>
      <c r="R303" s="1706"/>
      <c r="S303" s="41"/>
      <c r="T303" s="41" t="s">
        <v>100</v>
      </c>
      <c r="U303" s="41"/>
      <c r="V303" s="41"/>
      <c r="W303" s="41"/>
      <c r="X303" s="41"/>
      <c r="Y303" s="41"/>
      <c r="Z303" s="12"/>
      <c r="AA303" s="1706"/>
      <c r="AB303" s="1706"/>
      <c r="AC303" s="1706"/>
      <c r="AD303" s="1706"/>
      <c r="AE303" s="1706"/>
      <c r="AF303" s="1706"/>
      <c r="AG303" s="1706"/>
      <c r="AH303" s="1706"/>
      <c r="AI303" s="1706"/>
      <c r="AJ303" s="1706"/>
      <c r="AK303" s="170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6" t="s">
        <v>2475</v>
      </c>
      <c r="I305" s="1066"/>
      <c r="J305" s="1066"/>
      <c r="K305" s="1066"/>
      <c r="L305" s="1066"/>
      <c r="M305" s="1066"/>
      <c r="N305" s="1066"/>
      <c r="O305" s="1066"/>
      <c r="P305" s="1066"/>
      <c r="Q305" s="1066"/>
      <c r="R305" s="1066"/>
      <c r="S305"/>
      <c r="T305" s="41" t="s">
        <v>88</v>
      </c>
      <c r="U305"/>
      <c r="V305" s="41"/>
      <c r="W305" s="41"/>
      <c r="X305" s="41"/>
      <c r="Y305" s="41"/>
      <c r="Z305"/>
      <c r="AA305" s="1066"/>
      <c r="AB305" s="1066"/>
      <c r="AC305" s="1066"/>
      <c r="AD305" s="1066"/>
      <c r="AE305" s="1066"/>
      <c r="AF305" s="1066"/>
      <c r="AG305" s="1066"/>
      <c r="AH305" s="1066"/>
      <c r="AI305" s="1066"/>
      <c r="AJ305" s="1066"/>
      <c r="AK305" s="1066"/>
      <c r="AL305" s="10"/>
      <c r="AN305" s="279"/>
    </row>
    <row r="306" spans="2:40" s="4" customFormat="1" ht="12.75" customHeight="1">
      <c r="B306" s="41" t="s">
        <v>698</v>
      </c>
      <c r="C306" s="41"/>
      <c r="D306" s="41"/>
      <c r="E306" s="41"/>
      <c r="F306" s="41"/>
      <c r="G306"/>
      <c r="H306" s="1065" t="s">
        <v>2476</v>
      </c>
      <c r="I306" s="1065"/>
      <c r="J306" s="1065"/>
      <c r="K306" s="1065"/>
      <c r="L306" s="1065"/>
      <c r="M306" s="1065"/>
      <c r="N306" s="1065"/>
      <c r="O306" s="1065"/>
      <c r="P306" s="1065"/>
      <c r="Q306" s="1065"/>
      <c r="R306" s="1065"/>
      <c r="S306"/>
      <c r="T306" s="41" t="s">
        <v>698</v>
      </c>
      <c r="U306"/>
      <c r="V306" s="41"/>
      <c r="W306" s="41"/>
      <c r="X306" s="41"/>
      <c r="Y306" s="41"/>
      <c r="Z306"/>
      <c r="AA306" s="1065"/>
      <c r="AB306" s="1065"/>
      <c r="AC306" s="1065"/>
      <c r="AD306" s="1065"/>
      <c r="AE306" s="1065"/>
      <c r="AF306" s="1065"/>
      <c r="AG306" s="1065"/>
      <c r="AH306" s="1065"/>
      <c r="AI306" s="1065"/>
      <c r="AJ306" s="1065"/>
      <c r="AK306" s="1065"/>
      <c r="AL306" s="10"/>
      <c r="AN306" s="279"/>
    </row>
    <row r="307" spans="2:40" s="4" customFormat="1" ht="12.75" customHeight="1">
      <c r="B307" s="41" t="s">
        <v>98</v>
      </c>
      <c r="C307" s="41"/>
      <c r="D307" s="41"/>
      <c r="E307" s="41"/>
      <c r="F307" s="41"/>
      <c r="G307"/>
      <c r="H307" s="1065" t="s">
        <v>2463</v>
      </c>
      <c r="I307" s="1065"/>
      <c r="J307" s="1065"/>
      <c r="K307" s="1065"/>
      <c r="L307" s="1065"/>
      <c r="M307" s="1065"/>
      <c r="N307" s="1065"/>
      <c r="O307" s="1065"/>
      <c r="P307" s="1065"/>
      <c r="Q307" s="1065"/>
      <c r="R307" s="1065"/>
      <c r="S307"/>
      <c r="T307" s="41" t="s">
        <v>98</v>
      </c>
      <c r="U307"/>
      <c r="V307" s="41"/>
      <c r="W307" s="41"/>
      <c r="X307" s="41"/>
      <c r="Y307" s="41"/>
      <c r="Z307"/>
      <c r="AA307" s="1065"/>
      <c r="AB307" s="1065"/>
      <c r="AC307" s="1065"/>
      <c r="AD307" s="1065"/>
      <c r="AE307" s="1065"/>
      <c r="AF307" s="1065"/>
      <c r="AG307" s="1065"/>
      <c r="AH307" s="1065"/>
      <c r="AI307" s="1065"/>
      <c r="AJ307" s="1065"/>
      <c r="AK307" s="1065"/>
      <c r="AL307" s="10"/>
      <c r="AN307" s="279"/>
    </row>
    <row r="308" spans="2:40" s="4" customFormat="1" ht="12.75" customHeight="1">
      <c r="B308" s="41" t="s">
        <v>373</v>
      </c>
      <c r="C308" s="41"/>
      <c r="D308" s="41"/>
      <c r="E308" s="41"/>
      <c r="F308" s="41"/>
      <c r="G308"/>
      <c r="H308" s="1065" t="s">
        <v>2477</v>
      </c>
      <c r="I308" s="1065"/>
      <c r="J308" s="1065"/>
      <c r="K308" s="1065"/>
      <c r="L308" s="1065"/>
      <c r="M308" s="1065"/>
      <c r="N308" s="1065"/>
      <c r="O308" s="1065"/>
      <c r="P308" s="1065"/>
      <c r="Q308" s="1065"/>
      <c r="R308" s="1065"/>
      <c r="S308"/>
      <c r="T308" s="41" t="s">
        <v>373</v>
      </c>
      <c r="U308"/>
      <c r="V308" s="41"/>
      <c r="W308" s="41"/>
      <c r="X308" s="41"/>
      <c r="Y308" s="41"/>
      <c r="Z308"/>
      <c r="AA308" s="1065"/>
      <c r="AB308" s="1065"/>
      <c r="AC308" s="1065"/>
      <c r="AD308" s="1065"/>
      <c r="AE308" s="1065"/>
      <c r="AF308" s="1065"/>
      <c r="AG308" s="1065"/>
      <c r="AH308" s="1065"/>
      <c r="AI308" s="1065"/>
      <c r="AJ308" s="1065"/>
      <c r="AK308" s="1065"/>
      <c r="AL308" s="10"/>
      <c r="AN308" s="279"/>
    </row>
    <row r="309" spans="2:40" s="4" customFormat="1" ht="12.75" customHeight="1">
      <c r="B309" s="41" t="s">
        <v>374</v>
      </c>
      <c r="C309" s="41"/>
      <c r="D309" s="41"/>
      <c r="E309" s="41"/>
      <c r="F309" s="41"/>
      <c r="G309" s="41"/>
      <c r="H309" s="1095" t="s">
        <v>2479</v>
      </c>
      <c r="I309" s="1095"/>
      <c r="J309" s="1095"/>
      <c r="K309" s="1095"/>
      <c r="L309" s="1095"/>
      <c r="M309" s="1095"/>
      <c r="N309" s="5" t="s">
        <v>817</v>
      </c>
      <c r="O309" s="5"/>
      <c r="P309" s="1093"/>
      <c r="Q309" s="1093"/>
      <c r="R309" s="1093"/>
      <c r="S309" s="41"/>
      <c r="T309" s="41" t="s">
        <v>374</v>
      </c>
      <c r="U309"/>
      <c r="V309" s="41"/>
      <c r="W309" s="41"/>
      <c r="X309" s="41"/>
      <c r="Y309" s="41"/>
      <c r="Z309"/>
      <c r="AA309" s="1095"/>
      <c r="AB309" s="1095"/>
      <c r="AC309" s="1095"/>
      <c r="AD309" s="1095"/>
      <c r="AE309" s="1095"/>
      <c r="AF309" s="1095"/>
      <c r="AG309" s="5" t="s">
        <v>817</v>
      </c>
      <c r="AH309" s="5"/>
      <c r="AI309" s="1093"/>
      <c r="AJ309" s="1093"/>
      <c r="AK309" s="1093"/>
      <c r="AL309" s="10"/>
      <c r="AN309" s="279"/>
    </row>
    <row r="310" spans="2:40" s="4" customFormat="1" ht="12.75" customHeight="1">
      <c r="B310" s="41" t="s">
        <v>87</v>
      </c>
      <c r="C310" s="41"/>
      <c r="D310" s="41"/>
      <c r="E310" s="41"/>
      <c r="F310" s="41"/>
      <c r="G310" s="41"/>
      <c r="H310" s="1065" t="s">
        <v>92</v>
      </c>
      <c r="I310" s="1065"/>
      <c r="J310" s="1065"/>
      <c r="K310" s="1065"/>
      <c r="L310" s="1065"/>
      <c r="M310" s="1065"/>
      <c r="N310" s="1065"/>
      <c r="O310" s="1065"/>
      <c r="P310" s="1065"/>
      <c r="Q310" s="1065"/>
      <c r="R310" s="1065"/>
      <c r="S310" s="41"/>
      <c r="T310" s="41" t="s">
        <v>87</v>
      </c>
      <c r="U310"/>
      <c r="V310" s="41"/>
      <c r="W310" s="41"/>
      <c r="X310" s="41"/>
      <c r="Y310" s="41"/>
      <c r="Z310"/>
      <c r="AA310" s="1065"/>
      <c r="AB310" s="1065"/>
      <c r="AC310" s="1065"/>
      <c r="AD310" s="1065"/>
      <c r="AE310" s="1065"/>
      <c r="AF310" s="1065"/>
      <c r="AG310" s="1065"/>
      <c r="AH310" s="1065"/>
      <c r="AI310" s="1065"/>
      <c r="AJ310" s="1065"/>
      <c r="AK310" s="1065"/>
      <c r="AL310" s="10"/>
      <c r="AN310" s="279"/>
    </row>
    <row r="311" spans="2:40" s="4" customFormat="1" ht="12.75" customHeight="1">
      <c r="B311" s="41" t="s">
        <v>89</v>
      </c>
      <c r="C311" s="41"/>
      <c r="D311" s="41"/>
      <c r="E311" s="41"/>
      <c r="F311" s="41"/>
      <c r="G311" s="41"/>
      <c r="H311" s="1065" t="s">
        <v>2478</v>
      </c>
      <c r="I311" s="1065"/>
      <c r="J311" s="1065"/>
      <c r="K311" s="1065"/>
      <c r="L311" s="1065"/>
      <c r="M311" s="1065"/>
      <c r="N311" s="1065"/>
      <c r="O311" s="1065"/>
      <c r="P311" s="1065"/>
      <c r="Q311" s="1065"/>
      <c r="R311" s="1065"/>
      <c r="S311" s="41"/>
      <c r="T311" s="41" t="s">
        <v>89</v>
      </c>
      <c r="U311"/>
      <c r="V311" s="41"/>
      <c r="W311" s="41"/>
      <c r="X311" s="41"/>
      <c r="Y311" s="41"/>
      <c r="Z311"/>
      <c r="AA311" s="1065"/>
      <c r="AB311" s="1065"/>
      <c r="AC311" s="1065"/>
      <c r="AD311" s="1065"/>
      <c r="AE311" s="1065"/>
      <c r="AF311" s="1065"/>
      <c r="AG311" s="1065"/>
      <c r="AH311" s="1065"/>
      <c r="AI311" s="1065"/>
      <c r="AJ311" s="1065"/>
      <c r="AK311" s="1065"/>
      <c r="AL311" s="10"/>
      <c r="AN311" s="279"/>
    </row>
    <row r="312" spans="2:40" s="4" customFormat="1" ht="12.75" customHeight="1">
      <c r="B312" s="41" t="s">
        <v>100</v>
      </c>
      <c r="C312" s="41"/>
      <c r="D312" s="41"/>
      <c r="E312" s="41"/>
      <c r="F312" s="41"/>
      <c r="G312" s="41"/>
      <c r="H312" s="1706">
        <v>0.54</v>
      </c>
      <c r="I312" s="1706"/>
      <c r="J312" s="1706"/>
      <c r="K312" s="1706"/>
      <c r="L312" s="1706"/>
      <c r="M312" s="1706"/>
      <c r="N312" s="1706"/>
      <c r="O312" s="1706"/>
      <c r="P312" s="1706"/>
      <c r="Q312" s="1706"/>
      <c r="R312" s="1706"/>
      <c r="S312" s="41"/>
      <c r="T312" s="41" t="s">
        <v>100</v>
      </c>
      <c r="U312" s="41"/>
      <c r="V312" s="41"/>
      <c r="W312" s="41"/>
      <c r="X312" s="41"/>
      <c r="Y312" s="41"/>
      <c r="Z312" s="12"/>
      <c r="AA312" s="1706"/>
      <c r="AB312" s="1706"/>
      <c r="AC312" s="1706"/>
      <c r="AD312" s="1706"/>
      <c r="AE312" s="1706"/>
      <c r="AF312" s="1706"/>
      <c r="AG312" s="1706"/>
      <c r="AH312" s="1706"/>
      <c r="AI312" s="1706"/>
      <c r="AJ312" s="1706"/>
      <c r="AK312" s="170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6" t="s">
        <v>2480</v>
      </c>
      <c r="I314" s="1066"/>
      <c r="J314" s="1066"/>
      <c r="K314" s="1066"/>
      <c r="L314" s="1066"/>
      <c r="M314" s="1066"/>
      <c r="N314" s="1066"/>
      <c r="O314" s="1066"/>
      <c r="P314" s="1066"/>
      <c r="Q314" s="1066"/>
      <c r="R314" s="1066"/>
      <c r="S314"/>
      <c r="T314" s="41" t="s">
        <v>88</v>
      </c>
      <c r="U314"/>
      <c r="V314" s="41"/>
      <c r="W314" s="41"/>
      <c r="X314" s="41"/>
      <c r="Y314" s="41"/>
      <c r="Z314"/>
      <c r="AA314" s="1066"/>
      <c r="AB314" s="1066"/>
      <c r="AC314" s="1066"/>
      <c r="AD314" s="1066"/>
      <c r="AE314" s="1066"/>
      <c r="AF314" s="1066"/>
      <c r="AG314" s="1066"/>
      <c r="AH314" s="1066"/>
      <c r="AI314" s="1066"/>
      <c r="AJ314" s="1066"/>
      <c r="AK314" s="1066"/>
      <c r="AL314" s="10"/>
      <c r="AN314" s="279"/>
    </row>
    <row r="315" spans="2:40" s="4" customFormat="1" ht="12.75" customHeight="1">
      <c r="B315" s="41" t="s">
        <v>698</v>
      </c>
      <c r="C315" s="41"/>
      <c r="D315" s="41"/>
      <c r="E315" s="41"/>
      <c r="F315" s="41"/>
      <c r="G315"/>
      <c r="H315" s="1065" t="s">
        <v>2481</v>
      </c>
      <c r="I315" s="1065"/>
      <c r="J315" s="1065"/>
      <c r="K315" s="1065"/>
      <c r="L315" s="1065"/>
      <c r="M315" s="1065"/>
      <c r="N315" s="1065"/>
      <c r="O315" s="1065"/>
      <c r="P315" s="1065"/>
      <c r="Q315" s="1065"/>
      <c r="R315" s="1065"/>
      <c r="S315"/>
      <c r="T315" s="41" t="s">
        <v>698</v>
      </c>
      <c r="U315"/>
      <c r="V315" s="41"/>
      <c r="W315" s="41"/>
      <c r="X315" s="41"/>
      <c r="Y315" s="41"/>
      <c r="Z315"/>
      <c r="AA315" s="1065"/>
      <c r="AB315" s="1065"/>
      <c r="AC315" s="1065"/>
      <c r="AD315" s="1065"/>
      <c r="AE315" s="1065"/>
      <c r="AF315" s="1065"/>
      <c r="AG315" s="1065"/>
      <c r="AH315" s="1065"/>
      <c r="AI315" s="1065"/>
      <c r="AJ315" s="1065"/>
      <c r="AK315" s="1065"/>
      <c r="AL315" s="10"/>
      <c r="AN315" s="279"/>
    </row>
    <row r="316" spans="2:40" s="4" customFormat="1" ht="12.75" customHeight="1">
      <c r="B316" s="41" t="s">
        <v>98</v>
      </c>
      <c r="C316" s="41"/>
      <c r="D316" s="41"/>
      <c r="E316" s="41"/>
      <c r="F316" s="41"/>
      <c r="G316"/>
      <c r="H316" s="1065" t="s">
        <v>2470</v>
      </c>
      <c r="I316" s="1065"/>
      <c r="J316" s="1065"/>
      <c r="K316" s="1065"/>
      <c r="L316" s="1065"/>
      <c r="M316" s="1065"/>
      <c r="N316" s="1065"/>
      <c r="O316" s="1065"/>
      <c r="P316" s="1065"/>
      <c r="Q316" s="1065"/>
      <c r="R316" s="1065"/>
      <c r="S316"/>
      <c r="T316" s="41" t="s">
        <v>98</v>
      </c>
      <c r="U316"/>
      <c r="V316" s="41"/>
      <c r="W316" s="41"/>
      <c r="X316" s="41"/>
      <c r="Y316" s="41"/>
      <c r="Z316"/>
      <c r="AA316" s="1065"/>
      <c r="AB316" s="1065"/>
      <c r="AC316" s="1065"/>
      <c r="AD316" s="1065"/>
      <c r="AE316" s="1065"/>
      <c r="AF316" s="1065"/>
      <c r="AG316" s="1065"/>
      <c r="AH316" s="1065"/>
      <c r="AI316" s="1065"/>
      <c r="AJ316" s="1065"/>
      <c r="AK316" s="1065"/>
      <c r="AL316" s="10"/>
      <c r="AN316" s="279"/>
    </row>
    <row r="317" spans="2:40" s="4" customFormat="1" ht="12.75" customHeight="1">
      <c r="B317" s="41" t="s">
        <v>373</v>
      </c>
      <c r="C317" s="41"/>
      <c r="D317" s="41"/>
      <c r="E317" s="41"/>
      <c r="F317" s="41"/>
      <c r="G317"/>
      <c r="H317" s="1065" t="s">
        <v>2482</v>
      </c>
      <c r="I317" s="1065"/>
      <c r="J317" s="1065"/>
      <c r="K317" s="1065"/>
      <c r="L317" s="1065"/>
      <c r="M317" s="1065"/>
      <c r="N317" s="1065"/>
      <c r="O317" s="1065"/>
      <c r="P317" s="1065"/>
      <c r="Q317" s="1065"/>
      <c r="R317" s="1065"/>
      <c r="S317"/>
      <c r="T317" s="41" t="s">
        <v>373</v>
      </c>
      <c r="U317"/>
      <c r="V317" s="41"/>
      <c r="W317" s="41"/>
      <c r="X317" s="41"/>
      <c r="Y317" s="41"/>
      <c r="Z317"/>
      <c r="AA317" s="1065"/>
      <c r="AB317" s="1065"/>
      <c r="AC317" s="1065"/>
      <c r="AD317" s="1065"/>
      <c r="AE317" s="1065"/>
      <c r="AF317" s="1065"/>
      <c r="AG317" s="1065"/>
      <c r="AH317" s="1065"/>
      <c r="AI317" s="1065"/>
      <c r="AJ317" s="1065"/>
      <c r="AK317" s="1065"/>
      <c r="AL317" s="10"/>
      <c r="AN317" s="279"/>
    </row>
    <row r="318" spans="2:40" s="4" customFormat="1" ht="12.75" customHeight="1">
      <c r="B318" s="41" t="s">
        <v>374</v>
      </c>
      <c r="C318" s="41"/>
      <c r="D318" s="41"/>
      <c r="E318" s="41"/>
      <c r="F318" s="41"/>
      <c r="G318" s="41"/>
      <c r="H318" s="1095" t="s">
        <v>2484</v>
      </c>
      <c r="I318" s="1095"/>
      <c r="J318" s="1095"/>
      <c r="K318" s="1095"/>
      <c r="L318" s="1095"/>
      <c r="M318" s="1095"/>
      <c r="N318" s="5" t="s">
        <v>817</v>
      </c>
      <c r="O318" s="5"/>
      <c r="P318" s="1093"/>
      <c r="Q318" s="1093"/>
      <c r="R318" s="1093"/>
      <c r="S318" s="41"/>
      <c r="T318" s="41" t="s">
        <v>374</v>
      </c>
      <c r="U318"/>
      <c r="V318" s="41"/>
      <c r="W318" s="41"/>
      <c r="X318" s="41"/>
      <c r="Y318" s="41"/>
      <c r="Z318"/>
      <c r="AA318" s="1095"/>
      <c r="AB318" s="1095"/>
      <c r="AC318" s="1095"/>
      <c r="AD318" s="1095"/>
      <c r="AE318" s="1095"/>
      <c r="AF318" s="1095"/>
      <c r="AG318" s="5" t="s">
        <v>817</v>
      </c>
      <c r="AH318" s="5"/>
      <c r="AI318" s="1093"/>
      <c r="AJ318" s="1093"/>
      <c r="AK318" s="1093"/>
      <c r="AL318" s="10"/>
      <c r="AN318" s="279"/>
    </row>
    <row r="319" spans="2:40" s="4" customFormat="1" ht="12.75" customHeight="1">
      <c r="B319" s="41" t="s">
        <v>87</v>
      </c>
      <c r="C319" s="41"/>
      <c r="D319" s="41"/>
      <c r="E319" s="41"/>
      <c r="F319" s="41"/>
      <c r="G319" s="41"/>
      <c r="H319" s="1065" t="s">
        <v>94</v>
      </c>
      <c r="I319" s="1065"/>
      <c r="J319" s="1065"/>
      <c r="K319" s="1065"/>
      <c r="L319" s="1065"/>
      <c r="M319" s="1065"/>
      <c r="N319" s="1065"/>
      <c r="O319" s="1065"/>
      <c r="P319" s="1065"/>
      <c r="Q319" s="1065"/>
      <c r="R319" s="1065"/>
      <c r="S319" s="41"/>
      <c r="T319" s="41" t="s">
        <v>87</v>
      </c>
      <c r="U319"/>
      <c r="V319" s="41"/>
      <c r="W319" s="41"/>
      <c r="X319" s="41"/>
      <c r="Y319" s="41"/>
      <c r="Z319"/>
      <c r="AA319" s="1065"/>
      <c r="AB319" s="1065"/>
      <c r="AC319" s="1065"/>
      <c r="AD319" s="1065"/>
      <c r="AE319" s="1065"/>
      <c r="AF319" s="1065"/>
      <c r="AG319" s="1065"/>
      <c r="AH319" s="1065"/>
      <c r="AI319" s="1065"/>
      <c r="AJ319" s="1065"/>
      <c r="AK319" s="1065"/>
      <c r="AL319" s="10"/>
      <c r="AN319" s="279"/>
    </row>
    <row r="320" spans="2:40" s="4" customFormat="1" ht="12.75" customHeight="1">
      <c r="B320" s="41" t="s">
        <v>89</v>
      </c>
      <c r="C320" s="41"/>
      <c r="D320" s="41"/>
      <c r="E320" s="41"/>
      <c r="F320" s="41"/>
      <c r="G320" s="41"/>
      <c r="H320" s="1065" t="s">
        <v>2483</v>
      </c>
      <c r="I320" s="1065"/>
      <c r="J320" s="1065"/>
      <c r="K320" s="1065"/>
      <c r="L320" s="1065"/>
      <c r="M320" s="1065"/>
      <c r="N320" s="1065"/>
      <c r="O320" s="1065"/>
      <c r="P320" s="1065"/>
      <c r="Q320" s="1065"/>
      <c r="R320" s="1065"/>
      <c r="S320" s="41"/>
      <c r="T320" s="41" t="s">
        <v>89</v>
      </c>
      <c r="U320"/>
      <c r="V320" s="41"/>
      <c r="W320" s="41"/>
      <c r="X320" s="41"/>
      <c r="Y320" s="41"/>
      <c r="Z320"/>
      <c r="AA320" s="1065"/>
      <c r="AB320" s="1065"/>
      <c r="AC320" s="1065"/>
      <c r="AD320" s="1065"/>
      <c r="AE320" s="1065"/>
      <c r="AF320" s="1065"/>
      <c r="AG320" s="1065"/>
      <c r="AH320" s="1065"/>
      <c r="AI320" s="1065"/>
      <c r="AJ320" s="1065"/>
      <c r="AK320" s="1065"/>
      <c r="AL320" s="10"/>
      <c r="AN320" s="279"/>
    </row>
    <row r="321" spans="1:76" s="4" customFormat="1" ht="12.75" customHeight="1">
      <c r="B321" s="41" t="s">
        <v>100</v>
      </c>
      <c r="C321" s="41"/>
      <c r="D321" s="41"/>
      <c r="E321" s="41"/>
      <c r="F321" s="41"/>
      <c r="G321" s="41"/>
      <c r="H321" s="1706">
        <v>0.9</v>
      </c>
      <c r="I321" s="1706"/>
      <c r="J321" s="1706"/>
      <c r="K321" s="1706"/>
      <c r="L321" s="1706"/>
      <c r="M321" s="1706"/>
      <c r="N321" s="1706"/>
      <c r="O321" s="1706"/>
      <c r="P321" s="1706"/>
      <c r="Q321" s="1706"/>
      <c r="R321" s="1706"/>
      <c r="S321" s="41"/>
      <c r="T321" s="41" t="s">
        <v>100</v>
      </c>
      <c r="U321" s="41"/>
      <c r="V321" s="41"/>
      <c r="W321" s="41"/>
      <c r="X321" s="41"/>
      <c r="Y321" s="41"/>
      <c r="Z321" s="12"/>
      <c r="AA321" s="1706"/>
      <c r="AB321" s="1706"/>
      <c r="AC321" s="1706"/>
      <c r="AD321" s="1706"/>
      <c r="AE321" s="1706"/>
      <c r="AF321" s="1706"/>
      <c r="AG321" s="1706"/>
      <c r="AH321" s="1706"/>
      <c r="AI321" s="1706"/>
      <c r="AJ321" s="1706"/>
      <c r="AK321" s="170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6" t="s">
        <v>2485</v>
      </c>
      <c r="I323" s="1066"/>
      <c r="J323" s="1066"/>
      <c r="K323" s="1066"/>
      <c r="L323" s="1066"/>
      <c r="M323" s="1066"/>
      <c r="N323" s="1066"/>
      <c r="O323" s="1066"/>
      <c r="P323" s="1066"/>
      <c r="Q323" s="1066"/>
      <c r="R323" s="1066"/>
      <c r="S323"/>
      <c r="T323" s="41" t="s">
        <v>88</v>
      </c>
      <c r="U323"/>
      <c r="V323" s="41"/>
      <c r="W323" s="41"/>
      <c r="X323" s="41"/>
      <c r="Y323" s="41"/>
      <c r="Z323"/>
      <c r="AA323" s="1066"/>
      <c r="AB323" s="1066"/>
      <c r="AC323" s="1066"/>
      <c r="AD323" s="1066"/>
      <c r="AE323" s="1066"/>
      <c r="AF323" s="1066"/>
      <c r="AG323" s="1066"/>
      <c r="AH323" s="1066"/>
      <c r="AI323" s="1066"/>
      <c r="AJ323" s="1066"/>
      <c r="AK323" s="1066"/>
      <c r="AL323" s="41"/>
      <c r="AN323" s="279"/>
    </row>
    <row r="324" spans="1:76" s="4" customFormat="1" ht="12.75" customHeight="1">
      <c r="B324" s="41" t="s">
        <v>698</v>
      </c>
      <c r="C324" s="41"/>
      <c r="D324" s="41"/>
      <c r="E324" s="41"/>
      <c r="F324" s="41"/>
      <c r="G324"/>
      <c r="H324" s="1065" t="s">
        <v>2486</v>
      </c>
      <c r="I324" s="1065"/>
      <c r="J324" s="1065"/>
      <c r="K324" s="1065"/>
      <c r="L324" s="1065"/>
      <c r="M324" s="1065"/>
      <c r="N324" s="1065"/>
      <c r="O324" s="1065"/>
      <c r="P324" s="1065"/>
      <c r="Q324" s="1065"/>
      <c r="R324" s="1065"/>
      <c r="S324"/>
      <c r="T324" s="41" t="s">
        <v>698</v>
      </c>
      <c r="U324"/>
      <c r="V324" s="41"/>
      <c r="W324" s="41"/>
      <c r="X324" s="41"/>
      <c r="Y324" s="41"/>
      <c r="Z324"/>
      <c r="AA324" s="1065"/>
      <c r="AB324" s="1065"/>
      <c r="AC324" s="1065"/>
      <c r="AD324" s="1065"/>
      <c r="AE324" s="1065"/>
      <c r="AF324" s="1065"/>
      <c r="AG324" s="1065"/>
      <c r="AH324" s="1065"/>
      <c r="AI324" s="1065"/>
      <c r="AJ324" s="1065"/>
      <c r="AK324" s="1065"/>
      <c r="AL324" s="41"/>
      <c r="AN324" s="279"/>
    </row>
    <row r="325" spans="1:76" s="4" customFormat="1" ht="18" customHeight="1">
      <c r="B325" s="41" t="s">
        <v>98</v>
      </c>
      <c r="C325" s="41"/>
      <c r="D325" s="41"/>
      <c r="E325" s="41"/>
      <c r="F325" s="41"/>
      <c r="G325"/>
      <c r="H325" s="1065" t="s">
        <v>2463</v>
      </c>
      <c r="I325" s="1065"/>
      <c r="J325" s="1065"/>
      <c r="K325" s="1065"/>
      <c r="L325" s="1065"/>
      <c r="M325" s="1065"/>
      <c r="N325" s="1065"/>
      <c r="O325" s="1065"/>
      <c r="P325" s="1065"/>
      <c r="Q325" s="1065"/>
      <c r="R325" s="1065"/>
      <c r="S325"/>
      <c r="T325" s="41" t="s">
        <v>98</v>
      </c>
      <c r="U325"/>
      <c r="V325" s="41"/>
      <c r="W325" s="41"/>
      <c r="X325" s="41"/>
      <c r="Y325" s="41"/>
      <c r="Z325"/>
      <c r="AA325" s="1065"/>
      <c r="AB325" s="1065"/>
      <c r="AC325" s="1065"/>
      <c r="AD325" s="1065"/>
      <c r="AE325" s="1065"/>
      <c r="AF325" s="1065"/>
      <c r="AG325" s="1065"/>
      <c r="AH325" s="1065"/>
      <c r="AI325" s="1065"/>
      <c r="AJ325" s="1065"/>
      <c r="AK325" s="1065"/>
      <c r="AL325" s="41"/>
      <c r="AN325" s="279"/>
    </row>
    <row r="326" spans="1:76" s="4" customFormat="1" ht="12.75" customHeight="1">
      <c r="B326" s="41" t="s">
        <v>373</v>
      </c>
      <c r="C326" s="41"/>
      <c r="D326" s="41"/>
      <c r="E326" s="41"/>
      <c r="F326" s="41"/>
      <c r="G326"/>
      <c r="H326" s="1065" t="s">
        <v>2482</v>
      </c>
      <c r="I326" s="1065"/>
      <c r="J326" s="1065"/>
      <c r="K326" s="1065"/>
      <c r="L326" s="1065"/>
      <c r="M326" s="1065"/>
      <c r="N326" s="1065"/>
      <c r="O326" s="1065"/>
      <c r="P326" s="1065"/>
      <c r="Q326" s="1065"/>
      <c r="R326" s="1065"/>
      <c r="S326"/>
      <c r="T326" s="41" t="s">
        <v>373</v>
      </c>
      <c r="U326"/>
      <c r="V326" s="41"/>
      <c r="W326" s="41"/>
      <c r="X326" s="41"/>
      <c r="Y326" s="41"/>
      <c r="Z326"/>
      <c r="AA326" s="1065"/>
      <c r="AB326" s="1065"/>
      <c r="AC326" s="1065"/>
      <c r="AD326" s="1065"/>
      <c r="AE326" s="1065"/>
      <c r="AF326" s="1065"/>
      <c r="AG326" s="1065"/>
      <c r="AH326" s="1065"/>
      <c r="AI326" s="1065"/>
      <c r="AJ326" s="1065"/>
      <c r="AK326" s="1065"/>
      <c r="AL326" s="41"/>
      <c r="AN326" s="279"/>
    </row>
    <row r="327" spans="1:76" s="4" customFormat="1" ht="12.75" customHeight="1">
      <c r="B327" s="41" t="s">
        <v>374</v>
      </c>
      <c r="C327" s="41"/>
      <c r="D327" s="41"/>
      <c r="E327" s="41"/>
      <c r="F327" s="41"/>
      <c r="G327" s="41"/>
      <c r="H327" s="1095" t="s">
        <v>2488</v>
      </c>
      <c r="I327" s="1095"/>
      <c r="J327" s="1095"/>
      <c r="K327" s="1095"/>
      <c r="L327" s="1095"/>
      <c r="M327" s="1095"/>
      <c r="N327" s="5" t="s">
        <v>817</v>
      </c>
      <c r="O327" s="5"/>
      <c r="P327" s="1093"/>
      <c r="Q327" s="1093"/>
      <c r="R327" s="1093"/>
      <c r="S327" s="41"/>
      <c r="T327" s="41" t="s">
        <v>374</v>
      </c>
      <c r="U327"/>
      <c r="V327" s="41"/>
      <c r="W327" s="41"/>
      <c r="X327" s="41"/>
      <c r="Y327" s="41"/>
      <c r="Z327"/>
      <c r="AA327" s="1095"/>
      <c r="AB327" s="1095"/>
      <c r="AC327" s="1095"/>
      <c r="AD327" s="1095"/>
      <c r="AE327" s="1095"/>
      <c r="AF327" s="1095"/>
      <c r="AG327" s="5" t="s">
        <v>817</v>
      </c>
      <c r="AH327" s="5"/>
      <c r="AI327" s="1093"/>
      <c r="AJ327" s="1093"/>
      <c r="AK327" s="1093"/>
      <c r="AL327" s="41"/>
      <c r="AN327" s="279"/>
    </row>
    <row r="328" spans="1:76" s="4" customFormat="1" ht="12.75" customHeight="1">
      <c r="B328" s="41" t="s">
        <v>87</v>
      </c>
      <c r="C328" s="41"/>
      <c r="D328" s="41"/>
      <c r="E328" s="41"/>
      <c r="F328" s="41"/>
      <c r="G328" s="41"/>
      <c r="H328" s="1065" t="s">
        <v>95</v>
      </c>
      <c r="I328" s="1065"/>
      <c r="J328" s="1065"/>
      <c r="K328" s="1065"/>
      <c r="L328" s="1065"/>
      <c r="M328" s="1065"/>
      <c r="N328" s="1065"/>
      <c r="O328" s="1065"/>
      <c r="P328" s="1065"/>
      <c r="Q328" s="1065"/>
      <c r="R328" s="1065"/>
      <c r="S328" s="41"/>
      <c r="T328" s="41" t="s">
        <v>87</v>
      </c>
      <c r="U328"/>
      <c r="V328" s="41"/>
      <c r="W328" s="41"/>
      <c r="X328" s="41"/>
      <c r="Y328" s="41"/>
      <c r="Z328"/>
      <c r="AA328" s="1065"/>
      <c r="AB328" s="1065"/>
      <c r="AC328" s="1065"/>
      <c r="AD328" s="1065"/>
      <c r="AE328" s="1065"/>
      <c r="AF328" s="1065"/>
      <c r="AG328" s="1065"/>
      <c r="AH328" s="1065"/>
      <c r="AI328" s="1065"/>
      <c r="AJ328" s="1065"/>
      <c r="AK328" s="1065"/>
      <c r="AL328" s="41"/>
      <c r="AN328" s="279"/>
    </row>
    <row r="329" spans="1:76" s="4" customFormat="1" ht="12.75" customHeight="1">
      <c r="B329" s="41" t="s">
        <v>89</v>
      </c>
      <c r="C329" s="41"/>
      <c r="D329" s="41"/>
      <c r="E329" s="41"/>
      <c r="F329" s="41"/>
      <c r="G329" s="41"/>
      <c r="H329" s="1065" t="s">
        <v>123</v>
      </c>
      <c r="I329" s="1065"/>
      <c r="J329" s="1065"/>
      <c r="K329" s="1065"/>
      <c r="L329" s="1065"/>
      <c r="M329" s="1065"/>
      <c r="N329" s="1065"/>
      <c r="O329" s="1065"/>
      <c r="P329" s="1065"/>
      <c r="Q329" s="1065"/>
      <c r="R329" s="1065"/>
      <c r="S329" s="41"/>
      <c r="T329" s="41" t="s">
        <v>89</v>
      </c>
      <c r="U329"/>
      <c r="V329" s="41"/>
      <c r="W329" s="41"/>
      <c r="X329" s="41"/>
      <c r="Y329" s="41"/>
      <c r="Z329"/>
      <c r="AA329" s="1065"/>
      <c r="AB329" s="1065"/>
      <c r="AC329" s="1065"/>
      <c r="AD329" s="1065"/>
      <c r="AE329" s="1065"/>
      <c r="AF329" s="1065"/>
      <c r="AG329" s="1065"/>
      <c r="AH329" s="1065"/>
      <c r="AI329" s="1065"/>
      <c r="AJ329" s="1065"/>
      <c r="AK329" s="1065"/>
      <c r="AL329" s="41"/>
      <c r="AN329" s="279"/>
    </row>
    <row r="330" spans="1:76" s="4" customFormat="1" ht="12.75" customHeight="1">
      <c r="B330" s="41" t="s">
        <v>100</v>
      </c>
      <c r="C330" s="41"/>
      <c r="D330" s="41"/>
      <c r="E330" s="41"/>
      <c r="F330" s="41"/>
      <c r="G330" s="41"/>
      <c r="H330" s="1706" t="s">
        <v>2487</v>
      </c>
      <c r="I330" s="1706"/>
      <c r="J330" s="1706"/>
      <c r="K330" s="1706"/>
      <c r="L330" s="1706"/>
      <c r="M330" s="1706"/>
      <c r="N330" s="1706"/>
      <c r="O330" s="1706"/>
      <c r="P330" s="1706"/>
      <c r="Q330" s="1706"/>
      <c r="R330" s="1706"/>
      <c r="S330" s="41"/>
      <c r="T330" s="41" t="s">
        <v>100</v>
      </c>
      <c r="U330" s="41"/>
      <c r="V330" s="41"/>
      <c r="W330" s="41"/>
      <c r="X330" s="41"/>
      <c r="Y330" s="41"/>
      <c r="Z330" s="12"/>
      <c r="AA330" s="1706"/>
      <c r="AB330" s="1706"/>
      <c r="AC330" s="1706"/>
      <c r="AD330" s="1706"/>
      <c r="AE330" s="1706"/>
      <c r="AF330" s="1706"/>
      <c r="AG330" s="1706"/>
      <c r="AH330" s="1706"/>
      <c r="AI330" s="1706"/>
      <c r="AJ330" s="1706"/>
      <c r="AK330" s="170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99" t="s">
        <v>363</v>
      </c>
      <c r="AF333" s="1799"/>
      <c r="AG333" s="1799"/>
      <c r="AH333" s="1799"/>
      <c r="AI333" s="1799"/>
      <c r="AJ333" s="1799"/>
      <c r="AK333" s="1799"/>
      <c r="AL333" s="3"/>
      <c r="AM333" s="823"/>
      <c r="AN333" s="3"/>
    </row>
    <row r="334" spans="1:76" s="4" customFormat="1" ht="12.75" customHeight="1">
      <c r="A334" s="3"/>
      <c r="B334" s="5"/>
      <c r="C334" s="1700" t="s">
        <v>1826</v>
      </c>
      <c r="D334" s="1700"/>
      <c r="E334" s="1700"/>
      <c r="F334" s="1700"/>
      <c r="G334" s="1700"/>
      <c r="H334" s="1700"/>
      <c r="I334" s="1700"/>
      <c r="J334" s="1700"/>
      <c r="K334" s="1700"/>
      <c r="L334" s="1700"/>
      <c r="M334" s="1700"/>
      <c r="N334" s="1700"/>
      <c r="O334" s="1700"/>
      <c r="P334" s="1700"/>
      <c r="Q334" s="1700"/>
      <c r="R334" s="1700"/>
      <c r="S334" s="1700"/>
      <c r="T334" s="1700"/>
      <c r="U334" s="1700"/>
      <c r="V334" s="1700"/>
      <c r="W334" s="1700"/>
      <c r="X334" s="1700"/>
      <c r="Y334" s="1700"/>
      <c r="Z334" s="1700"/>
      <c r="AA334" s="1700"/>
      <c r="AB334" s="1700"/>
      <c r="AC334" s="1700"/>
      <c r="AD334" s="1700"/>
      <c r="AE334" s="1700"/>
      <c r="AF334" s="1700"/>
      <c r="AG334" s="1700"/>
      <c r="AH334" s="1700"/>
      <c r="AI334" s="1700"/>
      <c r="AJ334" s="1700"/>
      <c r="AM334" s="824"/>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0"/>
      <c r="D335" s="1700"/>
      <c r="E335" s="1700"/>
      <c r="F335" s="1700"/>
      <c r="G335" s="1700"/>
      <c r="H335" s="1700"/>
      <c r="I335" s="1700"/>
      <c r="J335" s="1700"/>
      <c r="K335" s="1700"/>
      <c r="L335" s="1700"/>
      <c r="M335" s="1700"/>
      <c r="N335" s="1700"/>
      <c r="O335" s="1700"/>
      <c r="P335" s="1700"/>
      <c r="Q335" s="1700"/>
      <c r="R335" s="1700"/>
      <c r="S335" s="1700"/>
      <c r="T335" s="1700"/>
      <c r="U335" s="1700"/>
      <c r="V335" s="1700"/>
      <c r="W335" s="1700"/>
      <c r="X335" s="1700"/>
      <c r="Y335" s="1700"/>
      <c r="Z335" s="1700"/>
      <c r="AA335" s="1700"/>
      <c r="AB335" s="1700"/>
      <c r="AC335" s="1700"/>
      <c r="AD335" s="1700"/>
      <c r="AE335" s="1700"/>
      <c r="AF335" s="1700"/>
      <c r="AG335" s="1700"/>
      <c r="AH335" s="1700"/>
      <c r="AI335" s="1700"/>
      <c r="AJ335" s="170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0"/>
      <c r="D336" s="1700"/>
      <c r="E336" s="1700"/>
      <c r="F336" s="1700"/>
      <c r="G336" s="1700"/>
      <c r="H336" s="1700"/>
      <c r="I336" s="1700"/>
      <c r="J336" s="1700"/>
      <c r="K336" s="1700"/>
      <c r="L336" s="1700"/>
      <c r="M336" s="1700"/>
      <c r="N336" s="1700"/>
      <c r="O336" s="1700"/>
      <c r="P336" s="1700"/>
      <c r="Q336" s="1700"/>
      <c r="R336" s="1700"/>
      <c r="S336" s="1700"/>
      <c r="T336" s="1700"/>
      <c r="U336" s="1700"/>
      <c r="V336" s="1700"/>
      <c r="W336" s="1700"/>
      <c r="X336" s="1700"/>
      <c r="Y336" s="1700"/>
      <c r="Z336" s="1700"/>
      <c r="AA336" s="1700"/>
      <c r="AB336" s="1700"/>
      <c r="AC336" s="1700"/>
      <c r="AD336" s="1700"/>
      <c r="AE336" s="1700"/>
      <c r="AF336" s="1700"/>
      <c r="AG336" s="1700"/>
      <c r="AH336" s="1700"/>
      <c r="AI336" s="1700"/>
      <c r="AJ336" s="170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0"/>
      <c r="D337" s="1700"/>
      <c r="E337" s="1700"/>
      <c r="F337" s="1700"/>
      <c r="G337" s="1700"/>
      <c r="H337" s="1700"/>
      <c r="I337" s="1700"/>
      <c r="J337" s="1700"/>
      <c r="K337" s="1700"/>
      <c r="L337" s="1700"/>
      <c r="M337" s="1700"/>
      <c r="N337" s="1700"/>
      <c r="O337" s="1700"/>
      <c r="P337" s="1700"/>
      <c r="Q337" s="1700"/>
      <c r="R337" s="1700"/>
      <c r="S337" s="1700"/>
      <c r="T337" s="1700"/>
      <c r="U337" s="1700"/>
      <c r="V337" s="1700"/>
      <c r="W337" s="1700"/>
      <c r="X337" s="1700"/>
      <c r="Y337" s="1700"/>
      <c r="Z337" s="1700"/>
      <c r="AA337" s="1700"/>
      <c r="AB337" s="1700"/>
      <c r="AC337" s="1700"/>
      <c r="AD337" s="1700"/>
      <c r="AE337" s="1700"/>
      <c r="AF337" s="1700"/>
      <c r="AG337" s="1700"/>
      <c r="AH337" s="1700"/>
      <c r="AI337" s="1700"/>
      <c r="AJ337" s="170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0"/>
      <c r="D338" s="1700"/>
      <c r="E338" s="1700"/>
      <c r="F338" s="1700"/>
      <c r="G338" s="1700"/>
      <c r="H338" s="1700"/>
      <c r="I338" s="1700"/>
      <c r="J338" s="1700"/>
      <c r="K338" s="1700"/>
      <c r="L338" s="1700"/>
      <c r="M338" s="1700"/>
      <c r="N338" s="1700"/>
      <c r="O338" s="1700"/>
      <c r="P338" s="1700"/>
      <c r="Q338" s="1700"/>
      <c r="R338" s="1700"/>
      <c r="S338" s="1700"/>
      <c r="T338" s="1700"/>
      <c r="U338" s="1700"/>
      <c r="V338" s="1700"/>
      <c r="W338" s="1700"/>
      <c r="X338" s="1700"/>
      <c r="Y338" s="1700"/>
      <c r="Z338" s="1700"/>
      <c r="AA338" s="1700"/>
      <c r="AB338" s="1700"/>
      <c r="AC338" s="1700"/>
      <c r="AD338" s="1700"/>
      <c r="AE338" s="1700"/>
      <c r="AF338" s="1700"/>
      <c r="AG338" s="1700"/>
      <c r="AH338" s="1700"/>
      <c r="AI338" s="1700"/>
      <c r="AJ338" s="170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0"/>
      <c r="D339" s="1700"/>
      <c r="E339" s="1700"/>
      <c r="F339" s="1700"/>
      <c r="G339" s="1700"/>
      <c r="H339" s="1700"/>
      <c r="I339" s="1700"/>
      <c r="J339" s="1700"/>
      <c r="K339" s="1700"/>
      <c r="L339" s="1700"/>
      <c r="M339" s="1700"/>
      <c r="N339" s="1700"/>
      <c r="O339" s="1700"/>
      <c r="P339" s="1700"/>
      <c r="Q339" s="1700"/>
      <c r="R339" s="1700"/>
      <c r="S339" s="1700"/>
      <c r="T339" s="1700"/>
      <c r="U339" s="1700"/>
      <c r="V339" s="1700"/>
      <c r="W339" s="1700"/>
      <c r="X339" s="1700"/>
      <c r="Y339" s="1700"/>
      <c r="Z339" s="1700"/>
      <c r="AA339" s="1700"/>
      <c r="AB339" s="1700"/>
      <c r="AC339" s="1700"/>
      <c r="AD339" s="1700"/>
      <c r="AE339" s="1700"/>
      <c r="AF339" s="1700"/>
      <c r="AG339" s="1700"/>
      <c r="AH339" s="1700"/>
      <c r="AI339" s="1700"/>
      <c r="AJ339" s="170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700"/>
      <c r="D340" s="1700"/>
      <c r="E340" s="1700"/>
      <c r="F340" s="1700"/>
      <c r="G340" s="1700"/>
      <c r="H340" s="1700"/>
      <c r="I340" s="1700"/>
      <c r="J340" s="1700"/>
      <c r="K340" s="1700"/>
      <c r="L340" s="1700"/>
      <c r="M340" s="1700"/>
      <c r="N340" s="1700"/>
      <c r="O340" s="1700"/>
      <c r="P340" s="1700"/>
      <c r="Q340" s="1700"/>
      <c r="R340" s="1700"/>
      <c r="S340" s="1700"/>
      <c r="T340" s="1700"/>
      <c r="U340" s="1700"/>
      <c r="V340" s="1700"/>
      <c r="W340" s="1700"/>
      <c r="X340" s="1700"/>
      <c r="Y340" s="1700"/>
      <c r="Z340" s="1700"/>
      <c r="AA340" s="1700"/>
      <c r="AB340" s="1700"/>
      <c r="AC340" s="1700"/>
      <c r="AD340" s="1700"/>
      <c r="AE340" s="1700"/>
      <c r="AF340" s="1700"/>
      <c r="AG340" s="1700"/>
      <c r="AH340" s="1700"/>
      <c r="AI340" s="1700"/>
      <c r="AJ340" s="170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700"/>
      <c r="D341" s="1700"/>
      <c r="E341" s="1700"/>
      <c r="F341" s="1700"/>
      <c r="G341" s="1700"/>
      <c r="H341" s="1700"/>
      <c r="I341" s="1700"/>
      <c r="J341" s="1700"/>
      <c r="K341" s="1700"/>
      <c r="L341" s="1700"/>
      <c r="M341" s="1700"/>
      <c r="N341" s="1700"/>
      <c r="O341" s="1700"/>
      <c r="P341" s="1700"/>
      <c r="Q341" s="1700"/>
      <c r="R341" s="1700"/>
      <c r="S341" s="1700"/>
      <c r="T341" s="1700"/>
      <c r="U341" s="1700"/>
      <c r="V341" s="1700"/>
      <c r="W341" s="1700"/>
      <c r="X341" s="1700"/>
      <c r="Y341" s="1700"/>
      <c r="Z341" s="1700"/>
      <c r="AA341" s="1700"/>
      <c r="AB341" s="1700"/>
      <c r="AC341" s="1700"/>
      <c r="AD341" s="1700"/>
      <c r="AE341" s="1700"/>
      <c r="AF341" s="1700"/>
      <c r="AG341" s="1700"/>
      <c r="AH341" s="1700"/>
      <c r="AI341" s="1700"/>
      <c r="AJ341" s="1700"/>
      <c r="AK341" s="27"/>
      <c r="AL341" s="27"/>
      <c r="AM341" s="27"/>
      <c r="AN341" s="279"/>
      <c r="AO341" s="183"/>
    </row>
    <row r="342" spans="1:76" s="4" customFormat="1" ht="12.75" customHeight="1">
      <c r="A342" s="27"/>
      <c r="B342" s="26"/>
      <c r="C342" s="1700" t="s">
        <v>1827</v>
      </c>
      <c r="D342" s="1700"/>
      <c r="E342" s="1700"/>
      <c r="F342" s="1700"/>
      <c r="G342" s="1700"/>
      <c r="H342" s="1700"/>
      <c r="I342" s="1700"/>
      <c r="J342" s="1700"/>
      <c r="K342" s="1700"/>
      <c r="L342" s="1700"/>
      <c r="M342" s="1700"/>
      <c r="N342" s="1700"/>
      <c r="O342" s="1700"/>
      <c r="P342" s="1700"/>
      <c r="Q342" s="1700"/>
      <c r="R342" s="1700"/>
      <c r="S342" s="1700"/>
      <c r="T342" s="1700"/>
      <c r="U342" s="1700"/>
      <c r="V342" s="1700"/>
      <c r="W342" s="1700"/>
      <c r="X342" s="1700"/>
      <c r="Y342" s="1700"/>
      <c r="Z342" s="1700"/>
      <c r="AA342" s="1700"/>
      <c r="AB342" s="1700"/>
      <c r="AC342" s="1700"/>
      <c r="AD342" s="1700"/>
      <c r="AE342" s="1700"/>
      <c r="AF342" s="1700"/>
      <c r="AG342" s="1700"/>
      <c r="AH342" s="1700"/>
      <c r="AI342" s="1700"/>
      <c r="AJ342" s="1700"/>
      <c r="AK342" s="27"/>
      <c r="AL342" s="27"/>
      <c r="AM342" s="27"/>
      <c r="AN342" s="279"/>
    </row>
    <row r="343" spans="1:76" s="4" customFormat="1" ht="12.75" customHeight="1">
      <c r="A343" s="27"/>
      <c r="B343" s="26"/>
      <c r="C343" s="1700"/>
      <c r="D343" s="1700"/>
      <c r="E343" s="1700"/>
      <c r="F343" s="1700"/>
      <c r="G343" s="1700"/>
      <c r="H343" s="1700"/>
      <c r="I343" s="1700"/>
      <c r="J343" s="1700"/>
      <c r="K343" s="1700"/>
      <c r="L343" s="1700"/>
      <c r="M343" s="1700"/>
      <c r="N343" s="1700"/>
      <c r="O343" s="1700"/>
      <c r="P343" s="1700"/>
      <c r="Q343" s="1700"/>
      <c r="R343" s="1700"/>
      <c r="S343" s="1700"/>
      <c r="T343" s="1700"/>
      <c r="U343" s="1700"/>
      <c r="V343" s="1700"/>
      <c r="W343" s="1700"/>
      <c r="X343" s="1700"/>
      <c r="Y343" s="1700"/>
      <c r="Z343" s="1700"/>
      <c r="AA343" s="1700"/>
      <c r="AB343" s="1700"/>
      <c r="AC343" s="1700"/>
      <c r="AD343" s="1700"/>
      <c r="AE343" s="1700"/>
      <c r="AF343" s="1700"/>
      <c r="AG343" s="1700"/>
      <c r="AH343" s="1700"/>
      <c r="AI343" s="1700"/>
      <c r="AJ343" s="1700"/>
      <c r="AK343" s="27"/>
      <c r="AL343" s="27"/>
      <c r="AM343" s="27"/>
      <c r="AN343" s="279"/>
    </row>
    <row r="344" spans="1:76" s="4" customFormat="1" ht="12.75" customHeight="1">
      <c r="A344" s="27"/>
      <c r="B344" s="26"/>
      <c r="C344" s="1700"/>
      <c r="D344" s="1700"/>
      <c r="E344" s="1700"/>
      <c r="F344" s="1700"/>
      <c r="G344" s="1700"/>
      <c r="H344" s="1700"/>
      <c r="I344" s="1700"/>
      <c r="J344" s="1700"/>
      <c r="K344" s="1700"/>
      <c r="L344" s="1700"/>
      <c r="M344" s="1700"/>
      <c r="N344" s="1700"/>
      <c r="O344" s="1700"/>
      <c r="P344" s="1700"/>
      <c r="Q344" s="1700"/>
      <c r="R344" s="1700"/>
      <c r="S344" s="1700"/>
      <c r="T344" s="1700"/>
      <c r="U344" s="1700"/>
      <c r="V344" s="1700"/>
      <c r="W344" s="1700"/>
      <c r="X344" s="1700"/>
      <c r="Y344" s="1700"/>
      <c r="Z344" s="1700"/>
      <c r="AA344" s="1700"/>
      <c r="AB344" s="1700"/>
      <c r="AC344" s="1700"/>
      <c r="AD344" s="1700"/>
      <c r="AE344" s="1700"/>
      <c r="AF344" s="1700"/>
      <c r="AG344" s="1700"/>
      <c r="AH344" s="1700"/>
      <c r="AI344" s="1700"/>
      <c r="AJ344" s="1700"/>
      <c r="AK344" s="27"/>
      <c r="AL344" s="27"/>
      <c r="AM344" s="27"/>
      <c r="AN344" s="279"/>
      <c r="AQ344"/>
    </row>
    <row r="345" spans="1:76" s="4" customFormat="1" ht="12.75" customHeight="1">
      <c r="A345" s="27"/>
      <c r="B345" s="26"/>
      <c r="C345" s="1700"/>
      <c r="D345" s="1700"/>
      <c r="E345" s="1700"/>
      <c r="F345" s="1700"/>
      <c r="G345" s="1700"/>
      <c r="H345" s="1700"/>
      <c r="I345" s="1700"/>
      <c r="J345" s="1700"/>
      <c r="K345" s="1700"/>
      <c r="L345" s="1700"/>
      <c r="M345" s="1700"/>
      <c r="N345" s="1700"/>
      <c r="O345" s="1700"/>
      <c r="P345" s="1700"/>
      <c r="Q345" s="1700"/>
      <c r="R345" s="1700"/>
      <c r="S345" s="1700"/>
      <c r="T345" s="1700"/>
      <c r="U345" s="1700"/>
      <c r="V345" s="1700"/>
      <c r="W345" s="1700"/>
      <c r="X345" s="1700"/>
      <c r="Y345" s="1700"/>
      <c r="Z345" s="1700"/>
      <c r="AA345" s="1700"/>
      <c r="AB345" s="1700"/>
      <c r="AC345" s="1700"/>
      <c r="AD345" s="1700"/>
      <c r="AE345" s="1700"/>
      <c r="AF345" s="1700"/>
      <c r="AG345" s="1700"/>
      <c r="AH345" s="1700"/>
      <c r="AI345" s="1700"/>
      <c r="AJ345" s="1700"/>
      <c r="AK345" s="27"/>
      <c r="AL345" s="27"/>
      <c r="AM345" s="27"/>
      <c r="AN345" s="279"/>
      <c r="AQ345"/>
    </row>
    <row r="346" spans="1:76" s="4" customFormat="1" ht="12.45" customHeight="1">
      <c r="A346" s="27"/>
      <c r="B346" s="26"/>
      <c r="C346" s="1700"/>
      <c r="D346" s="1700"/>
      <c r="E346" s="1700"/>
      <c r="F346" s="1700"/>
      <c r="G346" s="1700"/>
      <c r="H346" s="1700"/>
      <c r="I346" s="1700"/>
      <c r="J346" s="1700"/>
      <c r="K346" s="1700"/>
      <c r="L346" s="1700"/>
      <c r="M346" s="1700"/>
      <c r="N346" s="1700"/>
      <c r="O346" s="1700"/>
      <c r="P346" s="1700"/>
      <c r="Q346" s="1700"/>
      <c r="R346" s="1700"/>
      <c r="S346" s="1700"/>
      <c r="T346" s="1700"/>
      <c r="U346" s="1700"/>
      <c r="V346" s="1700"/>
      <c r="W346" s="1700"/>
      <c r="X346" s="1700"/>
      <c r="Y346" s="1700"/>
      <c r="Z346" s="1700"/>
      <c r="AA346" s="1700"/>
      <c r="AB346" s="1700"/>
      <c r="AC346" s="1700"/>
      <c r="AD346" s="1700"/>
      <c r="AE346" s="1700"/>
      <c r="AF346" s="1700"/>
      <c r="AG346" s="1700"/>
      <c r="AH346" s="1700"/>
      <c r="AI346" s="1700"/>
      <c r="AJ346" s="1700"/>
      <c r="AK346" s="27"/>
      <c r="AL346" s="27"/>
      <c r="AM346" s="27"/>
      <c r="AN346" s="279"/>
      <c r="AQ346"/>
      <c r="AR346"/>
    </row>
    <row r="347" spans="1:76" s="4" customFormat="1" ht="12.75" customHeight="1">
      <c r="A347" s="27"/>
      <c r="B347" s="26"/>
      <c r="C347" s="1700" t="s">
        <v>2274</v>
      </c>
      <c r="D347" s="1700"/>
      <c r="E347" s="1700"/>
      <c r="F347" s="1700"/>
      <c r="G347" s="1700"/>
      <c r="H347" s="1700"/>
      <c r="I347" s="1700"/>
      <c r="J347" s="1700"/>
      <c r="K347" s="1700"/>
      <c r="L347" s="1700"/>
      <c r="M347" s="1700"/>
      <c r="N347" s="1700"/>
      <c r="O347" s="1700"/>
      <c r="P347" s="1700"/>
      <c r="Q347" s="1700"/>
      <c r="R347" s="1700"/>
      <c r="S347" s="1700"/>
      <c r="T347" s="1700"/>
      <c r="U347" s="1700"/>
      <c r="V347" s="1700"/>
      <c r="W347" s="1700"/>
      <c r="X347" s="1700"/>
      <c r="Y347" s="1700"/>
      <c r="Z347" s="1700"/>
      <c r="AA347" s="1700"/>
      <c r="AB347" s="1700"/>
      <c r="AC347" s="1700"/>
      <c r="AD347" s="1700"/>
      <c r="AE347" s="1700"/>
      <c r="AF347" s="1700"/>
      <c r="AG347" s="1700"/>
      <c r="AH347" s="1700"/>
      <c r="AI347" s="1700"/>
      <c r="AJ347" s="1700"/>
      <c r="AK347" s="27"/>
      <c r="AL347" s="27"/>
      <c r="AM347" s="27"/>
      <c r="AN347" s="279"/>
      <c r="AQ347"/>
      <c r="AR347"/>
    </row>
    <row r="348" spans="1:76" s="4" customFormat="1" ht="12.75" customHeight="1">
      <c r="A348" s="27"/>
      <c r="B348" s="26"/>
      <c r="C348" s="1700"/>
      <c r="D348" s="1700"/>
      <c r="E348" s="1700"/>
      <c r="F348" s="1700"/>
      <c r="G348" s="1700"/>
      <c r="H348" s="1700"/>
      <c r="I348" s="1700"/>
      <c r="J348" s="1700"/>
      <c r="K348" s="1700"/>
      <c r="L348" s="1700"/>
      <c r="M348" s="1700"/>
      <c r="N348" s="1700"/>
      <c r="O348" s="1700"/>
      <c r="P348" s="1700"/>
      <c r="Q348" s="1700"/>
      <c r="R348" s="1700"/>
      <c r="S348" s="1700"/>
      <c r="T348" s="1700"/>
      <c r="U348" s="1700"/>
      <c r="V348" s="1700"/>
      <c r="W348" s="1700"/>
      <c r="X348" s="1700"/>
      <c r="Y348" s="1700"/>
      <c r="Z348" s="1700"/>
      <c r="AA348" s="1700"/>
      <c r="AB348" s="1700"/>
      <c r="AC348" s="1700"/>
      <c r="AD348" s="1700"/>
      <c r="AE348" s="1700"/>
      <c r="AF348" s="1700"/>
      <c r="AG348" s="1700"/>
      <c r="AH348" s="1700"/>
      <c r="AI348" s="1700"/>
      <c r="AJ348" s="1700"/>
      <c r="AK348" s="27"/>
      <c r="AL348" s="27"/>
      <c r="AM348" s="27"/>
      <c r="AN348" s="279"/>
      <c r="AR348"/>
    </row>
    <row r="349" spans="1:76" s="4" customFormat="1" ht="12.75" customHeight="1">
      <c r="A349" s="27"/>
      <c r="B349" s="26"/>
      <c r="C349" s="1700"/>
      <c r="D349" s="1700"/>
      <c r="E349" s="1700"/>
      <c r="F349" s="1700"/>
      <c r="G349" s="1700"/>
      <c r="H349" s="1700"/>
      <c r="I349" s="1700"/>
      <c r="J349" s="1700"/>
      <c r="K349" s="1700"/>
      <c r="L349" s="1700"/>
      <c r="M349" s="1700"/>
      <c r="N349" s="1700"/>
      <c r="O349" s="1700"/>
      <c r="P349" s="1700"/>
      <c r="Q349" s="1700"/>
      <c r="R349" s="1700"/>
      <c r="S349" s="1700"/>
      <c r="T349" s="1700"/>
      <c r="U349" s="1700"/>
      <c r="V349" s="1700"/>
      <c r="W349" s="1700"/>
      <c r="X349" s="1700"/>
      <c r="Y349" s="1700"/>
      <c r="Z349" s="1700"/>
      <c r="AA349" s="1700"/>
      <c r="AB349" s="1700"/>
      <c r="AC349" s="1700"/>
      <c r="AD349" s="1700"/>
      <c r="AE349" s="1700"/>
      <c r="AF349" s="1700"/>
      <c r="AG349" s="1700"/>
      <c r="AH349" s="1700"/>
      <c r="AI349" s="1700"/>
      <c r="AJ349" s="1700"/>
      <c r="AK349" s="27"/>
      <c r="AL349" s="27"/>
      <c r="AM349" s="27"/>
      <c r="AN349" s="279"/>
      <c r="AR349"/>
    </row>
    <row r="350" spans="1:76" s="4" customFormat="1" ht="12.75" customHeight="1">
      <c r="A350" s="27"/>
      <c r="B350" s="26"/>
      <c r="C350" s="1700" t="s">
        <v>1828</v>
      </c>
      <c r="D350" s="1700"/>
      <c r="E350" s="1700"/>
      <c r="F350" s="1700"/>
      <c r="G350" s="1700"/>
      <c r="H350" s="1700"/>
      <c r="I350" s="1700"/>
      <c r="J350" s="1700"/>
      <c r="K350" s="1700"/>
      <c r="L350" s="1700"/>
      <c r="M350" s="1700"/>
      <c r="N350" s="1700"/>
      <c r="O350" s="1700"/>
      <c r="P350" s="1700"/>
      <c r="Q350" s="1700"/>
      <c r="R350" s="1700"/>
      <c r="S350" s="1700"/>
      <c r="T350" s="1700"/>
      <c r="U350" s="1700"/>
      <c r="V350" s="1700"/>
      <c r="W350" s="1700"/>
      <c r="X350" s="1700"/>
      <c r="Y350" s="1700"/>
      <c r="Z350" s="1700"/>
      <c r="AA350" s="1700"/>
      <c r="AB350" s="1700"/>
      <c r="AC350" s="1700"/>
      <c r="AD350" s="1700"/>
      <c r="AE350" s="1700"/>
      <c r="AF350" s="1700"/>
      <c r="AG350" s="1700"/>
      <c r="AH350" s="1700"/>
      <c r="AI350" s="1700"/>
      <c r="AJ350" s="1700"/>
      <c r="AK350" s="27"/>
      <c r="AL350" s="27"/>
      <c r="AM350" s="27"/>
      <c r="AN350" s="279"/>
      <c r="AQ350"/>
      <c r="AR350"/>
    </row>
    <row r="351" spans="1:76" s="4" customFormat="1" ht="12.75" customHeight="1">
      <c r="A351" s="27"/>
      <c r="B351" s="26"/>
      <c r="C351" s="1700"/>
      <c r="D351" s="1700"/>
      <c r="E351" s="1700"/>
      <c r="F351" s="1700"/>
      <c r="G351" s="1700"/>
      <c r="H351" s="1700"/>
      <c r="I351" s="1700"/>
      <c r="J351" s="1700"/>
      <c r="K351" s="1700"/>
      <c r="L351" s="1700"/>
      <c r="M351" s="1700"/>
      <c r="N351" s="1700"/>
      <c r="O351" s="1700"/>
      <c r="P351" s="1700"/>
      <c r="Q351" s="1700"/>
      <c r="R351" s="1700"/>
      <c r="S351" s="1700"/>
      <c r="T351" s="1700"/>
      <c r="U351" s="1700"/>
      <c r="V351" s="1700"/>
      <c r="W351" s="1700"/>
      <c r="X351" s="1700"/>
      <c r="Y351" s="1700"/>
      <c r="Z351" s="1700"/>
      <c r="AA351" s="1700"/>
      <c r="AB351" s="1700"/>
      <c r="AC351" s="1700"/>
      <c r="AD351" s="1700"/>
      <c r="AE351" s="1700"/>
      <c r="AF351" s="1700"/>
      <c r="AG351" s="1700"/>
      <c r="AH351" s="1700"/>
      <c r="AI351" s="1700"/>
      <c r="AJ351" s="1700"/>
      <c r="AK351" s="27"/>
      <c r="AL351" s="27"/>
      <c r="AM351" s="27"/>
      <c r="AN351" s="279"/>
      <c r="AQ351"/>
      <c r="AR351"/>
    </row>
    <row r="352" spans="1:76" s="4" customFormat="1" ht="13.2" customHeight="1">
      <c r="A352" s="27"/>
      <c r="B352" s="26"/>
      <c r="C352" s="1700"/>
      <c r="D352" s="1700"/>
      <c r="E352" s="1700"/>
      <c r="F352" s="1700"/>
      <c r="G352" s="1700"/>
      <c r="H352" s="1700"/>
      <c r="I352" s="1700"/>
      <c r="J352" s="1700"/>
      <c r="K352" s="1700"/>
      <c r="L352" s="1700"/>
      <c r="M352" s="1700"/>
      <c r="N352" s="1700"/>
      <c r="O352" s="1700"/>
      <c r="P352" s="1700"/>
      <c r="Q352" s="1700"/>
      <c r="R352" s="1700"/>
      <c r="S352" s="1700"/>
      <c r="T352" s="1700"/>
      <c r="U352" s="1700"/>
      <c r="V352" s="1700"/>
      <c r="W352" s="1700"/>
      <c r="X352" s="1700"/>
      <c r="Y352" s="1700"/>
      <c r="Z352" s="1700"/>
      <c r="AA352" s="1700"/>
      <c r="AB352" s="1700"/>
      <c r="AC352" s="1700"/>
      <c r="AD352" s="1700"/>
      <c r="AE352" s="1700"/>
      <c r="AF352" s="1700"/>
      <c r="AG352" s="1700"/>
      <c r="AH352" s="1700"/>
      <c r="AI352" s="1700"/>
      <c r="AJ352" s="1700"/>
      <c r="AK352" s="27"/>
      <c r="AL352" s="27"/>
      <c r="AM352" s="27"/>
      <c r="AN352" s="279"/>
      <c r="AQ352"/>
      <c r="AR352"/>
    </row>
    <row r="353" spans="1:46" s="4" customFormat="1" ht="12.75" customHeight="1">
      <c r="A353" s="27"/>
      <c r="B353" s="26"/>
      <c r="C353" s="1700"/>
      <c r="D353" s="1700"/>
      <c r="E353" s="1700"/>
      <c r="F353" s="1700"/>
      <c r="G353" s="1700"/>
      <c r="H353" s="1700"/>
      <c r="I353" s="1700"/>
      <c r="J353" s="1700"/>
      <c r="K353" s="1700"/>
      <c r="L353" s="1700"/>
      <c r="M353" s="1700"/>
      <c r="N353" s="1700"/>
      <c r="O353" s="1700"/>
      <c r="P353" s="1700"/>
      <c r="Q353" s="1700"/>
      <c r="R353" s="1700"/>
      <c r="S353" s="1700"/>
      <c r="T353" s="1700"/>
      <c r="U353" s="1700"/>
      <c r="V353" s="1700"/>
      <c r="W353" s="1700"/>
      <c r="X353" s="1700"/>
      <c r="Y353" s="1700"/>
      <c r="Z353" s="1700"/>
      <c r="AA353" s="1700"/>
      <c r="AB353" s="1700"/>
      <c r="AC353" s="1700"/>
      <c r="AD353" s="1700"/>
      <c r="AE353" s="1700"/>
      <c r="AF353" s="1700"/>
      <c r="AG353" s="1700"/>
      <c r="AH353" s="1700"/>
      <c r="AI353" s="1700"/>
      <c r="AJ353" s="1700"/>
      <c r="AK353" s="27"/>
      <c r="AL353" s="27"/>
      <c r="AM353" s="27"/>
      <c r="AN353" s="279"/>
      <c r="AO353" s="168"/>
      <c r="AP353" s="168"/>
      <c r="AQ353"/>
    </row>
    <row r="354" spans="1:46" s="4" customFormat="1" ht="11.85" customHeight="1">
      <c r="A354" s="27"/>
      <c r="B354" s="26"/>
      <c r="C354" s="1700"/>
      <c r="D354" s="1700"/>
      <c r="E354" s="1700"/>
      <c r="F354" s="1700"/>
      <c r="G354" s="1700"/>
      <c r="H354" s="1700"/>
      <c r="I354" s="1700"/>
      <c r="J354" s="1700"/>
      <c r="K354" s="1700"/>
      <c r="L354" s="1700"/>
      <c r="M354" s="1700"/>
      <c r="N354" s="1700"/>
      <c r="O354" s="1700"/>
      <c r="P354" s="1700"/>
      <c r="Q354" s="1700"/>
      <c r="R354" s="1700"/>
      <c r="S354" s="1700"/>
      <c r="T354" s="1700"/>
      <c r="U354" s="1700"/>
      <c r="V354" s="1700"/>
      <c r="W354" s="1700"/>
      <c r="X354" s="1700"/>
      <c r="Y354" s="1700"/>
      <c r="Z354" s="1700"/>
      <c r="AA354" s="1700"/>
      <c r="AB354" s="1700"/>
      <c r="AC354" s="1700"/>
      <c r="AD354" s="1700"/>
      <c r="AE354" s="1700"/>
      <c r="AF354" s="1700"/>
      <c r="AG354" s="1700"/>
      <c r="AH354" s="1700"/>
      <c r="AI354" s="1700"/>
      <c r="AJ354" s="1700"/>
      <c r="AK354" s="27"/>
      <c r="AL354" s="27"/>
      <c r="AM354" s="27"/>
      <c r="AN354" s="279"/>
      <c r="AO354" s="685" t="s">
        <v>899</v>
      </c>
      <c r="AP354" s="71">
        <f>IF(C379="Yes",5,0)</f>
        <v>5</v>
      </c>
      <c r="AS354" s="3" t="s">
        <v>1764</v>
      </c>
    </row>
    <row r="355" spans="1:46" s="4" customFormat="1" ht="12.75" customHeight="1">
      <c r="A355" s="27"/>
      <c r="B355" s="26"/>
      <c r="C355" s="1700"/>
      <c r="D355" s="1700"/>
      <c r="E355" s="1700"/>
      <c r="F355" s="1700"/>
      <c r="G355" s="1700"/>
      <c r="H355" s="1700"/>
      <c r="I355" s="1700"/>
      <c r="J355" s="1700"/>
      <c r="K355" s="1700"/>
      <c r="L355" s="1700"/>
      <c r="M355" s="1700"/>
      <c r="N355" s="1700"/>
      <c r="O355" s="1700"/>
      <c r="P355" s="1700"/>
      <c r="Q355" s="1700"/>
      <c r="R355" s="1700"/>
      <c r="S355" s="1700"/>
      <c r="T355" s="1700"/>
      <c r="U355" s="1700"/>
      <c r="V355" s="1700"/>
      <c r="W355" s="1700"/>
      <c r="X355" s="1700"/>
      <c r="Y355" s="1700"/>
      <c r="Z355" s="1700"/>
      <c r="AA355" s="1700"/>
      <c r="AB355" s="1700"/>
      <c r="AC355" s="1700"/>
      <c r="AD355" s="1700"/>
      <c r="AE355" s="1700"/>
      <c r="AF355" s="1700"/>
      <c r="AG355" s="1700"/>
      <c r="AH355" s="1700"/>
      <c r="AI355" s="1700"/>
      <c r="AJ355" s="1700"/>
      <c r="AK355" s="27"/>
      <c r="AL355" s="27"/>
      <c r="AM355" s="27"/>
      <c r="AN355" s="279"/>
      <c r="AO355" s="685"/>
      <c r="AP355" s="71"/>
      <c r="AS355" s="1862">
        <f>IF(AQ368=0,AQ381,AQ368)</f>
        <v>10</v>
      </c>
      <c r="AT355" s="1862"/>
    </row>
    <row r="356" spans="1:46" s="4" customFormat="1" ht="12.75" customHeight="1">
      <c r="A356" s="27"/>
      <c r="B356" s="26"/>
      <c r="C356" s="1700"/>
      <c r="D356" s="1700"/>
      <c r="E356" s="1700"/>
      <c r="F356" s="1700"/>
      <c r="G356" s="1700"/>
      <c r="H356" s="1700"/>
      <c r="I356" s="1700"/>
      <c r="J356" s="1700"/>
      <c r="K356" s="1700"/>
      <c r="L356" s="1700"/>
      <c r="M356" s="1700"/>
      <c r="N356" s="1700"/>
      <c r="O356" s="1700"/>
      <c r="P356" s="1700"/>
      <c r="Q356" s="1700"/>
      <c r="R356" s="1700"/>
      <c r="S356" s="1700"/>
      <c r="T356" s="1700"/>
      <c r="U356" s="1700"/>
      <c r="V356" s="1700"/>
      <c r="W356" s="1700"/>
      <c r="X356" s="1700"/>
      <c r="Y356" s="1700"/>
      <c r="Z356" s="1700"/>
      <c r="AA356" s="1700"/>
      <c r="AB356" s="1700"/>
      <c r="AC356" s="1700"/>
      <c r="AD356" s="1700"/>
      <c r="AE356" s="1700"/>
      <c r="AF356" s="1700"/>
      <c r="AG356" s="1700"/>
      <c r="AH356" s="1700"/>
      <c r="AI356" s="1700"/>
      <c r="AJ356" s="1700"/>
      <c r="AK356" s="27"/>
      <c r="AL356" s="27"/>
      <c r="AM356" s="27"/>
      <c r="AN356" s="279"/>
      <c r="AO356" s="685" t="s">
        <v>900</v>
      </c>
      <c r="AP356" s="71">
        <f>IF(C389="Yes",5,0)</f>
        <v>0</v>
      </c>
      <c r="AS356" s="3" t="s">
        <v>1797</v>
      </c>
    </row>
    <row r="357" spans="1:46" s="4" customFormat="1" ht="12.75" customHeight="1">
      <c r="A357" s="27"/>
      <c r="B357" s="26"/>
      <c r="C357" s="1700"/>
      <c r="D357" s="1700"/>
      <c r="E357" s="1700"/>
      <c r="F357" s="1700"/>
      <c r="G357" s="1700"/>
      <c r="H357" s="1700"/>
      <c r="I357" s="1700"/>
      <c r="J357" s="1700"/>
      <c r="K357" s="1700"/>
      <c r="L357" s="1700"/>
      <c r="M357" s="1700"/>
      <c r="N357" s="1700"/>
      <c r="O357" s="1700"/>
      <c r="P357" s="1700"/>
      <c r="Q357" s="1700"/>
      <c r="R357" s="1700"/>
      <c r="S357" s="1700"/>
      <c r="T357" s="1700"/>
      <c r="U357" s="1700"/>
      <c r="V357" s="1700"/>
      <c r="W357" s="1700"/>
      <c r="X357" s="1700"/>
      <c r="Y357" s="1700"/>
      <c r="Z357" s="1700"/>
      <c r="AA357" s="1700"/>
      <c r="AB357" s="1700"/>
      <c r="AC357" s="1700"/>
      <c r="AD357" s="1700"/>
      <c r="AE357" s="1700"/>
      <c r="AF357" s="1700"/>
      <c r="AG357" s="1700"/>
      <c r="AH357" s="1700"/>
      <c r="AI357" s="1700"/>
      <c r="AJ357" s="1700"/>
      <c r="AK357" s="27"/>
      <c r="AL357" s="27"/>
      <c r="AM357" s="27"/>
      <c r="AN357" s="279"/>
      <c r="AO357" s="685"/>
      <c r="AP357" s="71"/>
      <c r="AS357" s="1862">
        <f>IF(AND(AQ368&gt;0,AQ381&gt;0),(AQ368+AQ381)/2,0)</f>
        <v>10</v>
      </c>
      <c r="AT357" s="1862"/>
    </row>
    <row r="358" spans="1:46" s="4" customFormat="1" ht="12.75" customHeight="1">
      <c r="A358" s="27"/>
      <c r="B358" s="26"/>
      <c r="C358" s="1700"/>
      <c r="D358" s="1700"/>
      <c r="E358" s="1700"/>
      <c r="F358" s="1700"/>
      <c r="G358" s="1700"/>
      <c r="H358" s="1700"/>
      <c r="I358" s="1700"/>
      <c r="J358" s="1700"/>
      <c r="K358" s="1700"/>
      <c r="L358" s="1700"/>
      <c r="M358" s="1700"/>
      <c r="N358" s="1700"/>
      <c r="O358" s="1700"/>
      <c r="P358" s="1700"/>
      <c r="Q358" s="1700"/>
      <c r="R358" s="1700"/>
      <c r="S358" s="1700"/>
      <c r="T358" s="1700"/>
      <c r="U358" s="1700"/>
      <c r="V358" s="1700"/>
      <c r="W358" s="1700"/>
      <c r="X358" s="1700"/>
      <c r="Y358" s="1700"/>
      <c r="Z358" s="1700"/>
      <c r="AA358" s="1700"/>
      <c r="AB358" s="1700"/>
      <c r="AC358" s="1700"/>
      <c r="AD358" s="1700"/>
      <c r="AE358" s="1700"/>
      <c r="AF358" s="1700"/>
      <c r="AG358" s="1700"/>
      <c r="AH358" s="1700"/>
      <c r="AI358" s="1700"/>
      <c r="AJ358" s="1700"/>
      <c r="AK358" s="27"/>
      <c r="AL358" s="27"/>
      <c r="AM358" s="27"/>
      <c r="AN358" s="279"/>
      <c r="AO358" s="685" t="s">
        <v>906</v>
      </c>
      <c r="AP358" s="71">
        <f>IF(C399="Yes",7,0)</f>
        <v>0</v>
      </c>
    </row>
    <row r="359" spans="1:46" s="4" customFormat="1" ht="12.75" customHeight="1">
      <c r="A359" s="27"/>
      <c r="B359" s="26"/>
      <c r="C359" s="1700" t="s">
        <v>1829</v>
      </c>
      <c r="D359" s="1700"/>
      <c r="E359" s="1700"/>
      <c r="F359" s="1700"/>
      <c r="G359" s="1700"/>
      <c r="H359" s="1700"/>
      <c r="I359" s="1700"/>
      <c r="J359" s="1700"/>
      <c r="K359" s="1700"/>
      <c r="L359" s="1700"/>
      <c r="M359" s="1700"/>
      <c r="N359" s="1700"/>
      <c r="O359" s="1700"/>
      <c r="P359" s="1700"/>
      <c r="Q359" s="1700"/>
      <c r="R359" s="1700"/>
      <c r="S359" s="1700"/>
      <c r="T359" s="1700"/>
      <c r="U359" s="1700"/>
      <c r="V359" s="1700"/>
      <c r="W359" s="1700"/>
      <c r="X359" s="1700"/>
      <c r="Y359" s="1700"/>
      <c r="Z359" s="1700"/>
      <c r="AA359" s="1700"/>
      <c r="AB359" s="1700"/>
      <c r="AC359" s="1700"/>
      <c r="AD359" s="1700"/>
      <c r="AE359" s="1700"/>
      <c r="AF359" s="1700"/>
      <c r="AG359" s="1700"/>
      <c r="AH359" s="1700"/>
      <c r="AI359" s="1700"/>
      <c r="AJ359" s="1700"/>
      <c r="AK359" s="27"/>
      <c r="AL359" s="27"/>
      <c r="AM359" s="27"/>
      <c r="AN359" s="279"/>
      <c r="AO359" s="279"/>
      <c r="AP359" s="71">
        <f>IF(C401="Yes",5,0)</f>
        <v>5</v>
      </c>
    </row>
    <row r="360" spans="1:46" s="4" customFormat="1" ht="12.75" customHeight="1">
      <c r="A360" s="27"/>
      <c r="B360" s="26"/>
      <c r="C360" s="1700"/>
      <c r="D360" s="1700"/>
      <c r="E360" s="1700"/>
      <c r="F360" s="1700"/>
      <c r="G360" s="1700"/>
      <c r="H360" s="1700"/>
      <c r="I360" s="1700"/>
      <c r="J360" s="1700"/>
      <c r="K360" s="1700"/>
      <c r="L360" s="1700"/>
      <c r="M360" s="1700"/>
      <c r="N360" s="1700"/>
      <c r="O360" s="1700"/>
      <c r="P360" s="1700"/>
      <c r="Q360" s="1700"/>
      <c r="R360" s="1700"/>
      <c r="S360" s="1700"/>
      <c r="T360" s="1700"/>
      <c r="U360" s="1700"/>
      <c r="V360" s="1700"/>
      <c r="W360" s="1700"/>
      <c r="X360" s="1700"/>
      <c r="Y360" s="1700"/>
      <c r="Z360" s="1700"/>
      <c r="AA360" s="1700"/>
      <c r="AB360" s="1700"/>
      <c r="AC360" s="1700"/>
      <c r="AD360" s="1700"/>
      <c r="AE360" s="1700"/>
      <c r="AF360" s="1700"/>
      <c r="AG360" s="1700"/>
      <c r="AH360" s="1700"/>
      <c r="AI360" s="1700"/>
      <c r="AJ360" s="1700"/>
      <c r="AK360" s="27"/>
      <c r="AL360" s="27"/>
      <c r="AM360" s="27"/>
      <c r="AN360" s="279"/>
      <c r="AO360" s="279"/>
      <c r="AP360" s="71"/>
    </row>
    <row r="361" spans="1:46" s="4" customFormat="1" ht="12.75" customHeight="1">
      <c r="A361" s="27"/>
      <c r="B361" s="26"/>
      <c r="C361" s="1700"/>
      <c r="D361" s="1700"/>
      <c r="E361" s="1700"/>
      <c r="F361" s="1700"/>
      <c r="G361" s="1700"/>
      <c r="H361" s="1700"/>
      <c r="I361" s="1700"/>
      <c r="J361" s="1700"/>
      <c r="K361" s="1700"/>
      <c r="L361" s="1700"/>
      <c r="M361" s="1700"/>
      <c r="N361" s="1700"/>
      <c r="O361" s="1700"/>
      <c r="P361" s="1700"/>
      <c r="Q361" s="1700"/>
      <c r="R361" s="1700"/>
      <c r="S361" s="1700"/>
      <c r="T361" s="1700"/>
      <c r="U361" s="1700"/>
      <c r="V361" s="1700"/>
      <c r="W361" s="1700"/>
      <c r="X361" s="1700"/>
      <c r="Y361" s="1700"/>
      <c r="Z361" s="1700"/>
      <c r="AA361" s="1700"/>
      <c r="AB361" s="1700"/>
      <c r="AC361" s="1700"/>
      <c r="AD361" s="1700"/>
      <c r="AE361" s="1700"/>
      <c r="AF361" s="1700"/>
      <c r="AG361" s="1700"/>
      <c r="AH361" s="1700"/>
      <c r="AI361" s="1700"/>
      <c r="AJ361" s="1700"/>
      <c r="AK361" s="27"/>
      <c r="AL361" s="27"/>
      <c r="AM361" s="27"/>
      <c r="AN361" s="279"/>
      <c r="AO361" s="685" t="s">
        <v>430</v>
      </c>
      <c r="AP361" s="71">
        <f>IF(C409="Yes",5,0)</f>
        <v>0</v>
      </c>
    </row>
    <row r="362" spans="1:46" s="4" customFormat="1" ht="11.85" customHeight="1">
      <c r="A362" s="27"/>
      <c r="B362" s="26"/>
      <c r="C362" s="1700"/>
      <c r="D362" s="1700"/>
      <c r="E362" s="1700"/>
      <c r="F362" s="1700"/>
      <c r="G362" s="1700"/>
      <c r="H362" s="1700"/>
      <c r="I362" s="1700"/>
      <c r="J362" s="1700"/>
      <c r="K362" s="1700"/>
      <c r="L362" s="1700"/>
      <c r="M362" s="1700"/>
      <c r="N362" s="1700"/>
      <c r="O362" s="1700"/>
      <c r="P362" s="1700"/>
      <c r="Q362" s="1700"/>
      <c r="R362" s="1700"/>
      <c r="S362" s="1700"/>
      <c r="T362" s="1700"/>
      <c r="U362" s="1700"/>
      <c r="V362" s="1700"/>
      <c r="W362" s="1700"/>
      <c r="X362" s="1700"/>
      <c r="Y362" s="1700"/>
      <c r="Z362" s="1700"/>
      <c r="AA362" s="1700"/>
      <c r="AB362" s="1700"/>
      <c r="AC362" s="1700"/>
      <c r="AD362" s="1700"/>
      <c r="AE362" s="1700"/>
      <c r="AF362" s="1700"/>
      <c r="AG362" s="1700"/>
      <c r="AH362" s="1700"/>
      <c r="AI362" s="1700"/>
      <c r="AJ362" s="1700"/>
      <c r="AK362" s="27"/>
      <c r="AL362" s="27"/>
      <c r="AM362" s="27"/>
      <c r="AN362" s="279"/>
      <c r="AO362" s="279"/>
      <c r="AP362" s="71">
        <f>IF(C411="Yes",3,0)</f>
        <v>0</v>
      </c>
    </row>
    <row r="363" spans="1:46" s="4" customFormat="1" ht="12.45" customHeight="1">
      <c r="A363" s="27"/>
      <c r="B363" s="26"/>
      <c r="C363" s="1700"/>
      <c r="D363" s="1700"/>
      <c r="E363" s="1700"/>
      <c r="F363" s="1700"/>
      <c r="G363" s="1700"/>
      <c r="H363" s="1700"/>
      <c r="I363" s="1700"/>
      <c r="J363" s="1700"/>
      <c r="K363" s="1700"/>
      <c r="L363" s="1700"/>
      <c r="M363" s="1700"/>
      <c r="N363" s="1700"/>
      <c r="O363" s="1700"/>
      <c r="P363" s="1700"/>
      <c r="Q363" s="1700"/>
      <c r="R363" s="1700"/>
      <c r="S363" s="1700"/>
      <c r="T363" s="1700"/>
      <c r="U363" s="1700"/>
      <c r="V363" s="1700"/>
      <c r="W363" s="1700"/>
      <c r="X363" s="1700"/>
      <c r="Y363" s="1700"/>
      <c r="Z363" s="1700"/>
      <c r="AA363" s="1700"/>
      <c r="AB363" s="1700"/>
      <c r="AC363" s="1700"/>
      <c r="AD363" s="1700"/>
      <c r="AE363" s="1700"/>
      <c r="AF363" s="1700"/>
      <c r="AG363" s="1700"/>
      <c r="AH363" s="1700"/>
      <c r="AI363" s="1700"/>
      <c r="AJ363" s="1700"/>
      <c r="AK363" s="27"/>
      <c r="AL363" s="27"/>
      <c r="AM363" s="27"/>
      <c r="AN363" s="279"/>
      <c r="AO363" s="279"/>
      <c r="AP363" s="71"/>
    </row>
    <row r="364" spans="1:46" s="4" customFormat="1" ht="12.75" customHeight="1">
      <c r="A364" s="27"/>
      <c r="B364" s="26"/>
      <c r="C364" s="1700"/>
      <c r="D364" s="1700"/>
      <c r="E364" s="1700"/>
      <c r="F364" s="1700"/>
      <c r="G364" s="1700"/>
      <c r="H364" s="1700"/>
      <c r="I364" s="1700"/>
      <c r="J364" s="1700"/>
      <c r="K364" s="1700"/>
      <c r="L364" s="1700"/>
      <c r="M364" s="1700"/>
      <c r="N364" s="1700"/>
      <c r="O364" s="1700"/>
      <c r="P364" s="1700"/>
      <c r="Q364" s="1700"/>
      <c r="R364" s="1700"/>
      <c r="S364" s="1700"/>
      <c r="T364" s="1700"/>
      <c r="U364" s="1700"/>
      <c r="V364" s="1700"/>
      <c r="W364" s="1700"/>
      <c r="X364" s="1700"/>
      <c r="Y364" s="1700"/>
      <c r="Z364" s="1700"/>
      <c r="AA364" s="1700"/>
      <c r="AB364" s="1700"/>
      <c r="AC364" s="1700"/>
      <c r="AD364" s="1700"/>
      <c r="AE364" s="1700"/>
      <c r="AF364" s="1700"/>
      <c r="AG364" s="1700"/>
      <c r="AH364" s="1700"/>
      <c r="AI364" s="1700"/>
      <c r="AJ364" s="1700"/>
      <c r="AK364" s="27"/>
      <c r="AL364" s="27"/>
      <c r="AM364" s="27"/>
      <c r="AN364" s="279"/>
      <c r="AO364" s="685" t="s">
        <v>170</v>
      </c>
      <c r="AP364" s="71">
        <f>IF(C414="Yes",5,0)</f>
        <v>0</v>
      </c>
    </row>
    <row r="365" spans="1:46" s="4" customFormat="1" ht="12.75" customHeight="1">
      <c r="A365" s="27"/>
      <c r="B365" s="26"/>
      <c r="C365" s="1700"/>
      <c r="D365" s="1700"/>
      <c r="E365" s="1700"/>
      <c r="F365" s="1700"/>
      <c r="G365" s="1700"/>
      <c r="H365" s="1700"/>
      <c r="I365" s="1700"/>
      <c r="J365" s="1700"/>
      <c r="K365" s="1700"/>
      <c r="L365" s="1700"/>
      <c r="M365" s="1700"/>
      <c r="N365" s="1700"/>
      <c r="O365" s="1700"/>
      <c r="P365" s="1700"/>
      <c r="Q365" s="1700"/>
      <c r="R365" s="1700"/>
      <c r="S365" s="1700"/>
      <c r="T365" s="1700"/>
      <c r="U365" s="1700"/>
      <c r="V365" s="1700"/>
      <c r="W365" s="1700"/>
      <c r="X365" s="1700"/>
      <c r="Y365" s="1700"/>
      <c r="Z365" s="1700"/>
      <c r="AA365" s="1700"/>
      <c r="AB365" s="1700"/>
      <c r="AC365" s="1700"/>
      <c r="AD365" s="1700"/>
      <c r="AE365" s="1700"/>
      <c r="AF365" s="1700"/>
      <c r="AG365" s="1700"/>
      <c r="AH365" s="1700"/>
      <c r="AI365" s="1700"/>
      <c r="AJ365" s="1700"/>
      <c r="AK365" s="27"/>
      <c r="AL365" s="27"/>
      <c r="AM365" s="27"/>
      <c r="AN365" s="279"/>
      <c r="AO365" s="685" t="s">
        <v>433</v>
      </c>
      <c r="AP365" s="71">
        <f>IF(C423="Yes",5,0)</f>
        <v>0</v>
      </c>
    </row>
    <row r="366" spans="1:46" s="4" customFormat="1" ht="12.75" customHeight="1">
      <c r="A366" s="27"/>
      <c r="B366" s="26"/>
      <c r="C366" s="1700" t="s">
        <v>1830</v>
      </c>
      <c r="D366" s="1700"/>
      <c r="E366" s="1700"/>
      <c r="F366" s="1700"/>
      <c r="G366" s="1700"/>
      <c r="H366" s="1700"/>
      <c r="I366" s="1700"/>
      <c r="J366" s="1700"/>
      <c r="K366" s="1700"/>
      <c r="L366" s="1700"/>
      <c r="M366" s="1700"/>
      <c r="N366" s="1700"/>
      <c r="O366" s="1700"/>
      <c r="P366" s="1700"/>
      <c r="Q366" s="1700"/>
      <c r="R366" s="1700"/>
      <c r="S366" s="1700"/>
      <c r="T366" s="1700"/>
      <c r="U366" s="1700"/>
      <c r="V366" s="1700"/>
      <c r="W366" s="1700"/>
      <c r="X366" s="1700"/>
      <c r="Y366" s="1700"/>
      <c r="Z366" s="1700"/>
      <c r="AA366" s="1700"/>
      <c r="AB366" s="1700"/>
      <c r="AC366" s="1700"/>
      <c r="AD366" s="1700"/>
      <c r="AE366" s="1700"/>
      <c r="AF366" s="1700"/>
      <c r="AG366" s="1700"/>
      <c r="AH366" s="1700"/>
      <c r="AI366" s="1700"/>
      <c r="AJ366" s="1700"/>
      <c r="AK366" s="27"/>
      <c r="AL366" s="27"/>
      <c r="AM366" s="27"/>
      <c r="AN366" s="279"/>
      <c r="AO366" s="279"/>
      <c r="AP366" s="71">
        <f>IF(C425="Yes",3,0)</f>
        <v>0</v>
      </c>
    </row>
    <row r="367" spans="1:46" s="4" customFormat="1" ht="12.75" customHeight="1">
      <c r="A367" s="27"/>
      <c r="B367" s="26"/>
      <c r="C367" s="1700"/>
      <c r="D367" s="1700"/>
      <c r="E367" s="1700"/>
      <c r="F367" s="1700"/>
      <c r="G367" s="1700"/>
      <c r="H367" s="1700"/>
      <c r="I367" s="1700"/>
      <c r="J367" s="1700"/>
      <c r="K367" s="1700"/>
      <c r="L367" s="1700"/>
      <c r="M367" s="1700"/>
      <c r="N367" s="1700"/>
      <c r="O367" s="1700"/>
      <c r="P367" s="1700"/>
      <c r="Q367" s="1700"/>
      <c r="R367" s="1700"/>
      <c r="S367" s="1700"/>
      <c r="T367" s="1700"/>
      <c r="U367" s="1700"/>
      <c r="V367" s="1700"/>
      <c r="W367" s="1700"/>
      <c r="X367" s="1700"/>
      <c r="Y367" s="1700"/>
      <c r="Z367" s="1700"/>
      <c r="AA367" s="1700"/>
      <c r="AB367" s="1700"/>
      <c r="AC367" s="1700"/>
      <c r="AD367" s="1700"/>
      <c r="AE367" s="1700"/>
      <c r="AF367" s="1700"/>
      <c r="AG367" s="1700"/>
      <c r="AH367" s="1700"/>
      <c r="AI367" s="1700"/>
      <c r="AJ367" s="1700"/>
      <c r="AK367" s="27"/>
      <c r="AL367" s="27"/>
      <c r="AM367" s="27"/>
      <c r="AN367" s="279"/>
      <c r="AO367" s="686"/>
      <c r="AP367" s="55"/>
    </row>
    <row r="368" spans="1:46" s="4" customFormat="1" ht="68.099999999999994" customHeight="1">
      <c r="A368" s="27"/>
      <c r="B368" s="26"/>
      <c r="C368" s="1700"/>
      <c r="D368" s="1700"/>
      <c r="E368" s="1700"/>
      <c r="F368" s="1700"/>
      <c r="G368" s="1700"/>
      <c r="H368" s="1700"/>
      <c r="I368" s="1700"/>
      <c r="J368" s="1700"/>
      <c r="K368" s="1700"/>
      <c r="L368" s="1700"/>
      <c r="M368" s="1700"/>
      <c r="N368" s="1700"/>
      <c r="O368" s="1700"/>
      <c r="P368" s="1700"/>
      <c r="Q368" s="1700"/>
      <c r="R368" s="1700"/>
      <c r="S368" s="1700"/>
      <c r="T368" s="1700"/>
      <c r="U368" s="1700"/>
      <c r="V368" s="1700"/>
      <c r="W368" s="1700"/>
      <c r="X368" s="1700"/>
      <c r="Y368" s="1700"/>
      <c r="Z368" s="1700"/>
      <c r="AA368" s="1700"/>
      <c r="AB368" s="1700"/>
      <c r="AC368" s="1700"/>
      <c r="AD368" s="1700"/>
      <c r="AE368" s="1700"/>
      <c r="AF368" s="1700"/>
      <c r="AG368" s="1700"/>
      <c r="AH368" s="1700"/>
      <c r="AI368" s="1700"/>
      <c r="AJ368" s="1700"/>
      <c r="AK368" s="27"/>
      <c r="AL368" s="27"/>
      <c r="AM368" s="27"/>
      <c r="AN368" s="279"/>
      <c r="AO368" s="687" t="s">
        <v>609</v>
      </c>
      <c r="AP368" s="166">
        <f>SUM(AP354:AP367)</f>
        <v>10</v>
      </c>
      <c r="AQ368" s="1236">
        <f>IF(AP368&gt;0,AP368,0)</f>
        <v>10</v>
      </c>
      <c r="AR368" s="1236"/>
    </row>
    <row r="369" spans="1:153" s="4" customFormat="1" ht="12.4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76">
        <f>Application!CQ657-U371</f>
        <v>26</v>
      </c>
      <c r="V370" s="1876"/>
      <c r="W370" s="187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77">
        <f>IF(Application!D214="SRO",Application!CQ636,Application!AG741)</f>
        <v>27</v>
      </c>
      <c r="V371" s="1877"/>
      <c r="W371" s="1877"/>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8" t="s">
        <v>1773</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857" t="s">
        <v>107</v>
      </c>
      <c r="D379" s="1144"/>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9" t="s">
        <v>318</v>
      </c>
      <c r="AG379" s="1559"/>
      <c r="AH379" s="1559"/>
      <c r="AI379" s="1559"/>
      <c r="AJ379" s="1559"/>
      <c r="AK379" s="1559"/>
      <c r="AL379" s="1699"/>
      <c r="AM379" s="825"/>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236">
        <f>IF(AP381&gt;0,AP381,0)</f>
        <v>10</v>
      </c>
      <c r="AR381" s="123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8" t="s">
        <v>1772</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857" t="s">
        <v>123</v>
      </c>
      <c r="D389" s="1144"/>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9" t="s">
        <v>318</v>
      </c>
      <c r="AG389" s="1559"/>
      <c r="AH389" s="1559"/>
      <c r="AI389" s="1559"/>
      <c r="AJ389" s="1559"/>
      <c r="AK389" s="1559"/>
      <c r="AL389" s="169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3"/>
      <c r="D391" s="134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9"/>
      <c r="AG391" s="1559"/>
      <c r="AH391" s="1559"/>
      <c r="AI391" s="1559"/>
      <c r="AJ391" s="1559"/>
      <c r="AK391" s="1559"/>
      <c r="AL391" s="155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63" t="s">
        <v>1936</v>
      </c>
      <c r="G394" s="1863"/>
      <c r="H394" s="1863"/>
      <c r="I394" s="1863"/>
      <c r="J394" s="1863"/>
      <c r="K394" s="1863"/>
      <c r="L394" s="1863"/>
      <c r="M394" s="1863"/>
      <c r="N394" s="1863"/>
      <c r="O394" s="1863"/>
      <c r="P394" s="1863"/>
      <c r="Q394" s="1863"/>
      <c r="R394" s="1863"/>
      <c r="S394" s="1863"/>
      <c r="T394" s="1863"/>
      <c r="U394" s="1863"/>
      <c r="V394" s="1863"/>
      <c r="W394" s="1863"/>
      <c r="X394" s="1863"/>
      <c r="Y394" s="1863"/>
      <c r="Z394" s="1863"/>
      <c r="AA394" s="1863"/>
      <c r="AB394" s="1863"/>
      <c r="AC394" s="1863"/>
      <c r="AD394" s="1863"/>
      <c r="AE394" s="1863"/>
      <c r="AF394" s="1863"/>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1"/>
      <c r="G395" s="1701"/>
      <c r="H395" s="1701"/>
      <c r="I395" s="1701"/>
      <c r="J395" s="1701"/>
      <c r="K395" s="1701"/>
      <c r="L395" s="1701"/>
      <c r="M395" s="1701"/>
      <c r="N395" s="1701"/>
      <c r="O395" s="1701"/>
      <c r="P395" s="1701"/>
      <c r="Q395" s="1701"/>
      <c r="R395" s="1701"/>
      <c r="S395" s="1701"/>
      <c r="T395" s="1701"/>
      <c r="U395" s="1701"/>
      <c r="V395" s="1701"/>
      <c r="W395" s="1701"/>
      <c r="X395" s="1701"/>
      <c r="Y395" s="1701"/>
      <c r="Z395" s="1701"/>
      <c r="AA395" s="1701"/>
      <c r="AB395" s="1701"/>
      <c r="AC395" s="1701"/>
      <c r="AD395" s="1701"/>
      <c r="AE395" s="1701"/>
      <c r="AF395" s="170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1"/>
      <c r="G396" s="1701"/>
      <c r="H396" s="1701"/>
      <c r="I396" s="1701"/>
      <c r="J396" s="1701"/>
      <c r="K396" s="1701"/>
      <c r="L396" s="1701"/>
      <c r="M396" s="1701"/>
      <c r="N396" s="1701"/>
      <c r="O396" s="1701"/>
      <c r="P396" s="1701"/>
      <c r="Q396" s="1701"/>
      <c r="R396" s="1701"/>
      <c r="S396" s="1701"/>
      <c r="T396" s="1701"/>
      <c r="U396" s="1701"/>
      <c r="V396" s="1701"/>
      <c r="W396" s="1701"/>
      <c r="X396" s="1701"/>
      <c r="Y396" s="1701"/>
      <c r="Z396" s="1701"/>
      <c r="AA396" s="1701"/>
      <c r="AB396" s="1701"/>
      <c r="AC396" s="1701"/>
      <c r="AD396" s="1701"/>
      <c r="AE396" s="1701"/>
      <c r="AF396" s="170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857" t="s">
        <v>123</v>
      </c>
      <c r="D399" s="1144"/>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9" t="s">
        <v>962</v>
      </c>
      <c r="AG399" s="1559"/>
      <c r="AH399" s="1559"/>
      <c r="AI399" s="1559"/>
      <c r="AJ399" s="1559"/>
      <c r="AK399" s="1559"/>
      <c r="AL399" s="1699"/>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857" t="s">
        <v>107</v>
      </c>
      <c r="D401" s="1144"/>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9" t="s">
        <v>318</v>
      </c>
      <c r="AG401" s="1559"/>
      <c r="AH401" s="1559"/>
      <c r="AI401" s="1559"/>
      <c r="AJ401" s="1559"/>
      <c r="AK401" s="1559"/>
      <c r="AL401" s="169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8" t="s">
        <v>1771</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857" t="s">
        <v>123</v>
      </c>
      <c r="D409" s="1144"/>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9" t="s">
        <v>318</v>
      </c>
      <c r="AG409" s="1559"/>
      <c r="AH409" s="1559"/>
      <c r="AI409" s="1559"/>
      <c r="AJ409" s="1559"/>
      <c r="AK409" s="1559"/>
      <c r="AL409" s="169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857" t="s">
        <v>123</v>
      </c>
      <c r="D411" s="1144"/>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9" t="s">
        <v>961</v>
      </c>
      <c r="AG411" s="1559"/>
      <c r="AH411" s="1559"/>
      <c r="AI411" s="1559"/>
      <c r="AJ411" s="1559"/>
      <c r="AK411" s="1559"/>
      <c r="AL411" s="169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857" t="s">
        <v>123</v>
      </c>
      <c r="D414" s="1144"/>
      <c r="E414" s="695" t="s">
        <v>192</v>
      </c>
      <c r="F414" s="1698" t="s">
        <v>1775</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5" t="s">
        <v>318</v>
      </c>
      <c r="AG415" s="1695"/>
      <c r="AH415" s="1695"/>
      <c r="AI415" s="1695"/>
      <c r="AJ415" s="1695"/>
      <c r="AK415" s="1695"/>
      <c r="AL415" s="169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858"/>
      <c r="G417" s="1858"/>
      <c r="H417" s="1858"/>
      <c r="I417" s="1858"/>
      <c r="J417" s="1858"/>
      <c r="K417" s="1858"/>
      <c r="L417" s="1858"/>
      <c r="M417" s="1858"/>
      <c r="N417" s="1858"/>
      <c r="O417" s="1858"/>
      <c r="P417" s="1858"/>
      <c r="Q417" s="1858"/>
      <c r="R417" s="1858"/>
      <c r="S417" s="1858"/>
      <c r="T417" s="1858"/>
      <c r="U417" s="1858"/>
      <c r="V417" s="1858"/>
      <c r="W417" s="1858"/>
      <c r="X417" s="1858"/>
      <c r="Y417" s="1858"/>
      <c r="Z417" s="1858"/>
      <c r="AA417" s="1858"/>
      <c r="AB417" s="1858"/>
      <c r="AC417" s="1858"/>
      <c r="AD417" s="1858"/>
      <c r="AE417" s="1858"/>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8" t="s">
        <v>1777</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857" t="s">
        <v>123</v>
      </c>
      <c r="D423" s="1144"/>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318</v>
      </c>
      <c r="AG423" s="1695"/>
      <c r="AH423" s="1695"/>
      <c r="AI423" s="1695"/>
      <c r="AJ423" s="1695"/>
      <c r="AK423" s="1695"/>
      <c r="AL423" s="1696"/>
      <c r="AM423"/>
      <c r="AN423" s="279"/>
    </row>
    <row r="424" spans="1:55" s="4" customFormat="1" ht="12.75" customHeight="1">
      <c r="A424" s="5"/>
      <c r="B424" s="21"/>
      <c r="C424" s="704"/>
      <c r="AL424" s="702"/>
      <c r="AM424"/>
      <c r="AN424" s="279"/>
    </row>
    <row r="425" spans="1:55" s="4" customFormat="1" ht="12.75" customHeight="1">
      <c r="A425" s="5"/>
      <c r="B425" s="21"/>
      <c r="C425" s="1857" t="s">
        <v>123</v>
      </c>
      <c r="D425" s="1144"/>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961</v>
      </c>
      <c r="AG425" s="1695"/>
      <c r="AH425" s="1695"/>
      <c r="AI425" s="1695"/>
      <c r="AJ425" s="1695"/>
      <c r="AK425" s="1695"/>
      <c r="AL425" s="169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8" t="s">
        <v>1778</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45"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857" t="s">
        <v>123</v>
      </c>
      <c r="D432" s="1144"/>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318</v>
      </c>
      <c r="AG432" s="1695"/>
      <c r="AH432" s="1695"/>
      <c r="AI432" s="1695"/>
      <c r="AJ432" s="1695"/>
      <c r="AK432" s="1695"/>
      <c r="AL432" s="1696"/>
      <c r="AM432"/>
      <c r="AN432" s="279"/>
    </row>
    <row r="433" spans="1:60" s="4" customFormat="1" ht="12.75" customHeight="1">
      <c r="A433" s="5"/>
      <c r="B433" s="73"/>
      <c r="C433" s="827"/>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6"/>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698" t="s">
        <v>1779</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857" t="s">
        <v>107</v>
      </c>
      <c r="D444" s="1144"/>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318</v>
      </c>
      <c r="AG444" s="1695"/>
      <c r="AH444" s="1695"/>
      <c r="AI444" s="1695"/>
      <c r="AJ444" s="1695"/>
      <c r="AK444" s="1695"/>
      <c r="AL444" s="169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8" t="s">
        <v>1782</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857" t="s">
        <v>107</v>
      </c>
      <c r="D451" s="1144"/>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318</v>
      </c>
      <c r="AG451" s="1695"/>
      <c r="AH451" s="1695"/>
      <c r="AI451" s="1695"/>
      <c r="AJ451" s="1695"/>
      <c r="AK451" s="1695"/>
      <c r="AL451" s="169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4" t="s">
        <v>123</v>
      </c>
      <c r="D455" s="1885"/>
      <c r="E455" s="695" t="s">
        <v>966</v>
      </c>
      <c r="F455" s="1698" t="s">
        <v>968</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87" t="s">
        <v>318</v>
      </c>
      <c r="AG455" s="1887"/>
      <c r="AH455" s="1887"/>
      <c r="AI455" s="1887"/>
      <c r="AJ455" s="1887"/>
      <c r="AK455" s="1887"/>
      <c r="AL455" s="1888"/>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858"/>
      <c r="G457" s="1858"/>
      <c r="H457" s="1858"/>
      <c r="I457" s="1858"/>
      <c r="J457" s="1858"/>
      <c r="K457" s="1858"/>
      <c r="L457" s="1858"/>
      <c r="M457" s="1858"/>
      <c r="N457" s="1858"/>
      <c r="O457" s="1858"/>
      <c r="P457" s="1858"/>
      <c r="Q457" s="1858"/>
      <c r="R457" s="1858"/>
      <c r="S457" s="1858"/>
      <c r="T457" s="1858"/>
      <c r="U457" s="1858"/>
      <c r="V457" s="1858"/>
      <c r="W457" s="1858"/>
      <c r="X457" s="1858"/>
      <c r="Y457" s="1858"/>
      <c r="Z457" s="1858"/>
      <c r="AA457" s="1858"/>
      <c r="AB457" s="1858"/>
      <c r="AC457" s="1858"/>
      <c r="AD457" s="1858"/>
      <c r="AE457" s="1858"/>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84" t="s">
        <v>123</v>
      </c>
      <c r="D459" s="1885"/>
      <c r="E459" s="695" t="s">
        <v>967</v>
      </c>
      <c r="F459" s="1698" t="s">
        <v>1819</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87" t="s">
        <v>318</v>
      </c>
      <c r="AG459" s="1887"/>
      <c r="AH459" s="1887"/>
      <c r="AI459" s="1887"/>
      <c r="AJ459" s="1887"/>
      <c r="AK459" s="1887"/>
      <c r="AL459" s="1888"/>
      <c r="AM459"/>
      <c r="AN459" s="667"/>
      <c r="AO459" s="4" t="s">
        <v>1333</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1329</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1330</v>
      </c>
      <c r="AP461" s="4">
        <v>5</v>
      </c>
    </row>
    <row r="462" spans="1:49" s="4" customFormat="1" ht="4.5" customHeight="1">
      <c r="A462" s="5"/>
      <c r="B462" s="73"/>
      <c r="C462" s="697"/>
      <c r="D462" s="698"/>
      <c r="E462" s="699"/>
      <c r="F462" s="1858"/>
      <c r="G462" s="1858"/>
      <c r="H462" s="1858"/>
      <c r="I462" s="1858"/>
      <c r="J462" s="1858"/>
      <c r="K462" s="1858"/>
      <c r="L462" s="1858"/>
      <c r="M462" s="1858"/>
      <c r="N462" s="1858"/>
      <c r="O462" s="1858"/>
      <c r="P462" s="1858"/>
      <c r="Q462" s="1858"/>
      <c r="R462" s="1858"/>
      <c r="S462" s="1858"/>
      <c r="T462" s="1858"/>
      <c r="U462" s="1858"/>
      <c r="V462" s="1858"/>
      <c r="W462" s="1858"/>
      <c r="X462" s="1858"/>
      <c r="Y462" s="1858"/>
      <c r="Z462" s="1858"/>
      <c r="AA462" s="1858"/>
      <c r="AB462" s="1858"/>
      <c r="AC462" s="1858"/>
      <c r="AD462" s="1858"/>
      <c r="AE462" s="1858"/>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8" t="s">
        <v>1820</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974</v>
      </c>
      <c r="BA465" s="343" t="s">
        <v>975</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857" t="s">
        <v>123</v>
      </c>
      <c r="D468" s="1144"/>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9" t="s">
        <v>318</v>
      </c>
      <c r="AG468" s="1559"/>
      <c r="AH468" s="1559"/>
      <c r="AI468" s="1559"/>
      <c r="AJ468" s="1559"/>
      <c r="AK468" s="1559"/>
      <c r="AL468" s="1699"/>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106">
        <f>IF(AS357=0,AS355,AS357)</f>
        <v>10</v>
      </c>
      <c r="AL474" s="1107"/>
      <c r="AM474" s="1109"/>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559" t="s">
        <v>1256</v>
      </c>
      <c r="AF477" s="1559"/>
      <c r="AG477" s="1559"/>
      <c r="AH477" s="1559"/>
      <c r="AI477" s="1559"/>
      <c r="AJ477" s="1559"/>
      <c r="AK477" s="1559"/>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70" t="s">
        <v>123</v>
      </c>
      <c r="D483" s="1871"/>
      <c r="E483" s="746" t="s">
        <v>194</v>
      </c>
      <c r="F483" s="1867" t="s">
        <v>971</v>
      </c>
      <c r="G483" s="1867"/>
      <c r="H483" s="1867"/>
      <c r="I483" s="1867"/>
      <c r="J483" s="1867"/>
      <c r="K483" s="1867"/>
      <c r="L483" s="1867"/>
      <c r="M483" s="1867"/>
      <c r="N483" s="1867"/>
      <c r="O483" s="1867"/>
      <c r="P483" s="1867"/>
      <c r="Q483" s="1867"/>
      <c r="R483" s="1867"/>
      <c r="S483" s="1867"/>
      <c r="T483" s="1867"/>
      <c r="U483" s="1867"/>
      <c r="V483" s="1867"/>
      <c r="W483" s="1867"/>
      <c r="X483" s="1867"/>
      <c r="Y483" s="1867"/>
      <c r="Z483" s="1867"/>
      <c r="AA483" s="1867"/>
      <c r="AB483" s="1867"/>
      <c r="AC483" s="1867"/>
      <c r="AD483" s="1867"/>
      <c r="AE483" s="1867"/>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68"/>
      <c r="G484" s="1868"/>
      <c r="H484" s="1868"/>
      <c r="I484" s="1868"/>
      <c r="J484" s="1868"/>
      <c r="K484" s="1868"/>
      <c r="L484" s="1868"/>
      <c r="M484" s="1868"/>
      <c r="N484" s="1868"/>
      <c r="O484" s="1868"/>
      <c r="P484" s="1868"/>
      <c r="Q484" s="1868"/>
      <c r="R484" s="1868"/>
      <c r="S484" s="1868"/>
      <c r="T484" s="1868"/>
      <c r="U484" s="1868"/>
      <c r="V484" s="1868"/>
      <c r="W484" s="1868"/>
      <c r="X484" s="1868"/>
      <c r="Y484" s="1868"/>
      <c r="Z484" s="1868"/>
      <c r="AA484" s="1868"/>
      <c r="AB484" s="1868"/>
      <c r="AC484" s="1868"/>
      <c r="AD484" s="1868"/>
      <c r="AE484" s="1868"/>
      <c r="AG484" s="19"/>
      <c r="AH484" s="19"/>
      <c r="AI484" s="19"/>
      <c r="AJ484" s="19"/>
      <c r="AK484" s="702"/>
      <c r="AN484" s="279"/>
      <c r="AO484" s="4" t="s">
        <v>1332</v>
      </c>
      <c r="AP484" s="4">
        <v>1</v>
      </c>
    </row>
    <row r="485" spans="1:50" s="4" customFormat="1" ht="12.75" hidden="1" customHeight="1">
      <c r="C485" s="724"/>
      <c r="D485" s="711"/>
      <c r="E485" s="725"/>
      <c r="F485" s="1697" t="s">
        <v>123</v>
      </c>
      <c r="G485" s="1697"/>
      <c r="H485" s="1697"/>
      <c r="I485" s="1697"/>
      <c r="J485" s="1697"/>
      <c r="K485" s="1697"/>
      <c r="L485" s="1697"/>
      <c r="M485" s="1697"/>
      <c r="N485" s="1697"/>
      <c r="O485" s="1697"/>
      <c r="P485" s="1697"/>
      <c r="Q485" s="1697"/>
      <c r="R485" s="1697"/>
      <c r="S485" s="1697"/>
      <c r="T485" s="1697"/>
      <c r="U485" s="1697"/>
      <c r="V485" s="1697"/>
      <c r="W485" s="1697"/>
      <c r="X485" s="1697"/>
      <c r="Y485" s="1697"/>
      <c r="Z485" s="1697"/>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84" t="s">
        <v>107</v>
      </c>
      <c r="D487" s="1885"/>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69" t="s">
        <v>123</v>
      </c>
      <c r="W490" s="1869"/>
      <c r="X490" s="1869"/>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69" t="s">
        <v>123</v>
      </c>
      <c r="W492" s="1869"/>
      <c r="X492" s="1869"/>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69" t="s">
        <v>123</v>
      </c>
      <c r="W497" s="1869"/>
      <c r="X497" s="1869"/>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150"/>
      <c r="E500" s="1150"/>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69" t="s">
        <v>123</v>
      </c>
      <c r="W501" s="1869"/>
      <c r="X501" s="1869"/>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69" t="s">
        <v>123</v>
      </c>
      <c r="W503" s="1869"/>
      <c r="X503" s="1869"/>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72" t="s">
        <v>656</v>
      </c>
      <c r="AV504" s="1873"/>
      <c r="AW504" s="1873"/>
      <c r="AX504" s="1873"/>
      <c r="AY504" s="1873"/>
      <c r="AZ504" s="1873"/>
      <c r="BA504" s="1873"/>
      <c r="BB504" s="20"/>
      <c r="BC504" s="20"/>
      <c r="BE504" s="4"/>
      <c r="BF504" s="4"/>
      <c r="BG504" s="4"/>
      <c r="BH504" s="4"/>
      <c r="BI504" s="4"/>
      <c r="BJ504" s="1843" t="s">
        <v>30</v>
      </c>
      <c r="BK504" s="1844"/>
      <c r="BL504" s="1844"/>
      <c r="BM504" s="1844"/>
      <c r="BN504" s="1844"/>
      <c r="BO504" s="1844"/>
      <c r="BP504" s="184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72"/>
      <c r="AV505" s="1873"/>
      <c r="AW505" s="1873"/>
      <c r="AX505" s="1873"/>
      <c r="AY505" s="1873"/>
      <c r="AZ505" s="1873"/>
      <c r="BA505" s="1873"/>
      <c r="BB505" s="20"/>
      <c r="BC505" s="20"/>
      <c r="BE505" s="4"/>
      <c r="BF505" s="4"/>
      <c r="BG505" s="4"/>
      <c r="BH505" s="4"/>
      <c r="BI505" s="4"/>
      <c r="BJ505" s="1843"/>
      <c r="BK505" s="1844"/>
      <c r="BL505" s="1844"/>
      <c r="BM505" s="1844"/>
      <c r="BN505" s="1844"/>
      <c r="BO505" s="1844"/>
      <c r="BP505" s="1844"/>
      <c r="BQ505" s="20"/>
      <c r="BR505" s="4"/>
    </row>
    <row r="506" spans="1:147" customFormat="1" ht="12.75" hidden="1" customHeight="1">
      <c r="A506" s="118"/>
      <c r="B506" s="4"/>
      <c r="C506" s="1870" t="s">
        <v>123</v>
      </c>
      <c r="D506" s="1871"/>
      <c r="E506" s="739" t="s">
        <v>194</v>
      </c>
      <c r="F506" s="1867" t="s">
        <v>971</v>
      </c>
      <c r="G506" s="1867"/>
      <c r="H506" s="1867"/>
      <c r="I506" s="1867"/>
      <c r="J506" s="1867"/>
      <c r="K506" s="1867"/>
      <c r="L506" s="1867"/>
      <c r="M506" s="1867"/>
      <c r="N506" s="1867"/>
      <c r="O506" s="1867"/>
      <c r="P506" s="1867"/>
      <c r="Q506" s="1867"/>
      <c r="R506" s="1867"/>
      <c r="S506" s="1867"/>
      <c r="T506" s="1867"/>
      <c r="U506" s="1867"/>
      <c r="V506" s="1867"/>
      <c r="W506" s="1867"/>
      <c r="X506" s="1867"/>
      <c r="Y506" s="1867"/>
      <c r="Z506" s="1867"/>
      <c r="AA506" s="1867"/>
      <c r="AB506" s="1867"/>
      <c r="AC506" s="1867"/>
      <c r="AD506" s="1867"/>
      <c r="AE506" s="186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68"/>
      <c r="G507" s="1868"/>
      <c r="H507" s="1868"/>
      <c r="I507" s="1868"/>
      <c r="J507" s="1868"/>
      <c r="K507" s="1868"/>
      <c r="L507" s="1868"/>
      <c r="M507" s="1868"/>
      <c r="N507" s="1868"/>
      <c r="O507" s="1868"/>
      <c r="P507" s="1868"/>
      <c r="Q507" s="1868"/>
      <c r="R507" s="1868"/>
      <c r="S507" s="1868"/>
      <c r="T507" s="1868"/>
      <c r="U507" s="1868"/>
      <c r="V507" s="1868"/>
      <c r="W507" s="1868"/>
      <c r="X507" s="1868"/>
      <c r="Y507" s="1868"/>
      <c r="Z507" s="1868"/>
      <c r="AA507" s="1868"/>
      <c r="AB507" s="1868"/>
      <c r="AC507" s="1868"/>
      <c r="AD507" s="1868"/>
      <c r="AE507" s="1868"/>
      <c r="AF507" s="4"/>
      <c r="AG507" s="19"/>
      <c r="AH507" s="19"/>
      <c r="AI507" s="19"/>
      <c r="AJ507" s="19"/>
      <c r="AK507" s="702"/>
      <c r="AL507" s="4"/>
      <c r="AM507" s="4"/>
      <c r="AN507" s="666"/>
      <c r="AO507" s="38"/>
      <c r="AP507" s="1293" t="s">
        <v>1495</v>
      </c>
      <c r="AQ507" s="1294"/>
      <c r="AR507" s="1295"/>
      <c r="AS507" s="621">
        <v>80</v>
      </c>
      <c r="AT507" s="4">
        <v>0</v>
      </c>
      <c r="AU507" s="158">
        <v>10</v>
      </c>
      <c r="AV507" s="158">
        <v>25</v>
      </c>
      <c r="AW507" s="158">
        <v>37.5</v>
      </c>
      <c r="AX507" s="158">
        <v>35</v>
      </c>
      <c r="AY507" s="158">
        <v>37.5</v>
      </c>
      <c r="AZ507" s="158">
        <v>50</v>
      </c>
      <c r="BA507" s="158">
        <v>50</v>
      </c>
      <c r="BB507" s="21"/>
      <c r="BC507" s="21"/>
      <c r="BE507" s="1293" t="s">
        <v>1495</v>
      </c>
      <c r="BF507" s="1294"/>
      <c r="BG507" s="129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74" t="s">
        <v>123</v>
      </c>
      <c r="G508" s="1874"/>
      <c r="H508" s="1874"/>
      <c r="I508" s="1874"/>
      <c r="J508" s="1874"/>
      <c r="K508" s="1874"/>
      <c r="L508" s="1874"/>
      <c r="M508" s="1874"/>
      <c r="N508" s="1874"/>
      <c r="O508" s="1874"/>
      <c r="P508" s="1874"/>
      <c r="Q508" s="1874"/>
      <c r="R508" s="1874"/>
      <c r="S508" s="1874"/>
      <c r="T508" s="1874"/>
      <c r="U508" s="1874"/>
      <c r="V508" s="1874"/>
      <c r="W508" s="1874"/>
      <c r="X508" s="1874"/>
      <c r="Y508" s="1874"/>
      <c r="Z508" s="1874"/>
      <c r="AA508" s="726"/>
      <c r="AB508" s="727"/>
      <c r="AC508" s="727"/>
      <c r="AD508" s="711"/>
      <c r="AE508" s="711"/>
      <c r="AF508" s="711"/>
      <c r="AG508" s="728">
        <f>IF($C$506="Yes",(VLOOKUP($F$508,$AO$476:$AP$484,2,FALSE)),0)</f>
        <v>0</v>
      </c>
      <c r="AH508" s="729" t="s">
        <v>973</v>
      </c>
      <c r="AI508" s="728"/>
      <c r="AJ508" s="727"/>
      <c r="AK508" s="712"/>
      <c r="AL508" s="4"/>
      <c r="AM508" s="4"/>
      <c r="AN508" s="666"/>
      <c r="AO508" s="38"/>
      <c r="AP508" s="1296"/>
      <c r="AQ508" s="1297"/>
      <c r="AR508" s="1298"/>
      <c r="AS508" s="621">
        <v>75</v>
      </c>
      <c r="AT508" s="4">
        <v>0</v>
      </c>
      <c r="AU508" s="158">
        <v>10</v>
      </c>
      <c r="AV508" s="158">
        <v>25</v>
      </c>
      <c r="AW508" s="158">
        <v>37.5</v>
      </c>
      <c r="AX508" s="158">
        <v>35</v>
      </c>
      <c r="AY508" s="158">
        <v>37.5</v>
      </c>
      <c r="AZ508" s="158">
        <v>50</v>
      </c>
      <c r="BA508" s="158">
        <v>50</v>
      </c>
      <c r="BB508" s="21"/>
      <c r="BC508" s="21"/>
      <c r="BE508" s="1296"/>
      <c r="BF508" s="1297"/>
      <c r="BG508" s="129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96"/>
      <c r="AQ509" s="1297"/>
      <c r="AR509" s="1298"/>
      <c r="AS509" s="621">
        <v>70</v>
      </c>
      <c r="AT509" s="4">
        <v>0</v>
      </c>
      <c r="AU509" s="158">
        <v>10</v>
      </c>
      <c r="AV509" s="158">
        <v>25</v>
      </c>
      <c r="AW509" s="158">
        <v>37.5</v>
      </c>
      <c r="AX509" s="158">
        <v>35</v>
      </c>
      <c r="AY509" s="158">
        <v>37.5</v>
      </c>
      <c r="AZ509" s="158">
        <v>50</v>
      </c>
      <c r="BA509" s="158">
        <v>50</v>
      </c>
      <c r="BB509" s="21"/>
      <c r="BC509" s="21"/>
      <c r="BE509" s="1296"/>
      <c r="BF509" s="1297"/>
      <c r="BG509" s="129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70" t="s">
        <v>123</v>
      </c>
      <c r="D510" s="1871"/>
      <c r="E510" s="739" t="s">
        <v>301</v>
      </c>
      <c r="F510" s="1878" t="s">
        <v>1157</v>
      </c>
      <c r="G510" s="1878"/>
      <c r="H510" s="1878"/>
      <c r="I510" s="1878"/>
      <c r="J510" s="1878"/>
      <c r="K510" s="1878"/>
      <c r="L510" s="1878"/>
      <c r="M510" s="1878"/>
      <c r="N510" s="1878"/>
      <c r="O510" s="1878"/>
      <c r="P510" s="1878"/>
      <c r="Q510" s="1878"/>
      <c r="R510" s="1878"/>
      <c r="S510" s="1878"/>
      <c r="T510" s="1878"/>
      <c r="U510" s="1878"/>
      <c r="V510" s="1878"/>
      <c r="W510" s="1878"/>
      <c r="X510" s="1878"/>
      <c r="Y510" s="1878"/>
      <c r="Z510" s="1878"/>
      <c r="AA510" s="1878"/>
      <c r="AB510" s="1878"/>
      <c r="AC510" s="1878"/>
      <c r="AD510" s="1878"/>
      <c r="AE510" s="1878"/>
      <c r="AF510" s="694"/>
      <c r="AG510" s="731"/>
      <c r="AH510" s="731"/>
      <c r="AI510" s="731"/>
      <c r="AJ510" s="731"/>
      <c r="AK510" s="718"/>
      <c r="AL510" s="4"/>
      <c r="AM510" s="4"/>
      <c r="AN510" s="666"/>
      <c r="AO510" s="38"/>
      <c r="AP510" s="1296"/>
      <c r="AQ510" s="1297"/>
      <c r="AR510" s="1298"/>
      <c r="AS510" s="621">
        <v>65</v>
      </c>
      <c r="AT510" s="4">
        <v>0</v>
      </c>
      <c r="AU510" s="158">
        <v>10</v>
      </c>
      <c r="AV510" s="158">
        <v>25</v>
      </c>
      <c r="AW510" s="158">
        <v>37.5</v>
      </c>
      <c r="AX510" s="158">
        <v>35</v>
      </c>
      <c r="AY510" s="158">
        <v>37.5</v>
      </c>
      <c r="AZ510" s="158">
        <v>50</v>
      </c>
      <c r="BA510" s="158">
        <v>50</v>
      </c>
      <c r="BB510" s="21"/>
      <c r="BC510" s="21"/>
      <c r="BE510" s="1296"/>
      <c r="BF510" s="1297"/>
      <c r="BG510" s="129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79"/>
      <c r="G511" s="1879"/>
      <c r="H511" s="1879"/>
      <c r="I511" s="1879"/>
      <c r="J511" s="1879"/>
      <c r="K511" s="1879"/>
      <c r="L511" s="1879"/>
      <c r="M511" s="1879"/>
      <c r="N511" s="1879"/>
      <c r="O511" s="1879"/>
      <c r="P511" s="1879"/>
      <c r="Q511" s="1879"/>
      <c r="R511" s="1879"/>
      <c r="S511" s="1879"/>
      <c r="T511" s="1879"/>
      <c r="U511" s="1879"/>
      <c r="V511" s="1879"/>
      <c r="W511" s="1879"/>
      <c r="X511" s="1879"/>
      <c r="Y511" s="1879"/>
      <c r="Z511" s="1879"/>
      <c r="AA511" s="1879"/>
      <c r="AB511" s="1879"/>
      <c r="AC511" s="1879"/>
      <c r="AD511" s="1879"/>
      <c r="AE511" s="1879"/>
      <c r="AF511" s="4"/>
      <c r="AG511" s="19"/>
      <c r="AH511" s="19"/>
      <c r="AI511" s="19"/>
      <c r="AJ511" s="19"/>
      <c r="AK511" s="702"/>
      <c r="AL511" s="4"/>
      <c r="AM511" s="4"/>
      <c r="AN511" s="666"/>
      <c r="AO511" s="38"/>
      <c r="AP511" s="1296"/>
      <c r="AQ511" s="1297"/>
      <c r="AR511" s="1298"/>
      <c r="AS511" s="621">
        <v>60</v>
      </c>
      <c r="AT511" s="4">
        <v>0</v>
      </c>
      <c r="AU511" s="158">
        <v>10</v>
      </c>
      <c r="AV511" s="158">
        <v>25</v>
      </c>
      <c r="AW511" s="158">
        <v>37.5</v>
      </c>
      <c r="AX511" s="158">
        <v>35</v>
      </c>
      <c r="AY511" s="158">
        <v>37.5</v>
      </c>
      <c r="AZ511" s="158">
        <v>50</v>
      </c>
      <c r="BA511" s="158">
        <v>50</v>
      </c>
      <c r="BB511" s="21"/>
      <c r="BC511" s="21"/>
      <c r="BE511" s="1296"/>
      <c r="BF511" s="1297"/>
      <c r="BG511" s="129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96"/>
      <c r="AQ512" s="1297"/>
      <c r="AR512" s="1298"/>
      <c r="AS512" s="621">
        <v>55</v>
      </c>
      <c r="AT512" s="4">
        <v>0</v>
      </c>
      <c r="AU512" s="158">
        <v>10</v>
      </c>
      <c r="AV512" s="158">
        <v>25</v>
      </c>
      <c r="AW512" s="158">
        <v>37.5</v>
      </c>
      <c r="AX512" s="158">
        <v>35</v>
      </c>
      <c r="AY512" s="158">
        <v>37.5</v>
      </c>
      <c r="AZ512" s="158">
        <v>50</v>
      </c>
      <c r="BA512" s="158">
        <v>50</v>
      </c>
      <c r="BE512" s="1296"/>
      <c r="BF512" s="1297"/>
      <c r="BG512" s="129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75" t="s">
        <v>123</v>
      </c>
      <c r="G513" s="1875"/>
      <c r="H513" s="187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296"/>
      <c r="AQ513" s="1297"/>
      <c r="AR513" s="1298"/>
      <c r="AS513" s="157">
        <v>50</v>
      </c>
      <c r="AT513" s="4">
        <v>0</v>
      </c>
      <c r="AU513" s="158">
        <v>10</v>
      </c>
      <c r="AV513" s="158">
        <v>25</v>
      </c>
      <c r="AW513" s="158">
        <v>37.5</v>
      </c>
      <c r="AX513" s="158">
        <v>35</v>
      </c>
      <c r="AY513" s="158">
        <v>37.5</v>
      </c>
      <c r="AZ513" s="158">
        <v>50</v>
      </c>
      <c r="BA513" s="158">
        <v>50</v>
      </c>
      <c r="BE513" s="1296"/>
      <c r="BF513" s="1297"/>
      <c r="BG513" s="129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96"/>
      <c r="AQ514" s="1297"/>
      <c r="AR514" s="1298"/>
      <c r="AS514" s="157">
        <v>45</v>
      </c>
      <c r="AT514" s="4">
        <v>0</v>
      </c>
      <c r="AU514" s="158">
        <v>10</v>
      </c>
      <c r="AV514" s="158">
        <v>22.5</v>
      </c>
      <c r="AW514" s="158">
        <v>33.799999999999997</v>
      </c>
      <c r="AX514" s="158">
        <v>35</v>
      </c>
      <c r="AY514" s="158">
        <v>37.5</v>
      </c>
      <c r="AZ514" s="158">
        <v>50</v>
      </c>
      <c r="BA514" s="158">
        <v>50</v>
      </c>
      <c r="BE514" s="1296"/>
      <c r="BF514" s="1297"/>
      <c r="BG514" s="129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70" t="s">
        <v>123</v>
      </c>
      <c r="D515" s="1871"/>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96"/>
      <c r="AQ515" s="1297"/>
      <c r="AR515" s="1298"/>
      <c r="AS515" s="157">
        <v>40</v>
      </c>
      <c r="AT515" s="4">
        <v>0</v>
      </c>
      <c r="AU515" s="158">
        <v>10</v>
      </c>
      <c r="AV515" s="158">
        <v>20</v>
      </c>
      <c r="AW515" s="158">
        <v>30</v>
      </c>
      <c r="AX515" s="158">
        <v>35</v>
      </c>
      <c r="AY515" s="158">
        <v>37.5</v>
      </c>
      <c r="AZ515" s="158">
        <v>50</v>
      </c>
      <c r="BA515" s="158">
        <v>50</v>
      </c>
      <c r="BE515" s="1296"/>
      <c r="BF515" s="1297"/>
      <c r="BG515" s="129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96"/>
      <c r="AQ516" s="1297"/>
      <c r="AR516" s="1298"/>
      <c r="AS516" s="157">
        <v>35</v>
      </c>
      <c r="AT516" s="4">
        <v>0</v>
      </c>
      <c r="AU516" s="158">
        <v>8.8000000000000007</v>
      </c>
      <c r="AV516" s="158">
        <v>17.5</v>
      </c>
      <c r="AW516" s="158">
        <v>26.3</v>
      </c>
      <c r="AX516" s="158">
        <v>35</v>
      </c>
      <c r="AY516" s="158">
        <v>37.5</v>
      </c>
      <c r="AZ516" s="158">
        <v>50</v>
      </c>
      <c r="BA516" s="158">
        <v>50</v>
      </c>
      <c r="BE516" s="1296"/>
      <c r="BF516" s="1297"/>
      <c r="BG516" s="129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6"/>
      <c r="D517" s="1150"/>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296"/>
      <c r="AQ517" s="1297"/>
      <c r="AR517" s="1298"/>
      <c r="AS517" s="157">
        <v>30</v>
      </c>
      <c r="AT517" s="4">
        <v>0</v>
      </c>
      <c r="AU517" s="158">
        <v>7.5</v>
      </c>
      <c r="AV517" s="158">
        <v>15</v>
      </c>
      <c r="AW517" s="158">
        <v>22.5</v>
      </c>
      <c r="AX517" s="158">
        <v>30</v>
      </c>
      <c r="AY517" s="158">
        <v>37.5</v>
      </c>
      <c r="AZ517" s="158">
        <v>45</v>
      </c>
      <c r="BA517" s="158">
        <v>50</v>
      </c>
      <c r="BE517" s="1296"/>
      <c r="BF517" s="1297"/>
      <c r="BG517" s="129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3" t="s">
        <v>123</v>
      </c>
      <c r="H518" s="1883"/>
      <c r="I518" s="1883"/>
      <c r="J518" s="1883"/>
      <c r="K518" s="1883"/>
      <c r="L518" s="1883"/>
      <c r="M518" s="1883"/>
      <c r="N518" s="1883"/>
      <c r="O518" s="1883"/>
      <c r="P518" s="1883"/>
      <c r="Q518" s="1883"/>
      <c r="R518" s="1883"/>
      <c r="S518" s="1883"/>
      <c r="T518" s="1883"/>
      <c r="U518" s="1883"/>
      <c r="V518" s="1883"/>
      <c r="W518" s="1883"/>
      <c r="X518" s="1883"/>
      <c r="Y518" s="1883"/>
      <c r="Z518" s="1883"/>
      <c r="AA518" s="1883"/>
      <c r="AB518" s="1883"/>
      <c r="AC518" s="1883"/>
      <c r="AD518" s="1883"/>
      <c r="AE518" s="1883"/>
      <c r="AF518" s="1883"/>
      <c r="AG518" s="4"/>
      <c r="AH518" s="4"/>
      <c r="AI518" s="4"/>
      <c r="AJ518" s="19"/>
      <c r="AK518" s="702"/>
      <c r="AL518" s="4"/>
      <c r="AM518" s="4"/>
      <c r="AN518" s="666"/>
      <c r="AP518" s="1296"/>
      <c r="AQ518" s="1297"/>
      <c r="AR518" s="1298"/>
      <c r="AS518" s="157">
        <v>25</v>
      </c>
      <c r="AT518" s="4">
        <v>0</v>
      </c>
      <c r="AU518" s="158">
        <v>6.3</v>
      </c>
      <c r="AV518" s="158">
        <v>12.5</v>
      </c>
      <c r="AW518" s="158">
        <v>18.8</v>
      </c>
      <c r="AX518" s="158">
        <v>25</v>
      </c>
      <c r="AY518" s="158">
        <v>31.3</v>
      </c>
      <c r="AZ518" s="158">
        <v>37.5</v>
      </c>
      <c r="BA518" s="158">
        <v>50</v>
      </c>
      <c r="BE518" s="1296"/>
      <c r="BF518" s="1297"/>
      <c r="BG518" s="129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96"/>
      <c r="AQ519" s="1297"/>
      <c r="AR519" s="1298"/>
      <c r="AS519" s="157">
        <v>20</v>
      </c>
      <c r="AT519" s="4">
        <v>0</v>
      </c>
      <c r="AU519" s="158">
        <v>5</v>
      </c>
      <c r="AV519" s="158">
        <v>10</v>
      </c>
      <c r="AW519" s="158">
        <v>15</v>
      </c>
      <c r="AX519" s="158">
        <v>20</v>
      </c>
      <c r="AY519" s="158">
        <v>25</v>
      </c>
      <c r="AZ519" s="158">
        <v>30</v>
      </c>
      <c r="BA519" s="158">
        <v>40</v>
      </c>
      <c r="BE519" s="1296"/>
      <c r="BF519" s="1297"/>
      <c r="BG519" s="129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2" t="s">
        <v>123</v>
      </c>
      <c r="D520" s="189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296"/>
      <c r="AQ520" s="1297"/>
      <c r="AR520" s="1298"/>
      <c r="AS520" s="157">
        <v>15</v>
      </c>
      <c r="AT520" s="4">
        <v>0</v>
      </c>
      <c r="AU520" s="158">
        <v>3.8</v>
      </c>
      <c r="AV520" s="158">
        <v>7.5</v>
      </c>
      <c r="AW520" s="158">
        <v>11.3</v>
      </c>
      <c r="AX520" s="158">
        <v>15</v>
      </c>
      <c r="AY520" s="158">
        <v>18.8</v>
      </c>
      <c r="AZ520" s="158">
        <v>22.5</v>
      </c>
      <c r="BA520" s="158">
        <v>30</v>
      </c>
      <c r="BE520" s="1296"/>
      <c r="BF520" s="1297"/>
      <c r="BG520" s="129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99"/>
      <c r="AQ521" s="1300"/>
      <c r="AR521" s="1301"/>
      <c r="AS521" s="157">
        <v>10</v>
      </c>
      <c r="AT521" s="4">
        <v>0</v>
      </c>
      <c r="AU521" s="158">
        <v>2.5</v>
      </c>
      <c r="AV521" s="158">
        <v>5</v>
      </c>
      <c r="AW521" s="158">
        <v>7.5</v>
      </c>
      <c r="AX521" s="158">
        <v>10</v>
      </c>
      <c r="AY521" s="158">
        <v>12.5</v>
      </c>
      <c r="AZ521" s="158">
        <v>15</v>
      </c>
      <c r="BA521" s="158">
        <v>20</v>
      </c>
      <c r="BE521" s="1299"/>
      <c r="BF521" s="1300"/>
      <c r="BG521" s="130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2" t="s">
        <v>123</v>
      </c>
      <c r="D524" s="1893"/>
      <c r="F524" s="493" t="s">
        <v>873</v>
      </c>
      <c r="G524" s="1670" t="s">
        <v>982</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64">
        <f>BJ528</f>
        <v>53</v>
      </c>
      <c r="BE524" s="1864"/>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858"/>
      <c r="H525" s="1858"/>
      <c r="I525" s="1858"/>
      <c r="J525" s="1858"/>
      <c r="K525" s="1858"/>
      <c r="L525" s="1858"/>
      <c r="M525" s="1858"/>
      <c r="N525" s="1858"/>
      <c r="O525" s="1858"/>
      <c r="P525" s="1858"/>
      <c r="Q525" s="1858"/>
      <c r="R525" s="1858"/>
      <c r="S525" s="1858"/>
      <c r="T525" s="1858"/>
      <c r="U525" s="1858"/>
      <c r="V525" s="1858"/>
      <c r="W525" s="1858"/>
      <c r="X525" s="1858"/>
      <c r="Y525" s="1858"/>
      <c r="Z525" s="1858"/>
      <c r="AA525" s="1858"/>
      <c r="AB525" s="1858"/>
      <c r="AC525" s="1858"/>
      <c r="AD525" s="1858"/>
      <c r="AE525" s="1858"/>
      <c r="AF525" s="1858"/>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64">
        <f>SUM(E581:J589)</f>
        <v>53</v>
      </c>
      <c r="BE525" s="1864"/>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65">
        <v>0</v>
      </c>
      <c r="BK526" s="186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65">
        <f>Application!AG439</f>
        <v>0</v>
      </c>
      <c r="BK527" s="1866"/>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857" t="s">
        <v>123</v>
      </c>
      <c r="D528" s="1144"/>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65">
        <f>Application!AG441</f>
        <v>53</v>
      </c>
      <c r="BK528" s="1866"/>
      <c r="BM528" s="1741"/>
      <c r="BN528" s="1743"/>
      <c r="BO528" s="1741"/>
      <c r="BP528" s="1743"/>
      <c r="BQ528" s="1752"/>
      <c r="BR528" s="1754"/>
      <c r="BS528" s="1752"/>
      <c r="BT528" s="1754"/>
      <c r="BU528" s="1741">
        <f>IF(T611&gt;0,1,0)</f>
        <v>0</v>
      </c>
      <c r="BV528" s="1743"/>
      <c r="BW528" s="1741">
        <f>IF(Y611&gt;=0.1,1,0)</f>
        <v>0</v>
      </c>
      <c r="BX528" s="1743"/>
      <c r="BY528" s="1752"/>
      <c r="BZ528" s="1754"/>
      <c r="CA528" s="1752"/>
      <c r="CB528" s="1754"/>
      <c r="CC528" s="1741"/>
      <c r="CD528" s="1743"/>
      <c r="CE528" s="1741"/>
      <c r="CF528" s="1743"/>
      <c r="CG528"/>
      <c r="CH528"/>
      <c r="CI528"/>
      <c r="CJ528"/>
    </row>
    <row r="529" spans="1:101" s="4" customFormat="1" ht="12.75" hidden="1" customHeight="1">
      <c r="C529" s="696"/>
      <c r="E529" s="141"/>
      <c r="F529" s="1580" t="s">
        <v>123</v>
      </c>
      <c r="G529" s="1580"/>
      <c r="H529" s="1580"/>
      <c r="I529" s="1580"/>
      <c r="J529" s="1580"/>
      <c r="K529" s="1580"/>
      <c r="L529" s="1580"/>
      <c r="M529" s="1580"/>
      <c r="N529" s="1580"/>
      <c r="O529" s="1580"/>
      <c r="P529" s="1580"/>
      <c r="Q529" s="1580"/>
      <c r="R529" s="1580"/>
      <c r="S529" s="1580"/>
      <c r="T529" s="1580"/>
      <c r="U529" s="1580"/>
      <c r="V529" s="1580"/>
      <c r="W529" s="1580"/>
      <c r="X529" s="1580"/>
      <c r="Y529" s="1580"/>
      <c r="Z529" s="1580"/>
      <c r="AA529" s="1580"/>
      <c r="AB529" s="1580"/>
      <c r="AC529" s="1580"/>
      <c r="AD529" s="1580"/>
      <c r="AE529" s="1580"/>
      <c r="AF529" s="1580"/>
      <c r="AG529" s="19"/>
      <c r="AH529" s="19"/>
      <c r="AI529" s="19"/>
      <c r="AJ529" s="19"/>
      <c r="AK529" s="702"/>
      <c r="AN529" s="279"/>
      <c r="BM529" s="1741"/>
      <c r="BN529" s="1743"/>
      <c r="BO529" s="1741"/>
      <c r="BP529" s="1743"/>
      <c r="BQ529" s="1752"/>
      <c r="BR529" s="1754"/>
      <c r="BS529" s="1752"/>
      <c r="BT529" s="1754"/>
      <c r="BU529" s="1741"/>
      <c r="BV529" s="1743"/>
      <c r="BW529" s="1741"/>
      <c r="BX529" s="1743"/>
      <c r="BY529" s="1752">
        <f>IF(T612&gt;0,1,0)</f>
        <v>1</v>
      </c>
      <c r="BZ529" s="1754"/>
      <c r="CA529" s="1752">
        <f>IF(Y612&gt;=0.1,1,0)</f>
        <v>1</v>
      </c>
      <c r="CB529" s="1754"/>
      <c r="CC529" s="1741"/>
      <c r="CD529" s="1743"/>
      <c r="CE529" s="1741"/>
      <c r="CF529" s="1743"/>
      <c r="CG529"/>
      <c r="CH529"/>
      <c r="CI529"/>
      <c r="CJ529"/>
      <c r="CW529"/>
    </row>
    <row r="530" spans="1:101" s="4" customFormat="1" ht="12.75" hidden="1" customHeight="1">
      <c r="C530" s="744"/>
      <c r="D530" s="711"/>
      <c r="E530" s="725"/>
      <c r="F530" s="1894"/>
      <c r="G530" s="1894"/>
      <c r="H530" s="1894"/>
      <c r="I530" s="1894"/>
      <c r="J530" s="1894"/>
      <c r="K530" s="1894"/>
      <c r="L530" s="1894"/>
      <c r="M530" s="1894"/>
      <c r="N530" s="1894"/>
      <c r="O530" s="1894"/>
      <c r="P530" s="1894"/>
      <c r="Q530" s="1894"/>
      <c r="R530" s="1894"/>
      <c r="S530" s="1894"/>
      <c r="T530" s="1894"/>
      <c r="U530" s="1894"/>
      <c r="V530" s="1894"/>
      <c r="W530" s="1894"/>
      <c r="X530" s="1894"/>
      <c r="Y530" s="1894"/>
      <c r="Z530" s="1894"/>
      <c r="AA530" s="1894"/>
      <c r="AB530" s="1894"/>
      <c r="AC530" s="1894"/>
      <c r="AD530" s="1894"/>
      <c r="AE530" s="1894"/>
      <c r="AF530" s="1894"/>
      <c r="AG530" s="727"/>
      <c r="AH530" s="727"/>
      <c r="AI530" s="727"/>
      <c r="AJ530" s="727"/>
      <c r="AK530" s="712"/>
      <c r="AN530" s="279"/>
      <c r="BM530" s="1741"/>
      <c r="BN530" s="1743"/>
      <c r="BO530" s="1741"/>
      <c r="BP530" s="1743"/>
      <c r="BQ530" s="1752"/>
      <c r="BR530" s="1754"/>
      <c r="BS530" s="1752"/>
      <c r="BT530" s="1754"/>
      <c r="BU530" s="1741"/>
      <c r="BV530" s="1743"/>
      <c r="BW530" s="1741"/>
      <c r="BX530" s="1743"/>
      <c r="BY530" s="1752"/>
      <c r="BZ530" s="1754"/>
      <c r="CA530" s="1752"/>
      <c r="CB530" s="1754"/>
      <c r="CC530" s="1741">
        <f>IF(T613&gt;0,1,0)</f>
        <v>0</v>
      </c>
      <c r="CD530" s="1743"/>
      <c r="CE530" s="1741">
        <f>IF(Y613&gt;=0.1,1,0)</f>
        <v>0</v>
      </c>
      <c r="CF530" s="174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1">
        <f>SUM(BM526:BN530)</f>
        <v>0</v>
      </c>
      <c r="BN531" s="1743"/>
      <c r="BO531" s="1741">
        <f>SUM(BO526:BP530)</f>
        <v>0</v>
      </c>
      <c r="BP531" s="1743"/>
      <c r="BQ531" s="1741">
        <f>SUM(BQ526:BR530)</f>
        <v>0</v>
      </c>
      <c r="BR531" s="1743"/>
      <c r="BS531" s="1741">
        <f>SUM(BS526:BT530)</f>
        <v>0</v>
      </c>
      <c r="BT531" s="1743"/>
      <c r="BU531" s="1741">
        <f>SUM(BU526:BV530)</f>
        <v>0</v>
      </c>
      <c r="BV531" s="1743"/>
      <c r="BW531" s="1741">
        <f>SUM(BW526:BX530)</f>
        <v>0</v>
      </c>
      <c r="BX531" s="1743"/>
      <c r="BY531" s="1741">
        <f>SUM(BY526:BZ530)</f>
        <v>1</v>
      </c>
      <c r="BZ531" s="1743"/>
      <c r="CA531" s="1741">
        <f>SUM(CA526:CB530)</f>
        <v>1</v>
      </c>
      <c r="CB531" s="1743"/>
      <c r="CC531" s="1741">
        <f>SUM(CC526:CD530)</f>
        <v>0</v>
      </c>
      <c r="CD531" s="1743"/>
      <c r="CE531" s="1741">
        <f>SUM(CE526:CF530)</f>
        <v>0</v>
      </c>
      <c r="CF531" s="174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9" t="s">
        <v>454</v>
      </c>
      <c r="AQ532" s="1890"/>
      <c r="AR532" s="1890"/>
      <c r="AS532" s="1890"/>
      <c r="AT532" s="1891"/>
      <c r="AU532" s="1889" t="s">
        <v>455</v>
      </c>
      <c r="AV532" s="1890"/>
      <c r="AW532" s="1890"/>
      <c r="AX532" s="1890"/>
      <c r="AY532" s="1891"/>
      <c r="BM532" s="1752">
        <f>SUM(BM531:BP531)</f>
        <v>0</v>
      </c>
      <c r="BN532" s="1753"/>
      <c r="BO532" s="1753"/>
      <c r="BP532" s="1754"/>
      <c r="BQ532" s="1752">
        <f>SUM(BQ531:BT531)</f>
        <v>0</v>
      </c>
      <c r="BR532" s="1753"/>
      <c r="BS532" s="1753"/>
      <c r="BT532" s="1754"/>
      <c r="BU532" s="1752">
        <f>SUM(BU531:BX531)</f>
        <v>0</v>
      </c>
      <c r="BV532" s="1753"/>
      <c r="BW532" s="1753"/>
      <c r="BX532" s="1754"/>
      <c r="BY532" s="1752">
        <f>SUM(BY531:CB531)</f>
        <v>2</v>
      </c>
      <c r="BZ532" s="1753"/>
      <c r="CA532" s="1753"/>
      <c r="CB532" s="1754"/>
      <c r="CC532" s="1752">
        <f>SUM(CC531:CF531)</f>
        <v>0</v>
      </c>
      <c r="CD532" s="1753"/>
      <c r="CE532" s="1753"/>
      <c r="CF532" s="175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0">
        <f>RANK(T609,$T$609:$X$613,0)+COUNTIF($T$609:$X$613,T609)-1</f>
        <v>5</v>
      </c>
      <c r="AQ533" s="1881"/>
      <c r="AR533" s="1881"/>
      <c r="AS533" s="1881"/>
      <c r="AT533" s="1882"/>
      <c r="AU533" s="1880">
        <f>RANK(Y609,$Y$609:$AC$613,0)+COUNTIF($Y$609:$AC$613,Y609)-1</f>
        <v>5</v>
      </c>
      <c r="AV533" s="1881"/>
      <c r="AW533" s="1881"/>
      <c r="AX533" s="1881"/>
      <c r="AY533" s="1882"/>
      <c r="BM533" s="1752"/>
      <c r="BN533" s="1753"/>
      <c r="BO533" s="1753"/>
      <c r="BP533" s="1754"/>
      <c r="BQ533" s="1752">
        <f>IF(AND(BQ532=2,BM532=1),1,0)</f>
        <v>0</v>
      </c>
      <c r="BR533" s="1753"/>
      <c r="BS533" s="1753"/>
      <c r="BT533" s="1754"/>
      <c r="BU533" s="1752">
        <f>IF(AND(BU532=2,BQ532=1),1,0)</f>
        <v>0</v>
      </c>
      <c r="BV533" s="1753"/>
      <c r="BW533" s="1753"/>
      <c r="BX533" s="1754"/>
      <c r="BY533" s="1752">
        <f>IF(AND(BY532=2,BU532=1),1,0)</f>
        <v>0</v>
      </c>
      <c r="BZ533" s="1753"/>
      <c r="CA533" s="1753"/>
      <c r="CB533" s="1754"/>
      <c r="CC533" s="1752">
        <f>IF(AND(CC532=2,BU532=1),1,0)</f>
        <v>0</v>
      </c>
      <c r="CD533" s="1753"/>
      <c r="CE533" s="1753"/>
      <c r="CF533" s="175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0">
        <f>RANK(T610,$T$609:$X$613,0)+COUNTIF($T$609:$X$613,T610)-1</f>
        <v>5</v>
      </c>
      <c r="AQ534" s="1881"/>
      <c r="AR534" s="1881"/>
      <c r="AS534" s="1881"/>
      <c r="AT534" s="1882"/>
      <c r="AU534" s="1880">
        <f>RANK(Y610,$Y$609:$AC$613,0)+COUNTIF($Y$609:$AC$613,Y610)-1</f>
        <v>5</v>
      </c>
      <c r="AV534" s="1881"/>
      <c r="AW534" s="1881"/>
      <c r="AX534" s="1881"/>
      <c r="AY534" s="1882"/>
      <c r="BM534" s="1752"/>
      <c r="BN534" s="1753"/>
      <c r="BO534" s="1753"/>
      <c r="BP534" s="1754"/>
      <c r="BQ534" s="1752"/>
      <c r="BR534" s="1753"/>
      <c r="BS534" s="1753"/>
      <c r="BT534" s="1754"/>
      <c r="BU534" s="1752">
        <f>IF(AND(BU532=2,BM532=1),1,0)</f>
        <v>0</v>
      </c>
      <c r="BV534" s="1753"/>
      <c r="BW534" s="1753"/>
      <c r="BX534" s="1754"/>
      <c r="BY534" s="1752">
        <f>IF(AND(BY532=2,BQ532=1),1,0)</f>
        <v>0</v>
      </c>
      <c r="BZ534" s="1753"/>
      <c r="CA534" s="1753"/>
      <c r="CB534" s="1754"/>
      <c r="CC534" s="1752">
        <f>IF(AND(CC533=2,BY533=1),1,0)</f>
        <v>0</v>
      </c>
      <c r="CD534" s="1753"/>
      <c r="CE534" s="1753"/>
      <c r="CF534" s="175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0">
        <f>RANK(T611,$T$609:$X$613,0)+COUNTIF($T$609:$X$613,T611)-1</f>
        <v>5</v>
      </c>
      <c r="AQ535" s="1881"/>
      <c r="AR535" s="1881"/>
      <c r="AS535" s="1881"/>
      <c r="AT535" s="1882"/>
      <c r="AU535" s="1880">
        <f>RANK(Y611,$Y$609:$AC$613,0)+COUNTIF($Y$609:$AC$613,Y611)-1</f>
        <v>5</v>
      </c>
      <c r="AV535" s="1881"/>
      <c r="AW535" s="1881"/>
      <c r="AX535" s="1881"/>
      <c r="AY535" s="1882"/>
      <c r="BM535" s="1752"/>
      <c r="BN535" s="1753"/>
      <c r="BO535" s="1753"/>
      <c r="BP535" s="1754"/>
      <c r="BQ535" s="1752"/>
      <c r="BR535" s="1753"/>
      <c r="BS535" s="1753"/>
      <c r="BT535" s="1754"/>
      <c r="BU535" s="1752"/>
      <c r="BV535" s="1753"/>
      <c r="BW535" s="1753"/>
      <c r="BX535" s="1754"/>
      <c r="BY535" s="1752">
        <f>IF(AND(BY532=2,BM532=1),1,0)</f>
        <v>0</v>
      </c>
      <c r="BZ535" s="1753"/>
      <c r="CA535" s="1753"/>
      <c r="CB535" s="1754"/>
      <c r="CC535" s="1752">
        <f>IF(AND(CC532=2,BQ532=1),1,0)</f>
        <v>0</v>
      </c>
      <c r="CD535" s="1753"/>
      <c r="CE535" s="1753"/>
      <c r="CF535" s="175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0">
        <f>RANK(T612,$T$609:$X$613,0)+COUNTIF($T$609:$X$613,T612)-1</f>
        <v>1</v>
      </c>
      <c r="AQ536" s="1881"/>
      <c r="AR536" s="1881"/>
      <c r="AS536" s="1881"/>
      <c r="AT536" s="1882"/>
      <c r="AU536" s="1880">
        <f>RANK(Y612,$Y$609:$AC$613,0)+COUNTIF($Y$609:$AC$613,Y612)-1</f>
        <v>1</v>
      </c>
      <c r="AV536" s="1881"/>
      <c r="AW536" s="1881"/>
      <c r="AX536" s="1881"/>
      <c r="AY536" s="1882"/>
      <c r="BM536" s="1752"/>
      <c r="BN536" s="1753"/>
      <c r="BO536" s="1753"/>
      <c r="BP536" s="1754"/>
      <c r="BQ536" s="1752"/>
      <c r="BR536" s="1753"/>
      <c r="BS536" s="1753"/>
      <c r="BT536" s="1754"/>
      <c r="BU536" s="1752"/>
      <c r="BV536" s="1753"/>
      <c r="BW536" s="1753"/>
      <c r="BX536" s="1754"/>
      <c r="BY536" s="1752"/>
      <c r="BZ536" s="1753"/>
      <c r="CA536" s="1753"/>
      <c r="CB536" s="1754"/>
      <c r="CC536" s="1752">
        <f>IF(AND(CC532=2,BM532=1),1,0)</f>
        <v>0</v>
      </c>
      <c r="CD536" s="1753"/>
      <c r="CE536" s="1753"/>
      <c r="CF536" s="175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0">
        <f>RANK(T613,$T$609:$X$613,0)+COUNTIF($T$609:$X$613,T613)-1</f>
        <v>5</v>
      </c>
      <c r="AQ537" s="1881"/>
      <c r="AR537" s="1881"/>
      <c r="AS537" s="1881"/>
      <c r="AT537" s="1882"/>
      <c r="AU537" s="1880">
        <f>RANK(Y613,$Y$609:$AC$613,0)+COUNTIF($Y$609:$AC$613,Y613)-1</f>
        <v>5</v>
      </c>
      <c r="AV537" s="1881"/>
      <c r="AW537" s="1881"/>
      <c r="AX537" s="1881"/>
      <c r="AY537" s="1882"/>
      <c r="BM537" s="1752">
        <f>SUM(BM533:BP536)</f>
        <v>0</v>
      </c>
      <c r="BN537" s="1753"/>
      <c r="BO537" s="1753"/>
      <c r="BP537" s="1754"/>
      <c r="BQ537" s="1752">
        <f>SUM(BQ533:BT536)</f>
        <v>0</v>
      </c>
      <c r="BR537" s="1753"/>
      <c r="BS537" s="1753"/>
      <c r="BT537" s="1754"/>
      <c r="BU537" s="1752">
        <f>SUM(BU533:BX536)</f>
        <v>0</v>
      </c>
      <c r="BV537" s="1753"/>
      <c r="BW537" s="1753"/>
      <c r="BX537" s="1754"/>
      <c r="BY537" s="1752">
        <f>SUM(BY533:CB536)</f>
        <v>0</v>
      </c>
      <c r="BZ537" s="1753"/>
      <c r="CA537" s="1753"/>
      <c r="CB537" s="1754"/>
      <c r="CC537" s="1752">
        <f>SUM(CC533:CF536)</f>
        <v>0</v>
      </c>
      <c r="CD537" s="1753"/>
      <c r="CE537" s="1753"/>
      <c r="CF537" s="1754"/>
      <c r="CG537" s="1752">
        <f>SUM(BM537:CF537)</f>
        <v>0</v>
      </c>
      <c r="CH537" s="1753"/>
      <c r="CI537" s="1753"/>
      <c r="CJ537" s="175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106">
        <f>SUM(AG484:AG529)</f>
        <v>0</v>
      </c>
      <c r="AL540" s="1107"/>
      <c r="AM540" s="1109"/>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1">
        <f>SUM(O609:S613)</f>
        <v>53</v>
      </c>
      <c r="AZ541" s="1743"/>
      <c r="CG541"/>
      <c r="CH541" s="1786" t="s">
        <v>774</v>
      </c>
      <c r="CI541" s="1467"/>
      <c r="CJ541" s="1467"/>
      <c r="CK541" s="146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1" t="str">
        <f>IF(AY541=BK568,"passed","failed")</f>
        <v>passed</v>
      </c>
      <c r="AT542" s="1742"/>
      <c r="AU542" s="1743"/>
      <c r="AV542" s="149"/>
      <c r="AW542" s="149"/>
      <c r="AX542" s="149"/>
      <c r="AY542" s="149"/>
      <c r="AZ542" s="150"/>
      <c r="CG542"/>
      <c r="CH542" s="1469"/>
      <c r="CI542" s="1470"/>
      <c r="CJ542" s="1470"/>
      <c r="CK542" s="1471"/>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99" t="s">
        <v>364</v>
      </c>
      <c r="AF543" s="1799"/>
      <c r="AG543" s="1799"/>
      <c r="AH543" s="1799"/>
      <c r="AI543" s="1799"/>
      <c r="AJ543" s="1799"/>
      <c r="AK543" s="1799"/>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69"/>
      <c r="CI543" s="1470"/>
      <c r="CJ543" s="1470"/>
      <c r="CK543" s="1471"/>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181</v>
      </c>
      <c r="AH544" s="1695"/>
      <c r="AI544" s="1695"/>
      <c r="AJ544" s="1695"/>
      <c r="AK544" s="18"/>
      <c r="AL544" s="18"/>
      <c r="AM544" s="21"/>
      <c r="AN544" s="279"/>
      <c r="BE544" s="1752" t="s">
        <v>222</v>
      </c>
      <c r="BF544" s="1753"/>
      <c r="BG544" s="1753"/>
      <c r="BH544" s="1754"/>
      <c r="BI544" s="1752" t="s">
        <v>715</v>
      </c>
      <c r="BJ544" s="1753"/>
      <c r="BK544" s="1753"/>
      <c r="BL544" s="1754"/>
      <c r="BM544" s="1752" t="s">
        <v>716</v>
      </c>
      <c r="BN544" s="1753"/>
      <c r="BO544" s="1753"/>
      <c r="BP544" s="1754"/>
      <c r="BQ544" s="1752" t="s">
        <v>717</v>
      </c>
      <c r="BR544" s="1753"/>
      <c r="BS544" s="1753"/>
      <c r="BT544" s="1754"/>
      <c r="BU544" s="1752" t="s">
        <v>718</v>
      </c>
      <c r="BV544" s="1753"/>
      <c r="BW544" s="1753"/>
      <c r="BX544" s="1754"/>
      <c r="BY544" s="1752" t="s">
        <v>223</v>
      </c>
      <c r="BZ544" s="1753"/>
      <c r="CA544" s="1753"/>
      <c r="CB544" s="1754"/>
      <c r="CC544"/>
      <c r="CG544"/>
      <c r="CH544" s="1469"/>
      <c r="CI544" s="1470"/>
      <c r="CJ544" s="1470"/>
      <c r="CK544" s="1471"/>
    </row>
    <row r="545" spans="1:89" s="4" customFormat="1" ht="12.75" customHeight="1">
      <c r="A545" s="3"/>
      <c r="B545" s="1835" t="s">
        <v>2303</v>
      </c>
      <c r="C545" s="1835"/>
      <c r="D545" s="1835"/>
      <c r="E545" s="1835"/>
      <c r="F545" s="1835"/>
      <c r="G545" s="1835"/>
      <c r="H545" s="1835"/>
      <c r="I545" s="1835"/>
      <c r="J545" s="1835"/>
      <c r="K545" s="1835"/>
      <c r="L545" s="1835"/>
      <c r="M545" s="1835"/>
      <c r="N545" s="1835"/>
      <c r="O545" s="1835"/>
      <c r="P545" s="1835"/>
      <c r="Q545" s="1835"/>
      <c r="R545" s="1835"/>
      <c r="S545" s="1835"/>
      <c r="T545" s="1835"/>
      <c r="U545" s="1835"/>
      <c r="V545" s="1835"/>
      <c r="W545" s="1835"/>
      <c r="X545" s="1835"/>
      <c r="Y545" s="1835"/>
      <c r="Z545" s="1835"/>
      <c r="AA545" s="1835"/>
      <c r="AB545" s="1835"/>
      <c r="AC545" s="1835"/>
      <c r="AD545" s="1835"/>
      <c r="AE545" s="1835"/>
      <c r="AF545" s="1835"/>
      <c r="AG545" s="1835"/>
      <c r="AK545" s="21"/>
      <c r="AL545" s="21"/>
      <c r="AN545" s="279"/>
      <c r="AP545" s="431" t="s">
        <v>612</v>
      </c>
      <c r="AQ545" s="432"/>
      <c r="AR545" s="432"/>
      <c r="AS545" s="432"/>
      <c r="AT545" s="432"/>
      <c r="AU545" s="432"/>
      <c r="AV545" s="433"/>
      <c r="AW545" s="432"/>
      <c r="AX545" s="432"/>
      <c r="AY545" s="433"/>
      <c r="BE545" s="1741">
        <f>IF(CH546=1,0,1)</f>
        <v>0</v>
      </c>
      <c r="BF545" s="1742"/>
      <c r="BG545" s="1742"/>
      <c r="BH545" s="1743"/>
      <c r="BI545" s="1741"/>
      <c r="BJ545" s="1742"/>
      <c r="BK545" s="1742"/>
      <c r="BL545" s="1743"/>
      <c r="BM545" s="1741"/>
      <c r="BN545" s="1742"/>
      <c r="BO545" s="1742"/>
      <c r="BP545" s="1743"/>
      <c r="BQ545" s="1741"/>
      <c r="BR545" s="1742"/>
      <c r="BS545" s="1742"/>
      <c r="BT545" s="1743"/>
      <c r="BU545" s="1752"/>
      <c r="BV545" s="1753"/>
      <c r="BW545" s="1753"/>
      <c r="BX545" s="1754"/>
      <c r="BY545" s="1752"/>
      <c r="BZ545" s="1753"/>
      <c r="CA545" s="1753"/>
      <c r="CB545" s="1754"/>
      <c r="CC545"/>
      <c r="CG545"/>
      <c r="CH545" s="1519"/>
      <c r="CI545" s="1520"/>
      <c r="CJ545" s="1520"/>
      <c r="CK545" s="1521"/>
    </row>
    <row r="546" spans="1:89" s="4" customFormat="1" ht="12.75" customHeight="1">
      <c r="A546" s="20"/>
      <c r="B546" s="1835"/>
      <c r="C546" s="1835"/>
      <c r="D546" s="1835"/>
      <c r="E546" s="1835"/>
      <c r="F546" s="1835"/>
      <c r="G546" s="1835"/>
      <c r="H546" s="1835"/>
      <c r="I546" s="1835"/>
      <c r="J546" s="1835"/>
      <c r="K546" s="1835"/>
      <c r="L546" s="1835"/>
      <c r="M546" s="1835"/>
      <c r="N546" s="1835"/>
      <c r="O546" s="1835"/>
      <c r="P546" s="1835"/>
      <c r="Q546" s="1835"/>
      <c r="R546" s="1835"/>
      <c r="S546" s="1835"/>
      <c r="T546" s="1835"/>
      <c r="U546" s="1835"/>
      <c r="V546" s="1835"/>
      <c r="W546" s="1835"/>
      <c r="X546" s="1835"/>
      <c r="Y546" s="1835"/>
      <c r="Z546" s="1835"/>
      <c r="AA546" s="1835"/>
      <c r="AB546" s="1835"/>
      <c r="AC546" s="1835"/>
      <c r="AD546" s="1835"/>
      <c r="AE546" s="1835"/>
      <c r="AF546" s="1835"/>
      <c r="AG546" s="1835"/>
      <c r="AK546" s="161"/>
      <c r="AL546" s="161"/>
      <c r="AM546" s="161"/>
      <c r="AN546" s="279"/>
      <c r="AP546" s="434" t="s">
        <v>610</v>
      </c>
      <c r="AQ546" s="435"/>
      <c r="AR546" s="435"/>
      <c r="AS546" s="435"/>
      <c r="AT546" s="435"/>
      <c r="AU546" s="1776">
        <f>ROUNDUP(BK568*0.1,0)</f>
        <v>6</v>
      </c>
      <c r="AV546" s="1778"/>
      <c r="AW546" s="435"/>
      <c r="AX546" s="435">
        <f>AU546-AP548</f>
        <v>-47</v>
      </c>
      <c r="AY546" s="436"/>
      <c r="BE546" s="1741"/>
      <c r="BF546" s="1742"/>
      <c r="BG546" s="1742"/>
      <c r="BH546" s="1743"/>
      <c r="BI546" s="1741">
        <f>IF(AND(CH547=1,BE545=0),0,1)</f>
        <v>0</v>
      </c>
      <c r="BJ546" s="1742"/>
      <c r="BK546" s="1742"/>
      <c r="BL546" s="1743"/>
      <c r="BM546" s="1741"/>
      <c r="BN546" s="1742"/>
      <c r="BO546" s="1742"/>
      <c r="BP546" s="1743"/>
      <c r="BQ546" s="1741"/>
      <c r="BR546" s="1742"/>
      <c r="BS546" s="1742"/>
      <c r="BT546" s="1743"/>
      <c r="BU546" s="1752"/>
      <c r="BV546" s="1753"/>
      <c r="BW546" s="1753"/>
      <c r="BX546" s="1754"/>
      <c r="BY546" s="1752"/>
      <c r="BZ546" s="1753"/>
      <c r="CA546" s="1753"/>
      <c r="CB546" s="1754"/>
      <c r="CC546"/>
      <c r="CG546"/>
      <c r="CH546" s="1752">
        <f>IF(OR(Y609=0,Y609&gt;=0.1),1,0)</f>
        <v>1</v>
      </c>
      <c r="CI546" s="1753"/>
      <c r="CJ546" s="1753"/>
      <c r="CK546" s="1754"/>
    </row>
    <row r="547" spans="1:89" s="4" customFormat="1" ht="12.75" customHeight="1">
      <c r="B547" s="1835"/>
      <c r="C547" s="1835"/>
      <c r="D547" s="1835"/>
      <c r="E547" s="1835"/>
      <c r="F547" s="1835"/>
      <c r="G547" s="1835"/>
      <c r="H547" s="1835"/>
      <c r="I547" s="1835"/>
      <c r="J547" s="1835"/>
      <c r="K547" s="1835"/>
      <c r="L547" s="1835"/>
      <c r="M547" s="1835"/>
      <c r="N547" s="1835"/>
      <c r="O547" s="1835"/>
      <c r="P547" s="1835"/>
      <c r="Q547" s="1835"/>
      <c r="R547" s="1835"/>
      <c r="S547" s="1835"/>
      <c r="T547" s="1835"/>
      <c r="U547" s="1835"/>
      <c r="V547" s="1835"/>
      <c r="W547" s="1835"/>
      <c r="X547" s="1835"/>
      <c r="Y547" s="1835"/>
      <c r="Z547" s="1835"/>
      <c r="AA547" s="1835"/>
      <c r="AB547" s="1835"/>
      <c r="AC547" s="1835"/>
      <c r="AD547" s="1835"/>
      <c r="AE547" s="1835"/>
      <c r="AF547" s="1835"/>
      <c r="AG547" s="1835"/>
      <c r="AH547" s="160"/>
      <c r="AI547" s="160"/>
      <c r="AJ547" s="160"/>
      <c r="AK547" s="161"/>
      <c r="AL547" s="161"/>
      <c r="AM547" s="161"/>
      <c r="AN547" s="279"/>
      <c r="AP547" s="434"/>
      <c r="AQ547" s="435"/>
      <c r="AR547" s="435"/>
      <c r="AS547" s="435"/>
      <c r="AT547" s="435"/>
      <c r="AU547" s="435"/>
      <c r="AV547" s="436"/>
      <c r="AW547" s="435"/>
      <c r="AX547" s="435"/>
      <c r="AY547" s="436"/>
      <c r="BE547" s="1741"/>
      <c r="BF547" s="1742"/>
      <c r="BG547" s="1742"/>
      <c r="BH547" s="1743"/>
      <c r="BI547" s="1741"/>
      <c r="BJ547" s="1742"/>
      <c r="BK547" s="1742"/>
      <c r="BL547" s="1743"/>
      <c r="BM547" s="1741">
        <f>IF(AND(AND(CH548=1,BI546=0,BE545=0)),0,1)</f>
        <v>0</v>
      </c>
      <c r="BN547" s="1742"/>
      <c r="BO547" s="1742"/>
      <c r="BP547" s="1743"/>
      <c r="BQ547" s="1741"/>
      <c r="BR547" s="1742"/>
      <c r="BS547" s="1742"/>
      <c r="BT547" s="1743"/>
      <c r="BU547" s="1752"/>
      <c r="BV547" s="1753"/>
      <c r="BW547" s="1753"/>
      <c r="BX547" s="1754"/>
      <c r="BY547" s="1752"/>
      <c r="BZ547" s="1753"/>
      <c r="CA547" s="1753"/>
      <c r="CB547" s="1754"/>
      <c r="CC547"/>
      <c r="CG547"/>
      <c r="CH547" s="1752">
        <f>IF(OR(Y610=0,Y610&gt;=0.1),1,0)</f>
        <v>1</v>
      </c>
      <c r="CI547" s="1753"/>
      <c r="CJ547" s="1753"/>
      <c r="CK547" s="1754"/>
    </row>
    <row r="548" spans="1:89" s="4" customFormat="1" ht="12.75" customHeight="1">
      <c r="B548" s="1835"/>
      <c r="C548" s="1835"/>
      <c r="D548" s="1835"/>
      <c r="E548" s="1835"/>
      <c r="F548" s="1835"/>
      <c r="G548" s="1835"/>
      <c r="H548" s="1835"/>
      <c r="I548" s="1835"/>
      <c r="J548" s="1835"/>
      <c r="K548" s="1835"/>
      <c r="L548" s="1835"/>
      <c r="M548" s="1835"/>
      <c r="N548" s="1835"/>
      <c r="O548" s="1835"/>
      <c r="P548" s="1835"/>
      <c r="Q548" s="1835"/>
      <c r="R548" s="1835"/>
      <c r="S548" s="1835"/>
      <c r="T548" s="1835"/>
      <c r="U548" s="1835"/>
      <c r="V548" s="1835"/>
      <c r="W548" s="1835"/>
      <c r="X548" s="1835"/>
      <c r="Y548" s="1835"/>
      <c r="Z548" s="1835"/>
      <c r="AA548" s="1835"/>
      <c r="AB548" s="1835"/>
      <c r="AC548" s="1835"/>
      <c r="AD548" s="1835"/>
      <c r="AE548" s="1835"/>
      <c r="AF548" s="1835"/>
      <c r="AG548" s="1835"/>
      <c r="AH548" s="160"/>
      <c r="AI548" s="160"/>
      <c r="AJ548" s="160"/>
      <c r="AK548" s="161"/>
      <c r="AL548" s="161"/>
      <c r="AM548" s="161"/>
      <c r="AN548" s="279"/>
      <c r="AP548" s="1830">
        <f>SUM(T609:X613)</f>
        <v>53</v>
      </c>
      <c r="AQ548" s="1831"/>
      <c r="AR548" s="1831"/>
      <c r="AS548" s="1831"/>
      <c r="AT548" s="1832"/>
      <c r="AU548" s="435"/>
      <c r="AV548" s="436"/>
      <c r="AW548" s="435"/>
      <c r="AX548" s="435"/>
      <c r="AY548" s="436"/>
      <c r="BE548" s="1741"/>
      <c r="BF548" s="1742"/>
      <c r="BG548" s="1742"/>
      <c r="BH548" s="1743"/>
      <c r="BI548" s="1741"/>
      <c r="BJ548" s="1742"/>
      <c r="BK548" s="1742"/>
      <c r="BL548" s="1743"/>
      <c r="BM548" s="1741"/>
      <c r="BN548" s="1742"/>
      <c r="BO548" s="1742"/>
      <c r="BP548" s="1743"/>
      <c r="BQ548" s="1741">
        <f>IF(AND(AND(AND(CH549=1,BM547=0,BI546=0,BE545=0))),0,1)</f>
        <v>0</v>
      </c>
      <c r="BR548" s="1742"/>
      <c r="BS548" s="1742"/>
      <c r="BT548" s="1743"/>
      <c r="BU548" s="1752"/>
      <c r="BV548" s="1753"/>
      <c r="BW548" s="1753"/>
      <c r="BX548" s="1754"/>
      <c r="BY548" s="1752"/>
      <c r="BZ548" s="1753"/>
      <c r="CA548" s="1753"/>
      <c r="CB548" s="1754"/>
      <c r="CC548"/>
      <c r="CG548"/>
      <c r="CH548" s="1752">
        <f>IF(OR(Y611=0,Y611&gt;=0.1),1,0)</f>
        <v>1</v>
      </c>
      <c r="CI548" s="1753"/>
      <c r="CJ548" s="1753"/>
      <c r="CK548" s="1754"/>
    </row>
    <row r="549" spans="1:89" s="4" customFormat="1" ht="12.75" customHeight="1">
      <c r="B549" s="1835"/>
      <c r="C549" s="1835"/>
      <c r="D549" s="1835"/>
      <c r="E549" s="1835"/>
      <c r="F549" s="1835"/>
      <c r="G549" s="1835"/>
      <c r="H549" s="1835"/>
      <c r="I549" s="1835"/>
      <c r="J549" s="1835"/>
      <c r="K549" s="1835"/>
      <c r="L549" s="1835"/>
      <c r="M549" s="1835"/>
      <c r="N549" s="1835"/>
      <c r="O549" s="1835"/>
      <c r="P549" s="1835"/>
      <c r="Q549" s="1835"/>
      <c r="R549" s="1835"/>
      <c r="S549" s="1835"/>
      <c r="T549" s="1835"/>
      <c r="U549" s="1835"/>
      <c r="V549" s="1835"/>
      <c r="W549" s="1835"/>
      <c r="X549" s="1835"/>
      <c r="Y549" s="1835"/>
      <c r="Z549" s="1835"/>
      <c r="AA549" s="1835"/>
      <c r="AB549" s="1835"/>
      <c r="AC549" s="1835"/>
      <c r="AD549" s="1835"/>
      <c r="AE549" s="1835"/>
      <c r="AF549" s="1835"/>
      <c r="AG549" s="1835"/>
      <c r="AH549" s="160"/>
      <c r="AI549" s="160"/>
      <c r="AJ549" s="160"/>
      <c r="AK549" s="161"/>
      <c r="AL549" s="161"/>
      <c r="AM549" s="161"/>
      <c r="AN549" s="279"/>
      <c r="AP549" s="437"/>
      <c r="AQ549" s="438"/>
      <c r="AR549" s="438"/>
      <c r="AS549" s="438"/>
      <c r="AT549" s="439" t="s">
        <v>605</v>
      </c>
      <c r="AU549" s="1776" t="str">
        <f>IF(AP548&gt;=AU546,"passed","failed")</f>
        <v>passed</v>
      </c>
      <c r="AV549" s="1777"/>
      <c r="AW549" s="1778"/>
      <c r="AX549" s="440"/>
      <c r="AY549" s="441"/>
      <c r="BE549" s="1741"/>
      <c r="BF549" s="1742"/>
      <c r="BG549" s="1742"/>
      <c r="BH549" s="1743"/>
      <c r="BI549" s="1741"/>
      <c r="BJ549" s="1742"/>
      <c r="BK549" s="1742"/>
      <c r="BL549" s="1743"/>
      <c r="BM549" s="1741"/>
      <c r="BN549" s="1742"/>
      <c r="BO549" s="1742"/>
      <c r="BP549" s="1743"/>
      <c r="BQ549" s="1741"/>
      <c r="BR549" s="1742"/>
      <c r="BS549" s="1742"/>
      <c r="BT549" s="1743"/>
      <c r="BU549" s="1741">
        <f>IF(AND(AND(AND(AND(CH550=1,BQ548=0,BM547=0,BI546=0,BE545=0)))),0,1)</f>
        <v>0</v>
      </c>
      <c r="BV549" s="1742"/>
      <c r="BW549" s="1742"/>
      <c r="BX549" s="1743"/>
      <c r="BY549" s="1752"/>
      <c r="BZ549" s="1753"/>
      <c r="CA549" s="1753"/>
      <c r="CB549" s="1754"/>
      <c r="CC549"/>
      <c r="CD549"/>
      <c r="CE549"/>
      <c r="CF549"/>
      <c r="CG549"/>
      <c r="CH549" s="1752">
        <f>IF(OR(Y612=0,Y612&gt;=0.1),1,0)</f>
        <v>1</v>
      </c>
      <c r="CI549" s="1753"/>
      <c r="CJ549" s="1753"/>
      <c r="CK549" s="1754"/>
    </row>
    <row r="550" spans="1:89" s="4" customFormat="1" ht="13.65" customHeight="1">
      <c r="B550" s="1835"/>
      <c r="C550" s="1835"/>
      <c r="D550" s="1835"/>
      <c r="E550" s="1835"/>
      <c r="F550" s="1835"/>
      <c r="G550" s="1835"/>
      <c r="H550" s="1835"/>
      <c r="I550" s="1835"/>
      <c r="J550" s="1835"/>
      <c r="K550" s="1835"/>
      <c r="L550" s="1835"/>
      <c r="M550" s="1835"/>
      <c r="N550" s="1835"/>
      <c r="O550" s="1835"/>
      <c r="P550" s="1835"/>
      <c r="Q550" s="1835"/>
      <c r="R550" s="1835"/>
      <c r="S550" s="1835"/>
      <c r="T550" s="1835"/>
      <c r="U550" s="1835"/>
      <c r="V550" s="1835"/>
      <c r="W550" s="1835"/>
      <c r="X550" s="1835"/>
      <c r="Y550" s="1835"/>
      <c r="Z550" s="1835"/>
      <c r="AA550" s="1835"/>
      <c r="AB550" s="1835"/>
      <c r="AC550" s="1835"/>
      <c r="AD550" s="1835"/>
      <c r="AE550" s="1835"/>
      <c r="AF550" s="1835"/>
      <c r="AG550" s="1835"/>
      <c r="AH550" s="160"/>
      <c r="AI550" s="160"/>
      <c r="AJ550" s="160"/>
      <c r="AK550" s="161"/>
      <c r="AL550" s="161"/>
      <c r="AM550" s="161"/>
      <c r="AN550" s="279"/>
      <c r="BE550" s="1741">
        <f>SUM(BE545:BH549)</f>
        <v>0</v>
      </c>
      <c r="BF550" s="1742"/>
      <c r="BG550" s="1742"/>
      <c r="BH550" s="1743"/>
      <c r="BI550" s="1741">
        <f>SUM(BI545:BL549)</f>
        <v>0</v>
      </c>
      <c r="BJ550" s="1742"/>
      <c r="BK550" s="1742"/>
      <c r="BL550" s="1743"/>
      <c r="BM550" s="1741">
        <f>SUM(BM545:BP549)</f>
        <v>0</v>
      </c>
      <c r="BN550" s="1742"/>
      <c r="BO550" s="1742"/>
      <c r="BP550" s="1743"/>
      <c r="BQ550" s="1741">
        <f>SUM(BQ545:BT549)</f>
        <v>0</v>
      </c>
      <c r="BR550" s="1742"/>
      <c r="BS550" s="1742"/>
      <c r="BT550" s="1743"/>
      <c r="BU550" s="1741">
        <f>SUM(BU545:BX549)</f>
        <v>0</v>
      </c>
      <c r="BV550" s="1742"/>
      <c r="BW550" s="1742"/>
      <c r="BX550" s="1743"/>
      <c r="BY550" s="1741">
        <f>SUM(BY545:CB549)</f>
        <v>0</v>
      </c>
      <c r="BZ550" s="1742"/>
      <c r="CA550" s="1742"/>
      <c r="CB550" s="1743"/>
      <c r="CC550" s="1752">
        <f>IF(AND(CH546=1,T609&gt;0),0,SUM(BE550:CB550))</f>
        <v>0</v>
      </c>
      <c r="CD550" s="1753"/>
      <c r="CE550" s="1753"/>
      <c r="CF550" s="1754"/>
      <c r="CG550"/>
      <c r="CH550" s="1752">
        <f>IF(OR(Y613=0,Y613&gt;=0.1),1,0)</f>
        <v>1</v>
      </c>
      <c r="CI550" s="1753"/>
      <c r="CJ550" s="1753"/>
      <c r="CK550" s="1754"/>
    </row>
    <row r="551" spans="1:89" s="4" customFormat="1" ht="12.45" customHeight="1">
      <c r="B551" s="1755" t="s">
        <v>1496</v>
      </c>
      <c r="C551" s="1755"/>
      <c r="D551" s="1755"/>
      <c r="E551" s="1755"/>
      <c r="F551" s="1755"/>
      <c r="G551" s="1755"/>
      <c r="H551" s="1755"/>
      <c r="I551" s="1755"/>
      <c r="J551" s="1755"/>
      <c r="K551" s="1755"/>
      <c r="L551" s="1755"/>
      <c r="M551" s="1755"/>
      <c r="N551" s="1755"/>
      <c r="O551" s="1755"/>
      <c r="P551" s="1755"/>
      <c r="Q551" s="1755"/>
      <c r="R551" s="1755"/>
      <c r="S551" s="1755"/>
      <c r="T551" s="1755"/>
      <c r="U551" s="1755"/>
      <c r="V551" s="1755"/>
      <c r="W551" s="1755"/>
      <c r="X551" s="1755"/>
      <c r="Y551" s="1755"/>
      <c r="Z551" s="1755"/>
      <c r="AA551" s="1755"/>
      <c r="AB551" s="1755"/>
      <c r="AC551" s="1755"/>
      <c r="AD551" s="1755"/>
      <c r="AE551" s="1755"/>
      <c r="AF551" s="1755"/>
      <c r="AG551" s="1755"/>
      <c r="AH551" s="160"/>
      <c r="AI551" s="160"/>
      <c r="AJ551" s="160"/>
      <c r="AK551" s="161"/>
      <c r="AL551" s="161"/>
      <c r="AM551" s="161"/>
      <c r="AN551" s="279"/>
    </row>
    <row r="552" spans="1:89" s="4" customFormat="1" ht="21" customHeight="1">
      <c r="B552" s="1755"/>
      <c r="C552" s="1755"/>
      <c r="D552" s="1755"/>
      <c r="E552" s="1755"/>
      <c r="F552" s="1755"/>
      <c r="G552" s="1755"/>
      <c r="H552" s="1755"/>
      <c r="I552" s="1755"/>
      <c r="J552" s="1755"/>
      <c r="K552" s="1755"/>
      <c r="L552" s="1755"/>
      <c r="M552" s="1755"/>
      <c r="N552" s="1755"/>
      <c r="O552" s="1755"/>
      <c r="P552" s="1755"/>
      <c r="Q552" s="1755"/>
      <c r="R552" s="1755"/>
      <c r="S552" s="1755"/>
      <c r="T552" s="1755"/>
      <c r="U552" s="1755"/>
      <c r="V552" s="1755"/>
      <c r="W552" s="1755"/>
      <c r="X552" s="1755"/>
      <c r="Y552" s="1755"/>
      <c r="Z552" s="1755"/>
      <c r="AA552" s="1755"/>
      <c r="AB552" s="1755"/>
      <c r="AC552" s="1755"/>
      <c r="AD552" s="1755"/>
      <c r="AE552" s="1755"/>
      <c r="AF552" s="1755"/>
      <c r="AG552" s="1755"/>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5" t="s">
        <v>1749</v>
      </c>
      <c r="C553" s="1755"/>
      <c r="D553" s="1755"/>
      <c r="E553" s="1755"/>
      <c r="F553" s="1755"/>
      <c r="G553" s="1755"/>
      <c r="H553" s="1755"/>
      <c r="I553" s="1755"/>
      <c r="J553" s="1755"/>
      <c r="K553" s="1755"/>
      <c r="L553" s="1755"/>
      <c r="M553" s="1755"/>
      <c r="N553" s="1755"/>
      <c r="O553" s="1755"/>
      <c r="P553" s="1755"/>
      <c r="Q553" s="1755"/>
      <c r="R553" s="1755"/>
      <c r="S553" s="1755"/>
      <c r="T553" s="1755"/>
      <c r="U553" s="1755"/>
      <c r="V553" s="1755"/>
      <c r="W553" s="1755"/>
      <c r="X553" s="1755"/>
      <c r="Y553" s="1755"/>
      <c r="Z553" s="1755"/>
      <c r="AA553" s="1755"/>
      <c r="AB553" s="1755"/>
      <c r="AC553" s="1755"/>
      <c r="AD553" s="1755"/>
      <c r="AE553" s="1755"/>
      <c r="AF553" s="1755"/>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5"/>
      <c r="C554" s="1755"/>
      <c r="D554" s="1755"/>
      <c r="E554" s="1755"/>
      <c r="F554" s="1755"/>
      <c r="G554" s="1755"/>
      <c r="H554" s="1755"/>
      <c r="I554" s="1755"/>
      <c r="J554" s="1755"/>
      <c r="K554" s="1755"/>
      <c r="L554" s="1755"/>
      <c r="M554" s="1755"/>
      <c r="N554" s="1755"/>
      <c r="O554" s="1755"/>
      <c r="P554" s="1755"/>
      <c r="Q554" s="1755"/>
      <c r="R554" s="1755"/>
      <c r="S554" s="1755"/>
      <c r="T554" s="1755"/>
      <c r="U554" s="1755"/>
      <c r="V554" s="1755"/>
      <c r="W554" s="1755"/>
      <c r="X554" s="1755"/>
      <c r="Y554" s="1755"/>
      <c r="Z554" s="1755"/>
      <c r="AA554" s="1755"/>
      <c r="AB554" s="1755"/>
      <c r="AC554" s="1755"/>
      <c r="AD554" s="1755"/>
      <c r="AE554" s="1755"/>
      <c r="AF554" s="1755"/>
      <c r="AG554" s="160"/>
      <c r="AH554" s="160"/>
      <c r="AI554" s="160"/>
      <c r="AJ554" s="160"/>
      <c r="AK554" s="161"/>
      <c r="AL554" s="161"/>
      <c r="AM554" s="161"/>
      <c r="AN554" s="279"/>
      <c r="AP554" s="148"/>
      <c r="AQ554" s="149"/>
      <c r="AR554" s="149"/>
      <c r="AS554" s="149"/>
      <c r="AT554" s="155" t="s">
        <v>605</v>
      </c>
      <c r="AU554" s="149"/>
      <c r="AV554" s="1741" t="str">
        <f>IF(BJ590&gt;0,"failed","passed")</f>
        <v>passed</v>
      </c>
      <c r="AW554" s="1742"/>
      <c r="AX554" s="1742"/>
      <c r="AY554" s="1743"/>
    </row>
    <row r="555" spans="1:89" s="4" customFormat="1" ht="12.4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4" t="s">
        <v>1497</v>
      </c>
      <c r="R557" s="1904"/>
      <c r="S557" s="1904"/>
      <c r="T557" s="1904"/>
      <c r="U557" s="1904"/>
      <c r="V557" s="1904"/>
      <c r="W557" s="1904"/>
      <c r="X557" s="1904"/>
      <c r="Y557" s="1904"/>
      <c r="Z557" s="1904"/>
      <c r="AA557" s="1904"/>
      <c r="AB557" s="1904"/>
      <c r="AC557" s="1904"/>
      <c r="AD557" s="1904"/>
      <c r="AE557" s="1904"/>
      <c r="AF557" s="1904"/>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4"/>
      <c r="R558" s="1904"/>
      <c r="S558" s="1904"/>
      <c r="T558" s="1904"/>
      <c r="U558" s="1904"/>
      <c r="V558" s="1904"/>
      <c r="W558" s="1904"/>
      <c r="X558" s="1904"/>
      <c r="Y558" s="1904"/>
      <c r="Z558" s="1904"/>
      <c r="AA558" s="1904"/>
      <c r="AB558" s="1904"/>
      <c r="AC558" s="1904"/>
      <c r="AD558" s="1904"/>
      <c r="AE558" s="1904"/>
      <c r="AF558" s="1904"/>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0" t="s">
        <v>1748</v>
      </c>
      <c r="R559" s="1771"/>
      <c r="S559" s="1896" t="s">
        <v>203</v>
      </c>
      <c r="T559" s="1896"/>
      <c r="U559" s="1770">
        <v>0.5</v>
      </c>
      <c r="V559" s="1771"/>
      <c r="W559" s="1770">
        <v>0.45</v>
      </c>
      <c r="X559" s="1771"/>
      <c r="Y559" s="1770">
        <v>0.4</v>
      </c>
      <c r="Z559" s="1771"/>
      <c r="AA559" s="1770">
        <v>0.35</v>
      </c>
      <c r="AB559" s="1771"/>
      <c r="AC559" s="1774">
        <v>0.3</v>
      </c>
      <c r="AD559" s="1775"/>
      <c r="AE559" s="1770">
        <v>0.2</v>
      </c>
      <c r="AF559" s="17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4"/>
      <c r="P560" s="1665"/>
      <c r="Q560" s="1903"/>
      <c r="R560" s="1744"/>
      <c r="S560" s="1756"/>
      <c r="T560" s="1756"/>
      <c r="U560" s="1744"/>
      <c r="V560" s="1744"/>
      <c r="W560" s="1744"/>
      <c r="X560" s="1744"/>
      <c r="Y560" s="1744"/>
      <c r="Z560" s="1744"/>
      <c r="AA560" s="1745"/>
      <c r="AB560" s="1745"/>
      <c r="AC560" s="1744"/>
      <c r="AD560" s="1744"/>
      <c r="AE560" s="1772"/>
      <c r="AF560" s="1773"/>
      <c r="AN560" s="279"/>
      <c r="AP560" s="142" t="s">
        <v>712</v>
      </c>
      <c r="AQ560" s="9"/>
      <c r="AR560" s="9"/>
      <c r="AS560" s="9"/>
      <c r="AT560" s="1752" t="str">
        <f>IF(OR(AV554="passed",BD558="passed"),"passed","failed")</f>
        <v>passed</v>
      </c>
      <c r="AU560" s="1753"/>
      <c r="AV560" s="1753"/>
      <c r="AW560" s="1753"/>
      <c r="AX560" s="1754"/>
    </row>
    <row r="561" spans="1:96" s="4" customFormat="1" ht="12.75" customHeight="1">
      <c r="B561" s="63"/>
      <c r="I561" s="218"/>
      <c r="J561" s="160"/>
      <c r="N561" s="5"/>
      <c r="O561" s="1664"/>
      <c r="P561" s="1665"/>
      <c r="Q561" s="1666"/>
      <c r="R561" s="1667"/>
      <c r="S561" s="1667"/>
      <c r="T561" s="1667"/>
      <c r="U561" s="1667"/>
      <c r="V561" s="1667"/>
      <c r="W561" s="1667"/>
      <c r="X561" s="1667"/>
      <c r="Y561" s="1656"/>
      <c r="Z561" s="1656"/>
      <c r="AA561" s="1667"/>
      <c r="AB561" s="1667"/>
      <c r="AC561" s="1656"/>
      <c r="AD561" s="1656"/>
      <c r="AE561" s="1693"/>
      <c r="AF561" s="1694"/>
      <c r="AN561" s="279"/>
      <c r="AP561"/>
      <c r="AQ561"/>
      <c r="AR561"/>
      <c r="AS561"/>
      <c r="AT561"/>
      <c r="AU561"/>
      <c r="AV561"/>
      <c r="AW561"/>
      <c r="AX561"/>
      <c r="AY561"/>
    </row>
    <row r="562" spans="1:96" s="4" customFormat="1" ht="12.75" customHeight="1">
      <c r="B562" s="63"/>
      <c r="I562" s="218"/>
      <c r="J562" s="160"/>
      <c r="N562" s="5"/>
      <c r="O562" s="1664"/>
      <c r="P562" s="1665"/>
      <c r="Q562" s="1666"/>
      <c r="R562" s="1667"/>
      <c r="S562" s="1667"/>
      <c r="T562" s="1667"/>
      <c r="U562" s="1667"/>
      <c r="V562" s="1667"/>
      <c r="W562" s="1667"/>
      <c r="X562" s="1667"/>
      <c r="Y562" s="1667"/>
      <c r="Z562" s="1667"/>
      <c r="AA562" s="1656"/>
      <c r="AB562" s="1656"/>
      <c r="AC562" s="1667"/>
      <c r="AD562" s="1667"/>
      <c r="AE562" s="1782"/>
      <c r="AF562" s="1783"/>
      <c r="AN562" s="279"/>
      <c r="AP562" s="151" t="s">
        <v>606</v>
      </c>
      <c r="AQ562" s="152"/>
      <c r="AR562" s="152"/>
      <c r="AS562" s="152"/>
      <c r="AT562" s="152"/>
      <c r="AU562" s="152"/>
      <c r="AV562" s="153"/>
      <c r="AW562" s="1779" t="str">
        <f>IF(AND(AND(AND(AND(AS542="passed",AU549="passed",BD558="passed",SUM(T609:X613)&gt;1)))),"YES","NO")</f>
        <v>YES</v>
      </c>
      <c r="AX562" s="1780"/>
      <c r="AY562" s="1781"/>
      <c r="AZ562" s="40"/>
      <c r="BA562" s="40"/>
      <c r="BB562" s="40"/>
      <c r="BC562" s="40"/>
      <c r="BD562" s="40"/>
      <c r="BE562" s="21"/>
      <c r="BF562" s="21"/>
      <c r="BG562" s="21"/>
    </row>
    <row r="563" spans="1:96" s="4" customFormat="1" ht="12.75" customHeight="1">
      <c r="B563" s="63"/>
      <c r="I563" s="218"/>
      <c r="J563" s="160"/>
      <c r="N563" s="5"/>
      <c r="O563" s="1664"/>
      <c r="P563" s="1665"/>
      <c r="Q563" s="1666"/>
      <c r="R563" s="1667"/>
      <c r="S563" s="1667"/>
      <c r="T563" s="1667"/>
      <c r="U563" s="1667"/>
      <c r="V563" s="1667"/>
      <c r="W563" s="1667"/>
      <c r="X563" s="1667"/>
      <c r="Y563" s="1656"/>
      <c r="Z563" s="1656"/>
      <c r="AA563" s="1667"/>
      <c r="AB563" s="1667"/>
      <c r="AC563" s="1656"/>
      <c r="AD563" s="1656"/>
      <c r="AE563" s="1693"/>
      <c r="AF563" s="1694"/>
      <c r="AN563" s="279"/>
    </row>
    <row r="564" spans="1:96" s="4" customFormat="1" ht="12.75" customHeight="1">
      <c r="B564" s="63"/>
      <c r="I564" s="218"/>
      <c r="J564" s="160"/>
      <c r="N564" s="5"/>
      <c r="O564" s="1664"/>
      <c r="P564" s="1665"/>
      <c r="Q564" s="1666"/>
      <c r="R564" s="1667"/>
      <c r="S564" s="1667"/>
      <c r="T564" s="1667"/>
      <c r="U564" s="1667"/>
      <c r="V564" s="1667"/>
      <c r="W564" s="1656"/>
      <c r="X564" s="1656"/>
      <c r="Y564" s="1667"/>
      <c r="Z564" s="1667"/>
      <c r="AA564" s="1656"/>
      <c r="AB564" s="1656"/>
      <c r="AC564" s="1667"/>
      <c r="AD564" s="1667"/>
      <c r="AE564" s="1782"/>
      <c r="AF564" s="1783"/>
      <c r="AN564" s="279"/>
    </row>
    <row r="565" spans="1:96" s="4" customFormat="1" ht="12.75" customHeight="1">
      <c r="B565" s="63"/>
      <c r="I565" s="218"/>
      <c r="J565" s="160"/>
      <c r="N565" s="5"/>
      <c r="O565" s="1664"/>
      <c r="P565" s="1665"/>
      <c r="Q565" s="1666"/>
      <c r="R565" s="1667"/>
      <c r="S565" s="1667"/>
      <c r="T565" s="1667"/>
      <c r="U565" s="1667"/>
      <c r="V565" s="1667"/>
      <c r="W565" s="1667"/>
      <c r="X565" s="1667"/>
      <c r="Y565" s="1656"/>
      <c r="Z565" s="1656"/>
      <c r="AA565" s="1667"/>
      <c r="AB565" s="1667"/>
      <c r="AC565" s="1656"/>
      <c r="AD565" s="1656"/>
      <c r="AE565" s="1693"/>
      <c r="AF565" s="1694"/>
      <c r="AN565" s="279"/>
      <c r="AU565" s="21"/>
      <c r="AV565" s="21"/>
      <c r="AW565" s="8"/>
      <c r="AX565" s="9"/>
      <c r="AY565" s="9"/>
      <c r="AZ565" s="60" t="s">
        <v>1125</v>
      </c>
      <c r="BA565" s="1790" t="s">
        <v>713</v>
      </c>
      <c r="BB565" s="1791"/>
      <c r="BC565" s="1791"/>
      <c r="BD565" s="1791"/>
      <c r="BE565" s="1792"/>
      <c r="BF565" s="1749">
        <f>SUM(O609:S613)</f>
        <v>53</v>
      </c>
      <c r="BG565" s="1750"/>
      <c r="BH565" s="1750"/>
      <c r="BI565" s="1750"/>
      <c r="BJ565" s="1751"/>
      <c r="BK565" s="1683">
        <f>SUM(T609:X613)</f>
        <v>53</v>
      </c>
      <c r="BL565" s="1684"/>
      <c r="BM565" s="1684"/>
      <c r="BN565" s="1684"/>
      <c r="BO565" s="1685"/>
    </row>
    <row r="566" spans="1:96" s="4" customFormat="1" ht="12.75" customHeight="1">
      <c r="B566" s="35"/>
      <c r="I566" s="1296" t="s">
        <v>1495</v>
      </c>
      <c r="J566" s="1297"/>
      <c r="K566" s="1297"/>
      <c r="L566" s="1297"/>
      <c r="M566" s="1297"/>
      <c r="N566" s="1298"/>
      <c r="O566" s="1664">
        <v>0.5</v>
      </c>
      <c r="P566" s="1665"/>
      <c r="Q566" s="1686"/>
      <c r="R566" s="1687"/>
      <c r="S566" s="1667"/>
      <c r="T566" s="1667"/>
      <c r="U566" s="1895" t="s">
        <v>1499</v>
      </c>
      <c r="V566" s="1895"/>
      <c r="W566" s="1668">
        <v>37.5</v>
      </c>
      <c r="X566" s="1668"/>
      <c r="Y566" s="1687"/>
      <c r="Z566" s="1687"/>
      <c r="AA566" s="1668"/>
      <c r="AB566" s="1668"/>
      <c r="AC566" s="1687"/>
      <c r="AD566" s="1687"/>
      <c r="AE566" s="1784"/>
      <c r="AF566" s="1785"/>
      <c r="AN566" s="279"/>
      <c r="CL566"/>
      <c r="CM566"/>
    </row>
    <row r="567" spans="1:96" s="4" customFormat="1" ht="12.75" customHeight="1">
      <c r="B567" s="118"/>
      <c r="C567" s="61"/>
      <c r="I567" s="1296"/>
      <c r="J567" s="1297"/>
      <c r="K567" s="1297"/>
      <c r="L567" s="1297"/>
      <c r="M567" s="1297"/>
      <c r="N567" s="1298"/>
      <c r="O567" s="1664">
        <v>0.45</v>
      </c>
      <c r="P567" s="1665"/>
      <c r="Q567" s="1666"/>
      <c r="R567" s="1667"/>
      <c r="S567" s="1667"/>
      <c r="T567" s="1667"/>
      <c r="U567" s="1657" t="s">
        <v>129</v>
      </c>
      <c r="V567" s="1657"/>
      <c r="W567" s="1656">
        <v>33.799999999999997</v>
      </c>
      <c r="X567" s="1656"/>
      <c r="Y567" s="1656"/>
      <c r="Z567" s="1656"/>
      <c r="AA567" s="1667"/>
      <c r="AB567" s="1667"/>
      <c r="AC567" s="1656"/>
      <c r="AD567" s="1656"/>
      <c r="AE567" s="1693"/>
      <c r="AF567" s="1694"/>
      <c r="AN567" s="279"/>
      <c r="CL567"/>
      <c r="CM567"/>
    </row>
    <row r="568" spans="1:96" s="4" customFormat="1" ht="12.75" customHeight="1">
      <c r="B568" s="5"/>
      <c r="C568" s="5"/>
      <c r="D568" s="5"/>
      <c r="E568" s="5"/>
      <c r="I568" s="1296"/>
      <c r="J568" s="1297"/>
      <c r="K568" s="1297"/>
      <c r="L568" s="1297"/>
      <c r="M568" s="1297"/>
      <c r="N568" s="1298"/>
      <c r="O568" s="1664">
        <v>0.4</v>
      </c>
      <c r="P568" s="1665"/>
      <c r="Q568" s="1666"/>
      <c r="R568" s="1667"/>
      <c r="S568" s="1657" t="s">
        <v>1498</v>
      </c>
      <c r="T568" s="1657"/>
      <c r="U568" s="1656">
        <v>20</v>
      </c>
      <c r="V568" s="1656"/>
      <c r="W568" s="1656">
        <v>30</v>
      </c>
      <c r="X568" s="1656"/>
      <c r="Y568" s="1656"/>
      <c r="Z568" s="1656"/>
      <c r="AA568" s="1656"/>
      <c r="AB568" s="1656"/>
      <c r="AC568" s="1656"/>
      <c r="AD568" s="1656"/>
      <c r="AE568" s="1693"/>
      <c r="AF568" s="1694"/>
      <c r="AN568" s="279"/>
      <c r="AP568" s="1849" t="s">
        <v>204</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64">
        <f>BF565</f>
        <v>53</v>
      </c>
      <c r="BL568" s="1765"/>
      <c r="BM568" s="1765"/>
      <c r="BN568" s="1765"/>
      <c r="BO568" s="176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6"/>
      <c r="J569" s="1297"/>
      <c r="K569" s="1297"/>
      <c r="L569" s="1297"/>
      <c r="M569" s="1297"/>
      <c r="N569" s="1298"/>
      <c r="O569" s="1664">
        <v>0.35</v>
      </c>
      <c r="P569" s="1665"/>
      <c r="Q569" s="1666"/>
      <c r="R569" s="1667"/>
      <c r="S569" s="1657" t="s">
        <v>1750</v>
      </c>
      <c r="T569" s="1657"/>
      <c r="U569" s="1656">
        <v>17.5</v>
      </c>
      <c r="V569" s="1656"/>
      <c r="W569" s="1656">
        <v>26.3</v>
      </c>
      <c r="X569" s="1656"/>
      <c r="Y569" s="1656">
        <v>35</v>
      </c>
      <c r="Z569" s="1656"/>
      <c r="AA569" s="1656"/>
      <c r="AB569" s="1656"/>
      <c r="AC569" s="1656">
        <v>50</v>
      </c>
      <c r="AD569" s="1656"/>
      <c r="AE569" s="1693"/>
      <c r="AF569" s="1694"/>
      <c r="AN569" s="279"/>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67"/>
      <c r="BL569" s="1768"/>
      <c r="BM569" s="1768"/>
      <c r="BN569" s="1768"/>
      <c r="BO569" s="176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6"/>
      <c r="J570" s="1297"/>
      <c r="K570" s="1297"/>
      <c r="L570" s="1297"/>
      <c r="M570" s="1297"/>
      <c r="N570" s="1298"/>
      <c r="O570" s="1664">
        <v>0.3</v>
      </c>
      <c r="P570" s="1665"/>
      <c r="Q570" s="1666"/>
      <c r="R570" s="1667"/>
      <c r="S570" s="1657" t="s">
        <v>1751</v>
      </c>
      <c r="T570" s="1657"/>
      <c r="U570" s="1656">
        <v>15</v>
      </c>
      <c r="V570" s="1656"/>
      <c r="W570" s="1656">
        <v>22.5</v>
      </c>
      <c r="X570" s="1656"/>
      <c r="Y570" s="1656">
        <v>30</v>
      </c>
      <c r="Z570" s="1656"/>
      <c r="AA570" s="1656">
        <v>37.5</v>
      </c>
      <c r="AB570" s="1656"/>
      <c r="AC570" s="1656">
        <v>45</v>
      </c>
      <c r="AD570" s="1656"/>
      <c r="AE570" s="1693"/>
      <c r="AF570" s="169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5">
        <v>5</v>
      </c>
      <c r="BK570" s="1266"/>
      <c r="BL570" s="1266"/>
      <c r="BM570" s="1266"/>
      <c r="BN570" s="1267"/>
      <c r="BO570" s="1265">
        <v>4</v>
      </c>
      <c r="BP570" s="1266"/>
      <c r="BQ570" s="1266"/>
      <c r="BR570" s="1266"/>
      <c r="BS570" s="1267"/>
      <c r="BT570" s="1265">
        <v>3</v>
      </c>
      <c r="BU570" s="1266"/>
      <c r="BV570" s="1266"/>
      <c r="BW570" s="1266"/>
      <c r="BX570" s="1267"/>
      <c r="BY570" s="1265">
        <v>2</v>
      </c>
      <c r="BZ570" s="1266"/>
      <c r="CA570" s="1266"/>
      <c r="CB570" s="1266"/>
      <c r="CC570" s="1267"/>
      <c r="CD570" s="1265">
        <v>1</v>
      </c>
      <c r="CE570" s="1266"/>
      <c r="CF570" s="1266"/>
      <c r="CG570" s="1266"/>
      <c r="CH570" s="1267"/>
      <c r="CI570" s="1265">
        <v>0</v>
      </c>
      <c r="CJ570" s="1266"/>
      <c r="CK570" s="1266"/>
      <c r="CL570" s="1266"/>
      <c r="CM570" s="1267"/>
      <c r="CN570" s="21"/>
      <c r="CO570" s="21"/>
      <c r="CP570" s="21"/>
      <c r="CQ570" s="21"/>
      <c r="CR570" s="21"/>
    </row>
    <row r="571" spans="1:96" s="4" customFormat="1" ht="12.75" customHeight="1">
      <c r="B571" s="5"/>
      <c r="C571" s="5"/>
      <c r="D571" s="5"/>
      <c r="E571" s="5"/>
      <c r="I571" s="1296"/>
      <c r="J571" s="1297"/>
      <c r="K571" s="1297"/>
      <c r="L571" s="1297"/>
      <c r="M571" s="1297"/>
      <c r="N571" s="1298"/>
      <c r="O571" s="1664">
        <v>0.25</v>
      </c>
      <c r="P571" s="1665"/>
      <c r="Q571" s="1666"/>
      <c r="R571" s="1667"/>
      <c r="S571" s="1657" t="s">
        <v>1752</v>
      </c>
      <c r="T571" s="1657"/>
      <c r="U571" s="1656">
        <v>12.5</v>
      </c>
      <c r="V571" s="1656"/>
      <c r="W571" s="1656">
        <v>18.8</v>
      </c>
      <c r="X571" s="1656"/>
      <c r="Y571" s="1656">
        <v>25</v>
      </c>
      <c r="Z571" s="1656"/>
      <c r="AA571" s="1656">
        <v>31.3</v>
      </c>
      <c r="AB571" s="1656"/>
      <c r="AC571" s="1656">
        <v>37.5</v>
      </c>
      <c r="AD571" s="1656"/>
      <c r="AE571" s="1693">
        <v>50</v>
      </c>
      <c r="AF571" s="1694"/>
      <c r="AN571" s="279"/>
      <c r="AP571" s="1746" t="str">
        <f t="shared" ref="AP571:AP577" si="0">J608</f>
        <v>5 BR</v>
      </c>
      <c r="AQ571" s="1747"/>
      <c r="AR571" s="1747"/>
      <c r="AS571" s="1747"/>
      <c r="AT571" s="1748"/>
      <c r="AU571" s="1376">
        <f t="shared" ref="AU571:AU576" si="1">O608</f>
        <v>0</v>
      </c>
      <c r="AV571" s="1377"/>
      <c r="AW571" s="1377"/>
      <c r="AX571" s="1377"/>
      <c r="AY571" s="1378"/>
      <c r="AZ571" s="1376">
        <f t="shared" ref="AZ571:AZ576" si="2">T608</f>
        <v>0</v>
      </c>
      <c r="BA571" s="1377"/>
      <c r="BB571" s="1377"/>
      <c r="BC571" s="1377"/>
      <c r="BD571" s="1378"/>
      <c r="BE571" s="1787">
        <f t="shared" ref="BE571:BE576" si="3">Y608</f>
        <v>0</v>
      </c>
      <c r="BF571" s="1788"/>
      <c r="BG571" s="1788"/>
      <c r="BH571" s="1788"/>
      <c r="BI571" s="1789"/>
      <c r="BJ571" s="1265">
        <f>IF(OR(AP581=0,BE571&gt;=0.1),0,1)</f>
        <v>0</v>
      </c>
      <c r="BK571" s="1266"/>
      <c r="BL571" s="1266"/>
      <c r="BM571" s="1266"/>
      <c r="BN571" s="1267"/>
      <c r="BO571" s="1265"/>
      <c r="BP571" s="1266"/>
      <c r="BQ571" s="1266"/>
      <c r="BR571" s="1266"/>
      <c r="BS571" s="1267"/>
      <c r="BT571" s="1265"/>
      <c r="BU571" s="1266"/>
      <c r="BV571" s="1266"/>
      <c r="BW571" s="1266"/>
      <c r="BX571" s="1267"/>
      <c r="BY571" s="1265"/>
      <c r="BZ571" s="1266"/>
      <c r="CA571" s="1266"/>
      <c r="CB571" s="1266"/>
      <c r="CC571" s="1267"/>
      <c r="CD571" s="1265"/>
      <c r="CE571" s="1266"/>
      <c r="CF571" s="1266"/>
      <c r="CG571" s="1266"/>
      <c r="CH571" s="1267"/>
      <c r="CI571" s="1265"/>
      <c r="CJ571" s="1266"/>
      <c r="CK571" s="1266"/>
      <c r="CL571" s="1266"/>
      <c r="CM571" s="1267"/>
      <c r="CN571" s="21"/>
      <c r="CO571" s="21"/>
      <c r="CP571" s="21"/>
      <c r="CQ571" s="21"/>
      <c r="CR571" s="21"/>
    </row>
    <row r="572" spans="1:96" s="4" customFormat="1" ht="12.75" customHeight="1">
      <c r="A572" s="118"/>
      <c r="B572" s="5"/>
      <c r="C572" s="5"/>
      <c r="D572" s="5"/>
      <c r="E572" s="5"/>
      <c r="I572" s="1296"/>
      <c r="J572" s="1297"/>
      <c r="K572" s="1297"/>
      <c r="L572" s="1297"/>
      <c r="M572" s="1297"/>
      <c r="N572" s="1298"/>
      <c r="O572" s="1664">
        <v>0.2</v>
      </c>
      <c r="P572" s="1665"/>
      <c r="Q572" s="1666"/>
      <c r="R572" s="1667"/>
      <c r="S572" s="1838" t="s">
        <v>1755</v>
      </c>
      <c r="T572" s="1838"/>
      <c r="U572" s="1656">
        <v>10</v>
      </c>
      <c r="V572" s="1656"/>
      <c r="W572" s="1656">
        <v>15</v>
      </c>
      <c r="X572" s="1656"/>
      <c r="Y572" s="1656">
        <v>20</v>
      </c>
      <c r="Z572" s="1656"/>
      <c r="AA572" s="1656">
        <v>25</v>
      </c>
      <c r="AB572" s="1656"/>
      <c r="AC572" s="1656">
        <v>30</v>
      </c>
      <c r="AD572" s="1656"/>
      <c r="AE572" s="1693">
        <v>40</v>
      </c>
      <c r="AF572" s="1694"/>
      <c r="AN572" s="279"/>
      <c r="AP572" s="1746" t="str">
        <f t="shared" si="0"/>
        <v>4 BR</v>
      </c>
      <c r="AQ572" s="1747"/>
      <c r="AR572" s="1747"/>
      <c r="AS572" s="1747"/>
      <c r="AT572" s="1748"/>
      <c r="AU572" s="1376">
        <f t="shared" si="1"/>
        <v>0</v>
      </c>
      <c r="AV572" s="1377"/>
      <c r="AW572" s="1377"/>
      <c r="AX572" s="1377"/>
      <c r="AY572" s="1378"/>
      <c r="AZ572" s="1376">
        <f t="shared" si="2"/>
        <v>0</v>
      </c>
      <c r="BA572" s="1377"/>
      <c r="BB572" s="1377"/>
      <c r="BC572" s="1377"/>
      <c r="BD572" s="1378"/>
      <c r="BE572" s="1787">
        <f t="shared" si="3"/>
        <v>0</v>
      </c>
      <c r="BF572" s="1788"/>
      <c r="BG572" s="1788"/>
      <c r="BH572" s="1788"/>
      <c r="BI572" s="1789"/>
      <c r="BJ572" s="1265"/>
      <c r="BK572" s="1266"/>
      <c r="BL572" s="1266"/>
      <c r="BM572" s="1266"/>
      <c r="BN572" s="1267"/>
      <c r="BO572" s="1265">
        <f>IF(AND(AND(AZ571=0,BJ571=0,AP582=1)),1,0)</f>
        <v>0</v>
      </c>
      <c r="BP572" s="1266"/>
      <c r="BQ572" s="1266"/>
      <c r="BR572" s="1266"/>
      <c r="BS572" s="1267"/>
      <c r="BT572" s="1265"/>
      <c r="BU572" s="1266"/>
      <c r="BV572" s="1266"/>
      <c r="BW572" s="1266"/>
      <c r="BX572" s="1267"/>
      <c r="BY572" s="1265"/>
      <c r="BZ572" s="1266"/>
      <c r="CA572" s="1266"/>
      <c r="CB572" s="1266"/>
      <c r="CC572" s="1267"/>
      <c r="CD572" s="1265"/>
      <c r="CE572" s="1266"/>
      <c r="CF572" s="1266"/>
      <c r="CG572" s="1266"/>
      <c r="CH572" s="1267"/>
      <c r="CI572" s="1265"/>
      <c r="CJ572" s="1266"/>
      <c r="CK572" s="1266"/>
      <c r="CL572" s="1266"/>
      <c r="CM572" s="1267"/>
      <c r="CN572" s="21"/>
      <c r="CO572" s="21"/>
      <c r="CP572" s="21"/>
      <c r="CQ572" s="21"/>
      <c r="CR572" s="21"/>
    </row>
    <row r="573" spans="1:96" s="4" customFormat="1" ht="12.75" customHeight="1">
      <c r="A573" s="118"/>
      <c r="B573" s="5"/>
      <c r="C573" s="5"/>
      <c r="D573" s="5"/>
      <c r="E573" s="5"/>
      <c r="I573" s="1296"/>
      <c r="J573" s="1297"/>
      <c r="K573" s="1297"/>
      <c r="L573" s="1297"/>
      <c r="M573" s="1297"/>
      <c r="N573" s="1298"/>
      <c r="O573" s="1664">
        <v>0.15</v>
      </c>
      <c r="P573" s="1665"/>
      <c r="Q573" s="1666"/>
      <c r="R573" s="1667"/>
      <c r="S573" s="1657" t="s">
        <v>1753</v>
      </c>
      <c r="T573" s="1657"/>
      <c r="U573" s="1656">
        <v>7.5</v>
      </c>
      <c r="V573" s="1656"/>
      <c r="W573" s="1656">
        <v>11.3</v>
      </c>
      <c r="X573" s="1656"/>
      <c r="Y573" s="1656">
        <v>15</v>
      </c>
      <c r="Z573" s="1656"/>
      <c r="AA573" s="1656">
        <v>18.8</v>
      </c>
      <c r="AB573" s="1656"/>
      <c r="AC573" s="1656">
        <v>22.5</v>
      </c>
      <c r="AD573" s="1656"/>
      <c r="AE573" s="1693">
        <v>30</v>
      </c>
      <c r="AF573" s="1694"/>
      <c r="AN573" s="279"/>
      <c r="AP573" s="1746" t="str">
        <f t="shared" si="0"/>
        <v>3 BR</v>
      </c>
      <c r="AQ573" s="1747"/>
      <c r="AR573" s="1747"/>
      <c r="AS573" s="1747"/>
      <c r="AT573" s="1748"/>
      <c r="AU573" s="1376">
        <f t="shared" si="1"/>
        <v>0</v>
      </c>
      <c r="AV573" s="1377"/>
      <c r="AW573" s="1377"/>
      <c r="AX573" s="1377"/>
      <c r="AY573" s="1378"/>
      <c r="AZ573" s="1376">
        <f t="shared" si="2"/>
        <v>0</v>
      </c>
      <c r="BA573" s="1377"/>
      <c r="BB573" s="1377"/>
      <c r="BC573" s="1377"/>
      <c r="BD573" s="1378"/>
      <c r="BE573" s="1787">
        <f t="shared" si="3"/>
        <v>0</v>
      </c>
      <c r="BF573" s="1788"/>
      <c r="BG573" s="1788"/>
      <c r="BH573" s="1788"/>
      <c r="BI573" s="1789"/>
      <c r="BJ573" s="1265"/>
      <c r="BK573" s="1266"/>
      <c r="BL573" s="1266"/>
      <c r="BM573" s="1266"/>
      <c r="BN573" s="1267"/>
      <c r="BO573" s="1265"/>
      <c r="BP573" s="1266"/>
      <c r="BQ573" s="1266"/>
      <c r="BR573" s="1266"/>
      <c r="BS573" s="1267"/>
      <c r="BT573" s="1265">
        <f>IF(AND(AND(AZ571+AZ572=0,BJ571+BO572=0,AP583=1)),1,0)</f>
        <v>0</v>
      </c>
      <c r="BU573" s="1266"/>
      <c r="BV573" s="1266"/>
      <c r="BW573" s="1266"/>
      <c r="BX573" s="1267"/>
      <c r="BY573" s="1265"/>
      <c r="BZ573" s="1266"/>
      <c r="CA573" s="1266"/>
      <c r="CB573" s="1266"/>
      <c r="CC573" s="1267"/>
      <c r="CD573" s="1265"/>
      <c r="CE573" s="1266"/>
      <c r="CF573" s="1266"/>
      <c r="CG573" s="1266"/>
      <c r="CH573" s="1267"/>
      <c r="CI573" s="1265"/>
      <c r="CJ573" s="1266"/>
      <c r="CK573" s="1266"/>
      <c r="CL573" s="1266"/>
      <c r="CM573" s="1267"/>
      <c r="CN573" s="21"/>
      <c r="CO573" s="21"/>
      <c r="CP573" s="21"/>
      <c r="CQ573" s="21"/>
      <c r="CR573" s="21"/>
    </row>
    <row r="574" spans="1:96" s="4" customFormat="1" ht="12.75" customHeight="1" thickBot="1">
      <c r="B574" s="5"/>
      <c r="C574" s="5"/>
      <c r="D574" s="5"/>
      <c r="E574" s="5"/>
      <c r="I574" s="1299"/>
      <c r="J574" s="1300"/>
      <c r="K574" s="1300"/>
      <c r="L574" s="1300"/>
      <c r="M574" s="1300"/>
      <c r="N574" s="1301"/>
      <c r="O574" s="1664">
        <v>0.1</v>
      </c>
      <c r="P574" s="1665"/>
      <c r="Q574" s="1836"/>
      <c r="R574" s="1837"/>
      <c r="S574" s="1657" t="s">
        <v>1754</v>
      </c>
      <c r="T574" s="1657"/>
      <c r="U574" s="1839">
        <v>5</v>
      </c>
      <c r="V574" s="1839"/>
      <c r="W574" s="1839">
        <v>7.5</v>
      </c>
      <c r="X574" s="1839"/>
      <c r="Y574" s="1839">
        <v>10</v>
      </c>
      <c r="Z574" s="1839"/>
      <c r="AA574" s="1839">
        <v>12.5</v>
      </c>
      <c r="AB574" s="1839"/>
      <c r="AC574" s="1839">
        <v>15</v>
      </c>
      <c r="AD574" s="1839"/>
      <c r="AE574" s="1833">
        <v>20</v>
      </c>
      <c r="AF574" s="1834"/>
      <c r="AK574" s="165"/>
      <c r="AL574" s="165"/>
      <c r="AM574" s="5"/>
      <c r="AN574" s="279"/>
      <c r="AP574" s="1746" t="str">
        <f t="shared" si="0"/>
        <v>2 BR</v>
      </c>
      <c r="AQ574" s="1747"/>
      <c r="AR574" s="1747"/>
      <c r="AS574" s="1747"/>
      <c r="AT574" s="1748"/>
      <c r="AU574" s="1376">
        <f t="shared" si="1"/>
        <v>0</v>
      </c>
      <c r="AV574" s="1377"/>
      <c r="AW574" s="1377"/>
      <c r="AX574" s="1377"/>
      <c r="AY574" s="1378"/>
      <c r="AZ574" s="1376">
        <f t="shared" si="2"/>
        <v>0</v>
      </c>
      <c r="BA574" s="1377"/>
      <c r="BB574" s="1377"/>
      <c r="BC574" s="1377"/>
      <c r="BD574" s="1378"/>
      <c r="BE574" s="1787">
        <f t="shared" si="3"/>
        <v>0</v>
      </c>
      <c r="BF574" s="1788"/>
      <c r="BG574" s="1788"/>
      <c r="BH574" s="1788"/>
      <c r="BI574" s="1789"/>
      <c r="BJ574" s="1265"/>
      <c r="BK574" s="1266"/>
      <c r="BL574" s="1266"/>
      <c r="BM574" s="1266"/>
      <c r="BN574" s="1267"/>
      <c r="BO574" s="1265"/>
      <c r="BP574" s="1266"/>
      <c r="BQ574" s="1266"/>
      <c r="BR574" s="1266"/>
      <c r="BS574" s="1267"/>
      <c r="BT574" s="1265"/>
      <c r="BU574" s="1266"/>
      <c r="BV574" s="1266"/>
      <c r="BW574" s="1266"/>
      <c r="BX574" s="1267"/>
      <c r="BY574" s="1265">
        <f>IF(AND(AND(AZ571+AZ572+AZ573=0,BO572+BT573+BJ571=0,AP584=1)),1,0)</f>
        <v>0</v>
      </c>
      <c r="BZ574" s="1266"/>
      <c r="CA574" s="1266"/>
      <c r="CB574" s="1266"/>
      <c r="CC574" s="1267"/>
      <c r="CD574" s="1265"/>
      <c r="CE574" s="1266"/>
      <c r="CF574" s="1266"/>
      <c r="CG574" s="1266"/>
      <c r="CH574" s="1267"/>
      <c r="CI574" s="1265"/>
      <c r="CJ574" s="1266"/>
      <c r="CK574" s="1266"/>
      <c r="CL574" s="1266"/>
      <c r="CM574" s="1267"/>
      <c r="CN574" s="21"/>
      <c r="CO574" s="21"/>
      <c r="CP574" s="21"/>
      <c r="CQ574" s="21"/>
      <c r="CR574" s="21"/>
    </row>
    <row r="575" spans="1:96" s="4" customFormat="1" ht="12.75" customHeight="1">
      <c r="B575" s="5"/>
      <c r="C575" s="5"/>
      <c r="D575" s="5"/>
      <c r="E575" s="1195" t="s">
        <v>938</v>
      </c>
      <c r="F575" s="1328"/>
      <c r="G575" s="1328"/>
      <c r="H575" s="1328"/>
      <c r="I575" s="1328"/>
      <c r="J575" s="1328"/>
      <c r="K575" s="1328"/>
      <c r="L575" s="1328"/>
      <c r="M575" s="1328"/>
      <c r="N575" s="1328"/>
      <c r="O575" s="1328"/>
      <c r="P575" s="1328"/>
      <c r="Q575" s="1328"/>
      <c r="R575" s="1328"/>
      <c r="S575" s="1328"/>
      <c r="T575" s="1328"/>
      <c r="U575" s="1328"/>
      <c r="V575" s="1328"/>
      <c r="W575" s="1328"/>
      <c r="X575" s="1328"/>
      <c r="Y575" s="1328"/>
      <c r="Z575" s="1328"/>
      <c r="AA575" s="1328"/>
      <c r="AB575" s="1328"/>
      <c r="AC575" s="1328"/>
      <c r="AD575" s="1328"/>
      <c r="AE575" s="1328"/>
      <c r="AF575" s="1328"/>
      <c r="AG575" s="1328"/>
      <c r="AH575" s="1329"/>
      <c r="AK575" s="165"/>
      <c r="AL575" s="165"/>
      <c r="AM575" s="5"/>
      <c r="AN575" s="279"/>
      <c r="AP575" s="1746" t="str">
        <f t="shared" si="0"/>
        <v>1 BR</v>
      </c>
      <c r="AQ575" s="1747"/>
      <c r="AR575" s="1747"/>
      <c r="AS575" s="1747"/>
      <c r="AT575" s="1748"/>
      <c r="AU575" s="1376">
        <f t="shared" si="1"/>
        <v>53</v>
      </c>
      <c r="AV575" s="1377"/>
      <c r="AW575" s="1377"/>
      <c r="AX575" s="1377"/>
      <c r="AY575" s="1378"/>
      <c r="AZ575" s="1376">
        <f t="shared" si="2"/>
        <v>53</v>
      </c>
      <c r="BA575" s="1377"/>
      <c r="BB575" s="1377"/>
      <c r="BC575" s="1377"/>
      <c r="BD575" s="1378"/>
      <c r="BE575" s="1787">
        <f t="shared" si="3"/>
        <v>1</v>
      </c>
      <c r="BF575" s="1788"/>
      <c r="BG575" s="1788"/>
      <c r="BH575" s="1788"/>
      <c r="BI575" s="1789"/>
      <c r="BJ575" s="1265"/>
      <c r="BK575" s="1266"/>
      <c r="BL575" s="1266"/>
      <c r="BM575" s="1266"/>
      <c r="BN575" s="1267"/>
      <c r="BO575" s="1265"/>
      <c r="BP575" s="1266"/>
      <c r="BQ575" s="1266"/>
      <c r="BR575" s="1266"/>
      <c r="BS575" s="1267"/>
      <c r="BT575" s="1265"/>
      <c r="BU575" s="1266"/>
      <c r="BV575" s="1266"/>
      <c r="BW575" s="1266"/>
      <c r="BX575" s="1267"/>
      <c r="BY575" s="1265"/>
      <c r="BZ575" s="1266"/>
      <c r="CA575" s="1266"/>
      <c r="CB575" s="1266"/>
      <c r="CC575" s="1267"/>
      <c r="CD575" s="1265">
        <f>IF(AND(AND(BE572+BE573+BE574+BE571=0,BT573+BY574+BO572+BJ571=0,AP585=1)),1,0)</f>
        <v>0</v>
      </c>
      <c r="CE575" s="1266"/>
      <c r="CF575" s="1266"/>
      <c r="CG575" s="1266"/>
      <c r="CH575" s="1267"/>
      <c r="CI575" s="1265"/>
      <c r="CJ575" s="1266"/>
      <c r="CK575" s="1266"/>
      <c r="CL575" s="1266"/>
      <c r="CM575" s="1267"/>
      <c r="CN575" s="21"/>
      <c r="CO575" s="21"/>
      <c r="CP575" s="21"/>
      <c r="CQ575" s="21"/>
      <c r="CR575" s="21"/>
    </row>
    <row r="576" spans="1:96" s="4" customFormat="1" ht="12.75" customHeight="1">
      <c r="E576" s="1855"/>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856"/>
      <c r="AN576" s="279"/>
      <c r="AP576" s="1746" t="str">
        <f t="shared" si="0"/>
        <v>SRO</v>
      </c>
      <c r="AQ576" s="1747"/>
      <c r="AR576" s="1747"/>
      <c r="AS576" s="1747"/>
      <c r="AT576" s="1748"/>
      <c r="AU576" s="1376">
        <f t="shared" si="1"/>
        <v>0</v>
      </c>
      <c r="AV576" s="1377"/>
      <c r="AW576" s="1377"/>
      <c r="AX576" s="1377"/>
      <c r="AY576" s="1378"/>
      <c r="AZ576" s="1376">
        <f t="shared" si="2"/>
        <v>0</v>
      </c>
      <c r="BA576" s="1377"/>
      <c r="BB576" s="1377"/>
      <c r="BC576" s="1377"/>
      <c r="BD576" s="1378"/>
      <c r="BE576" s="1787">
        <f t="shared" si="3"/>
        <v>0</v>
      </c>
      <c r="BF576" s="1788"/>
      <c r="BG576" s="1788"/>
      <c r="BH576" s="1788"/>
      <c r="BI576" s="1789"/>
      <c r="BJ576" s="1265"/>
      <c r="BK576" s="1266"/>
      <c r="BL576" s="1266"/>
      <c r="BM576" s="1266"/>
      <c r="BN576" s="1267"/>
      <c r="BO576" s="1265"/>
      <c r="BP576" s="1266"/>
      <c r="BQ576" s="1266"/>
      <c r="BR576" s="1266"/>
      <c r="BS576" s="1267"/>
      <c r="BT576" s="1265"/>
      <c r="BU576" s="1266"/>
      <c r="BV576" s="1266"/>
      <c r="BW576" s="1266"/>
      <c r="BX576" s="1267"/>
      <c r="BY576" s="1265"/>
      <c r="BZ576" s="1266"/>
      <c r="CA576" s="1266"/>
      <c r="CB576" s="1266"/>
      <c r="CC576" s="1267"/>
      <c r="CD576" s="1265"/>
      <c r="CE576" s="1266"/>
      <c r="CF576" s="1266"/>
      <c r="CG576" s="1266"/>
      <c r="CH576" s="1267"/>
      <c r="CI576" s="1265">
        <f>IF(AND(AND(AZ573+AZ574+AZ575+AZ572+AZ571=0,BY574+CD575+BT573+BO572+BJ571=0,AP586=1)),1,0)</f>
        <v>0</v>
      </c>
      <c r="CJ576" s="1266"/>
      <c r="CK576" s="1266"/>
      <c r="CL576" s="1266"/>
      <c r="CM576" s="1267"/>
      <c r="CN576" s="21"/>
      <c r="CO576" s="21"/>
      <c r="CP576" s="21"/>
      <c r="CQ576" s="21"/>
      <c r="CR576" s="21"/>
    </row>
    <row r="577" spans="5:96" s="4" customFormat="1" ht="12.75" customHeight="1">
      <c r="E577" s="1897" t="s">
        <v>1505</v>
      </c>
      <c r="F577" s="1898"/>
      <c r="G577" s="1898"/>
      <c r="H577" s="1898"/>
      <c r="I577" s="1898"/>
      <c r="J577" s="1899"/>
      <c r="K577" s="1897" t="s">
        <v>2304</v>
      </c>
      <c r="L577" s="1898"/>
      <c r="M577" s="1898"/>
      <c r="N577" s="1898"/>
      <c r="O577" s="1898"/>
      <c r="P577" s="1899"/>
      <c r="Q577" s="1293" t="s">
        <v>1501</v>
      </c>
      <c r="R577" s="1294"/>
      <c r="S577" s="1294"/>
      <c r="T577" s="1294"/>
      <c r="U577" s="1294"/>
      <c r="V577" s="1295"/>
      <c r="W577" s="1293" t="str">
        <f>I566</f>
        <v>Percent of Low-Income Units (exclusive of manager’s units)</v>
      </c>
      <c r="X577" s="1294"/>
      <c r="Y577" s="1294"/>
      <c r="Z577" s="1294"/>
      <c r="AA577" s="1294"/>
      <c r="AB577" s="1295"/>
      <c r="AC577" s="1293" t="s">
        <v>1504</v>
      </c>
      <c r="AD577" s="1294"/>
      <c r="AE577" s="1294"/>
      <c r="AF577" s="1294"/>
      <c r="AG577" s="1294"/>
      <c r="AH577" s="1295"/>
      <c r="AN577" s="279"/>
      <c r="AP577" s="1746" t="str">
        <f t="shared" si="0"/>
        <v>Total:</v>
      </c>
      <c r="AQ577" s="1747"/>
      <c r="AR577" s="1747"/>
      <c r="AS577" s="1747"/>
      <c r="AT577" s="1748"/>
      <c r="AU577" s="1746"/>
      <c r="AV577" s="1747"/>
      <c r="AW577" s="1747"/>
      <c r="AX577" s="1747"/>
      <c r="AY577" s="1748"/>
      <c r="AZ577" s="1746"/>
      <c r="BA577" s="1747"/>
      <c r="BB577" s="1747"/>
      <c r="BC577" s="1747"/>
      <c r="BD577" s="1748"/>
      <c r="BE577" s="1746"/>
      <c r="BF577" s="1747"/>
      <c r="BG577" s="1747"/>
      <c r="BH577" s="1747"/>
      <c r="BI577" s="1748"/>
      <c r="BJ577" s="1265">
        <f>SUM(BJ571:BN576)</f>
        <v>0</v>
      </c>
      <c r="BK577" s="1266"/>
      <c r="BL577" s="1266"/>
      <c r="BM577" s="1266"/>
      <c r="BN577" s="1267"/>
      <c r="BO577" s="1265">
        <f>SUM(BO571:BS576)</f>
        <v>0</v>
      </c>
      <c r="BP577" s="1266"/>
      <c r="BQ577" s="1266"/>
      <c r="BR577" s="1266"/>
      <c r="BS577" s="1267"/>
      <c r="BT577" s="1265">
        <f>SUM(BT571:BX576)</f>
        <v>0</v>
      </c>
      <c r="BU577" s="1266"/>
      <c r="BV577" s="1266"/>
      <c r="BW577" s="1266"/>
      <c r="BX577" s="1267"/>
      <c r="BY577" s="1265">
        <f>SUM(BY571:CC576)</f>
        <v>0</v>
      </c>
      <c r="BZ577" s="1266"/>
      <c r="CA577" s="1266"/>
      <c r="CB577" s="1266"/>
      <c r="CC577" s="1267"/>
      <c r="CD577" s="1265">
        <f>SUM(CD571:CH576)</f>
        <v>0</v>
      </c>
      <c r="CE577" s="1266"/>
      <c r="CF577" s="1266"/>
      <c r="CG577" s="1266"/>
      <c r="CH577" s="1267"/>
      <c r="CI577" s="1265">
        <f>SUM(CI571:CM576)</f>
        <v>0</v>
      </c>
      <c r="CJ577" s="1266"/>
      <c r="CK577" s="1266"/>
      <c r="CL577" s="1266"/>
      <c r="CM577" s="1267"/>
      <c r="CN577" s="1265">
        <f>SUM(BJ577:CM577)</f>
        <v>0</v>
      </c>
      <c r="CO577" s="1266"/>
      <c r="CP577" s="1266"/>
      <c r="CQ577" s="1266"/>
      <c r="CR577" s="1267"/>
    </row>
    <row r="578" spans="5:96" s="4" customFormat="1" ht="12.75" customHeight="1">
      <c r="E578" s="1900"/>
      <c r="F578" s="1901"/>
      <c r="G578" s="1901"/>
      <c r="H578" s="1901"/>
      <c r="I578" s="1901"/>
      <c r="J578" s="1902"/>
      <c r="K578" s="1900"/>
      <c r="L578" s="1901"/>
      <c r="M578" s="1901"/>
      <c r="N578" s="1901"/>
      <c r="O578" s="1901"/>
      <c r="P578" s="1902"/>
      <c r="Q578" s="1296"/>
      <c r="R578" s="1297"/>
      <c r="S578" s="1297"/>
      <c r="T578" s="1297"/>
      <c r="U578" s="1297"/>
      <c r="V578" s="1298"/>
      <c r="W578" s="1296"/>
      <c r="X578" s="1297"/>
      <c r="Y578" s="1297"/>
      <c r="Z578" s="1297"/>
      <c r="AA578" s="1297"/>
      <c r="AB578" s="1298"/>
      <c r="AC578" s="1296"/>
      <c r="AD578" s="1297"/>
      <c r="AE578" s="1297"/>
      <c r="AF578" s="1297"/>
      <c r="AG578" s="1297"/>
      <c r="AH578" s="1298"/>
      <c r="AN578" s="279"/>
    </row>
    <row r="579" spans="5:96" s="4" customFormat="1" ht="12.75" customHeight="1">
      <c r="E579" s="1900"/>
      <c r="F579" s="1901"/>
      <c r="G579" s="1901"/>
      <c r="H579" s="1901"/>
      <c r="I579" s="1901"/>
      <c r="J579" s="1902"/>
      <c r="K579" s="1900"/>
      <c r="L579" s="1901"/>
      <c r="M579" s="1901"/>
      <c r="N579" s="1901"/>
      <c r="O579" s="1901"/>
      <c r="P579" s="1902"/>
      <c r="Q579" s="1296"/>
      <c r="R579" s="1297"/>
      <c r="S579" s="1297"/>
      <c r="T579" s="1297"/>
      <c r="U579" s="1297"/>
      <c r="V579" s="1298"/>
      <c r="W579" s="1296"/>
      <c r="X579" s="1297"/>
      <c r="Y579" s="1297"/>
      <c r="Z579" s="1297"/>
      <c r="AA579" s="1297"/>
      <c r="AB579" s="1298"/>
      <c r="AC579" s="1296"/>
      <c r="AD579" s="1297"/>
      <c r="AE579" s="1297"/>
      <c r="AF579" s="1297"/>
      <c r="AG579" s="1297"/>
      <c r="AH579" s="1298"/>
      <c r="AN579" s="279"/>
    </row>
    <row r="580" spans="5:96" s="4" customFormat="1" ht="12.75" customHeight="1">
      <c r="E580" s="1900"/>
      <c r="F580" s="1901"/>
      <c r="G580" s="1901"/>
      <c r="H580" s="1901"/>
      <c r="I580" s="1901"/>
      <c r="J580" s="1902"/>
      <c r="K580" s="1900"/>
      <c r="L580" s="1901"/>
      <c r="M580" s="1901"/>
      <c r="N580" s="1901"/>
      <c r="O580" s="1901"/>
      <c r="P580" s="1902"/>
      <c r="Q580" s="1296"/>
      <c r="R580" s="1297"/>
      <c r="S580" s="1297"/>
      <c r="T580" s="1297"/>
      <c r="U580" s="1297"/>
      <c r="V580" s="1298"/>
      <c r="W580" s="1296"/>
      <c r="X580" s="1297"/>
      <c r="Y580" s="1297"/>
      <c r="Z580" s="1297"/>
      <c r="AA580" s="1297"/>
      <c r="AB580" s="1298"/>
      <c r="AC580" s="1296"/>
      <c r="AD580" s="1297"/>
      <c r="AE580" s="1297"/>
      <c r="AF580" s="1297"/>
      <c r="AG580" s="1297"/>
      <c r="AH580" s="1298"/>
      <c r="AN580" s="279"/>
      <c r="AP580" s="3" t="s">
        <v>1126</v>
      </c>
      <c r="BH580" s="3" t="s">
        <v>1127</v>
      </c>
    </row>
    <row r="581" spans="5:96" s="4" customFormat="1" ht="12.75" customHeight="1">
      <c r="E581" s="1671"/>
      <c r="F581" s="1672"/>
      <c r="G581" s="1672"/>
      <c r="H581" s="1672"/>
      <c r="I581" s="1672"/>
      <c r="J581" s="1673"/>
      <c r="K581" s="1683">
        <v>20</v>
      </c>
      <c r="L581" s="1684"/>
      <c r="M581" s="1684"/>
      <c r="N581" s="1684"/>
      <c r="O581" s="1684"/>
      <c r="P581" s="1685"/>
      <c r="Q581" s="1658">
        <f>IF(ISERROR(IF((((E581/$BJ$528)*100)&gt;100),"EXCESSIVE VALUE",(E581/$BJ$528)*100)),0,IF((((E581/$BJ$528)*100)&gt;100),"EXCESSIVE VALUE",(E581/$BJ$528)*100))</f>
        <v>0</v>
      </c>
      <c r="R581" s="1659"/>
      <c r="S581" s="1659"/>
      <c r="T581" s="1659"/>
      <c r="U581" s="1659"/>
      <c r="V581" s="1660"/>
      <c r="W581" s="1661">
        <f>IF(FLOOR(Q581,5)&gt;80,80,FLOOR(Q581,5))</f>
        <v>0</v>
      </c>
      <c r="X581" s="1662"/>
      <c r="Y581" s="1662"/>
      <c r="Z581" s="1662"/>
      <c r="AA581" s="1662"/>
      <c r="AB581" s="1663"/>
      <c r="AC581" s="1661">
        <f>IFERROR(IF(W581&gt;0,INDEX($BI$507:$BP$521,MATCH(W581,$BH$507:$BH$521,0),MATCH(K581,$BI$506:$BP$506,0)),0),0)</f>
        <v>0</v>
      </c>
      <c r="AD581" s="1662"/>
      <c r="AE581" s="1662"/>
      <c r="AF581" s="1662"/>
      <c r="AG581" s="1662"/>
      <c r="AH581" s="1663"/>
      <c r="AN581" s="279"/>
      <c r="AO581" s="4">
        <v>5</v>
      </c>
      <c r="AP581" s="1683">
        <f t="shared" ref="AP581:AP586" si="4">IF(OR(BE571&gt;=0.1,BE571=0),0,1)</f>
        <v>0</v>
      </c>
      <c r="AQ581" s="1684"/>
      <c r="AR581" s="1684"/>
      <c r="AS581" s="1684"/>
      <c r="AT581" s="1685"/>
      <c r="AX581" s="1741" t="s">
        <v>793</v>
      </c>
      <c r="AY581" s="1742"/>
      <c r="AZ581" s="1742"/>
      <c r="BA581" s="1742"/>
      <c r="BB581" s="1742"/>
      <c r="BC581" s="1742"/>
      <c r="BD581" s="1742"/>
      <c r="BE581" s="1742"/>
      <c r="BF581" s="1742"/>
      <c r="BG581" s="1742"/>
      <c r="BH581" s="1742"/>
      <c r="BI581" s="1742"/>
      <c r="BJ581" s="1742"/>
      <c r="BK581" s="1742"/>
      <c r="BL581" s="1742"/>
      <c r="BM581" s="1742"/>
      <c r="BN581" s="1742"/>
      <c r="BO581" s="1742"/>
      <c r="BP581" s="1742"/>
      <c r="BQ581" s="1743"/>
    </row>
    <row r="582" spans="5:96" s="4" customFormat="1" ht="12.75" customHeight="1">
      <c r="E582" s="1671">
        <v>53</v>
      </c>
      <c r="F582" s="1672"/>
      <c r="G582" s="1672"/>
      <c r="H582" s="1672"/>
      <c r="I582" s="1672"/>
      <c r="J582" s="1673"/>
      <c r="K582" s="1683">
        <v>30</v>
      </c>
      <c r="L582" s="1684"/>
      <c r="M582" s="1684"/>
      <c r="N582" s="1684"/>
      <c r="O582" s="1684"/>
      <c r="P582" s="1685"/>
      <c r="Q582" s="1658">
        <f>IF(ISERROR(IF((((E582/$BJ$528)*100)&gt;100),"EXCESSIVE VALUE",(E582/$BJ$528)*100)),0,IF((((E582/$BJ$528)*100)&gt;100),"EXCESSIVE VALUE",(E582/$BJ$528)*100))</f>
        <v>100</v>
      </c>
      <c r="R582" s="1659"/>
      <c r="S582" s="1659"/>
      <c r="T582" s="1659"/>
      <c r="U582" s="1659"/>
      <c r="V582" s="1660"/>
      <c r="W582" s="1661">
        <f>IF(FLOOR(Q582,5)&gt;80,80,FLOOR(Q582,5))</f>
        <v>80</v>
      </c>
      <c r="X582" s="1662"/>
      <c r="Y582" s="1662"/>
      <c r="Z582" s="1662"/>
      <c r="AA582" s="1662"/>
      <c r="AB582" s="1663"/>
      <c r="AC582" s="1661">
        <f t="shared" ref="AC582:AC586" si="5">IFERROR(IF(W582&gt;0,INDEX($BI$507:$BP$521,MATCH(W582,$BH$507:$BH$521,0),MATCH(K582,$BI$506:$BP$506,0)),0),0)</f>
        <v>50</v>
      </c>
      <c r="AD582" s="1662"/>
      <c r="AE582" s="1662"/>
      <c r="AF582" s="1662"/>
      <c r="AG582" s="1662"/>
      <c r="AH582" s="1663"/>
      <c r="AN582" s="279"/>
      <c r="AO582" s="4">
        <v>4</v>
      </c>
      <c r="AP582" s="1683">
        <f t="shared" si="4"/>
        <v>0</v>
      </c>
      <c r="AQ582" s="1684"/>
      <c r="AR582" s="1684"/>
      <c r="AS582" s="1684"/>
      <c r="AT582" s="1685"/>
      <c r="AX582" s="1762" t="s">
        <v>615</v>
      </c>
      <c r="AY582" s="1763"/>
      <c r="AZ582" s="1112" t="s">
        <v>615</v>
      </c>
      <c r="BA582" s="1113"/>
      <c r="BB582" s="1762" t="s">
        <v>264</v>
      </c>
      <c r="BC582" s="1763"/>
      <c r="BD582" s="1752" t="s">
        <v>264</v>
      </c>
      <c r="BE582" s="1754"/>
      <c r="BF582" s="1762" t="s">
        <v>263</v>
      </c>
      <c r="BG582" s="1763"/>
      <c r="BH582" s="1752" t="s">
        <v>263</v>
      </c>
      <c r="BI582" s="1754"/>
      <c r="BJ582" s="1762" t="s">
        <v>262</v>
      </c>
      <c r="BK582" s="1763"/>
      <c r="BL582" s="1752" t="s">
        <v>262</v>
      </c>
      <c r="BM582" s="1754"/>
      <c r="BN582" s="1762" t="s">
        <v>614</v>
      </c>
      <c r="BO582" s="1763"/>
      <c r="BP582" s="1752" t="s">
        <v>614</v>
      </c>
      <c r="BQ582" s="1754"/>
    </row>
    <row r="583" spans="5:96" s="4" customFormat="1" ht="12.75" customHeight="1">
      <c r="E583" s="1671"/>
      <c r="F583" s="1672"/>
      <c r="G583" s="1672"/>
      <c r="H583" s="1672"/>
      <c r="I583" s="1672"/>
      <c r="J583" s="1673"/>
      <c r="K583" s="1683">
        <v>35</v>
      </c>
      <c r="L583" s="1684"/>
      <c r="M583" s="1684"/>
      <c r="N583" s="1684"/>
      <c r="O583" s="1684"/>
      <c r="P583" s="1685"/>
      <c r="Q583" s="1658">
        <f t="shared" ref="Q583:Q589" si="6">IF(ISERROR(IF((((E583/$BJ$528)*100)&gt;100),"EXCESSIVE VALUE",(E583/$BJ$528)*100)),0,IF((((E583/$BJ$528)*100)&gt;100),"EXCESSIVE VALUE",(E583/$BJ$528)*100))</f>
        <v>0</v>
      </c>
      <c r="R583" s="1659"/>
      <c r="S583" s="1659"/>
      <c r="T583" s="1659"/>
      <c r="U583" s="1659"/>
      <c r="V583" s="1660"/>
      <c r="W583" s="1661">
        <f t="shared" ref="W583:W589" si="7">IF(FLOOR(Q583,5)&gt;80,80,FLOOR(Q583,5))</f>
        <v>0</v>
      </c>
      <c r="X583" s="1662"/>
      <c r="Y583" s="1662"/>
      <c r="Z583" s="1662"/>
      <c r="AA583" s="1662"/>
      <c r="AB583" s="1663"/>
      <c r="AC583" s="1661">
        <f t="shared" si="5"/>
        <v>0</v>
      </c>
      <c r="AD583" s="1662"/>
      <c r="AE583" s="1662"/>
      <c r="AF583" s="1662"/>
      <c r="AG583" s="1662"/>
      <c r="AH583" s="1663"/>
      <c r="AN583" s="279"/>
      <c r="AO583" s="4">
        <v>3</v>
      </c>
      <c r="AP583" s="1683">
        <f t="shared" si="4"/>
        <v>0</v>
      </c>
      <c r="AQ583" s="1684"/>
      <c r="AR583" s="1684"/>
      <c r="AS583" s="1684"/>
      <c r="AT583" s="1685"/>
      <c r="AX583" s="1762">
        <f>IF(AP533=1,1,0)</f>
        <v>0</v>
      </c>
      <c r="AY583" s="1763"/>
      <c r="AZ583" s="1741"/>
      <c r="BA583" s="1743"/>
      <c r="BB583" s="1760"/>
      <c r="BC583" s="1761"/>
      <c r="BD583" s="1752">
        <f>IF(AND(T609&gt;0,AP533&gt;0),1,0)</f>
        <v>0</v>
      </c>
      <c r="BE583" s="1754"/>
      <c r="BF583" s="1760"/>
      <c r="BG583" s="1761"/>
      <c r="BH583" s="1752">
        <f>IF(AND(T609&gt;0,AP533&gt;0),1,0)</f>
        <v>0</v>
      </c>
      <c r="BI583" s="1754"/>
      <c r="BJ583" s="1760"/>
      <c r="BK583" s="1761"/>
      <c r="BL583" s="1752">
        <f>IF(AND(T609&gt;0,AP533&gt;0),1,0)</f>
        <v>0</v>
      </c>
      <c r="BM583" s="1754"/>
      <c r="BN583" s="1760"/>
      <c r="BO583" s="1761"/>
      <c r="BP583" s="1752">
        <f>IF(AND(T609&gt;0,AP533&gt;0),1,0)</f>
        <v>0</v>
      </c>
      <c r="BQ583" s="1754"/>
    </row>
    <row r="584" spans="5:96" s="4" customFormat="1" ht="12.75" customHeight="1">
      <c r="E584" s="1671"/>
      <c r="F584" s="1672"/>
      <c r="G584" s="1672"/>
      <c r="H584" s="1672"/>
      <c r="I584" s="1672"/>
      <c r="J584" s="1673"/>
      <c r="K584" s="1683">
        <v>40</v>
      </c>
      <c r="L584" s="1684"/>
      <c r="M584" s="1684"/>
      <c r="N584" s="1684"/>
      <c r="O584" s="1684"/>
      <c r="P584" s="1685"/>
      <c r="Q584" s="1658">
        <f t="shared" si="6"/>
        <v>0</v>
      </c>
      <c r="R584" s="1659"/>
      <c r="S584" s="1659"/>
      <c r="T584" s="1659"/>
      <c r="U584" s="1659"/>
      <c r="V584" s="1660"/>
      <c r="W584" s="1661">
        <f t="shared" si="7"/>
        <v>0</v>
      </c>
      <c r="X584" s="1662"/>
      <c r="Y584" s="1662"/>
      <c r="Z584" s="1662"/>
      <c r="AA584" s="1662"/>
      <c r="AB584" s="1663"/>
      <c r="AC584" s="1661">
        <f t="shared" si="5"/>
        <v>0</v>
      </c>
      <c r="AD584" s="1662"/>
      <c r="AE584" s="1662"/>
      <c r="AF584" s="1662"/>
      <c r="AG584" s="1662"/>
      <c r="AH584" s="1663"/>
      <c r="AN584" s="279"/>
      <c r="AO584" s="4">
        <v>2</v>
      </c>
      <c r="AP584" s="1683">
        <f t="shared" si="4"/>
        <v>0</v>
      </c>
      <c r="AQ584" s="1684"/>
      <c r="AR584" s="1684"/>
      <c r="AS584" s="1684"/>
      <c r="AT584" s="1685"/>
      <c r="AX584" s="1760"/>
      <c r="AY584" s="1761"/>
      <c r="AZ584" s="1741"/>
      <c r="BA584" s="1743"/>
      <c r="BB584" s="1762">
        <f>IF(AP534=1,1,0)</f>
        <v>0</v>
      </c>
      <c r="BC584" s="1763"/>
      <c r="BD584" s="1741"/>
      <c r="BE584" s="1743"/>
      <c r="BF584" s="1760"/>
      <c r="BG584" s="1761"/>
      <c r="BH584" s="1752">
        <f>IF(AND(T610&gt;0,AP534&gt;0),1,0)</f>
        <v>0</v>
      </c>
      <c r="BI584" s="1754"/>
      <c r="BJ584" s="1760"/>
      <c r="BK584" s="1761"/>
      <c r="BL584" s="1752">
        <f>IF(AND(T610&gt;0,AP534&gt;0),1,0)</f>
        <v>0</v>
      </c>
      <c r="BM584" s="1754"/>
      <c r="BN584" s="1760"/>
      <c r="BO584" s="1761"/>
      <c r="BP584" s="1752">
        <f>IF(AND(T610&gt;0,AP534&gt;0),1,0)</f>
        <v>0</v>
      </c>
      <c r="BQ584" s="1754"/>
    </row>
    <row r="585" spans="5:96" s="4" customFormat="1" ht="12.75" customHeight="1">
      <c r="E585" s="1671"/>
      <c r="F585" s="1672"/>
      <c r="G585" s="1672"/>
      <c r="H585" s="1672"/>
      <c r="I585" s="1672"/>
      <c r="J585" s="1673"/>
      <c r="K585" s="1683">
        <v>45</v>
      </c>
      <c r="L585" s="1684"/>
      <c r="M585" s="1684"/>
      <c r="N585" s="1684"/>
      <c r="O585" s="1684"/>
      <c r="P585" s="1685"/>
      <c r="Q585" s="1658">
        <f t="shared" si="6"/>
        <v>0</v>
      </c>
      <c r="R585" s="1659"/>
      <c r="S585" s="1659"/>
      <c r="T585" s="1659"/>
      <c r="U585" s="1659"/>
      <c r="V585" s="1660"/>
      <c r="W585" s="1661">
        <f>IF(FLOOR(Q585,5)&gt;65,65,FLOOR(Q585,5))</f>
        <v>0</v>
      </c>
      <c r="X585" s="1662"/>
      <c r="Y585" s="1662"/>
      <c r="Z585" s="1662"/>
      <c r="AA585" s="1662"/>
      <c r="AB585" s="1663"/>
      <c r="AC585" s="1661">
        <f t="shared" si="5"/>
        <v>0</v>
      </c>
      <c r="AD585" s="1662"/>
      <c r="AE585" s="1662"/>
      <c r="AF585" s="1662"/>
      <c r="AG585" s="1662"/>
      <c r="AH585" s="1663"/>
      <c r="AN585" s="279"/>
      <c r="AO585" s="4">
        <v>1</v>
      </c>
      <c r="AP585" s="1683">
        <f t="shared" si="4"/>
        <v>0</v>
      </c>
      <c r="AQ585" s="1684"/>
      <c r="AR585" s="1684"/>
      <c r="AS585" s="1684"/>
      <c r="AT585" s="1685"/>
      <c r="AX585" s="1760"/>
      <c r="AY585" s="1761"/>
      <c r="AZ585" s="1741"/>
      <c r="BA585" s="1743"/>
      <c r="BB585" s="1760"/>
      <c r="BC585" s="1761"/>
      <c r="BD585" s="1741"/>
      <c r="BE585" s="1743"/>
      <c r="BF585" s="1762">
        <f>IF(AP535=1,1,0)</f>
        <v>0</v>
      </c>
      <c r="BG585" s="1763"/>
      <c r="BH585" s="1741"/>
      <c r="BI585" s="1743"/>
      <c r="BJ585" s="1760"/>
      <c r="BK585" s="1761"/>
      <c r="BL585" s="1752">
        <f>IF(AND(T611&gt;0,AP535&gt;0),1,0)</f>
        <v>0</v>
      </c>
      <c r="BM585" s="1754"/>
      <c r="BN585" s="1760"/>
      <c r="BO585" s="1761"/>
      <c r="BP585" s="1752">
        <f>IF(AND(T611&gt;0,AP535&gt;0),1,0)</f>
        <v>0</v>
      </c>
      <c r="BQ585" s="1754"/>
    </row>
    <row r="586" spans="5:96" s="4" customFormat="1" ht="12.75" customHeight="1">
      <c r="E586" s="1671"/>
      <c r="F586" s="1672"/>
      <c r="G586" s="1672"/>
      <c r="H586" s="1672"/>
      <c r="I586" s="1672"/>
      <c r="J586" s="1673"/>
      <c r="K586" s="1683">
        <f>IF(OR(Application!D211="Rural",Application!D211="Rural apportionment (Section 514)",Application!D211="Rural apportionment (Section 515)",Application!D211="Rural apportionment (CDBG-DR)",Application!D211="Rural apportionment (HOME)",Application!D211="Rural (Native American apportionment)"),"",50)</f>
        <v>50</v>
      </c>
      <c r="L586" s="1684"/>
      <c r="M586" s="1684"/>
      <c r="N586" s="1684"/>
      <c r="O586" s="1684"/>
      <c r="P586" s="1685"/>
      <c r="Q586" s="1658">
        <f t="shared" si="6"/>
        <v>0</v>
      </c>
      <c r="R586" s="1659"/>
      <c r="S586" s="1659"/>
      <c r="T586" s="1659"/>
      <c r="U586" s="1659"/>
      <c r="V586" s="1660"/>
      <c r="W586" s="1661">
        <f>IF(FLOOR(Q586,5)&gt;40,40,FLOOR(Q586,5))</f>
        <v>0</v>
      </c>
      <c r="X586" s="1662"/>
      <c r="Y586" s="1662"/>
      <c r="Z586" s="1662"/>
      <c r="AA586" s="1662"/>
      <c r="AB586" s="1663"/>
      <c r="AC586" s="1661">
        <f t="shared" si="5"/>
        <v>0</v>
      </c>
      <c r="AD586" s="1662"/>
      <c r="AE586" s="1662"/>
      <c r="AF586" s="1662"/>
      <c r="AG586" s="1662"/>
      <c r="AH586" s="1663"/>
      <c r="AN586" s="279"/>
      <c r="AO586" s="4">
        <v>0</v>
      </c>
      <c r="AP586" s="1683">
        <f t="shared" si="4"/>
        <v>0</v>
      </c>
      <c r="AQ586" s="1684"/>
      <c r="AR586" s="1684"/>
      <c r="AS586" s="1684"/>
      <c r="AT586" s="1685"/>
      <c r="AX586" s="1760"/>
      <c r="AY586" s="1761"/>
      <c r="AZ586" s="1741"/>
      <c r="BA586" s="1743"/>
      <c r="BB586" s="1760"/>
      <c r="BC586" s="1761"/>
      <c r="BD586" s="1741"/>
      <c r="BE586" s="1743"/>
      <c r="BF586" s="1760"/>
      <c r="BG586" s="1761"/>
      <c r="BH586" s="1741"/>
      <c r="BI586" s="1743"/>
      <c r="BJ586" s="1762">
        <f>IF(AP536=1,1,0)</f>
        <v>1</v>
      </c>
      <c r="BK586" s="1763"/>
      <c r="BL586" s="1760"/>
      <c r="BM586" s="1761"/>
      <c r="BN586" s="1760"/>
      <c r="BO586" s="1761"/>
      <c r="BP586" s="1752">
        <f>IF(AND(T612&gt;0,AP536&gt;0),1,0)</f>
        <v>1</v>
      </c>
      <c r="BQ586" s="1754"/>
    </row>
    <row r="587" spans="5:96" s="4" customFormat="1" ht="12.75" customHeight="1">
      <c r="E587" s="1734"/>
      <c r="F587" s="1735"/>
      <c r="G587" s="1735"/>
      <c r="H587" s="1735"/>
      <c r="I587" s="1735"/>
      <c r="J587" s="1736"/>
      <c r="K587" s="1730" t="str">
        <f>IF(OR(Application!D211="Rural",Application!D211="Rural apportionment (Section 514)",Application!D211="Rural apportionment (Section 515)",Application!D211="Rural apportionment (HOME)",Application!D211="Rural apportionment (CDBG-DR)",Application!D211="Rural (Native American apportionment)"),50,"")</f>
        <v/>
      </c>
      <c r="L587" s="1731"/>
      <c r="M587" s="1732" t="s">
        <v>2285</v>
      </c>
      <c r="N587" s="1732"/>
      <c r="O587" s="1732"/>
      <c r="P587" s="1733"/>
      <c r="Q587" s="1658">
        <f t="shared" si="6"/>
        <v>0</v>
      </c>
      <c r="R587" s="1659"/>
      <c r="S587" s="1659"/>
      <c r="T587" s="1659"/>
      <c r="U587" s="1659"/>
      <c r="V587" s="1660"/>
      <c r="W587" s="1661">
        <f>IF(FLOOR(Q587,5)&gt;50,50,FLOOR(Q587,5))</f>
        <v>0</v>
      </c>
      <c r="X587" s="1662"/>
      <c r="Y587" s="1662"/>
      <c r="Z587" s="1662"/>
      <c r="AA587" s="1662"/>
      <c r="AB587" s="1663"/>
      <c r="AC587" s="1661">
        <f>IFERROR(IF(W587&gt;0,INDEX($AT$507:$BA$521,MATCH(W587,$AS$507:$AS$521,0),MATCH(K587,$AT$506:$BA$506,0)),0),0)</f>
        <v>0</v>
      </c>
      <c r="AD587" s="1662"/>
      <c r="AE587" s="1662"/>
      <c r="AF587" s="1662"/>
      <c r="AG587" s="1662"/>
      <c r="AH587" s="1663"/>
      <c r="AN587" s="279"/>
      <c r="AP587" s="1683"/>
      <c r="AQ587" s="1684"/>
      <c r="AR587" s="1684"/>
      <c r="AS587" s="1684"/>
      <c r="AT587" s="1685"/>
      <c r="AX587" s="1760"/>
      <c r="AY587" s="1761"/>
      <c r="AZ587" s="1741"/>
      <c r="BA587" s="1743"/>
      <c r="BB587" s="1760"/>
      <c r="BC587" s="1761"/>
      <c r="BD587" s="1741"/>
      <c r="BE587" s="1743"/>
      <c r="BF587" s="1760"/>
      <c r="BG587" s="1761"/>
      <c r="BH587" s="1741"/>
      <c r="BI587" s="1743"/>
      <c r="BJ587" s="1760"/>
      <c r="BK587" s="1761"/>
      <c r="BL587" s="1760"/>
      <c r="BM587" s="1761"/>
      <c r="BN587" s="1762">
        <f>IF(AP537=1,1,0)</f>
        <v>0</v>
      </c>
      <c r="BO587" s="1763"/>
      <c r="BP587" s="1741"/>
      <c r="BQ587" s="1743"/>
    </row>
    <row r="588" spans="5:96" s="4" customFormat="1" ht="12.75" customHeight="1">
      <c r="E588" s="1734"/>
      <c r="F588" s="1735"/>
      <c r="G588" s="1735"/>
      <c r="H588" s="1735"/>
      <c r="I588" s="1735"/>
      <c r="J588" s="1736"/>
      <c r="K588" s="1730" t="str">
        <f>IF(OR(Application!D211="Rural",Application!D211="Rural apportionment (Section 514)",Application!D211="Rural apportionment (Section 515)",Application!D211="Rural apportionment (HOME)",Application!D211="Rural apportionment (CDBG-DR)",Application!D211="Rural (Native American apportionment)"),55,"")</f>
        <v/>
      </c>
      <c r="L588" s="1731"/>
      <c r="M588" s="1732" t="s">
        <v>2285</v>
      </c>
      <c r="N588" s="1732"/>
      <c r="O588" s="1732"/>
      <c r="P588" s="1733"/>
      <c r="Q588" s="1658">
        <f t="shared" si="6"/>
        <v>0</v>
      </c>
      <c r="R588" s="1659"/>
      <c r="S588" s="1659"/>
      <c r="T588" s="1659"/>
      <c r="U588" s="1659"/>
      <c r="V588" s="1660"/>
      <c r="W588" s="1661">
        <f>IF(FLOOR(Q588,5)&gt;40,40,FLOOR(Q588,5))</f>
        <v>0</v>
      </c>
      <c r="X588" s="1662"/>
      <c r="Y588" s="1662"/>
      <c r="Z588" s="1662"/>
      <c r="AA588" s="1662"/>
      <c r="AB588" s="1663"/>
      <c r="AC588" s="1661">
        <f>IFERROR(IF(W588&gt;0,INDEX($AT$507:$BA$521,MATCH(W588,$AS$507:$AS$521,0),MATCH(K588,$AT$506:$BA$506,0)),0),0)</f>
        <v>0</v>
      </c>
      <c r="AD588" s="1662"/>
      <c r="AE588" s="1662"/>
      <c r="AF588" s="1662"/>
      <c r="AG588" s="1662"/>
      <c r="AH588" s="1663"/>
      <c r="AN588" s="279"/>
      <c r="AX588" s="1762">
        <f>SUM(AX583:AY587)</f>
        <v>0</v>
      </c>
      <c r="AY588" s="1763"/>
      <c r="AZ588" s="1752">
        <f>SUM(AZ584:BA587)</f>
        <v>0</v>
      </c>
      <c r="BA588" s="1754"/>
      <c r="BB588" s="1762">
        <f>SUM(BB584:BC587)</f>
        <v>0</v>
      </c>
      <c r="BC588" s="1763"/>
      <c r="BD588" s="1752">
        <f>SUM(BD583:BE587)</f>
        <v>0</v>
      </c>
      <c r="BE588" s="1754"/>
      <c r="BF588" s="1762">
        <f>SUM(BF585:BG587)</f>
        <v>0</v>
      </c>
      <c r="BG588" s="1763"/>
      <c r="BH588" s="1752">
        <f>SUM(BH583:BI587)</f>
        <v>0</v>
      </c>
      <c r="BI588" s="1754"/>
      <c r="BJ588" s="1762">
        <f>SUM(BJ583:BK587)</f>
        <v>1</v>
      </c>
      <c r="BK588" s="1763"/>
      <c r="BL588" s="1752">
        <f>SUM(BL583:BM587)</f>
        <v>0</v>
      </c>
      <c r="BM588" s="1754"/>
      <c r="BN588" s="1762">
        <f>SUM(BN583:BO587)</f>
        <v>0</v>
      </c>
      <c r="BO588" s="1763"/>
      <c r="BP588" s="1752">
        <f>SUM(BP583:BQ587)</f>
        <v>1</v>
      </c>
      <c r="BQ588" s="1754"/>
    </row>
    <row r="589" spans="5:96" s="4" customFormat="1" ht="12.75" customHeight="1">
      <c r="E589" s="1671"/>
      <c r="F589" s="1672"/>
      <c r="G589" s="1672"/>
      <c r="H589" s="1672"/>
      <c r="I589" s="1672"/>
      <c r="J589" s="1673"/>
      <c r="K589" s="1683" t="s">
        <v>2113</v>
      </c>
      <c r="L589" s="1684"/>
      <c r="M589" s="1684"/>
      <c r="N589" s="1684"/>
      <c r="O589" s="1684"/>
      <c r="P589" s="1685"/>
      <c r="Q589" s="1658">
        <f t="shared" si="6"/>
        <v>0</v>
      </c>
      <c r="R589" s="1659"/>
      <c r="S589" s="1659"/>
      <c r="T589" s="1659"/>
      <c r="U589" s="1659"/>
      <c r="V589" s="1660"/>
      <c r="W589" s="1661">
        <f t="shared" si="7"/>
        <v>0</v>
      </c>
      <c r="X589" s="1662"/>
      <c r="Y589" s="1662"/>
      <c r="Z589" s="1662"/>
      <c r="AA589" s="1662"/>
      <c r="AB589" s="1663"/>
      <c r="AC589" s="1661">
        <v>0</v>
      </c>
      <c r="AD589" s="1662"/>
      <c r="AE589" s="1662"/>
      <c r="AF589" s="1662"/>
      <c r="AG589" s="1662"/>
      <c r="AH589" s="1663"/>
      <c r="AN589" s="279"/>
      <c r="AX589" s="1757">
        <f>IF(AND(AX588=1,AZ588&gt;1),1,0)</f>
        <v>0</v>
      </c>
      <c r="AY589" s="1758"/>
      <c r="AZ589" s="1758"/>
      <c r="BA589" s="1759"/>
      <c r="BB589" s="1757">
        <f>IF(AND(BB588=1,BD588&gt;=1),1,0)</f>
        <v>0</v>
      </c>
      <c r="BC589" s="1758"/>
      <c r="BD589" s="1758"/>
      <c r="BE589" s="1759"/>
      <c r="BF589" s="1757">
        <f>IF(AND(BF588=1,BH588&gt;=1),1,0)</f>
        <v>0</v>
      </c>
      <c r="BG589" s="1758"/>
      <c r="BH589" s="1758"/>
      <c r="BI589" s="1759"/>
      <c r="BJ589" s="1757">
        <f>IF(AND(BJ588=1,BL588&gt;=1),1,0)</f>
        <v>0</v>
      </c>
      <c r="BK589" s="1758"/>
      <c r="BL589" s="1758"/>
      <c r="BM589" s="1759"/>
      <c r="BN589" s="1757">
        <f>IF(AND(BN588=1,BP588&gt;=1),1,0)</f>
        <v>0</v>
      </c>
      <c r="BO589" s="1758"/>
      <c r="BP589" s="1758"/>
      <c r="BQ589" s="1759"/>
    </row>
    <row r="590" spans="5:96" s="4" customFormat="1" ht="12.75" customHeight="1">
      <c r="E590" s="1671"/>
      <c r="F590" s="1672"/>
      <c r="G590" s="1672"/>
      <c r="H590" s="1672"/>
      <c r="I590" s="1672"/>
      <c r="J590" s="1673"/>
      <c r="K590" s="1683" t="s">
        <v>2114</v>
      </c>
      <c r="L590" s="1684"/>
      <c r="M590" s="1684"/>
      <c r="N590" s="1684"/>
      <c r="O590" s="1684"/>
      <c r="P590" s="1685"/>
      <c r="Q590" s="1658">
        <f>IF(ISERROR(IF((((E590/$BJ$528)*100)&gt;100),"EXCESSIVE VALUE",(E590/$BJ$528)*100)),0,IF((((E590/$BJ$528)*100)&gt;100),"EXCESSIVE VALUE",(E590/$BJ$528)*100))</f>
        <v>0</v>
      </c>
      <c r="R590" s="1659"/>
      <c r="S590" s="1659"/>
      <c r="T590" s="1659"/>
      <c r="U590" s="1659"/>
      <c r="V590" s="1660"/>
      <c r="W590" s="1661">
        <f>IF(FLOOR(Q590,5)&gt;80,80,FLOOR(Q590,5))</f>
        <v>0</v>
      </c>
      <c r="X590" s="1662"/>
      <c r="Y590" s="1662"/>
      <c r="Z590" s="1662"/>
      <c r="AA590" s="1662"/>
      <c r="AB590" s="1663"/>
      <c r="AC590" s="1661">
        <v>0</v>
      </c>
      <c r="AD590" s="1662"/>
      <c r="AE590" s="1662"/>
      <c r="AF590" s="1662"/>
      <c r="AG590" s="1662"/>
      <c r="AH590" s="1663"/>
      <c r="AN590" s="279"/>
      <c r="AX590"/>
      <c r="AY590"/>
      <c r="AZ590"/>
      <c r="BA590"/>
      <c r="BB590"/>
      <c r="BC590"/>
      <c r="BD590"/>
      <c r="BE590"/>
      <c r="BF590"/>
      <c r="BG590"/>
      <c r="BH590"/>
      <c r="BI590" s="34" t="s">
        <v>609</v>
      </c>
      <c r="BJ590" s="1757">
        <f>AX589+BB589+BF589+BJ589+BN589</f>
        <v>0</v>
      </c>
      <c r="BK590" s="1758"/>
      <c r="BL590" s="1758"/>
      <c r="BM590" s="1759"/>
      <c r="BN590"/>
      <c r="BO590"/>
      <c r="BP590"/>
      <c r="BQ590"/>
    </row>
    <row r="591" spans="5:96" s="4" customFormat="1" ht="12.75" customHeight="1">
      <c r="E591" s="1671"/>
      <c r="F591" s="1672"/>
      <c r="G591" s="1672"/>
      <c r="H591" s="1672"/>
      <c r="I591" s="1672"/>
      <c r="J591" s="1673"/>
      <c r="K591" s="1683" t="s">
        <v>2115</v>
      </c>
      <c r="L591" s="1684"/>
      <c r="M591" s="1684"/>
      <c r="N591" s="1684"/>
      <c r="O591" s="1684"/>
      <c r="P591" s="1685"/>
      <c r="Q591" s="1658">
        <f>IF(ISERROR(IF((((E591/$BJ$528)*100)&gt;100),"EXCESSIVE VALUE",(E591/$BJ$528)*100)),0,IF((((E591/$BJ$528)*100)&gt;100),"EXCESSIVE VALUE",(E591/$BJ$528)*100))</f>
        <v>0</v>
      </c>
      <c r="R591" s="1659"/>
      <c r="S591" s="1659"/>
      <c r="T591" s="1659"/>
      <c r="U591" s="1659"/>
      <c r="V591" s="1660"/>
      <c r="W591" s="1661">
        <f>IF(FLOOR(Q591,5)&gt;80,80,FLOOR(Q591,5))</f>
        <v>0</v>
      </c>
      <c r="X591" s="1662"/>
      <c r="Y591" s="1662"/>
      <c r="Z591" s="1662"/>
      <c r="AA591" s="1662"/>
      <c r="AB591" s="1663"/>
      <c r="AC591" s="1661">
        <v>0</v>
      </c>
      <c r="AD591" s="1662"/>
      <c r="AE591" s="1662"/>
      <c r="AF591" s="1662"/>
      <c r="AG591" s="1662"/>
      <c r="AH591" s="1663"/>
      <c r="AN591" s="279"/>
      <c r="AX591"/>
      <c r="AY591"/>
      <c r="AZ591"/>
      <c r="BA591"/>
      <c r="BB591"/>
      <c r="BC591"/>
      <c r="BD591"/>
      <c r="BE591"/>
      <c r="BF591"/>
      <c r="BG591"/>
      <c r="BI591"/>
      <c r="BJ591" t="s">
        <v>608</v>
      </c>
      <c r="BK591"/>
      <c r="BL591"/>
      <c r="BM591"/>
      <c r="BN591"/>
      <c r="BO591"/>
      <c r="BP591"/>
      <c r="BQ591"/>
    </row>
    <row r="592" spans="5:96" s="4" customFormat="1" ht="12.75" customHeight="1">
      <c r="E592" s="1711">
        <f>SUM(E581:J591)</f>
        <v>53</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604</v>
      </c>
      <c r="AC592" s="1846">
        <f>IF(SUM(AC581:AH591)&gt;0,SUM(AC581:AH591),0)</f>
        <v>50</v>
      </c>
      <c r="AD592" s="1847"/>
      <c r="AE592" s="1847"/>
      <c r="AF592" s="1847"/>
      <c r="AG592" s="1847"/>
      <c r="AH592" s="184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2214</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1933</v>
      </c>
      <c r="AG596" s="1695" t="s">
        <v>102</v>
      </c>
      <c r="AH596" s="1695"/>
      <c r="AI596" s="1695"/>
      <c r="AJ596" s="1695"/>
      <c r="AK596" s="5"/>
      <c r="AL596" s="5"/>
      <c r="AM596" s="5"/>
      <c r="AN596" s="279"/>
    </row>
    <row r="597" spans="1:64" s="4" customFormat="1" ht="12.75" customHeight="1">
      <c r="B597" s="1835" t="s">
        <v>2103</v>
      </c>
      <c r="C597" s="1835"/>
      <c r="D597" s="1835"/>
      <c r="E597" s="1835"/>
      <c r="F597" s="1835"/>
      <c r="G597" s="1835"/>
      <c r="H597" s="1835"/>
      <c r="I597" s="1835"/>
      <c r="J597" s="1835"/>
      <c r="K597" s="1835"/>
      <c r="L597" s="1835"/>
      <c r="M597" s="1835"/>
      <c r="N597" s="1835"/>
      <c r="O597" s="1835"/>
      <c r="P597" s="1835"/>
      <c r="Q597" s="1835"/>
      <c r="R597" s="1835"/>
      <c r="S597" s="1835"/>
      <c r="T597" s="1835"/>
      <c r="U597" s="1835"/>
      <c r="V597" s="1835"/>
      <c r="W597" s="1835"/>
      <c r="X597" s="1835"/>
      <c r="Y597" s="1835"/>
      <c r="Z597" s="1835"/>
      <c r="AA597" s="1835"/>
      <c r="AB597" s="1835"/>
      <c r="AC597" s="1835"/>
      <c r="AD597" s="1835"/>
      <c r="AE597" s="1835"/>
      <c r="AF597" s="1835"/>
      <c r="AG597" s="1835"/>
      <c r="AH597" s="1835"/>
      <c r="AI597" s="21"/>
      <c r="AJ597" s="21"/>
      <c r="AK597"/>
      <c r="AL597"/>
      <c r="AM597"/>
      <c r="AN597" s="279"/>
    </row>
    <row r="598" spans="1:64" s="4" customFormat="1" ht="12.75" customHeight="1">
      <c r="A598" s="21"/>
      <c r="B598" s="1835"/>
      <c r="C598" s="1835"/>
      <c r="D598" s="1835"/>
      <c r="E598" s="1835"/>
      <c r="F598" s="1835"/>
      <c r="G598" s="1835"/>
      <c r="H598" s="1835"/>
      <c r="I598" s="1835"/>
      <c r="J598" s="1835"/>
      <c r="K598" s="1835"/>
      <c r="L598" s="1835"/>
      <c r="M598" s="1835"/>
      <c r="N598" s="1835"/>
      <c r="O598" s="1835"/>
      <c r="P598" s="1835"/>
      <c r="Q598" s="1835"/>
      <c r="R598" s="1835"/>
      <c r="S598" s="1835"/>
      <c r="T598" s="1835"/>
      <c r="U598" s="1835"/>
      <c r="V598" s="1835"/>
      <c r="W598" s="1835"/>
      <c r="X598" s="1835"/>
      <c r="Y598" s="1835"/>
      <c r="Z598" s="1835"/>
      <c r="AA598" s="1835"/>
      <c r="AB598" s="1835"/>
      <c r="AC598" s="1835"/>
      <c r="AD598" s="1835"/>
      <c r="AE598" s="1835"/>
      <c r="AF598" s="1835"/>
      <c r="AG598" s="1835"/>
      <c r="AH598" s="1835"/>
      <c r="AI598" s="21"/>
      <c r="AJ598" s="21"/>
      <c r="AK598"/>
      <c r="AL598"/>
      <c r="AM598"/>
      <c r="AN598" s="279"/>
    </row>
    <row r="599" spans="1:64" s="4" customFormat="1" ht="12.75" customHeight="1">
      <c r="A599" s="21"/>
      <c r="B599" s="1835"/>
      <c r="C599" s="1835"/>
      <c r="D599" s="1835"/>
      <c r="E599" s="1835"/>
      <c r="F599" s="1835"/>
      <c r="G599" s="1835"/>
      <c r="H599" s="1835"/>
      <c r="I599" s="1835"/>
      <c r="J599" s="1835"/>
      <c r="K599" s="1835"/>
      <c r="L599" s="1835"/>
      <c r="M599" s="1835"/>
      <c r="N599" s="1835"/>
      <c r="O599" s="1835"/>
      <c r="P599" s="1835"/>
      <c r="Q599" s="1835"/>
      <c r="R599" s="1835"/>
      <c r="S599" s="1835"/>
      <c r="T599" s="1835"/>
      <c r="U599" s="1835"/>
      <c r="V599" s="1835"/>
      <c r="W599" s="1835"/>
      <c r="X599" s="1835"/>
      <c r="Y599" s="1835"/>
      <c r="Z599" s="1835"/>
      <c r="AA599" s="1835"/>
      <c r="AB599" s="1835"/>
      <c r="AC599" s="1835"/>
      <c r="AD599" s="1835"/>
      <c r="AE599" s="1835"/>
      <c r="AF599" s="1835"/>
      <c r="AG599" s="1835"/>
      <c r="AH599" s="1835"/>
      <c r="AI599" s="21"/>
      <c r="AJ599" s="21"/>
      <c r="AK599"/>
      <c r="AL599"/>
      <c r="AM599"/>
      <c r="AN599" s="279"/>
    </row>
    <row r="600" spans="1:64" s="4" customFormat="1" ht="12.75" customHeight="1">
      <c r="A600" s="21"/>
      <c r="B600" s="1835"/>
      <c r="C600" s="1835"/>
      <c r="D600" s="1835"/>
      <c r="E600" s="1835"/>
      <c r="F600" s="1835"/>
      <c r="G600" s="1835"/>
      <c r="H600" s="1835"/>
      <c r="I600" s="1835"/>
      <c r="J600" s="1835"/>
      <c r="K600" s="1835"/>
      <c r="L600" s="1835"/>
      <c r="M600" s="1835"/>
      <c r="N600" s="1835"/>
      <c r="O600" s="1835"/>
      <c r="P600" s="1835"/>
      <c r="Q600" s="1835"/>
      <c r="R600" s="1835"/>
      <c r="S600" s="1835"/>
      <c r="T600" s="1835"/>
      <c r="U600" s="1835"/>
      <c r="V600" s="1835"/>
      <c r="W600" s="1835"/>
      <c r="X600" s="1835"/>
      <c r="Y600" s="1835"/>
      <c r="Z600" s="1835"/>
      <c r="AA600" s="1835"/>
      <c r="AB600" s="1835"/>
      <c r="AC600" s="1835"/>
      <c r="AD600" s="1835"/>
      <c r="AE600" s="1835"/>
      <c r="AF600" s="1835"/>
      <c r="AG600" s="1835"/>
      <c r="AH600" s="1835"/>
      <c r="AI600" s="21"/>
      <c r="AJ600" s="21"/>
      <c r="AK600"/>
      <c r="AL600"/>
      <c r="AM600"/>
      <c r="AN600" s="666"/>
    </row>
    <row r="601" spans="1:64">
      <c r="B601" s="1835"/>
      <c r="C601" s="1835"/>
      <c r="D601" s="1835"/>
      <c r="E601" s="1835"/>
      <c r="F601" s="1835"/>
      <c r="G601" s="1835"/>
      <c r="H601" s="1835"/>
      <c r="I601" s="1835"/>
      <c r="J601" s="1835"/>
      <c r="K601" s="1835"/>
      <c r="L601" s="1835"/>
      <c r="M601" s="1835"/>
      <c r="N601" s="1835"/>
      <c r="O601" s="1835"/>
      <c r="P601" s="1835"/>
      <c r="Q601" s="1835"/>
      <c r="R601" s="1835"/>
      <c r="S601" s="1835"/>
      <c r="T601" s="1835"/>
      <c r="U601" s="1835"/>
      <c r="V601" s="1835"/>
      <c r="W601" s="1835"/>
      <c r="X601" s="1835"/>
      <c r="Y601" s="1835"/>
      <c r="Z601" s="1835"/>
      <c r="AA601" s="1835"/>
      <c r="AB601" s="1835"/>
      <c r="AC601" s="1835"/>
      <c r="AD601" s="1835"/>
      <c r="AE601" s="1835"/>
      <c r="AF601" s="1835"/>
      <c r="AG601" s="1835"/>
      <c r="AH601" s="1835"/>
      <c r="AK601"/>
      <c r="AL601"/>
      <c r="AM601"/>
      <c r="BD601" s="21"/>
      <c r="BE601" s="21"/>
      <c r="BF601" s="21"/>
      <c r="BG601" s="21"/>
      <c r="BH601" s="21"/>
    </row>
    <row r="602" spans="1:64" ht="12.75" customHeight="1">
      <c r="B602" s="1835"/>
      <c r="C602" s="1835"/>
      <c r="D602" s="1835"/>
      <c r="E602" s="1835"/>
      <c r="F602" s="1835"/>
      <c r="G602" s="1835"/>
      <c r="H602" s="1835"/>
      <c r="I602" s="1835"/>
      <c r="J602" s="1835"/>
      <c r="K602" s="1835"/>
      <c r="L602" s="1835"/>
      <c r="M602" s="1835"/>
      <c r="N602" s="1835"/>
      <c r="O602" s="1835"/>
      <c r="P602" s="1835"/>
      <c r="Q602" s="1835"/>
      <c r="R602" s="1835"/>
      <c r="S602" s="1835"/>
      <c r="T602" s="1835"/>
      <c r="U602" s="1835"/>
      <c r="V602" s="1835"/>
      <c r="W602" s="1835"/>
      <c r="X602" s="1835"/>
      <c r="Y602" s="1835"/>
      <c r="Z602" s="1835"/>
      <c r="AA602" s="1835"/>
      <c r="AB602" s="1835"/>
      <c r="AC602" s="1835"/>
      <c r="AD602" s="1835"/>
      <c r="AE602" s="1835"/>
      <c r="AF602" s="1835"/>
      <c r="AG602" s="1835"/>
      <c r="AH602" s="1835"/>
    </row>
    <row r="603" spans="1:64" ht="12.75" customHeight="1">
      <c r="E603" s="160"/>
    </row>
    <row r="604" spans="1:64">
      <c r="J604" s="1840" t="s">
        <v>794</v>
      </c>
      <c r="K604" s="1841"/>
      <c r="L604" s="1841"/>
      <c r="M604" s="1841"/>
      <c r="N604" s="1842"/>
      <c r="O604" s="1293" t="s">
        <v>1502</v>
      </c>
      <c r="P604" s="1294"/>
      <c r="Q604" s="1294"/>
      <c r="R604" s="1294"/>
      <c r="S604" s="1295"/>
      <c r="T604" s="1293" t="s">
        <v>1756</v>
      </c>
      <c r="U604" s="1294"/>
      <c r="V604" s="1294"/>
      <c r="W604" s="1294"/>
      <c r="X604" s="1295"/>
      <c r="Y604" s="1293" t="s">
        <v>1503</v>
      </c>
      <c r="Z604" s="1294"/>
      <c r="AA604" s="1294"/>
      <c r="AB604" s="1294"/>
      <c r="AC604" s="1295"/>
      <c r="AF604"/>
      <c r="AG604"/>
      <c r="AH604"/>
      <c r="AI604"/>
      <c r="AJ604"/>
    </row>
    <row r="605" spans="1:64">
      <c r="D605"/>
      <c r="E605"/>
      <c r="F605"/>
      <c r="G605"/>
      <c r="H605"/>
      <c r="I605"/>
      <c r="J605" s="1843"/>
      <c r="K605" s="1844"/>
      <c r="L605" s="1844"/>
      <c r="M605" s="1844"/>
      <c r="N605" s="1845"/>
      <c r="O605" s="1296"/>
      <c r="P605" s="1297"/>
      <c r="Q605" s="1297"/>
      <c r="R605" s="1297"/>
      <c r="S605" s="1298"/>
      <c r="T605" s="1296"/>
      <c r="U605" s="1297"/>
      <c r="V605" s="1297"/>
      <c r="W605" s="1297"/>
      <c r="X605" s="1298"/>
      <c r="Y605" s="1296"/>
      <c r="Z605" s="1297"/>
      <c r="AA605" s="1297"/>
      <c r="AB605" s="1297"/>
      <c r="AC605" s="1298"/>
      <c r="AF605"/>
      <c r="AG605"/>
      <c r="AH605"/>
      <c r="AI605"/>
      <c r="AJ605"/>
      <c r="AO605" s="38" t="s">
        <v>2210</v>
      </c>
      <c r="AR605" s="21" t="b">
        <f>$Y$614&gt;=10%</f>
        <v>1</v>
      </c>
    </row>
    <row r="606" spans="1:64">
      <c r="I606"/>
      <c r="J606" s="1843"/>
      <c r="K606" s="1844"/>
      <c r="L606" s="1844"/>
      <c r="M606" s="1844"/>
      <c r="N606" s="1845"/>
      <c r="O606" s="1296"/>
      <c r="P606" s="1297"/>
      <c r="Q606" s="1297"/>
      <c r="R606" s="1297"/>
      <c r="S606" s="1298"/>
      <c r="T606" s="1296"/>
      <c r="U606" s="1297"/>
      <c r="V606" s="1297"/>
      <c r="W606" s="1297"/>
      <c r="X606" s="1298"/>
      <c r="Y606" s="1296"/>
      <c r="Z606" s="1297"/>
      <c r="AA606" s="1297"/>
      <c r="AB606" s="1297"/>
      <c r="AC606" s="1298"/>
      <c r="AD606"/>
      <c r="AF606"/>
      <c r="AG606"/>
      <c r="AH606"/>
      <c r="AI606"/>
      <c r="AJ606"/>
      <c r="AO606" s="38" t="s">
        <v>2211</v>
      </c>
      <c r="AR606" s="950">
        <f>ROUNDUP(($O$614*10%),0)</f>
        <v>6</v>
      </c>
    </row>
    <row r="607" spans="1:64" ht="19.5" customHeight="1">
      <c r="D607"/>
      <c r="E607"/>
      <c r="F607"/>
      <c r="G607"/>
      <c r="H607"/>
      <c r="I607"/>
      <c r="J607" s="1843"/>
      <c r="K607" s="1844"/>
      <c r="L607" s="1844"/>
      <c r="M607" s="1844"/>
      <c r="N607" s="1845"/>
      <c r="O607" s="1296"/>
      <c r="P607" s="1297"/>
      <c r="Q607" s="1297"/>
      <c r="R607" s="1297"/>
      <c r="S607" s="1298"/>
      <c r="T607" s="1296"/>
      <c r="U607" s="1297"/>
      <c r="V607" s="1297"/>
      <c r="W607" s="1297"/>
      <c r="X607" s="1298"/>
      <c r="Y607" s="1296"/>
      <c r="Z607" s="1297"/>
      <c r="AA607" s="1297"/>
      <c r="AB607" s="1297"/>
      <c r="AC607" s="1298"/>
      <c r="AD607"/>
      <c r="AF607"/>
      <c r="AG607"/>
      <c r="AH607"/>
      <c r="AI607"/>
      <c r="AJ607"/>
      <c r="AO607" s="38" t="s">
        <v>2212</v>
      </c>
      <c r="AR607" s="21" t="s">
        <v>2213</v>
      </c>
    </row>
    <row r="608" spans="1:64">
      <c r="D608"/>
      <c r="E608"/>
      <c r="F608"/>
      <c r="G608"/>
      <c r="H608"/>
      <c r="I608"/>
      <c r="J608" s="1708" t="s">
        <v>224</v>
      </c>
      <c r="K608" s="1709"/>
      <c r="L608" s="1709"/>
      <c r="M608" s="1709"/>
      <c r="N608" s="1710"/>
      <c r="O608" s="1683">
        <f>Application!CM634</f>
        <v>0</v>
      </c>
      <c r="P608" s="1684"/>
      <c r="Q608" s="1684"/>
      <c r="R608" s="1684"/>
      <c r="S608" s="1685"/>
      <c r="T608" s="1683">
        <f>Application!DR635</f>
        <v>0</v>
      </c>
      <c r="U608" s="1684"/>
      <c r="V608" s="1684"/>
      <c r="W608" s="1684"/>
      <c r="X608" s="1685"/>
      <c r="Y608" s="1719">
        <f t="shared" ref="Y608:Y614" si="8">IF(T608&gt;0,T608/O608,0)</f>
        <v>0</v>
      </c>
      <c r="Z608" s="1720"/>
      <c r="AA608" s="1720"/>
      <c r="AB608" s="1720"/>
      <c r="AC608" s="1721"/>
      <c r="AD608"/>
      <c r="AF608"/>
      <c r="AG608"/>
      <c r="AH608"/>
      <c r="AI608"/>
      <c r="AJ608"/>
      <c r="AO608" s="950">
        <f t="shared" ref="AO608:AO613" si="9">ROUNDUP((O608*10%),0)</f>
        <v>0</v>
      </c>
      <c r="AP608" s="204"/>
      <c r="AR608" s="951" t="b">
        <f>OR(SUM($T$608:T608)&gt;=$AR$606,T608&gt;=AO608)</f>
        <v>1</v>
      </c>
    </row>
    <row r="609" spans="1:60">
      <c r="D609"/>
      <c r="E609"/>
      <c r="F609"/>
      <c r="G609"/>
      <c r="H609"/>
      <c r="I609"/>
      <c r="J609" s="1708" t="s">
        <v>31</v>
      </c>
      <c r="K609" s="1709"/>
      <c r="L609" s="1709"/>
      <c r="M609" s="1709"/>
      <c r="N609" s="1710"/>
      <c r="O609" s="1683">
        <f>Application!CH634</f>
        <v>0</v>
      </c>
      <c r="P609" s="1684"/>
      <c r="Q609" s="1684"/>
      <c r="R609" s="1684"/>
      <c r="S609" s="1685"/>
      <c r="T609" s="1683">
        <f>Application!DM635</f>
        <v>0</v>
      </c>
      <c r="U609" s="1684"/>
      <c r="V609" s="1684"/>
      <c r="W609" s="1684"/>
      <c r="X609" s="1685"/>
      <c r="Y609" s="1719">
        <f t="shared" si="8"/>
        <v>0</v>
      </c>
      <c r="Z609" s="1720"/>
      <c r="AA609" s="1720"/>
      <c r="AB609" s="1720"/>
      <c r="AC609" s="1721"/>
      <c r="AD609"/>
      <c r="AF609"/>
      <c r="AG609"/>
      <c r="AH609"/>
      <c r="AI609"/>
      <c r="AJ609"/>
      <c r="AO609" s="950">
        <f t="shared" si="9"/>
        <v>0</v>
      </c>
      <c r="AP609" s="204"/>
      <c r="AR609" s="951" t="b">
        <f>OR(SUM($T$608:T609)&gt;=$AR$606,T609&gt;=AO609)</f>
        <v>1</v>
      </c>
    </row>
    <row r="610" spans="1:60">
      <c r="D610"/>
      <c r="E610"/>
      <c r="F610"/>
      <c r="G610"/>
      <c r="H610"/>
      <c r="I610"/>
      <c r="J610" s="1708" t="s">
        <v>264</v>
      </c>
      <c r="K610" s="1709"/>
      <c r="L610" s="1709"/>
      <c r="M610" s="1709"/>
      <c r="N610" s="1710"/>
      <c r="O610" s="1683">
        <f>Application!CC634</f>
        <v>0</v>
      </c>
      <c r="P610" s="1684"/>
      <c r="Q610" s="1684"/>
      <c r="R610" s="1684"/>
      <c r="S610" s="1685"/>
      <c r="T610" s="1683">
        <f>Application!DH635</f>
        <v>0</v>
      </c>
      <c r="U610" s="1684"/>
      <c r="V610" s="1684"/>
      <c r="W610" s="1684"/>
      <c r="X610" s="1685"/>
      <c r="Y610" s="1719">
        <f t="shared" si="8"/>
        <v>0</v>
      </c>
      <c r="Z610" s="1720"/>
      <c r="AA610" s="1720"/>
      <c r="AB610" s="1720"/>
      <c r="AC610" s="1721"/>
      <c r="AD610"/>
      <c r="AF610"/>
      <c r="AG610"/>
      <c r="AH610"/>
      <c r="AI610"/>
      <c r="AJ610"/>
      <c r="AO610" s="950">
        <f t="shared" si="9"/>
        <v>0</v>
      </c>
      <c r="AP610" s="204"/>
      <c r="AR610" s="951" t="b">
        <f>OR(SUM($T$608:T610)&gt;=$AR$606,T610&gt;=AO610)</f>
        <v>1</v>
      </c>
    </row>
    <row r="611" spans="1:60">
      <c r="D611"/>
      <c r="E611"/>
      <c r="F611"/>
      <c r="G611"/>
      <c r="H611"/>
      <c r="I611"/>
      <c r="J611" s="1708" t="s">
        <v>263</v>
      </c>
      <c r="K611" s="1709"/>
      <c r="L611" s="1709"/>
      <c r="M611" s="1709"/>
      <c r="N611" s="1710"/>
      <c r="O611" s="1683">
        <f>Application!BX634</f>
        <v>0</v>
      </c>
      <c r="P611" s="1684"/>
      <c r="Q611" s="1684"/>
      <c r="R611" s="1684"/>
      <c r="S611" s="1685"/>
      <c r="T611" s="1683">
        <f>Application!DC635</f>
        <v>0</v>
      </c>
      <c r="U611" s="1684"/>
      <c r="V611" s="1684"/>
      <c r="W611" s="1684"/>
      <c r="X611" s="1685"/>
      <c r="Y611" s="1719">
        <f t="shared" si="8"/>
        <v>0</v>
      </c>
      <c r="Z611" s="1720"/>
      <c r="AA611" s="1720"/>
      <c r="AB611" s="1720"/>
      <c r="AC611" s="1721"/>
      <c r="AD611"/>
      <c r="AF611"/>
      <c r="AG611"/>
      <c r="AH611"/>
      <c r="AI611"/>
      <c r="AJ611"/>
      <c r="AO611" s="950">
        <f t="shared" si="9"/>
        <v>0</v>
      </c>
      <c r="AP611" s="204"/>
      <c r="AR611" s="951" t="b">
        <f>OR(SUM($T$608:T611)&gt;=$AR$606,T611&gt;=AO611)</f>
        <v>1</v>
      </c>
    </row>
    <row r="612" spans="1:60">
      <c r="D612"/>
      <c r="E612"/>
      <c r="F612"/>
      <c r="G612"/>
      <c r="H612"/>
      <c r="I612"/>
      <c r="J612" s="1708" t="s">
        <v>262</v>
      </c>
      <c r="K612" s="1709"/>
      <c r="L612" s="1709"/>
      <c r="M612" s="1709"/>
      <c r="N612" s="1710"/>
      <c r="O612" s="1683">
        <f>Application!BS634</f>
        <v>53</v>
      </c>
      <c r="P612" s="1684"/>
      <c r="Q612" s="1684"/>
      <c r="R612" s="1684"/>
      <c r="S612" s="1685"/>
      <c r="T612" s="1683">
        <f>Application!CX635</f>
        <v>53</v>
      </c>
      <c r="U612" s="1684"/>
      <c r="V612" s="1684"/>
      <c r="W612" s="1684"/>
      <c r="X612" s="1685"/>
      <c r="Y612" s="1719">
        <f t="shared" si="8"/>
        <v>1</v>
      </c>
      <c r="Z612" s="1720"/>
      <c r="AA612" s="1720"/>
      <c r="AB612" s="1720"/>
      <c r="AC612" s="1721"/>
      <c r="AD612"/>
      <c r="AF612"/>
      <c r="AG612"/>
      <c r="AH612"/>
      <c r="AI612"/>
      <c r="AJ612"/>
      <c r="AO612" s="950">
        <f t="shared" si="9"/>
        <v>6</v>
      </c>
      <c r="AP612" s="204"/>
      <c r="AR612" s="951" t="b">
        <f>OR(SUM($T$608:T612)&gt;=$AR$606,T612&gt;=AO612)</f>
        <v>1</v>
      </c>
    </row>
    <row r="613" spans="1:60">
      <c r="D613"/>
      <c r="E613"/>
      <c r="F613"/>
      <c r="G613"/>
      <c r="H613"/>
      <c r="I613"/>
      <c r="J613" s="1708" t="s">
        <v>614</v>
      </c>
      <c r="K613" s="1709"/>
      <c r="L613" s="1709"/>
      <c r="M613" s="1709"/>
      <c r="N613" s="1710"/>
      <c r="O613" s="1683">
        <f>Application!BN634</f>
        <v>0</v>
      </c>
      <c r="P613" s="1684"/>
      <c r="Q613" s="1684"/>
      <c r="R613" s="1684"/>
      <c r="S613" s="1685"/>
      <c r="T613" s="1683">
        <f>Application!CS635</f>
        <v>0</v>
      </c>
      <c r="U613" s="1684"/>
      <c r="V613" s="1684"/>
      <c r="W613" s="1684"/>
      <c r="X613" s="1685"/>
      <c r="Y613" s="1719">
        <f t="shared" si="8"/>
        <v>0</v>
      </c>
      <c r="Z613" s="1720"/>
      <c r="AA613" s="1720"/>
      <c r="AB613" s="1720"/>
      <c r="AC613" s="1721"/>
      <c r="AD613"/>
      <c r="AF613"/>
      <c r="AG613"/>
      <c r="AH613"/>
      <c r="AI613"/>
      <c r="AJ613"/>
      <c r="AO613" s="950">
        <f t="shared" si="9"/>
        <v>0</v>
      </c>
      <c r="AP613" s="204"/>
      <c r="AR613" s="951" t="b">
        <f>OR(SUM($T$608:T613)&gt;=$AR$606,T613&gt;=AO613)</f>
        <v>1</v>
      </c>
    </row>
    <row r="614" spans="1:60">
      <c r="D614"/>
      <c r="E614"/>
      <c r="F614"/>
      <c r="G614"/>
      <c r="H614"/>
      <c r="I614"/>
      <c r="J614" s="1574" t="s">
        <v>875</v>
      </c>
      <c r="K614" s="1575"/>
      <c r="L614" s="1575"/>
      <c r="M614" s="1575"/>
      <c r="N614" s="1576"/>
      <c r="O614" s="1859">
        <f>SUM(O608:S613)</f>
        <v>53</v>
      </c>
      <c r="P614" s="1860"/>
      <c r="Q614" s="1860"/>
      <c r="R614" s="1860"/>
      <c r="S614" s="1861"/>
      <c r="T614" s="1859">
        <f>SUM(T608:X613)</f>
        <v>53</v>
      </c>
      <c r="U614" s="1860"/>
      <c r="V614" s="1860"/>
      <c r="W614" s="1860"/>
      <c r="X614" s="1861"/>
      <c r="Y614" s="1813">
        <f t="shared" si="8"/>
        <v>1</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9" t="s">
        <v>1506</v>
      </c>
      <c r="B617" s="1120"/>
      <c r="C617" s="1120"/>
      <c r="D617" s="1120"/>
      <c r="E617" s="1120"/>
      <c r="F617" s="1120"/>
      <c r="G617" s="1120"/>
      <c r="H617" s="1120"/>
      <c r="I617" s="1120"/>
      <c r="J617" s="1120"/>
      <c r="K617" s="1120"/>
      <c r="L617" s="1120"/>
      <c r="M617" s="1120"/>
      <c r="N617" s="1120"/>
      <c r="O617" s="1120"/>
      <c r="P617" s="1120"/>
      <c r="Q617" s="1120"/>
      <c r="R617" s="1120"/>
      <c r="S617" s="1120"/>
      <c r="T617" s="1120"/>
      <c r="U617" s="1120"/>
      <c r="V617" s="1120"/>
      <c r="W617" s="1120"/>
      <c r="X617" s="1120"/>
      <c r="Y617" s="1120"/>
      <c r="Z617" s="1120"/>
      <c r="AA617" s="1120"/>
      <c r="AB617" s="1120"/>
      <c r="AC617" s="1120"/>
      <c r="AD617" s="1120"/>
      <c r="AE617" s="1120"/>
      <c r="AF617" s="1120"/>
      <c r="AG617" s="1120"/>
      <c r="AH617" s="1120"/>
      <c r="AI617" s="1122"/>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179</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106">
        <f>IF($E$592=Application!G738,$AC$592+$AJ$617,0)</f>
        <v>52</v>
      </c>
      <c r="AL619" s="1107"/>
      <c r="AM619" s="110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0" t="s">
        <v>1507</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6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44" t="s">
        <v>107</v>
      </c>
      <c r="D627" s="1144"/>
      <c r="E627" s="183"/>
      <c r="F627" s="1674" t="s">
        <v>2203</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22" t="s">
        <v>937</v>
      </c>
      <c r="AH627" s="1022"/>
      <c r="AI627" s="1022"/>
      <c r="AJ627" s="1022"/>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65"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65" customHeight="1">
      <c r="A630" s="4"/>
      <c r="B630" s="20"/>
      <c r="C630" s="45"/>
      <c r="D630" s="4"/>
      <c r="E630" s="183"/>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3"/>
      <c r="AG630" s="173"/>
      <c r="AH630" s="173"/>
      <c r="AI630" s="173"/>
      <c r="AJ630" s="4"/>
      <c r="AK630" s="4"/>
      <c r="AL630" s="4"/>
      <c r="AM630" s="4"/>
    </row>
    <row r="631" spans="1:44" ht="13.65" customHeight="1">
      <c r="A631" s="4"/>
      <c r="B631" s="1670" t="s">
        <v>2208</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65"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65"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65"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65"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65"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65"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45"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106">
        <f>IF($C$627="yes",10,0)</f>
        <v>10</v>
      </c>
      <c r="AL645" s="1107"/>
      <c r="AM645" s="1109"/>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44" t="s">
        <v>107</v>
      </c>
      <c r="D650" s="1144"/>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44" t="s">
        <v>123</v>
      </c>
      <c r="D655" s="1144"/>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44" t="s">
        <v>123</v>
      </c>
      <c r="D659" s="1144"/>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44" t="s">
        <v>123</v>
      </c>
      <c r="D663" s="1144"/>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44" t="s">
        <v>123</v>
      </c>
      <c r="D665" s="1144"/>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44" t="s">
        <v>123</v>
      </c>
      <c r="D670" s="1144"/>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44" t="s">
        <v>123</v>
      </c>
      <c r="D673" s="1144"/>
      <c r="E673" s="183" t="s">
        <v>280</v>
      </c>
      <c r="F673" s="1670" t="s">
        <v>2196</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102</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106">
        <f>$AO$655</f>
        <v>2</v>
      </c>
      <c r="AL688" s="1107"/>
      <c r="AM688" s="110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10" t="s">
        <v>721</v>
      </c>
      <c r="B691" s="1810"/>
      <c r="C691" s="1810"/>
      <c r="D691" s="1810"/>
      <c r="E691" s="1810"/>
      <c r="F691" s="1810"/>
      <c r="G691" s="1810"/>
      <c r="H691" s="1810"/>
      <c r="I691" s="1810"/>
      <c r="J691" s="1810"/>
      <c r="K691" s="1810"/>
      <c r="L691" s="1810"/>
      <c r="M691" s="1810"/>
      <c r="N691" s="1810"/>
      <c r="O691" s="1810"/>
      <c r="P691" s="1810"/>
      <c r="Q691" s="1810"/>
      <c r="R691" s="1810"/>
      <c r="S691" s="1810"/>
      <c r="T691" s="1810"/>
      <c r="U691" s="1810"/>
      <c r="V691" s="1810"/>
      <c r="W691" s="1810"/>
      <c r="X691" s="1810"/>
      <c r="Y691" s="1810"/>
      <c r="Z691" s="1810"/>
      <c r="AA691" s="1810"/>
      <c r="AB691" s="1810"/>
      <c r="AC691" s="1810"/>
      <c r="AD691" s="1810"/>
      <c r="AE691" s="1810"/>
      <c r="AF691" s="1810"/>
      <c r="AG691" s="1810"/>
      <c r="AH691" s="1810"/>
      <c r="AI691" s="1810"/>
      <c r="AJ691" s="1810"/>
      <c r="AK691" s="1810"/>
      <c r="AL691" s="1810"/>
      <c r="AM691" s="1810"/>
      <c r="AO691" s="204"/>
      <c r="AP691" s="204"/>
      <c r="AQ691" s="204"/>
    </row>
    <row r="692" spans="1:43">
      <c r="A692" s="1811"/>
      <c r="B692" s="1811"/>
      <c r="C692" s="1811"/>
      <c r="D692" s="1811"/>
      <c r="E692" s="1811"/>
      <c r="F692" s="1811"/>
      <c r="G692" s="1811"/>
      <c r="H692" s="1811"/>
      <c r="I692" s="1811"/>
      <c r="J692" s="1811"/>
      <c r="K692" s="1811"/>
      <c r="L692" s="1811"/>
      <c r="M692" s="1811"/>
      <c r="N692" s="1811"/>
      <c r="O692" s="1811"/>
      <c r="P692" s="1811"/>
      <c r="Q692" s="1811"/>
      <c r="R692" s="1811"/>
      <c r="S692" s="1811"/>
      <c r="T692" s="1811"/>
      <c r="U692" s="1811"/>
      <c r="V692" s="1811"/>
      <c r="W692" s="1811"/>
      <c r="X692" s="1811"/>
      <c r="Y692" s="1811"/>
      <c r="Z692" s="1811"/>
      <c r="AA692" s="1811"/>
      <c r="AB692" s="1811"/>
      <c r="AC692" s="1811"/>
      <c r="AD692" s="1811"/>
      <c r="AE692" s="1811"/>
      <c r="AF692" s="1811"/>
      <c r="AG692" s="1811"/>
      <c r="AH692" s="1811"/>
      <c r="AI692" s="1811"/>
      <c r="AJ692" s="1811"/>
      <c r="AK692" s="1811"/>
      <c r="AL692" s="1811"/>
      <c r="AM692" s="181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9" t="s">
        <v>1929</v>
      </c>
      <c r="B694" s="1559"/>
      <c r="C694" s="1559"/>
      <c r="D694" s="1559"/>
      <c r="E694" s="1559"/>
      <c r="F694" s="1559"/>
      <c r="G694" s="1559"/>
      <c r="H694" s="1559"/>
      <c r="I694" s="1559"/>
      <c r="J694" s="1559"/>
      <c r="K694" s="1559"/>
      <c r="L694" s="1559"/>
      <c r="M694" s="1559"/>
      <c r="N694" s="1559"/>
      <c r="O694" s="1559"/>
      <c r="P694" s="1559"/>
      <c r="Q694" s="1559"/>
      <c r="R694" s="1559"/>
      <c r="S694" s="1559"/>
      <c r="T694" s="1559"/>
      <c r="U694" s="1559"/>
      <c r="V694" s="1559"/>
      <c r="W694" s="1559"/>
      <c r="X694" s="1559"/>
      <c r="Y694" s="1559"/>
      <c r="Z694" s="1559"/>
      <c r="AA694" s="1559"/>
      <c r="AB694" s="1559"/>
      <c r="AC694" s="1559"/>
      <c r="AD694" s="1559"/>
      <c r="AE694" s="1559"/>
      <c r="AF694" s="1559"/>
      <c r="AG694" s="1559"/>
      <c r="AH694" s="1559"/>
      <c r="AI694" s="1559"/>
      <c r="AJ694" s="1559"/>
      <c r="AK694" s="1559"/>
      <c r="AL694" s="1559"/>
      <c r="AM694" s="1559"/>
      <c r="AO694" s="204">
        <f>IF(T703&gt;15,15,T703)</f>
        <v>15</v>
      </c>
      <c r="AP694" s="204"/>
      <c r="AQ694" s="204"/>
    </row>
    <row r="695" spans="1:43">
      <c r="A695" s="1559" t="s">
        <v>1930</v>
      </c>
      <c r="B695" s="1559"/>
      <c r="C695" s="1559"/>
      <c r="D695" s="1559"/>
      <c r="E695" s="1559"/>
      <c r="F695" s="1559"/>
      <c r="G695" s="1559"/>
      <c r="H695" s="1559"/>
      <c r="I695" s="1559"/>
      <c r="J695" s="1559"/>
      <c r="K695" s="1559"/>
      <c r="L695" s="1559"/>
      <c r="M695" s="1559"/>
      <c r="N695" s="1559"/>
      <c r="O695" s="1559"/>
      <c r="P695" s="1559"/>
      <c r="Q695" s="1559"/>
      <c r="R695" s="1559"/>
      <c r="S695" s="1559"/>
      <c r="T695" s="1559"/>
      <c r="U695" s="1559"/>
      <c r="V695" s="1559"/>
      <c r="W695" s="1559"/>
      <c r="X695" s="1559"/>
      <c r="Y695" s="1559"/>
      <c r="Z695" s="1559"/>
      <c r="AA695" s="1559"/>
      <c r="AB695" s="1559"/>
      <c r="AC695" s="1559"/>
      <c r="AD695" s="1559"/>
      <c r="AE695" s="1559"/>
      <c r="AF695" s="1559"/>
      <c r="AG695" s="1559"/>
      <c r="AH695" s="1559"/>
      <c r="AI695" s="1559"/>
      <c r="AJ695" s="1559"/>
      <c r="AK695" s="1559"/>
      <c r="AL695" s="1559"/>
      <c r="AM695" s="155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5" t="s">
        <v>233</v>
      </c>
      <c r="U696" s="1196"/>
      <c r="V696" s="1196"/>
      <c r="W696" s="1196"/>
      <c r="X696" s="1196"/>
      <c r="Y696" s="1319"/>
      <c r="Z696" s="1195" t="s">
        <v>232</v>
      </c>
      <c r="AA696" s="1196"/>
      <c r="AB696" s="1196"/>
      <c r="AC696" s="1196"/>
      <c r="AD696" s="1196"/>
      <c r="AE696" s="1319"/>
      <c r="AF696" s="1195" t="s">
        <v>234</v>
      </c>
      <c r="AG696" s="1196"/>
      <c r="AH696" s="1196"/>
      <c r="AI696" s="1196"/>
      <c r="AJ696" s="1196"/>
      <c r="AK696" s="131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9"/>
      <c r="U697" s="1200"/>
      <c r="V697" s="1200"/>
      <c r="W697" s="1200"/>
      <c r="X697" s="1200"/>
      <c r="Y697" s="1253"/>
      <c r="Z697" s="1199"/>
      <c r="AA697" s="1200"/>
      <c r="AB697" s="1200"/>
      <c r="AC697" s="1200"/>
      <c r="AD697" s="1200"/>
      <c r="AE697" s="1253"/>
      <c r="AF697" s="1199"/>
      <c r="AG697" s="1200"/>
      <c r="AH697" s="1200"/>
      <c r="AI697" s="1200"/>
      <c r="AJ697" s="1200"/>
      <c r="AK697" s="1253"/>
      <c r="AL697" s="775"/>
      <c r="AM697" s="20"/>
    </row>
    <row r="698" spans="1:43">
      <c r="A698" s="591" t="s">
        <v>652</v>
      </c>
      <c r="B698" s="1689" t="s">
        <v>269</v>
      </c>
      <c r="C698" s="1689"/>
      <c r="D698" s="1689"/>
      <c r="E698" s="1689"/>
      <c r="F698" s="1689"/>
      <c r="G698" s="1689"/>
      <c r="H698" s="1689"/>
      <c r="I698" s="1689"/>
      <c r="J698" s="1689"/>
      <c r="K698" s="1689"/>
      <c r="L698" s="1689"/>
      <c r="M698" s="1689"/>
      <c r="N698" s="1689"/>
      <c r="O698" s="1689"/>
      <c r="P698" s="1689"/>
      <c r="Q698" s="1689"/>
      <c r="R698" s="1689"/>
      <c r="S698" s="1690"/>
      <c r="T698" s="1723">
        <f>SUM(T699:Y700)</f>
        <v>10</v>
      </c>
      <c r="U698" s="1723"/>
      <c r="V698" s="1723"/>
      <c r="W698" s="1723"/>
      <c r="X698" s="1723"/>
      <c r="Y698" s="1723"/>
      <c r="Z698" s="1236">
        <v>10</v>
      </c>
      <c r="AA698" s="1236"/>
      <c r="AB698" s="1236"/>
      <c r="AC698" s="1236"/>
      <c r="AD698" s="1236"/>
      <c r="AE698" s="1236"/>
      <c r="AF698" s="1236">
        <f>IF(T698&gt;Z698,Z698,T698)</f>
        <v>10</v>
      </c>
      <c r="AG698" s="1236"/>
      <c r="AH698" s="1236"/>
      <c r="AI698" s="1236"/>
      <c r="AJ698" s="1236"/>
      <c r="AK698" s="1236"/>
      <c r="AL698" s="775"/>
      <c r="AM698" s="20"/>
      <c r="AO698" s="4">
        <f>IF(T707&gt;50,50,T707)</f>
        <v>50</v>
      </c>
    </row>
    <row r="699" spans="1:43">
      <c r="A699" s="611"/>
      <c r="B699" s="612"/>
      <c r="C699" s="617"/>
      <c r="D699" s="304" t="s">
        <v>209</v>
      </c>
      <c r="E699" s="1691" t="s">
        <v>235</v>
      </c>
      <c r="F699" s="1691"/>
      <c r="G699" s="1691"/>
      <c r="H699" s="1691"/>
      <c r="I699" s="1691"/>
      <c r="J699" s="1691"/>
      <c r="K699" s="1691"/>
      <c r="L699" s="1691"/>
      <c r="M699" s="1691"/>
      <c r="N699" s="1691"/>
      <c r="O699" s="1691"/>
      <c r="P699" s="1691"/>
      <c r="Q699" s="1691"/>
      <c r="R699" s="1691"/>
      <c r="S699" s="1692"/>
      <c r="T699" s="1722">
        <f>AJ31</f>
        <v>7</v>
      </c>
      <c r="U699" s="1722"/>
      <c r="V699" s="1722"/>
      <c r="W699" s="1722"/>
      <c r="X699" s="1722"/>
      <c r="Y699" s="1722"/>
      <c r="Z699" s="1740">
        <v>7</v>
      </c>
      <c r="AA699" s="1740"/>
      <c r="AB699" s="1740"/>
      <c r="AC699" s="1740"/>
      <c r="AD699" s="1740"/>
      <c r="AE699" s="1740"/>
      <c r="AF699" s="1812"/>
      <c r="AG699" s="1812"/>
      <c r="AH699" s="1812"/>
      <c r="AI699" s="1812"/>
      <c r="AJ699" s="1812"/>
      <c r="AK699" s="1812"/>
      <c r="AL699" s="775"/>
      <c r="AM699" s="20"/>
    </row>
    <row r="700" spans="1:43">
      <c r="A700" s="613"/>
      <c r="B700" s="612"/>
      <c r="C700" s="612"/>
      <c r="D700" s="304" t="s">
        <v>427</v>
      </c>
      <c r="E700" s="1691" t="s">
        <v>236</v>
      </c>
      <c r="F700" s="1691"/>
      <c r="G700" s="1691"/>
      <c r="H700" s="1691"/>
      <c r="I700" s="1691"/>
      <c r="J700" s="1691"/>
      <c r="K700" s="1691"/>
      <c r="L700" s="1691"/>
      <c r="M700" s="1691"/>
      <c r="N700" s="1691"/>
      <c r="O700" s="1691"/>
      <c r="P700" s="1691"/>
      <c r="Q700" s="1691"/>
      <c r="R700" s="1691"/>
      <c r="S700" s="1692"/>
      <c r="T700" s="1722">
        <f>AJ47</f>
        <v>3</v>
      </c>
      <c r="U700" s="1722"/>
      <c r="V700" s="1722"/>
      <c r="W700" s="1722"/>
      <c r="X700" s="1722"/>
      <c r="Y700" s="1722"/>
      <c r="Z700" s="1740">
        <v>3</v>
      </c>
      <c r="AA700" s="1740"/>
      <c r="AB700" s="1740"/>
      <c r="AC700" s="1740"/>
      <c r="AD700" s="1740"/>
      <c r="AE700" s="1740"/>
      <c r="AF700" s="1812"/>
      <c r="AG700" s="1812"/>
      <c r="AH700" s="1812"/>
      <c r="AI700" s="1812"/>
      <c r="AJ700" s="1812"/>
      <c r="AK700" s="1812"/>
      <c r="AL700" s="775"/>
      <c r="AM700" s="20"/>
    </row>
    <row r="701" spans="1:43">
      <c r="A701" s="591" t="s">
        <v>8</v>
      </c>
      <c r="B701" s="1689" t="s">
        <v>270</v>
      </c>
      <c r="C701" s="1689"/>
      <c r="D701" s="1689"/>
      <c r="E701" s="1689"/>
      <c r="F701" s="1689"/>
      <c r="G701" s="1689"/>
      <c r="H701" s="1689"/>
      <c r="I701" s="1689"/>
      <c r="J701" s="1689"/>
      <c r="K701" s="1689"/>
      <c r="L701" s="1689"/>
      <c r="M701" s="1689"/>
      <c r="N701" s="1689"/>
      <c r="O701" s="1689"/>
      <c r="P701" s="1689"/>
      <c r="Q701" s="1689"/>
      <c r="R701" s="1689"/>
      <c r="S701" s="1690"/>
      <c r="T701" s="1723">
        <f>AK68</f>
        <v>10</v>
      </c>
      <c r="U701" s="1723"/>
      <c r="V701" s="1723"/>
      <c r="W701" s="1723"/>
      <c r="X701" s="1723"/>
      <c r="Y701" s="1723"/>
      <c r="Z701" s="1236">
        <v>10</v>
      </c>
      <c r="AA701" s="1236"/>
      <c r="AB701" s="1236"/>
      <c r="AC701" s="1236"/>
      <c r="AD701" s="1236"/>
      <c r="AE701" s="1236"/>
      <c r="AF701" s="1236">
        <f>IF(T701&gt;Z701,Z701,T701)</f>
        <v>10</v>
      </c>
      <c r="AG701" s="1236"/>
      <c r="AH701" s="1236"/>
      <c r="AI701" s="1236"/>
      <c r="AJ701" s="1236"/>
      <c r="AK701" s="1236"/>
      <c r="AL701" s="775"/>
      <c r="AM701" s="20"/>
    </row>
    <row r="702" spans="1:43">
      <c r="A702" s="591" t="s">
        <v>118</v>
      </c>
      <c r="B702" s="1689" t="s">
        <v>271</v>
      </c>
      <c r="C702" s="1689"/>
      <c r="D702" s="1689"/>
      <c r="E702" s="1689"/>
      <c r="F702" s="1689"/>
      <c r="G702" s="1689"/>
      <c r="H702" s="1689"/>
      <c r="I702" s="1689"/>
      <c r="J702" s="1689"/>
      <c r="K702" s="1689"/>
      <c r="L702" s="1689"/>
      <c r="M702" s="1689"/>
      <c r="N702" s="1689"/>
      <c r="O702" s="1689"/>
      <c r="P702" s="1689"/>
      <c r="Q702" s="1689"/>
      <c r="R702" s="1689"/>
      <c r="S702" s="1690"/>
      <c r="T702" s="1723">
        <f>AO693</f>
        <v>25</v>
      </c>
      <c r="U702" s="1723">
        <f>IF(AND(AND(A703&gt;15,15+A704),A704&gt;10,A703+10),A702,0)</f>
        <v>0</v>
      </c>
      <c r="V702" s="1723">
        <f>IF(AND(AND(B703&gt;15,15+B704),B704&gt;10,B703+10),#REF!,0)</f>
        <v>0</v>
      </c>
      <c r="W702" s="1723">
        <f>IF(AND(AND(C703&gt;15,15+C704),C704&gt;10,C703+10),B702,0)</f>
        <v>0</v>
      </c>
      <c r="X702" s="1723" t="e">
        <f>IF(AND(AND(D703&gt;15,15+D704),D704&gt;10,D703+10),D702,0)</f>
        <v>#VALUE!</v>
      </c>
      <c r="Y702" s="1723" t="e">
        <f>IF(AND(AND(E703&gt;15,15+E704),E704&gt;10,E703+10),E702,0)</f>
        <v>#VALUE!</v>
      </c>
      <c r="Z702" s="1236">
        <v>25</v>
      </c>
      <c r="AA702" s="1236"/>
      <c r="AB702" s="1236"/>
      <c r="AC702" s="1236"/>
      <c r="AD702" s="1236"/>
      <c r="AE702" s="1236"/>
      <c r="AF702" s="1236">
        <f>IF(T702&gt;Z702,Z702,T702)</f>
        <v>25</v>
      </c>
      <c r="AG702" s="1236"/>
      <c r="AH702" s="1236"/>
      <c r="AI702" s="1236"/>
      <c r="AJ702" s="1236"/>
      <c r="AK702" s="1236"/>
      <c r="AL702" s="775"/>
      <c r="AM702" s="20"/>
    </row>
    <row r="703" spans="1:43">
      <c r="A703" s="591"/>
      <c r="B703" s="612"/>
      <c r="C703" s="612"/>
      <c r="D703" s="304" t="s">
        <v>1465</v>
      </c>
      <c r="E703" s="1691" t="s">
        <v>293</v>
      </c>
      <c r="F703" s="1691"/>
      <c r="G703" s="1691"/>
      <c r="H703" s="1691"/>
      <c r="I703" s="1691"/>
      <c r="J703" s="1691"/>
      <c r="K703" s="1691"/>
      <c r="L703" s="1691"/>
      <c r="M703" s="1691"/>
      <c r="N703" s="1691"/>
      <c r="O703" s="1691"/>
      <c r="P703" s="1691"/>
      <c r="Q703" s="1691"/>
      <c r="R703" s="1691"/>
      <c r="S703" s="1692"/>
      <c r="T703" s="1722">
        <f>AK283</f>
        <v>15</v>
      </c>
      <c r="U703" s="1722"/>
      <c r="V703" s="1722"/>
      <c r="W703" s="1722"/>
      <c r="X703" s="1722"/>
      <c r="Y703" s="1722"/>
      <c r="Z703" s="1740">
        <v>15</v>
      </c>
      <c r="AA703" s="1740"/>
      <c r="AB703" s="1740"/>
      <c r="AC703" s="1740"/>
      <c r="AD703" s="1740"/>
      <c r="AE703" s="1740"/>
      <c r="AF703" s="1812"/>
      <c r="AG703" s="1812"/>
      <c r="AH703" s="1812"/>
      <c r="AI703" s="1812"/>
      <c r="AJ703" s="1812"/>
      <c r="AK703" s="1812"/>
      <c r="AL703" s="775"/>
      <c r="AM703" s="20"/>
    </row>
    <row r="704" spans="1:43">
      <c r="A704" s="614"/>
      <c r="B704" s="90"/>
      <c r="C704" s="90"/>
      <c r="D704" s="615" t="s">
        <v>1466</v>
      </c>
      <c r="E704" s="1691" t="s">
        <v>294</v>
      </c>
      <c r="F704" s="1691"/>
      <c r="G704" s="1691"/>
      <c r="H704" s="1691"/>
      <c r="I704" s="1691"/>
      <c r="J704" s="1691"/>
      <c r="K704" s="1691"/>
      <c r="L704" s="1691"/>
      <c r="M704" s="1691"/>
      <c r="N704" s="1691"/>
      <c r="O704" s="1691"/>
      <c r="P704" s="1691"/>
      <c r="Q704" s="1691"/>
      <c r="R704" s="1691"/>
      <c r="S704" s="1692"/>
      <c r="T704" s="1722">
        <f>AK474</f>
        <v>10</v>
      </c>
      <c r="U704" s="1722"/>
      <c r="V704" s="1722"/>
      <c r="W704" s="1722"/>
      <c r="X704" s="1722"/>
      <c r="Y704" s="1722"/>
      <c r="Z704" s="1740">
        <v>10</v>
      </c>
      <c r="AA704" s="1740"/>
      <c r="AB704" s="1740"/>
      <c r="AC704" s="1740"/>
      <c r="AD704" s="1740"/>
      <c r="AE704" s="1740"/>
      <c r="AF704" s="1812"/>
      <c r="AG704" s="1812"/>
      <c r="AH704" s="1812"/>
      <c r="AI704" s="1812"/>
      <c r="AJ704" s="1812"/>
      <c r="AK704" s="1812"/>
      <c r="AL704" s="775"/>
      <c r="AM704" s="20"/>
    </row>
    <row r="705" spans="1:39" hidden="1">
      <c r="A705" s="591" t="s">
        <v>121</v>
      </c>
      <c r="B705" s="1689" t="s">
        <v>539</v>
      </c>
      <c r="C705" s="1689"/>
      <c r="D705" s="1689"/>
      <c r="E705" s="1689"/>
      <c r="F705" s="1689"/>
      <c r="G705" s="1689"/>
      <c r="H705" s="1689"/>
      <c r="I705" s="1689"/>
      <c r="J705" s="1689"/>
      <c r="K705" s="1689"/>
      <c r="L705" s="1689"/>
      <c r="M705" s="1689"/>
      <c r="N705" s="1689"/>
      <c r="O705" s="1689"/>
      <c r="P705" s="1689"/>
      <c r="Q705" s="1689"/>
      <c r="R705" s="1689"/>
      <c r="S705" s="1690"/>
      <c r="T705" s="1723"/>
      <c r="U705" s="1723"/>
      <c r="V705" s="1723"/>
      <c r="W705" s="1723"/>
      <c r="X705" s="1723"/>
      <c r="Y705" s="1723"/>
      <c r="Z705" s="1236"/>
      <c r="AA705" s="1236"/>
      <c r="AB705" s="1236"/>
      <c r="AC705" s="1236"/>
      <c r="AD705" s="1236"/>
      <c r="AE705" s="1236"/>
      <c r="AF705" s="1236"/>
      <c r="AG705" s="1236"/>
      <c r="AH705" s="1236"/>
      <c r="AI705" s="1236"/>
      <c r="AJ705" s="1236"/>
      <c r="AK705" s="1236"/>
      <c r="AL705" s="775"/>
      <c r="AM705" s="20"/>
    </row>
    <row r="706" spans="1:39">
      <c r="A706" s="591" t="s">
        <v>121</v>
      </c>
      <c r="B706" s="1689" t="s">
        <v>540</v>
      </c>
      <c r="C706" s="1689"/>
      <c r="D706" s="1689"/>
      <c r="E706" s="1689"/>
      <c r="F706" s="1689"/>
      <c r="G706" s="1689"/>
      <c r="H706" s="1689"/>
      <c r="I706" s="1689"/>
      <c r="J706" s="1689"/>
      <c r="K706" s="1689"/>
      <c r="L706" s="1689"/>
      <c r="M706" s="1689"/>
      <c r="N706" s="1689"/>
      <c r="O706" s="1689"/>
      <c r="P706" s="1689"/>
      <c r="Q706" s="1689"/>
      <c r="R706" s="1689"/>
      <c r="S706" s="1690"/>
      <c r="T706" s="1714">
        <f>IF(SUM(T707:Y708)&gt;52,52,SUM(T707:Y708))</f>
        <v>52</v>
      </c>
      <c r="U706" s="1715"/>
      <c r="V706" s="1715"/>
      <c r="W706" s="1715"/>
      <c r="X706" s="1715"/>
      <c r="Y706" s="1715"/>
      <c r="Z706" s="1715">
        <v>52</v>
      </c>
      <c r="AA706" s="1715"/>
      <c r="AB706" s="1715"/>
      <c r="AC706" s="1715"/>
      <c r="AD706" s="1715"/>
      <c r="AE706" s="1715"/>
      <c r="AF706" s="1715">
        <f>$AO$698+$T$708</f>
        <v>52</v>
      </c>
      <c r="AG706" s="1715"/>
      <c r="AH706" s="1715"/>
      <c r="AI706" s="1715"/>
      <c r="AJ706" s="1715"/>
      <c r="AK706" s="1715"/>
      <c r="AL706" s="775"/>
      <c r="AM706" s="20"/>
    </row>
    <row r="707" spans="1:39">
      <c r="A707" s="616"/>
      <c r="B707" s="618"/>
      <c r="C707" s="618"/>
      <c r="D707" s="619" t="s">
        <v>2200</v>
      </c>
      <c r="E707" s="1691" t="s">
        <v>182</v>
      </c>
      <c r="F707" s="1691"/>
      <c r="G707" s="1691"/>
      <c r="H707" s="1691"/>
      <c r="I707" s="1691"/>
      <c r="J707" s="1691"/>
      <c r="K707" s="1691"/>
      <c r="L707" s="1691"/>
      <c r="M707" s="1691"/>
      <c r="N707" s="1691"/>
      <c r="O707" s="1691"/>
      <c r="P707" s="1691"/>
      <c r="Q707" s="1691"/>
      <c r="R707" s="1691"/>
      <c r="S707" s="1692"/>
      <c r="T707" s="1737">
        <f>AC592</f>
        <v>50</v>
      </c>
      <c r="U707" s="1738"/>
      <c r="V707" s="1738"/>
      <c r="W707" s="1738"/>
      <c r="X707" s="1738"/>
      <c r="Y707" s="1739"/>
      <c r="Z707" s="1737">
        <v>50</v>
      </c>
      <c r="AA707" s="1738"/>
      <c r="AB707" s="1738"/>
      <c r="AC707" s="1738"/>
      <c r="AD707" s="1738"/>
      <c r="AE707" s="1739"/>
      <c r="AF707" s="1807"/>
      <c r="AG707" s="1808"/>
      <c r="AH707" s="1808"/>
      <c r="AI707" s="1808"/>
      <c r="AJ707" s="1808"/>
      <c r="AK707" s="1809"/>
      <c r="AL707" s="775"/>
      <c r="AM707" s="4"/>
    </row>
    <row r="708" spans="1:39">
      <c r="A708" s="620"/>
      <c r="B708" s="612"/>
      <c r="C708" s="612"/>
      <c r="D708" s="304" t="s">
        <v>2201</v>
      </c>
      <c r="E708" s="1691" t="s">
        <v>268</v>
      </c>
      <c r="F708" s="1691"/>
      <c r="G708" s="1691"/>
      <c r="H708" s="1691"/>
      <c r="I708" s="1691"/>
      <c r="J708" s="1691"/>
      <c r="K708" s="1691"/>
      <c r="L708" s="1691"/>
      <c r="M708" s="1691"/>
      <c r="N708" s="1691"/>
      <c r="O708" s="1691"/>
      <c r="P708" s="1691"/>
      <c r="Q708" s="1691"/>
      <c r="R708" s="1691"/>
      <c r="S708" s="1692"/>
      <c r="T708" s="1711">
        <f>IF(AJ617&gt;0,2,0)</f>
        <v>2</v>
      </c>
      <c r="U708" s="1712"/>
      <c r="V708" s="1712"/>
      <c r="W708" s="1712"/>
      <c r="X708" s="1712"/>
      <c r="Y708" s="1713"/>
      <c r="Z708" s="1106">
        <v>2</v>
      </c>
      <c r="AA708" s="1107"/>
      <c r="AB708" s="1107"/>
      <c r="AC708" s="1107"/>
      <c r="AD708" s="1107"/>
      <c r="AE708" s="1109"/>
      <c r="AF708" s="1827"/>
      <c r="AG708" s="1828"/>
      <c r="AH708" s="1828"/>
      <c r="AI708" s="1828"/>
      <c r="AJ708" s="1828"/>
      <c r="AK708" s="1829"/>
      <c r="AL708" s="775"/>
      <c r="AM708" s="4"/>
    </row>
    <row r="709" spans="1:39">
      <c r="A709" s="616" t="s">
        <v>122</v>
      </c>
      <c r="B709" s="1689" t="s">
        <v>541</v>
      </c>
      <c r="C709" s="1689"/>
      <c r="D709" s="1689"/>
      <c r="E709" s="1689"/>
      <c r="F709" s="1689"/>
      <c r="G709" s="1689"/>
      <c r="H709" s="1689"/>
      <c r="I709" s="1689"/>
      <c r="J709" s="1689"/>
      <c r="K709" s="1689"/>
      <c r="L709" s="1689"/>
      <c r="M709" s="1689"/>
      <c r="N709" s="1689"/>
      <c r="O709" s="1689"/>
      <c r="P709" s="1689"/>
      <c r="Q709" s="1689"/>
      <c r="R709" s="1689"/>
      <c r="S709" s="1690"/>
      <c r="T709" s="1723">
        <f>AK645</f>
        <v>10</v>
      </c>
      <c r="U709" s="1723"/>
      <c r="V709" s="1723"/>
      <c r="W709" s="1723"/>
      <c r="X709" s="1723"/>
      <c r="Y709" s="1723"/>
      <c r="Z709" s="1236">
        <v>10</v>
      </c>
      <c r="AA709" s="1236"/>
      <c r="AB709" s="1236"/>
      <c r="AC709" s="1236"/>
      <c r="AD709" s="1236"/>
      <c r="AE709" s="1236"/>
      <c r="AF709" s="1158">
        <f>IF(T709&gt;Z709,Z709,T709)</f>
        <v>10</v>
      </c>
      <c r="AG709" s="1159"/>
      <c r="AH709" s="1159"/>
      <c r="AI709" s="1159"/>
      <c r="AJ709" s="1159"/>
      <c r="AK709" s="1160"/>
      <c r="AL709" s="775"/>
      <c r="AM709" s="20"/>
    </row>
    <row r="710" spans="1:39">
      <c r="A710" s="616" t="s">
        <v>124</v>
      </c>
      <c r="B710" s="1689" t="s">
        <v>984</v>
      </c>
      <c r="C710" s="1689"/>
      <c r="D710" s="1689"/>
      <c r="E710" s="1689"/>
      <c r="F710" s="1689"/>
      <c r="G710" s="1689"/>
      <c r="H710" s="1689"/>
      <c r="I710" s="1689"/>
      <c r="J710" s="1689"/>
      <c r="K710" s="1689"/>
      <c r="L710" s="1689"/>
      <c r="M710" s="1689"/>
      <c r="N710" s="1689"/>
      <c r="O710" s="1689"/>
      <c r="P710" s="1689"/>
      <c r="Q710" s="1689"/>
      <c r="R710" s="1689"/>
      <c r="S710" s="1690"/>
      <c r="T710" s="1716">
        <f>IF(AK688&gt;2,2,AK688)</f>
        <v>2</v>
      </c>
      <c r="U710" s="1717"/>
      <c r="V710" s="1717"/>
      <c r="W710" s="1717"/>
      <c r="X710" s="1717"/>
      <c r="Y710" s="1718"/>
      <c r="Z710" s="1158">
        <v>2</v>
      </c>
      <c r="AA710" s="1159"/>
      <c r="AB710" s="1159"/>
      <c r="AC710" s="1159"/>
      <c r="AD710" s="1159"/>
      <c r="AE710" s="1160"/>
      <c r="AF710" s="1158">
        <f>IF(T710&gt;Z710,Z710,T710)</f>
        <v>2</v>
      </c>
      <c r="AG710" s="1825"/>
      <c r="AH710" s="1825"/>
      <c r="AI710" s="1825"/>
      <c r="AJ710" s="1825"/>
      <c r="AK710" s="1826"/>
      <c r="AL710" s="3"/>
      <c r="AM710" s="20"/>
    </row>
    <row r="711" spans="1:39">
      <c r="A711" s="1688" t="s">
        <v>296</v>
      </c>
      <c r="B711" s="1689"/>
      <c r="C711" s="1689"/>
      <c r="D711" s="1689"/>
      <c r="E711" s="1689"/>
      <c r="F711" s="1689"/>
      <c r="G711" s="1689"/>
      <c r="H711" s="1689"/>
      <c r="I711" s="1689"/>
      <c r="J711" s="1689"/>
      <c r="K711" s="1689"/>
      <c r="L711" s="1689"/>
      <c r="M711" s="1689"/>
      <c r="N711" s="1689"/>
      <c r="O711" s="1689"/>
      <c r="P711" s="1689"/>
      <c r="Q711" s="1689"/>
      <c r="R711" s="1689"/>
      <c r="S711" s="1690"/>
      <c r="T711" s="1500"/>
      <c r="U711" s="1500"/>
      <c r="V711" s="1500"/>
      <c r="W711" s="1500"/>
      <c r="X711" s="1500"/>
      <c r="Y711" s="1500"/>
      <c r="Z711" s="1740" t="s">
        <v>295</v>
      </c>
      <c r="AA711" s="1740"/>
      <c r="AB711" s="1740"/>
      <c r="AC711" s="1740"/>
      <c r="AD711" s="1740"/>
      <c r="AE711" s="1740"/>
      <c r="AF711" s="1158">
        <f>IF(T711&gt;0,T711,0)</f>
        <v>0</v>
      </c>
      <c r="AG711" s="1159"/>
      <c r="AH711" s="1159"/>
      <c r="AI711" s="1159"/>
      <c r="AJ711" s="1159"/>
      <c r="AK711" s="1160"/>
      <c r="AL711" s="18"/>
      <c r="AM711" s="20"/>
    </row>
    <row r="712" spans="1:39" ht="15.6">
      <c r="A712" s="1724" t="s">
        <v>720</v>
      </c>
      <c r="B712" s="1725"/>
      <c r="C712" s="1725"/>
      <c r="D712" s="1725"/>
      <c r="E712" s="1725"/>
      <c r="F712" s="1725"/>
      <c r="G712" s="1725"/>
      <c r="H712" s="1725"/>
      <c r="I712" s="1725"/>
      <c r="J712" s="1725"/>
      <c r="K712" s="1725"/>
      <c r="L712" s="1725"/>
      <c r="M712" s="1725"/>
      <c r="N712" s="1725"/>
      <c r="O712" s="1725"/>
      <c r="P712" s="1725"/>
      <c r="Q712" s="1725"/>
      <c r="R712" s="1725"/>
      <c r="S712" s="1725"/>
      <c r="T712" s="1725"/>
      <c r="U712" s="1725"/>
      <c r="V712" s="1725"/>
      <c r="W712" s="1725"/>
      <c r="X712" s="1725"/>
      <c r="Y712" s="1725"/>
      <c r="Z712" s="1725"/>
      <c r="AA712" s="1725"/>
      <c r="AB712" s="1725"/>
      <c r="AC712" s="1725"/>
      <c r="AD712" s="1725"/>
      <c r="AE712" s="1726"/>
      <c r="AF712" s="1817">
        <f>SUM(AF698:AK710)-AF711</f>
        <v>109</v>
      </c>
      <c r="AG712" s="1818"/>
      <c r="AH712" s="1818"/>
      <c r="AI712" s="1818"/>
      <c r="AJ712" s="1818"/>
      <c r="AK712" s="1819"/>
      <c r="AL712" s="776"/>
      <c r="AM712" s="4"/>
    </row>
    <row r="713" spans="1:39" ht="12.45" customHeight="1">
      <c r="A713" s="1727"/>
      <c r="B713" s="1728"/>
      <c r="C713" s="1728"/>
      <c r="D713" s="1728"/>
      <c r="E713" s="1728"/>
      <c r="F713" s="1728"/>
      <c r="G713" s="1728"/>
      <c r="H713" s="1728"/>
      <c r="I713" s="1728"/>
      <c r="J713" s="1728"/>
      <c r="K713" s="1728"/>
      <c r="L713" s="1728"/>
      <c r="M713" s="1728"/>
      <c r="N713" s="1728"/>
      <c r="O713" s="1728"/>
      <c r="P713" s="1728"/>
      <c r="Q713" s="1728"/>
      <c r="R713" s="1728"/>
      <c r="S713" s="1728"/>
      <c r="T713" s="1728"/>
      <c r="U713" s="1728"/>
      <c r="V713" s="1728"/>
      <c r="W713" s="1728"/>
      <c r="X713" s="1728"/>
      <c r="Y713" s="1728"/>
      <c r="Z713" s="1728"/>
      <c r="AA713" s="1728"/>
      <c r="AB713" s="1728"/>
      <c r="AC713" s="1728"/>
      <c r="AD713" s="1728"/>
      <c r="AE713" s="1729"/>
      <c r="AF713" s="1820"/>
      <c r="AG713" s="1821"/>
      <c r="AH713" s="1821"/>
      <c r="AI713" s="1821"/>
      <c r="AJ713" s="1821"/>
      <c r="AK713" s="1822"/>
      <c r="AL713" s="776"/>
      <c r="AM713" s="4"/>
    </row>
    <row r="714" spans="1:39" ht="56.25" customHeight="1">
      <c r="A714" s="992" t="s">
        <v>7</v>
      </c>
      <c r="B714" s="992"/>
      <c r="C714" s="992"/>
      <c r="D714" s="992"/>
      <c r="E714" s="992"/>
      <c r="F714" s="992"/>
      <c r="G714" s="992"/>
      <c r="H714" s="992"/>
      <c r="I714" s="992"/>
      <c r="J714" s="992"/>
      <c r="K714" s="992"/>
      <c r="L714" s="992"/>
      <c r="M714" s="992"/>
      <c r="N714" s="992"/>
      <c r="O714" s="992"/>
      <c r="P714" s="992"/>
      <c r="Q714" s="992"/>
      <c r="R714" s="992"/>
      <c r="S714" s="992"/>
      <c r="T714" s="992"/>
      <c r="U714" s="992"/>
      <c r="V714" s="992"/>
      <c r="W714" s="992"/>
      <c r="X714" s="992"/>
      <c r="Y714" s="992"/>
      <c r="Z714" s="992"/>
      <c r="AA714" s="992"/>
      <c r="AB714" s="992"/>
      <c r="AC714" s="992"/>
      <c r="AD714" s="992"/>
      <c r="AE714" s="992"/>
      <c r="AF714" s="992"/>
      <c r="AG714" s="992"/>
      <c r="AH714" s="992"/>
      <c r="AI714" s="992"/>
      <c r="AJ714" s="992"/>
      <c r="AK714" s="992"/>
      <c r="AL714" s="992"/>
      <c r="AM714" s="1669"/>
    </row>
    <row r="715" spans="1:39" ht="12.45" customHeight="1">
      <c r="A715" s="992"/>
      <c r="B715" s="992"/>
      <c r="C715" s="992"/>
      <c r="D715" s="992"/>
      <c r="E715" s="992"/>
      <c r="F715" s="992"/>
      <c r="G715" s="992"/>
      <c r="H715" s="992"/>
      <c r="I715" s="992"/>
      <c r="J715" s="992"/>
      <c r="K715" s="992"/>
      <c r="L715" s="992"/>
      <c r="M715" s="992"/>
      <c r="N715" s="992"/>
      <c r="O715" s="992"/>
      <c r="P715" s="992"/>
      <c r="Q715" s="992"/>
      <c r="R715" s="992"/>
      <c r="S715" s="992"/>
      <c r="T715" s="992"/>
      <c r="U715" s="992"/>
      <c r="V715" s="992"/>
      <c r="W715" s="992"/>
      <c r="X715" s="992"/>
      <c r="Y715" s="992"/>
      <c r="Z715" s="992"/>
      <c r="AA715" s="992"/>
      <c r="AB715" s="992"/>
      <c r="AC715" s="992"/>
      <c r="AD715" s="992"/>
      <c r="AE715" s="992"/>
      <c r="AF715" s="992"/>
      <c r="AG715" s="992"/>
      <c r="AH715" s="992"/>
      <c r="AI715" s="992"/>
      <c r="AJ715" s="992"/>
      <c r="AK715" s="992"/>
      <c r="AL715" s="992"/>
      <c r="AM715" s="1669"/>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O561:P561"/>
    <mergeCell ref="E581:J581"/>
    <mergeCell ref="K581:P58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U562:V562"/>
    <mergeCell ref="U565:V565"/>
    <mergeCell ref="W564:X564"/>
    <mergeCell ref="U566:V566"/>
    <mergeCell ref="W565:X565"/>
    <mergeCell ref="S559:T559"/>
    <mergeCell ref="Y559:Z559"/>
    <mergeCell ref="AA567:AB567"/>
    <mergeCell ref="S563:T563"/>
    <mergeCell ref="U568:V568"/>
    <mergeCell ref="O560:P560"/>
    <mergeCell ref="AU534:AY534"/>
    <mergeCell ref="AP533:AT533"/>
    <mergeCell ref="AU533:AY533"/>
    <mergeCell ref="AP532:AT532"/>
    <mergeCell ref="C520:D520"/>
    <mergeCell ref="C524:D524"/>
    <mergeCell ref="C528:D528"/>
    <mergeCell ref="F464:AF467"/>
    <mergeCell ref="F459:AE462"/>
    <mergeCell ref="C506:D506"/>
    <mergeCell ref="C468:D468"/>
    <mergeCell ref="AU532:AY532"/>
    <mergeCell ref="C455:D455"/>
    <mergeCell ref="C487:D487"/>
    <mergeCell ref="C510:D510"/>
    <mergeCell ref="C517:D517"/>
    <mergeCell ref="AF455:AL455"/>
    <mergeCell ref="AF459:AL459"/>
    <mergeCell ref="H323:R323"/>
    <mergeCell ref="H330:R330"/>
    <mergeCell ref="AA329:AK329"/>
    <mergeCell ref="AA326:AK326"/>
    <mergeCell ref="H325:R325"/>
    <mergeCell ref="H326:R326"/>
    <mergeCell ref="H324:R324"/>
    <mergeCell ref="C389:D389"/>
    <mergeCell ref="C379:D379"/>
    <mergeCell ref="AE333:AK333"/>
    <mergeCell ref="P327:R327"/>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U546:AV546"/>
    <mergeCell ref="AP536:AT536"/>
    <mergeCell ref="AU535:AY535"/>
    <mergeCell ref="AU536:AY536"/>
    <mergeCell ref="G524:AF525"/>
    <mergeCell ref="AU537:AY537"/>
    <mergeCell ref="AP535:AT535"/>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AA328:AK328"/>
    <mergeCell ref="AA319:AK319"/>
    <mergeCell ref="AA325:AK325"/>
    <mergeCell ref="AA297:AK297"/>
    <mergeCell ref="AA320:AK320"/>
    <mergeCell ref="AA315:AK315"/>
    <mergeCell ref="AA318:AF318"/>
    <mergeCell ref="AA308:AK308"/>
    <mergeCell ref="AA299:AK299"/>
    <mergeCell ref="AI309:AK309"/>
    <mergeCell ref="C359:AJ365"/>
    <mergeCell ref="F414:AE417"/>
    <mergeCell ref="AZ572:BD572"/>
    <mergeCell ref="Y567:Z567"/>
    <mergeCell ref="W572:X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BD524:BE524"/>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P584:AT584"/>
    <mergeCell ref="AP585:AT585"/>
    <mergeCell ref="AP586:AT586"/>
    <mergeCell ref="AP587:AT587"/>
    <mergeCell ref="AP583:AT583"/>
    <mergeCell ref="O612:S612"/>
    <mergeCell ref="AC592:AH592"/>
    <mergeCell ref="AP568:BJ569"/>
    <mergeCell ref="BJ586:BK586"/>
    <mergeCell ref="BB585:BC585"/>
    <mergeCell ref="AX586:AY586"/>
    <mergeCell ref="AE570:AF570"/>
    <mergeCell ref="AC574:AD574"/>
    <mergeCell ref="AU573:AY573"/>
    <mergeCell ref="AC583:AH583"/>
    <mergeCell ref="AC573:AD573"/>
    <mergeCell ref="AA571:AB571"/>
    <mergeCell ref="K583:P583"/>
    <mergeCell ref="BJ590:BM590"/>
    <mergeCell ref="U569:V569"/>
    <mergeCell ref="K577:P580"/>
    <mergeCell ref="Q577:V580"/>
    <mergeCell ref="W577:AB580"/>
    <mergeCell ref="AC577:AH580"/>
    <mergeCell ref="E592:J592"/>
    <mergeCell ref="W587:AB587"/>
    <mergeCell ref="E588:J588"/>
    <mergeCell ref="W589:AB589"/>
    <mergeCell ref="T609:X609"/>
    <mergeCell ref="J604:N607"/>
    <mergeCell ref="O608:S608"/>
    <mergeCell ref="T608:X608"/>
    <mergeCell ref="O611:S611"/>
    <mergeCell ref="T610:X610"/>
    <mergeCell ref="Y610:AC610"/>
    <mergeCell ref="Y611:AC611"/>
    <mergeCell ref="O610:S610"/>
    <mergeCell ref="AC589:AH589"/>
    <mergeCell ref="J611:N611"/>
    <mergeCell ref="E589:J589"/>
    <mergeCell ref="Q588:V588"/>
    <mergeCell ref="J610:N610"/>
    <mergeCell ref="AP548:AT548"/>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Y569:Z569"/>
    <mergeCell ref="Q581:V581"/>
    <mergeCell ref="S569:T569"/>
    <mergeCell ref="Y574:Z574"/>
    <mergeCell ref="Q570:R570"/>
    <mergeCell ref="W582:AB582"/>
    <mergeCell ref="AA574:AB574"/>
    <mergeCell ref="W574:X574"/>
    <mergeCell ref="O570:P570"/>
    <mergeCell ref="U570:V570"/>
    <mergeCell ref="W569:X569"/>
    <mergeCell ref="Z706:AE706"/>
    <mergeCell ref="Y614:AC614"/>
    <mergeCell ref="T613:X613"/>
    <mergeCell ref="AG627:AJ627"/>
    <mergeCell ref="A619:AJ619"/>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BF587:BG587"/>
    <mergeCell ref="AZ584:BA584"/>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AZ587:BA587"/>
    <mergeCell ref="BH587:BI587"/>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AA562:AB562"/>
    <mergeCell ref="S570:T570"/>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T699:Y699"/>
    <mergeCell ref="AF698:AK698"/>
    <mergeCell ref="A691:AM692"/>
    <mergeCell ref="J608:N608"/>
    <mergeCell ref="AF700:AK700"/>
    <mergeCell ref="J609:N609"/>
    <mergeCell ref="Z699:AE699"/>
    <mergeCell ref="T698:Y698"/>
    <mergeCell ref="AF701:AK701"/>
    <mergeCell ref="Z700:AE700"/>
    <mergeCell ref="B701:S701"/>
    <mergeCell ref="AK619:AM619"/>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O567:P567"/>
    <mergeCell ref="AA565:AB565"/>
    <mergeCell ref="Y564:Z56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A296:AK296"/>
    <mergeCell ref="AF444:AL444"/>
    <mergeCell ref="AF451:AL451"/>
    <mergeCell ref="F485:Z485"/>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A316:AK31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S571:T571"/>
    <mergeCell ref="AF696:AK697"/>
    <mergeCell ref="W567:X567"/>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AE563:AF563"/>
    <mergeCell ref="W568:X568"/>
    <mergeCell ref="O566:P566"/>
    <mergeCell ref="O565:P565"/>
    <mergeCell ref="Q565:R565"/>
    <mergeCell ref="Q564:R564"/>
    <mergeCell ref="S564:T564"/>
    <mergeCell ref="S566:T566"/>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1" customWidth="1"/>
    <col min="11" max="11" width="2.5546875" style="892" customWidth="1"/>
    <col min="12" max="43" width="2.5546875" style="891" customWidth="1"/>
    <col min="44" max="47" width="2.5546875" style="891" hidden="1" customWidth="1"/>
    <col min="48" max="16384" width="9.109375" style="891" hidden="1"/>
  </cols>
  <sheetData>
    <row r="1" spans="1:57" ht="15" customHeight="1">
      <c r="A1" s="1917" t="s">
        <v>2021</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3"/>
      <c r="B3" s="893"/>
      <c r="I3" s="894"/>
      <c r="K3" s="895"/>
    </row>
    <row r="4" spans="1:57" ht="14.25" customHeight="1">
      <c r="A4" s="1916" t="s">
        <v>2022</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3"/>
      <c r="B5" s="893"/>
      <c r="I5" s="894"/>
      <c r="K5" s="895"/>
    </row>
    <row r="6" spans="1:57">
      <c r="A6" s="893"/>
      <c r="B6" s="893"/>
      <c r="D6" s="891" t="s">
        <v>2025</v>
      </c>
      <c r="I6" s="894"/>
      <c r="K6" s="895"/>
      <c r="U6" s="1915"/>
      <c r="V6" s="1915"/>
      <c r="W6" s="1915"/>
      <c r="BC6" s="891" t="s">
        <v>2023</v>
      </c>
    </row>
    <row r="7" spans="1:57">
      <c r="A7" s="893"/>
      <c r="B7" s="893"/>
      <c r="D7" s="498" t="s">
        <v>2026</v>
      </c>
      <c r="I7" s="894"/>
      <c r="K7" s="895"/>
      <c r="BC7" s="891" t="s">
        <v>2024</v>
      </c>
    </row>
    <row r="8" spans="1:57">
      <c r="A8" s="893"/>
      <c r="B8" s="893"/>
      <c r="D8" s="498"/>
      <c r="E8" s="891" t="s">
        <v>2038</v>
      </c>
      <c r="BC8" s="891" t="s">
        <v>2027</v>
      </c>
    </row>
    <row r="9" spans="1:57">
      <c r="A9" s="893"/>
      <c r="B9" s="893"/>
      <c r="E9" s="891" t="s">
        <v>2037</v>
      </c>
      <c r="I9" s="894"/>
      <c r="K9" s="895"/>
      <c r="P9" s="1923"/>
      <c r="Q9" s="1923"/>
      <c r="R9" s="1923"/>
      <c r="S9" s="1923"/>
      <c r="T9" s="1923"/>
    </row>
    <row r="10" spans="1:57">
      <c r="A10" s="893"/>
      <c r="B10" s="893"/>
      <c r="I10" s="894"/>
      <c r="K10" s="895"/>
    </row>
    <row r="11" spans="1:57">
      <c r="A11" s="1916" t="s">
        <v>2028</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1" t="s">
        <v>107</v>
      </c>
    </row>
    <row r="12" spans="1:57">
      <c r="A12" s="893"/>
      <c r="B12" s="893"/>
      <c r="I12" s="894"/>
      <c r="K12" s="895"/>
      <c r="BC12" s="891" t="s">
        <v>481</v>
      </c>
    </row>
    <row r="13" spans="1:57">
      <c r="A13" s="893"/>
      <c r="B13" s="893"/>
      <c r="D13" s="891" t="s">
        <v>2029</v>
      </c>
      <c r="I13" s="894"/>
      <c r="K13" s="895"/>
      <c r="T13" s="1915"/>
      <c r="U13" s="1915"/>
      <c r="V13" s="1915"/>
    </row>
    <row r="14" spans="1:57">
      <c r="A14" s="893"/>
      <c r="B14" s="893"/>
      <c r="E14" s="891" t="s">
        <v>2036</v>
      </c>
      <c r="I14" s="894"/>
      <c r="K14" s="895"/>
      <c r="N14" s="1921"/>
      <c r="O14" s="1921"/>
      <c r="P14" s="1921"/>
      <c r="Q14" s="1921"/>
      <c r="R14" s="1921"/>
      <c r="S14" s="1921"/>
      <c r="T14" s="1921"/>
      <c r="U14" s="1921"/>
      <c r="V14" s="1921"/>
      <c r="W14" s="1921"/>
      <c r="X14" s="1921"/>
      <c r="Y14" s="1921"/>
      <c r="Z14" s="1921"/>
      <c r="AA14" s="1921"/>
      <c r="AB14" s="1921"/>
      <c r="AC14" s="1921"/>
      <c r="AD14" s="1921"/>
      <c r="AE14" s="1921"/>
    </row>
    <row r="15" spans="1:57">
      <c r="A15" s="893"/>
      <c r="B15" s="893"/>
      <c r="E15" s="891" t="s">
        <v>2030</v>
      </c>
      <c r="I15" s="894"/>
      <c r="K15" s="895"/>
      <c r="N15" s="912"/>
      <c r="O15" s="912"/>
      <c r="P15" s="912"/>
      <c r="Q15" s="912"/>
      <c r="R15" s="912"/>
      <c r="S15" s="912"/>
      <c r="T15" s="912"/>
      <c r="U15" s="912"/>
      <c r="V15" s="912"/>
      <c r="W15" s="912"/>
      <c r="X15" s="912"/>
      <c r="Y15" s="912"/>
      <c r="Z15" s="912"/>
      <c r="AA15" s="912"/>
      <c r="AB15" s="912"/>
      <c r="AC15" s="912"/>
      <c r="AD15" s="912"/>
      <c r="AE15" s="912"/>
      <c r="BC15" s="891" t="s">
        <v>2039</v>
      </c>
      <c r="BE15" s="891">
        <f>'Basis &amp; Credits'!AB55</f>
        <v>2500000</v>
      </c>
    </row>
    <row r="16" spans="1:57">
      <c r="A16" s="893"/>
      <c r="B16" s="893"/>
      <c r="BC16" s="891" t="s">
        <v>2040</v>
      </c>
      <c r="BE16" s="891">
        <f>'Basis &amp; Credits'!T11+'Basis &amp; Credits'!AD11</f>
        <v>34274148</v>
      </c>
    </row>
    <row r="17" spans="1:43">
      <c r="A17" s="893"/>
      <c r="B17" s="893"/>
      <c r="D17" s="891" t="s">
        <v>2031</v>
      </c>
      <c r="I17" s="894"/>
      <c r="K17" s="895"/>
      <c r="U17" s="1922" t="str">
        <f>IF(T13="yes",(BE15/BE16)," ")</f>
        <v xml:space="preserve"> </v>
      </c>
      <c r="V17" s="1922"/>
      <c r="W17" s="1922"/>
      <c r="X17" s="1922"/>
      <c r="Y17" s="1922"/>
    </row>
    <row r="18" spans="1:43">
      <c r="A18" s="893"/>
      <c r="B18" s="893"/>
      <c r="I18" s="894"/>
      <c r="K18" s="895"/>
    </row>
    <row r="19" spans="1:43">
      <c r="A19" s="1916" t="s">
        <v>2033</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3"/>
      <c r="D20" s="893"/>
      <c r="K20" s="894"/>
      <c r="M20" s="895"/>
    </row>
    <row r="21" spans="1:43">
      <c r="C21" s="893"/>
      <c r="D21" s="893"/>
      <c r="K21" s="894"/>
      <c r="M21" s="895"/>
    </row>
    <row r="22" spans="1:43">
      <c r="C22" s="896" t="s">
        <v>727</v>
      </c>
      <c r="D22" s="896"/>
      <c r="E22" s="891" t="s">
        <v>2034</v>
      </c>
      <c r="H22" s="897"/>
      <c r="K22" s="891"/>
      <c r="Q22" s="1924">
        <f>ROUND('Basis &amp; Credits'!AB55,0)</f>
        <v>2500000</v>
      </c>
      <c r="R22" s="1924"/>
      <c r="S22" s="1924"/>
      <c r="T22" s="1924"/>
      <c r="U22" s="1924"/>
      <c r="V22" s="1924"/>
      <c r="W22" s="1924"/>
      <c r="X22" s="1924"/>
      <c r="Y22" s="911"/>
    </row>
    <row r="23" spans="1:43">
      <c r="C23" s="893"/>
      <c r="D23" s="893"/>
      <c r="G23" s="898"/>
      <c r="H23" s="898"/>
      <c r="I23" s="899"/>
      <c r="J23" s="899"/>
      <c r="K23" s="898"/>
      <c r="M23" s="892"/>
    </row>
    <row r="24" spans="1:43">
      <c r="C24" s="900"/>
      <c r="D24" s="900"/>
      <c r="E24" s="901"/>
      <c r="J24" s="899"/>
      <c r="K24" s="891"/>
      <c r="L24" s="1927" t="s">
        <v>2011</v>
      </c>
      <c r="M24" s="1927"/>
      <c r="N24" s="1927"/>
      <c r="P24" s="1912" t="s">
        <v>2012</v>
      </c>
      <c r="Q24" s="1912"/>
      <c r="R24" s="1912"/>
      <c r="S24" s="1912"/>
      <c r="T24" s="1912"/>
      <c r="V24" s="1912" t="s">
        <v>2013</v>
      </c>
      <c r="W24" s="1912"/>
      <c r="X24" s="1912"/>
    </row>
    <row r="25" spans="1:43">
      <c r="C25" s="896" t="s">
        <v>189</v>
      </c>
      <c r="D25" s="896"/>
      <c r="E25" s="891" t="s">
        <v>985</v>
      </c>
      <c r="J25" s="899"/>
      <c r="L25" s="1913" t="s">
        <v>2014</v>
      </c>
      <c r="M25" s="1913"/>
      <c r="N25" s="1913"/>
      <c r="P25" s="1913" t="s">
        <v>2015</v>
      </c>
      <c r="Q25" s="1913"/>
      <c r="R25" s="1913"/>
      <c r="S25" s="1913"/>
      <c r="T25" s="1913"/>
      <c r="V25" s="1913" t="s">
        <v>2014</v>
      </c>
      <c r="W25" s="1913"/>
      <c r="X25" s="1913"/>
    </row>
    <row r="26" spans="1:43">
      <c r="C26" s="893"/>
      <c r="D26" s="893"/>
      <c r="E26" s="902" t="s">
        <v>2016</v>
      </c>
      <c r="F26" s="902"/>
      <c r="J26" s="903"/>
      <c r="L26" s="1925">
        <f>Application!BN634</f>
        <v>0</v>
      </c>
      <c r="M26" s="1925"/>
      <c r="N26" s="1925"/>
      <c r="P26" s="1914">
        <v>0.9</v>
      </c>
      <c r="Q26" s="1914"/>
      <c r="R26" s="1914"/>
      <c r="S26" s="1914"/>
      <c r="T26" s="1914"/>
      <c r="V26" s="1914">
        <f>L26*P26</f>
        <v>0</v>
      </c>
      <c r="W26" s="1914"/>
      <c r="X26" s="1914"/>
    </row>
    <row r="27" spans="1:43">
      <c r="C27" s="893"/>
      <c r="D27" s="893"/>
      <c r="E27" s="891" t="s">
        <v>2017</v>
      </c>
      <c r="J27" s="903"/>
      <c r="L27" s="1905">
        <f>Application!BS634</f>
        <v>53</v>
      </c>
      <c r="M27" s="1905">
        <f>Application!BS642+Application!BS651+Application!CX665</f>
        <v>0</v>
      </c>
      <c r="N27" s="1905"/>
      <c r="P27" s="1910">
        <v>1</v>
      </c>
      <c r="Q27" s="1910"/>
      <c r="R27" s="1910"/>
      <c r="S27" s="1910"/>
      <c r="T27" s="1910"/>
      <c r="V27" s="1910">
        <f>L27*P27</f>
        <v>53</v>
      </c>
      <c r="W27" s="1910"/>
      <c r="X27" s="1910"/>
    </row>
    <row r="28" spans="1:43">
      <c r="C28" s="893"/>
      <c r="D28" s="893"/>
      <c r="E28" s="891" t="s">
        <v>2018</v>
      </c>
      <c r="J28" s="903"/>
      <c r="L28" s="1905">
        <f>Application!BX634</f>
        <v>0</v>
      </c>
      <c r="M28" s="1905">
        <f>Application!BX642+Application!BX651+Application!DC665</f>
        <v>0</v>
      </c>
      <c r="N28" s="1905"/>
      <c r="P28" s="1910">
        <v>1.25</v>
      </c>
      <c r="Q28" s="1910"/>
      <c r="R28" s="1910"/>
      <c r="S28" s="1910"/>
      <c r="T28" s="1910"/>
      <c r="V28" s="1910">
        <f>L28*P28</f>
        <v>0</v>
      </c>
      <c r="W28" s="1910"/>
      <c r="X28" s="1910"/>
    </row>
    <row r="29" spans="1:43">
      <c r="C29" s="893"/>
      <c r="D29" s="893"/>
      <c r="E29" s="891" t="s">
        <v>2019</v>
      </c>
      <c r="J29" s="903"/>
      <c r="L29" s="1905">
        <f>Application!CC634</f>
        <v>0</v>
      </c>
      <c r="M29" s="1905">
        <f>Application!CC642+Application!CC651+Application!DH665</f>
        <v>0</v>
      </c>
      <c r="N29" s="1905"/>
      <c r="P29" s="1910">
        <v>1.5</v>
      </c>
      <c r="Q29" s="1910"/>
      <c r="R29" s="1910"/>
      <c r="S29" s="1910"/>
      <c r="T29" s="1910"/>
      <c r="V29" s="1910">
        <f>L29*P29</f>
        <v>0</v>
      </c>
      <c r="W29" s="1910"/>
      <c r="X29" s="1910"/>
    </row>
    <row r="30" spans="1:43">
      <c r="C30" s="893"/>
      <c r="D30" s="893"/>
      <c r="E30" s="891" t="s">
        <v>2020</v>
      </c>
      <c r="J30" s="903"/>
      <c r="L30" s="1906">
        <f>Application!CH634+Application!CM634</f>
        <v>0</v>
      </c>
      <c r="M30" s="1906"/>
      <c r="N30" s="1906"/>
      <c r="P30" s="1910">
        <v>1.75</v>
      </c>
      <c r="Q30" s="1910"/>
      <c r="R30" s="1910">
        <f>1.75+0.25*0</f>
        <v>1.75</v>
      </c>
      <c r="S30" s="1910"/>
      <c r="T30" s="1910"/>
      <c r="V30" s="1911">
        <f>L30*P30</f>
        <v>0</v>
      </c>
      <c r="W30" s="1911"/>
      <c r="X30" s="1911"/>
    </row>
    <row r="31" spans="1:43">
      <c r="C31" s="893"/>
      <c r="D31" s="893"/>
      <c r="L31" s="1925">
        <f>SUM(L26:N30)</f>
        <v>53</v>
      </c>
      <c r="M31" s="1926"/>
      <c r="N31" s="1926"/>
      <c r="V31" s="1914">
        <f>SUM(V26:X30)</f>
        <v>53</v>
      </c>
      <c r="W31" s="1914"/>
      <c r="X31" s="1914"/>
    </row>
    <row r="32" spans="1:43">
      <c r="C32" s="893"/>
      <c r="D32" s="893"/>
      <c r="K32" s="904"/>
    </row>
    <row r="33" spans="1:27">
      <c r="C33" s="896" t="s">
        <v>190</v>
      </c>
      <c r="D33" s="896"/>
      <c r="E33" s="893" t="s">
        <v>2035</v>
      </c>
      <c r="H33" s="905"/>
      <c r="I33" s="906"/>
      <c r="J33" s="907"/>
      <c r="K33" s="904"/>
      <c r="M33" s="892"/>
      <c r="V33" s="1907">
        <f>IF(V31&gt;0,V31/Q22," ")</f>
        <v>2.12E-5</v>
      </c>
      <c r="W33" s="1908"/>
      <c r="X33" s="1908"/>
      <c r="Y33" s="1908"/>
      <c r="Z33" s="1908"/>
      <c r="AA33" s="1909"/>
    </row>
    <row r="34" spans="1:27">
      <c r="K34" s="891"/>
      <c r="M34" s="892"/>
    </row>
    <row r="35" spans="1:27">
      <c r="E35" s="893" t="s">
        <v>2041</v>
      </c>
      <c r="F35" s="893"/>
      <c r="G35" s="893"/>
      <c r="H35" s="893"/>
      <c r="I35" s="893"/>
      <c r="J35" s="893"/>
      <c r="K35" s="893"/>
      <c r="L35" s="893"/>
      <c r="M35" s="913"/>
      <c r="N35" s="893"/>
      <c r="O35" s="893"/>
      <c r="P35" s="893"/>
      <c r="Q35" s="893"/>
      <c r="R35" s="893"/>
      <c r="V35" s="1918">
        <f>IF(V31&gt;0,1/V33," ")</f>
        <v>47169.811320754714</v>
      </c>
      <c r="W35" s="1919"/>
      <c r="X35" s="1919"/>
      <c r="Y35" s="1919"/>
      <c r="Z35" s="1919"/>
      <c r="AA35" s="1920"/>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Will Sager</cp:lastModifiedBy>
  <cp:lastPrinted>2025-03-18T14:39:20Z</cp:lastPrinted>
  <dcterms:created xsi:type="dcterms:W3CDTF">2007-12-27T18:26:28Z</dcterms:created>
  <dcterms:modified xsi:type="dcterms:W3CDTF">2025-03-18T14:45:34Z</dcterms:modified>
</cp:coreProperties>
</file>