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D:\Park Kingsburg\Round 1 app - 2025\"/>
    </mc:Choice>
  </mc:AlternateContent>
  <xr:revisionPtr revIDLastSave="0" documentId="13_ncr:1_{F371538E-D933-4A29-8809-4DFDC220465F}" xr6:coauthVersionLast="47" xr6:coauthVersionMax="47" xr10:uidLastSave="{00000000-0000-0000-0000-000000000000}"/>
  <bookViews>
    <workbookView xWindow="-33017" yWindow="-103" windowWidth="33120" windowHeight="1800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18" l="1"/>
  <c r="AM562" i="3"/>
  <c r="C74" i="4"/>
  <c r="Q632" i="3"/>
  <c r="G54" i="9"/>
  <c r="E6" i="10"/>
  <c r="E7" i="10" s="1"/>
  <c r="E8" i="10" s="1"/>
  <c r="E5" i="10"/>
  <c r="E54" i="9" l="1"/>
  <c r="E18" i="4"/>
  <c r="AM559" i="3"/>
  <c r="Q563" i="3"/>
  <c r="C23" i="4"/>
  <c r="C21" i="4"/>
  <c r="AI557" i="3" l="1"/>
  <c r="W629" i="3" l="1"/>
  <c r="W858" i="3"/>
  <c r="AC876" i="3"/>
  <c r="E41" i="9"/>
  <c r="E42" i="25"/>
  <c r="E85" i="4"/>
  <c r="C85" i="4"/>
  <c r="E98" i="4"/>
  <c r="G88" i="18"/>
  <c r="G89" i="18"/>
  <c r="G90" i="18"/>
  <c r="G91" i="18"/>
  <c r="G92" i="18"/>
  <c r="G93" i="18"/>
  <c r="G87" i="18"/>
  <c r="G83" i="18"/>
  <c r="G85" i="18"/>
  <c r="G82" i="18"/>
  <c r="D82" i="18"/>
  <c r="D83" i="18"/>
  <c r="D85" i="18"/>
  <c r="D86" i="18"/>
  <c r="D87" i="18"/>
  <c r="D88" i="18"/>
  <c r="D89" i="18"/>
  <c r="D90" i="18"/>
  <c r="D91" i="18"/>
  <c r="D92" i="18"/>
  <c r="D93" i="18"/>
  <c r="G78" i="18"/>
  <c r="G77" i="18"/>
  <c r="G67" i="18"/>
  <c r="G64" i="18"/>
  <c r="G63" i="18"/>
  <c r="D81" i="18"/>
  <c r="D78" i="18"/>
  <c r="D77" i="18"/>
  <c r="D74" i="18"/>
  <c r="D67" i="18"/>
  <c r="D63" i="18"/>
  <c r="D56" i="18"/>
  <c r="D54" i="18"/>
  <c r="G42" i="18"/>
  <c r="G40" i="18"/>
  <c r="G39" i="18"/>
  <c r="G44" i="18"/>
  <c r="G51" i="18"/>
  <c r="G50" i="18"/>
  <c r="G49" i="18"/>
  <c r="G48" i="18"/>
  <c r="G47" i="18"/>
  <c r="G46" i="18"/>
  <c r="G45" i="18"/>
  <c r="D51" i="18"/>
  <c r="D50" i="18"/>
  <c r="D49" i="18"/>
  <c r="D48" i="18"/>
  <c r="D47" i="18"/>
  <c r="D46" i="18"/>
  <c r="D45" i="18"/>
  <c r="D44" i="18"/>
  <c r="D42" i="18"/>
  <c r="D40" i="18"/>
  <c r="D39" i="18"/>
  <c r="G26" i="18"/>
  <c r="G19" i="18"/>
  <c r="G20" i="18"/>
  <c r="G22" i="18"/>
  <c r="G24" i="18"/>
  <c r="G17" i="18"/>
  <c r="D26" i="18"/>
  <c r="D18" i="18"/>
  <c r="D19" i="18"/>
  <c r="D20" i="18"/>
  <c r="D22" i="18"/>
  <c r="D17" i="18"/>
  <c r="C48" i="4"/>
  <c r="E48" i="4" s="1"/>
  <c r="S94" i="4"/>
  <c r="S93" i="4"/>
  <c r="S92" i="4"/>
  <c r="S91" i="4"/>
  <c r="S90" i="4"/>
  <c r="S89" i="4"/>
  <c r="S88" i="4"/>
  <c r="S84" i="4"/>
  <c r="S86" i="4"/>
  <c r="S83" i="4"/>
  <c r="S79" i="4"/>
  <c r="S78" i="4"/>
  <c r="S64" i="4"/>
  <c r="S47" i="4"/>
  <c r="S49" i="4"/>
  <c r="S50" i="4"/>
  <c r="S51" i="4"/>
  <c r="S52" i="4"/>
  <c r="S46" i="4"/>
  <c r="S43" i="4"/>
  <c r="S41" i="4"/>
  <c r="S40" i="4"/>
  <c r="S19" i="4"/>
  <c r="S17" i="4"/>
  <c r="E79" i="4"/>
  <c r="E78" i="4"/>
  <c r="E51" i="4"/>
  <c r="E50" i="4"/>
  <c r="E49" i="4"/>
  <c r="E47" i="4"/>
  <c r="E46" i="4"/>
  <c r="E45" i="4"/>
  <c r="E57" i="4"/>
  <c r="E56" i="4"/>
  <c r="E55" i="4"/>
  <c r="E64" i="4"/>
  <c r="E68" i="4"/>
  <c r="E74" i="4"/>
  <c r="E83" i="4"/>
  <c r="E84" i="4"/>
  <c r="E86" i="4"/>
  <c r="E87" i="4"/>
  <c r="E88" i="4"/>
  <c r="E89" i="4"/>
  <c r="E90" i="4"/>
  <c r="E91" i="4"/>
  <c r="E92" i="4"/>
  <c r="E93" i="4"/>
  <c r="E82" i="4"/>
  <c r="H75" i="4"/>
  <c r="E43" i="4" l="1"/>
  <c r="E41" i="4"/>
  <c r="E40" i="4"/>
  <c r="E27" i="4"/>
  <c r="E20" i="4"/>
  <c r="E25" i="4"/>
  <c r="E24" i="4"/>
  <c r="E23" i="4"/>
  <c r="E22" i="4"/>
  <c r="E21" i="4"/>
  <c r="E19" i="4"/>
  <c r="E17" i="4"/>
  <c r="C9" i="4" l="1"/>
  <c r="G4" i="4"/>
  <c r="G9" i="4" s="1"/>
  <c r="G11" i="4" s="1"/>
  <c r="AA952" i="3"/>
  <c r="AA906" i="3"/>
  <c r="W841" i="3"/>
  <c r="W833" i="3"/>
  <c r="AI630" i="3"/>
  <c r="AF630" i="3"/>
  <c r="AI629" i="3"/>
  <c r="AF629" i="3"/>
  <c r="E40" i="9" s="1"/>
  <c r="AI561" i="3"/>
  <c r="AI558" i="3"/>
  <c r="AG449" i="3"/>
  <c r="AG447" i="3"/>
  <c r="AG443" i="3"/>
  <c r="AG444" i="3" s="1"/>
  <c r="AG445" i="3" s="1"/>
  <c r="AG446" i="3" s="1"/>
  <c r="BA989" i="3"/>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s="1"/>
  <c r="AY730" i="3"/>
  <c r="BE730" i="3"/>
  <c r="BF730" i="3"/>
  <c r="BG730" i="3"/>
  <c r="AY731" i="3"/>
  <c r="BE731" i="3"/>
  <c r="BF731" i="3"/>
  <c r="BG731" i="3" s="1"/>
  <c r="AY732" i="3"/>
  <c r="BE732" i="3"/>
  <c r="BF732" i="3"/>
  <c r="BG732" i="3"/>
  <c r="AY733" i="3"/>
  <c r="BE733" i="3"/>
  <c r="BF733" i="3"/>
  <c r="BG733" i="3" s="1"/>
  <c r="AY734" i="3"/>
  <c r="BE734" i="3"/>
  <c r="BF734" i="3"/>
  <c r="BG734" i="3"/>
  <c r="AY735" i="3"/>
  <c r="BE735" i="3"/>
  <c r="BF735" i="3"/>
  <c r="BG735" i="3" s="1"/>
  <c r="AY736" i="3"/>
  <c r="BE736" i="3"/>
  <c r="BF736" i="3"/>
  <c r="BG736" i="3"/>
  <c r="AY703" i="3"/>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5"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G635" i="3" s="1"/>
  <c r="BE601" i="3"/>
  <c r="BG601" i="3" s="1"/>
  <c r="BE602" i="3"/>
  <c r="BG602" i="3" s="1"/>
  <c r="BE603" i="3"/>
  <c r="BG603" i="3"/>
  <c r="BE604" i="3"/>
  <c r="BG604" i="3"/>
  <c r="BE605" i="3"/>
  <c r="BG605" i="3" s="1"/>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Y738" i="3" s="1"/>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38" i="3" s="1"/>
  <c r="BE704" i="3"/>
  <c r="BE705" i="3"/>
  <c r="BE706" i="3"/>
  <c r="BF706" i="3" s="1"/>
  <c r="BE707" i="3"/>
  <c r="BE708" i="3"/>
  <c r="BF708" i="3" s="1"/>
  <c r="BE709" i="3"/>
  <c r="BF709" i="3"/>
  <c r="BG709" i="3" s="1"/>
  <c r="BE710" i="3"/>
  <c r="BF710" i="3"/>
  <c r="BG710" i="3"/>
  <c r="BE711" i="3"/>
  <c r="BF711" i="3"/>
  <c r="BG711" i="3" s="1"/>
  <c r="BE712" i="3"/>
  <c r="BF712" i="3"/>
  <c r="BG712" i="3"/>
  <c r="BE713" i="3"/>
  <c r="BF713" i="3"/>
  <c r="BG713" i="3" s="1"/>
  <c r="BE714" i="3"/>
  <c r="BF714" i="3"/>
  <c r="BG714" i="3" s="1"/>
  <c r="BE715" i="3"/>
  <c r="BF715" i="3"/>
  <c r="BG715" i="3" s="1"/>
  <c r="BE716" i="3"/>
  <c r="BF716" i="3"/>
  <c r="BG716" i="3"/>
  <c r="BE717" i="3"/>
  <c r="BF717" i="3"/>
  <c r="BG717" i="3" s="1"/>
  <c r="BE718" i="3"/>
  <c r="BF718" i="3"/>
  <c r="BG718" i="3"/>
  <c r="BE719" i="3"/>
  <c r="BF719" i="3"/>
  <c r="BG719" i="3" s="1"/>
  <c r="BE720" i="3"/>
  <c r="BF720" i="3"/>
  <c r="BG720" i="3"/>
  <c r="BE721" i="3"/>
  <c r="BF721" i="3"/>
  <c r="BG721" i="3" s="1"/>
  <c r="BE722" i="3"/>
  <c r="BF722" i="3"/>
  <c r="BG722" i="3" s="1"/>
  <c r="BE723" i="3"/>
  <c r="BF723" i="3"/>
  <c r="BG723" i="3" s="1"/>
  <c r="BE724" i="3"/>
  <c r="BF724" i="3"/>
  <c r="BG724" i="3"/>
  <c r="BE725" i="3"/>
  <c r="BF725" i="3"/>
  <c r="BG725" i="3" s="1"/>
  <c r="BE726" i="3"/>
  <c r="BF726" i="3"/>
  <c r="BG726" i="3"/>
  <c r="BE737" i="3"/>
  <c r="BF737" i="3"/>
  <c r="BG737" i="3" s="1"/>
  <c r="C65" i="25"/>
  <c r="Y22" i="5"/>
  <c r="AD22" i="5"/>
  <c r="AI22" i="5"/>
  <c r="T22" i="5"/>
  <c r="AO654" i="6"/>
  <c r="AO648" i="6"/>
  <c r="AO653" i="6"/>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4" i="3" s="1"/>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c r="L28" i="28" s="1"/>
  <c r="V28" i="28" s="1"/>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M634" i="3" s="1"/>
  <c r="CH599" i="3"/>
  <c r="CH634" i="3"/>
  <c r="AZ199" i="6" s="1"/>
  <c r="CH637" i="3"/>
  <c r="CH638" i="3"/>
  <c r="CH639" i="3"/>
  <c r="CH640" i="3"/>
  <c r="CH643" i="3"/>
  <c r="CH644" i="3"/>
  <c r="CH645" i="3"/>
  <c r="CH646" i="3"/>
  <c r="CH647" i="3"/>
  <c r="CH648" i="3"/>
  <c r="CH649" i="3"/>
  <c r="CH650" i="3"/>
  <c r="CH651" i="3"/>
  <c r="CH652" i="3"/>
  <c r="AJ984" i="3"/>
  <c r="AJ990" i="3"/>
  <c r="AJ994" i="3"/>
  <c r="AJ996" i="3"/>
  <c r="AJ1012" i="3"/>
  <c r="AJ1015" i="3"/>
  <c r="AJ1019" i="3"/>
  <c r="AO641" i="3"/>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s="1"/>
  <c r="G21" i="9" s="1"/>
  <c r="I21" i="9" s="1"/>
  <c r="K21" i="9" s="1"/>
  <c r="M21" i="9" s="1"/>
  <c r="O21" i="9" s="1"/>
  <c r="Q21" i="9" s="1"/>
  <c r="S21" i="9" s="1"/>
  <c r="U21" i="9" s="1"/>
  <c r="W21" i="9" s="1"/>
  <c r="Y21" i="9" s="1"/>
  <c r="AA21" i="9" s="1"/>
  <c r="AC21" i="9" s="1"/>
  <c r="AE21" i="9" s="1"/>
  <c r="AG21" i="9" s="1"/>
  <c r="Z804" i="3"/>
  <c r="E8" i="9" s="1"/>
  <c r="T703" i="3"/>
  <c r="T704" i="3"/>
  <c r="T738" i="3" s="1"/>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AC704" i="3"/>
  <c r="AM704" i="3" s="1"/>
  <c r="AC705" i="3"/>
  <c r="AC706" i="3"/>
  <c r="AM706" i="3" s="1"/>
  <c r="AC707" i="3"/>
  <c r="AM707" i="3" s="1"/>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C85" i="15"/>
  <c r="D85" i="15"/>
  <c r="B86" i="15"/>
  <c r="C86" i="15"/>
  <c r="D86" i="15"/>
  <c r="B87" i="15"/>
  <c r="C87" i="15"/>
  <c r="D87" i="15"/>
  <c r="B88" i="15"/>
  <c r="E88" i="15" s="1"/>
  <c r="C88" i="15"/>
  <c r="D88" i="15"/>
  <c r="B89" i="15"/>
  <c r="C89" i="15"/>
  <c r="D89" i="15"/>
  <c r="B90" i="15"/>
  <c r="C90" i="15"/>
  <c r="D90" i="15"/>
  <c r="B91" i="15"/>
  <c r="E91" i="15" s="1"/>
  <c r="C91" i="15"/>
  <c r="D91" i="15"/>
  <c r="B92" i="15"/>
  <c r="C92" i="15"/>
  <c r="E92" i="15"/>
  <c r="D92" i="15"/>
  <c r="B93" i="15"/>
  <c r="E93" i="15" s="1"/>
  <c r="C93" i="15"/>
  <c r="D93" i="15"/>
  <c r="B94" i="15"/>
  <c r="C94" i="15"/>
  <c r="E94" i="15"/>
  <c r="D94" i="15"/>
  <c r="B95" i="15"/>
  <c r="C95" i="15"/>
  <c r="E95" i="15"/>
  <c r="D95" i="15"/>
  <c r="E86" i="15"/>
  <c r="E85" i="15"/>
  <c r="D83" i="15"/>
  <c r="C83" i="15"/>
  <c r="B83" i="15"/>
  <c r="E83" i="15" s="1"/>
  <c r="B80" i="15"/>
  <c r="C80" i="15"/>
  <c r="E80" i="15" s="1"/>
  <c r="D80" i="15"/>
  <c r="D79" i="15"/>
  <c r="C79" i="15"/>
  <c r="B79" i="15"/>
  <c r="B73" i="15"/>
  <c r="C73" i="15"/>
  <c r="D73" i="15"/>
  <c r="B74" i="15"/>
  <c r="E74" i="15"/>
  <c r="C74" i="15"/>
  <c r="D74" i="15"/>
  <c r="B75" i="15"/>
  <c r="C75" i="15"/>
  <c r="D75" i="15"/>
  <c r="B76" i="15"/>
  <c r="C76" i="15"/>
  <c r="E76" i="15" s="1"/>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E47" i="15" s="1"/>
  <c r="C47" i="15"/>
  <c r="D47" i="15"/>
  <c r="B48" i="15"/>
  <c r="C48" i="15"/>
  <c r="D48" i="15"/>
  <c r="B49" i="15"/>
  <c r="E49" i="15" s="1"/>
  <c r="C49" i="15"/>
  <c r="D49" i="15"/>
  <c r="B50" i="15"/>
  <c r="C50" i="15"/>
  <c r="E50" i="15" s="1"/>
  <c r="D50" i="15"/>
  <c r="B51" i="15"/>
  <c r="E51" i="15" s="1"/>
  <c r="C51" i="15"/>
  <c r="D51" i="15"/>
  <c r="B52" i="15"/>
  <c r="E52" i="15" s="1"/>
  <c r="C52" i="15"/>
  <c r="D52" i="15"/>
  <c r="B53" i="15"/>
  <c r="C53" i="15"/>
  <c r="D53" i="15"/>
  <c r="D46" i="15"/>
  <c r="C46" i="15"/>
  <c r="B46" i="15"/>
  <c r="B44" i="15"/>
  <c r="C44" i="15"/>
  <c r="D44" i="15"/>
  <c r="B42" i="15"/>
  <c r="C42" i="15"/>
  <c r="E42" i="15" s="1"/>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c r="D20" i="15"/>
  <c r="B21" i="15"/>
  <c r="C21" i="15"/>
  <c r="D21" i="15"/>
  <c r="B22" i="15"/>
  <c r="C22" i="15"/>
  <c r="D22" i="15"/>
  <c r="B23" i="15"/>
  <c r="C23" i="15"/>
  <c r="D23" i="15"/>
  <c r="B24" i="15"/>
  <c r="C24" i="15"/>
  <c r="E24" i="15" s="1"/>
  <c r="D24" i="15"/>
  <c r="B25" i="15"/>
  <c r="C25" i="15"/>
  <c r="D25" i="15"/>
  <c r="B26" i="15"/>
  <c r="C26" i="15"/>
  <c r="E26" i="15"/>
  <c r="D26" i="15"/>
  <c r="B28" i="15"/>
  <c r="C28" i="15"/>
  <c r="D28" i="15"/>
  <c r="B5" i="15"/>
  <c r="B9" i="15" s="1"/>
  <c r="B13" i="15" s="1"/>
  <c r="C5" i="15"/>
  <c r="B6" i="15"/>
  <c r="C6" i="15"/>
  <c r="B7" i="15"/>
  <c r="C7" i="15"/>
  <c r="B8" i="15"/>
  <c r="C8" i="15"/>
  <c r="B10" i="15"/>
  <c r="E10" i="15" s="1"/>
  <c r="C10" i="15"/>
  <c r="C12" i="15" s="1"/>
  <c r="E12" i="15" s="1"/>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53" i="15"/>
  <c r="E69" i="15"/>
  <c r="E56" i="15"/>
  <c r="E73" i="15"/>
  <c r="E87" i="15"/>
  <c r="E67" i="15"/>
  <c r="E33" i="15"/>
  <c r="E90" i="15"/>
  <c r="E58" i="15"/>
  <c r="E89" i="15"/>
  <c r="E16" i="15"/>
  <c r="E7" i="15"/>
  <c r="E31" i="15"/>
  <c r="E61" i="15"/>
  <c r="E57" i="15"/>
  <c r="E14" i="15"/>
  <c r="E44" i="15"/>
  <c r="E21" i="15"/>
  <c r="E28" i="15"/>
  <c r="E8" i="15"/>
  <c r="E48" i="15"/>
  <c r="E72" i="15"/>
  <c r="B12" i="15"/>
  <c r="E6" i="15"/>
  <c r="E23" i="15"/>
  <c r="C9" i="15"/>
  <c r="E11" i="15"/>
  <c r="E35" i="15"/>
  <c r="E6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S24" i="4" s="1"/>
  <c r="B24" i="4"/>
  <c r="G53" i="9"/>
  <c r="I53" i="9" s="1"/>
  <c r="K53" i="9" s="1"/>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AB47" i="26" s="1"/>
  <c r="Q48" i="25"/>
  <c r="D8" i="4"/>
  <c r="D11" i="4"/>
  <c r="B11" i="4" s="1"/>
  <c r="D26" i="4"/>
  <c r="D38" i="4"/>
  <c r="D42" i="4"/>
  <c r="D53" i="4"/>
  <c r="D61" i="4"/>
  <c r="D69" i="4"/>
  <c r="D76" i="4"/>
  <c r="D80" i="4"/>
  <c r="D95" i="4"/>
  <c r="D103" i="4"/>
  <c r="C8" i="4"/>
  <c r="C12" i="4" s="1"/>
  <c r="B12" i="18" s="1"/>
  <c r="C11" i="4"/>
  <c r="C26" i="4"/>
  <c r="B25" i="18" s="1"/>
  <c r="C38" i="4"/>
  <c r="C42" i="4"/>
  <c r="C53" i="4"/>
  <c r="B54" i="15" s="1"/>
  <c r="C61" i="4"/>
  <c r="C69" i="4"/>
  <c r="C76" i="4"/>
  <c r="B76" i="4" s="1"/>
  <c r="C80" i="4"/>
  <c r="B81" i="15" s="1"/>
  <c r="C95" i="4"/>
  <c r="B96" i="15" s="1"/>
  <c r="C103" i="4"/>
  <c r="C104" i="15" s="1"/>
  <c r="C66" i="25"/>
  <c r="Y20" i="5"/>
  <c r="AI20" i="5"/>
  <c r="S38" i="4"/>
  <c r="S42" i="4"/>
  <c r="S69" i="4"/>
  <c r="S80" i="4"/>
  <c r="E79" i="18" s="1"/>
  <c r="F25" i="18"/>
  <c r="F37" i="18"/>
  <c r="F41" i="18"/>
  <c r="F52" i="18"/>
  <c r="F68" i="18"/>
  <c r="F79" i="18"/>
  <c r="F94" i="18"/>
  <c r="F102" i="18"/>
  <c r="T20" i="5"/>
  <c r="T26" i="4"/>
  <c r="T38" i="4"/>
  <c r="T42" i="4"/>
  <c r="T53" i="4"/>
  <c r="T11" i="4"/>
  <c r="T69" i="4"/>
  <c r="H68" i="18"/>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62" i="4" s="1"/>
  <c r="J96" i="4" s="1"/>
  <c r="J104" i="4" s="1"/>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37" i="18"/>
  <c r="G41" i="18"/>
  <c r="G52" i="18"/>
  <c r="G68"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3" i="18"/>
  <c r="E82" i="18"/>
  <c r="E77" i="18"/>
  <c r="E67" i="18"/>
  <c r="E63" i="18"/>
  <c r="E51" i="18"/>
  <c r="E50" i="18"/>
  <c r="E49" i="18"/>
  <c r="E48" i="18"/>
  <c r="E46" i="18"/>
  <c r="E45" i="18"/>
  <c r="E44" i="18"/>
  <c r="E42" i="18"/>
  <c r="E40" i="18"/>
  <c r="E39" i="18"/>
  <c r="E36" i="18"/>
  <c r="E34" i="18"/>
  <c r="E33" i="18"/>
  <c r="E32" i="18"/>
  <c r="E31" i="18"/>
  <c r="E30" i="18"/>
  <c r="E29" i="18"/>
  <c r="E28" i="18"/>
  <c r="E26" i="18"/>
  <c r="E23" i="18"/>
  <c r="G23" i="18" s="1"/>
  <c r="E22" i="18"/>
  <c r="E19" i="18"/>
  <c r="E17" i="18"/>
  <c r="E14" i="18"/>
  <c r="E15" i="18"/>
  <c r="E13" i="18"/>
  <c r="E10" i="18"/>
  <c r="B101" i="18"/>
  <c r="B100" i="18"/>
  <c r="B99" i="18"/>
  <c r="B98" i="18"/>
  <c r="B97" i="18"/>
  <c r="D97" i="18" s="1"/>
  <c r="D102" i="18" s="1"/>
  <c r="B93" i="18"/>
  <c r="B92" i="18"/>
  <c r="B91" i="18"/>
  <c r="B90" i="18"/>
  <c r="B89" i="18"/>
  <c r="B88" i="18"/>
  <c r="B87" i="18"/>
  <c r="B86" i="18"/>
  <c r="B85" i="18"/>
  <c r="B84" i="18"/>
  <c r="D84" i="18" s="1"/>
  <c r="B83" i="18"/>
  <c r="B82" i="18"/>
  <c r="B81" i="18"/>
  <c r="B77" i="18"/>
  <c r="B74" i="18"/>
  <c r="B73" i="18"/>
  <c r="D73" i="18" s="1"/>
  <c r="D75"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D24" i="18" s="1"/>
  <c r="B23" i="18"/>
  <c r="D23" i="18" s="1"/>
  <c r="B22" i="18"/>
  <c r="B21" i="18"/>
  <c r="D21" i="18" s="1"/>
  <c r="B20" i="18"/>
  <c r="B19" i="18"/>
  <c r="B18" i="18"/>
  <c r="B17" i="18"/>
  <c r="B4" i="18"/>
  <c r="D4" i="18" s="1"/>
  <c r="C102" i="18"/>
  <c r="D94" i="18"/>
  <c r="C94" i="18"/>
  <c r="C75" i="18"/>
  <c r="D68" i="18"/>
  <c r="C68" i="18"/>
  <c r="D60" i="18"/>
  <c r="C60" i="18"/>
  <c r="D52" i="18"/>
  <c r="C52" i="18"/>
  <c r="D41" i="18"/>
  <c r="C41" i="18"/>
  <c r="D37" i="18"/>
  <c r="C37" i="18"/>
  <c r="C25" i="18"/>
  <c r="D11" i="18"/>
  <c r="C11" i="18"/>
  <c r="D8" i="18"/>
  <c r="C8" i="18"/>
  <c r="AG517" i="6"/>
  <c r="AO652" i="6"/>
  <c r="AO651" i="6"/>
  <c r="AO650" i="6"/>
  <c r="AO649" i="6"/>
  <c r="AJ271" i="6"/>
  <c r="AJ256" i="6"/>
  <c r="AJ230" i="6"/>
  <c r="AJ218" i="6"/>
  <c r="AJ139" i="6"/>
  <c r="AG524" i="6"/>
  <c r="AG520" i="6"/>
  <c r="AG513" i="6"/>
  <c r="AG508" i="6"/>
  <c r="AG485" i="6"/>
  <c r="R98" i="4"/>
  <c r="R94" i="4"/>
  <c r="R82" i="4"/>
  <c r="R84" i="4"/>
  <c r="R85" i="4"/>
  <c r="S85" i="4" s="1"/>
  <c r="E84" i="18" s="1"/>
  <c r="G84" i="18" s="1"/>
  <c r="G94" i="18" s="1"/>
  <c r="R86" i="4"/>
  <c r="R87" i="4"/>
  <c r="R88" i="4"/>
  <c r="R89" i="4"/>
  <c r="R90" i="4"/>
  <c r="R91" i="4"/>
  <c r="R92" i="4"/>
  <c r="R93" i="4"/>
  <c r="R60" i="4"/>
  <c r="R59" i="4"/>
  <c r="R58" i="4"/>
  <c r="R57" i="4"/>
  <c r="R56" i="4"/>
  <c r="R52" i="4"/>
  <c r="R51" i="4"/>
  <c r="R50" i="4"/>
  <c r="R49" i="4"/>
  <c r="R48" i="4"/>
  <c r="S48" i="4" s="1"/>
  <c r="E47" i="18" s="1"/>
  <c r="R47" i="4"/>
  <c r="R46" i="4"/>
  <c r="R45" i="4"/>
  <c r="R43" i="4"/>
  <c r="R41" i="4"/>
  <c r="R40" i="4"/>
  <c r="R37" i="4"/>
  <c r="R35" i="4"/>
  <c r="R34" i="4"/>
  <c r="R33" i="4"/>
  <c r="R32" i="4"/>
  <c r="R30" i="4"/>
  <c r="R31" i="4"/>
  <c r="R29" i="4"/>
  <c r="R27" i="4"/>
  <c r="S27" i="4" s="1"/>
  <c r="R25" i="4"/>
  <c r="S25" i="4" s="1"/>
  <c r="E24" i="18" s="1"/>
  <c r="R23" i="4"/>
  <c r="S23" i="4" s="1"/>
  <c r="R22" i="4"/>
  <c r="S22" i="4" s="1"/>
  <c r="R21" i="4"/>
  <c r="S21" i="4" s="1"/>
  <c r="E21" i="18" s="1"/>
  <c r="G21" i="18" s="1"/>
  <c r="R20" i="4"/>
  <c r="S20" i="4" s="1"/>
  <c r="R19" i="4"/>
  <c r="R17" i="4"/>
  <c r="R15" i="4"/>
  <c r="R14" i="4"/>
  <c r="R13" i="4"/>
  <c r="R7" i="4"/>
  <c r="R6" i="4"/>
  <c r="D5" i="15"/>
  <c r="D9" i="15" s="1"/>
  <c r="D6" i="15"/>
  <c r="D7" i="15"/>
  <c r="D8" i="15"/>
  <c r="D10" i="15"/>
  <c r="D11" i="15"/>
  <c r="D14" i="15"/>
  <c r="D15" i="15"/>
  <c r="D16" i="15"/>
  <c r="D18" i="15"/>
  <c r="E37" i="18"/>
  <c r="E41" i="18"/>
  <c r="E68" i="18"/>
  <c r="H25" i="18"/>
  <c r="H37" i="18"/>
  <c r="H52" i="18"/>
  <c r="H94"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1" i="4"/>
  <c r="L12" i="4"/>
  <c r="B9" i="4"/>
  <c r="B10" i="4"/>
  <c r="I12" i="4"/>
  <c r="O12" i="4"/>
  <c r="B13" i="4"/>
  <c r="B14" i="4"/>
  <c r="B17" i="4"/>
  <c r="B18" i="4"/>
  <c r="B19" i="4"/>
  <c r="B20" i="4"/>
  <c r="B21" i="4"/>
  <c r="B22" i="4"/>
  <c r="B23" i="4"/>
  <c r="B25"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H96" i="4" s="1"/>
  <c r="H104" i="4" s="1"/>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B26" i="4"/>
  <c r="B43" i="15"/>
  <c r="C43" i="15"/>
  <c r="E43" i="15" s="1"/>
  <c r="D43" i="15"/>
  <c r="C39" i="15"/>
  <c r="E39" i="15"/>
  <c r="D39" i="15"/>
  <c r="B39" i="15"/>
  <c r="T62" i="4"/>
  <c r="T96" i="4" s="1"/>
  <c r="B68" i="18"/>
  <c r="B70" i="15"/>
  <c r="E70" i="15" s="1"/>
  <c r="C70" i="15"/>
  <c r="D70" i="15"/>
  <c r="C62" i="15"/>
  <c r="D62" i="15"/>
  <c r="B62" i="15"/>
  <c r="E62" i="15" s="1"/>
  <c r="B11" i="18"/>
  <c r="I61" i="18"/>
  <c r="I95" i="18"/>
  <c r="I103" i="18"/>
  <c r="I105" i="18"/>
  <c r="J61" i="18"/>
  <c r="J95" i="18"/>
  <c r="J103" i="18"/>
  <c r="J105" i="18"/>
  <c r="K12" i="4"/>
  <c r="B42" i="4"/>
  <c r="J12" i="4"/>
  <c r="R11" i="4"/>
  <c r="R8" i="4"/>
  <c r="D12" i="15"/>
  <c r="C61" i="18"/>
  <c r="C95" i="18"/>
  <c r="C103" i="18"/>
  <c r="C12" i="18"/>
  <c r="M62" i="4"/>
  <c r="M96" i="4"/>
  <c r="M104" i="4"/>
  <c r="R61" i="4"/>
  <c r="O62" i="4"/>
  <c r="O96" i="4"/>
  <c r="O104" i="4"/>
  <c r="N62" i="4"/>
  <c r="N96" i="4"/>
  <c r="N104" i="4"/>
  <c r="D62" i="4"/>
  <c r="D96" i="4" s="1"/>
  <c r="D104" i="4" s="1"/>
  <c r="L62" i="4"/>
  <c r="L96" i="4"/>
  <c r="L104" i="4"/>
  <c r="H12" i="4"/>
  <c r="H11" i="18"/>
  <c r="Q62" i="4"/>
  <c r="Q96" i="4"/>
  <c r="Q104" i="4"/>
  <c r="K62" i="4"/>
  <c r="K96" i="4"/>
  <c r="K104" i="4"/>
  <c r="I62" i="4"/>
  <c r="I96" i="4" s="1"/>
  <c r="R38" i="4"/>
  <c r="R42" i="4"/>
  <c r="H61" i="18"/>
  <c r="H62" i="4"/>
  <c r="M12" i="4"/>
  <c r="P62" i="4"/>
  <c r="P96" i="4"/>
  <c r="P104" i="4"/>
  <c r="B69" i="4"/>
  <c r="B38" i="4"/>
  <c r="F61" i="18"/>
  <c r="F95" i="18"/>
  <c r="F103" i="18"/>
  <c r="F105" i="18"/>
  <c r="AC28" i="9"/>
  <c r="T24" i="27"/>
  <c r="T24" i="26"/>
  <c r="C785" i="3"/>
  <c r="AZ197" i="6"/>
  <c r="C742" i="3"/>
  <c r="T7" i="5"/>
  <c r="O29" i="9"/>
  <c r="AP381" i="6"/>
  <c r="AQ381" i="6"/>
  <c r="AO655" i="6"/>
  <c r="AK688" i="6"/>
  <c r="T710" i="6" s="1"/>
  <c r="AF710" i="6" s="1"/>
  <c r="BN641" i="3"/>
  <c r="U69" i="25"/>
  <c r="AI22" i="26"/>
  <c r="AC764" i="3"/>
  <c r="CH641" i="3"/>
  <c r="CH659" i="3" s="1"/>
  <c r="G67" i="25"/>
  <c r="C67" i="25" s="1"/>
  <c r="BX641" i="3"/>
  <c r="Q581" i="6"/>
  <c r="W581" i="6"/>
  <c r="AC581" i="6" s="1"/>
  <c r="Q589" i="6"/>
  <c r="W589" i="6" s="1"/>
  <c r="G30" i="9"/>
  <c r="I30" i="9" s="1"/>
  <c r="K30" i="9" s="1"/>
  <c r="M30" i="9" s="1"/>
  <c r="O30" i="9" s="1"/>
  <c r="Q30" i="9" s="1"/>
  <c r="S30" i="9" s="1"/>
  <c r="U30" i="9" s="1"/>
  <c r="W30" i="9" s="1"/>
  <c r="Y30" i="9" s="1"/>
  <c r="AA30" i="9" s="1"/>
  <c r="AC30" i="9" s="1"/>
  <c r="AE30" i="9" s="1"/>
  <c r="AG30" i="9" s="1"/>
  <c r="Y20" i="27"/>
  <c r="Y22" i="27"/>
  <c r="AD20" i="27"/>
  <c r="AD22" i="27"/>
  <c r="E15" i="9"/>
  <c r="G15" i="9" s="1"/>
  <c r="AC784" i="3"/>
  <c r="BS653" i="3"/>
  <c r="BW654" i="3"/>
  <c r="CL635" i="3"/>
  <c r="CC653" i="3"/>
  <c r="CG654" i="3"/>
  <c r="CM653" i="3"/>
  <c r="CQ654" i="3"/>
  <c r="CC641" i="3"/>
  <c r="BS641" i="3"/>
  <c r="CS641" i="3" s="1"/>
  <c r="BN653" i="3"/>
  <c r="BR654" i="3"/>
  <c r="CH653" i="3"/>
  <c r="CL654" i="3"/>
  <c r="BX653" i="3"/>
  <c r="CB654" i="3"/>
  <c r="AC871" i="3"/>
  <c r="Q591" i="6"/>
  <c r="W591" i="6" s="1"/>
  <c r="CS635" i="3"/>
  <c r="T613" i="6" s="1"/>
  <c r="DC635" i="3"/>
  <c r="T611" i="6" s="1"/>
  <c r="AZ574" i="6" s="1"/>
  <c r="AK540" i="6"/>
  <c r="AP368" i="6"/>
  <c r="AQ368" i="6" s="1"/>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Q588" i="6"/>
  <c r="W588" i="6" s="1"/>
  <c r="AC588" i="6" s="1"/>
  <c r="T20" i="27"/>
  <c r="T22" i="27"/>
  <c r="T20" i="26"/>
  <c r="T22" i="26"/>
  <c r="Y20" i="26"/>
  <c r="Y22" i="26"/>
  <c r="AD20" i="26"/>
  <c r="AD22" i="26"/>
  <c r="AD7" i="5"/>
  <c r="AI20" i="27"/>
  <c r="AI22" i="27"/>
  <c r="D104" i="15"/>
  <c r="U29" i="9"/>
  <c r="G29" i="9"/>
  <c r="W29" i="9"/>
  <c r="Y29" i="9"/>
  <c r="Q29" i="9"/>
  <c r="AC29" i="9"/>
  <c r="I16" i="9"/>
  <c r="K16" i="9" s="1"/>
  <c r="M16" i="9" s="1"/>
  <c r="O16" i="9" s="1"/>
  <c r="Q16" i="9" s="1"/>
  <c r="S16" i="9" s="1"/>
  <c r="U16" i="9" s="1"/>
  <c r="W16" i="9" s="1"/>
  <c r="Y16" i="9" s="1"/>
  <c r="AA16" i="9" s="1"/>
  <c r="AC16" i="9" s="1"/>
  <c r="AE16" i="9" s="1"/>
  <c r="AG16" i="9" s="1"/>
  <c r="O609" i="6"/>
  <c r="CB635" i="3"/>
  <c r="CQ655" i="3"/>
  <c r="AC585" i="6"/>
  <c r="AJ206" i="6"/>
  <c r="AJ999" i="3"/>
  <c r="D77" i="15" l="1"/>
  <c r="B75" i="18"/>
  <c r="C77" i="15"/>
  <c r="B77" i="15"/>
  <c r="I104" i="4"/>
  <c r="G58" i="9"/>
  <c r="K58" i="9"/>
  <c r="M53" i="9"/>
  <c r="I58" i="9"/>
  <c r="E22" i="15"/>
  <c r="D25" i="18"/>
  <c r="D61" i="18" s="1"/>
  <c r="D95" i="18" s="1"/>
  <c r="D103" i="18" s="1"/>
  <c r="AB47" i="5"/>
  <c r="AB47" i="27"/>
  <c r="E50" i="25"/>
  <c r="G52" i="25" s="1"/>
  <c r="G53" i="25" s="1"/>
  <c r="H95" i="18"/>
  <c r="T104" i="4"/>
  <c r="AS357" i="6"/>
  <c r="AS355" i="6"/>
  <c r="E9" i="15"/>
  <c r="G62" i="4"/>
  <c r="G96" i="4" s="1"/>
  <c r="G104" i="4" s="1"/>
  <c r="E5" i="15"/>
  <c r="B8" i="18"/>
  <c r="R12" i="4"/>
  <c r="F9" i="4"/>
  <c r="Y40" i="9"/>
  <c r="AE40" i="9"/>
  <c r="AE43" i="9" s="1"/>
  <c r="E43" i="9"/>
  <c r="W40" i="9"/>
  <c r="W43" i="9" s="1"/>
  <c r="S40" i="9"/>
  <c r="S43" i="9" s="1"/>
  <c r="AG40" i="9"/>
  <c r="AG43" i="9" s="1"/>
  <c r="K40" i="9"/>
  <c r="K43" i="9" s="1"/>
  <c r="E75" i="15"/>
  <c r="R76" i="4"/>
  <c r="Y43" i="9"/>
  <c r="S95" i="4"/>
  <c r="E94" i="18" s="1"/>
  <c r="R103" i="4"/>
  <c r="S98" i="4"/>
  <c r="C27" i="15"/>
  <c r="D27" i="15"/>
  <c r="B27" i="15"/>
  <c r="D12" i="18"/>
  <c r="R95" i="4"/>
  <c r="S53" i="4"/>
  <c r="E52" i="18" s="1"/>
  <c r="R53" i="4"/>
  <c r="E20" i="18"/>
  <c r="B104" i="15"/>
  <c r="E104" i="15" s="1"/>
  <c r="B103" i="4"/>
  <c r="E99" i="15"/>
  <c r="R80" i="4"/>
  <c r="B95" i="4"/>
  <c r="D96" i="15"/>
  <c r="C96" i="15"/>
  <c r="E96" i="15" s="1"/>
  <c r="B94" i="18"/>
  <c r="B80" i="4"/>
  <c r="E79" i="15"/>
  <c r="B79" i="18"/>
  <c r="C81" i="15"/>
  <c r="E81" i="15" s="1"/>
  <c r="D81" i="15"/>
  <c r="C62" i="4"/>
  <c r="C96" i="4" s="1"/>
  <c r="B96" i="4" s="1"/>
  <c r="B52" i="18"/>
  <c r="D54" i="15"/>
  <c r="C54" i="15"/>
  <c r="E54" i="15" s="1"/>
  <c r="B53" i="4"/>
  <c r="E46" i="15"/>
  <c r="D13" i="15"/>
  <c r="D12" i="4"/>
  <c r="B8" i="4"/>
  <c r="B12" i="4" s="1"/>
  <c r="E12" i="4"/>
  <c r="C13" i="15"/>
  <c r="E13" i="15" s="1"/>
  <c r="AC870" i="3"/>
  <c r="AC872" i="3" s="1"/>
  <c r="G8" i="9"/>
  <c r="E9" i="9"/>
  <c r="BG708" i="3"/>
  <c r="BG706" i="3"/>
  <c r="BK635" i="3"/>
  <c r="CX635" i="3"/>
  <c r="T612" i="6" s="1"/>
  <c r="DH635" i="3"/>
  <c r="T610" i="6" s="1"/>
  <c r="DM635" i="3"/>
  <c r="T609" i="6" s="1"/>
  <c r="DR635" i="3"/>
  <c r="T608" i="6" s="1"/>
  <c r="AZ571" i="6" s="1"/>
  <c r="Y613" i="6"/>
  <c r="CC530" i="6"/>
  <c r="CC531" i="6" s="1"/>
  <c r="AZ576" i="6"/>
  <c r="AZ198" i="6"/>
  <c r="CG635" i="3"/>
  <c r="CC659" i="3"/>
  <c r="AB972" i="3" s="1"/>
  <c r="L29" i="28"/>
  <c r="V29" i="28" s="1"/>
  <c r="O610" i="6"/>
  <c r="BY529" i="6"/>
  <c r="BY531" i="6" s="1"/>
  <c r="AZ575" i="6"/>
  <c r="O612" i="6"/>
  <c r="BW635" i="3"/>
  <c r="L27" i="28"/>
  <c r="V27" i="28" s="1"/>
  <c r="BS659" i="3"/>
  <c r="AB970" i="3" s="1"/>
  <c r="AZ201" i="6"/>
  <c r="CM659" i="3"/>
  <c r="AB973" i="3" s="1"/>
  <c r="L30" i="28"/>
  <c r="V30" i="28" s="1"/>
  <c r="CQ635" i="3"/>
  <c r="O608" i="6"/>
  <c r="BF704" i="3"/>
  <c r="BG704" i="3" s="1"/>
  <c r="BF707" i="3"/>
  <c r="BG707" i="3" s="1"/>
  <c r="BF703" i="3"/>
  <c r="BF705" i="3"/>
  <c r="BG705" i="3" s="1"/>
  <c r="AZ735" i="3"/>
  <c r="BA735" i="3" s="1"/>
  <c r="AZ733" i="3"/>
  <c r="BA733" i="3" s="1"/>
  <c r="AZ708" i="3"/>
  <c r="BA708" i="3" s="1"/>
  <c r="AZ711" i="3"/>
  <c r="BA711" i="3" s="1"/>
  <c r="AZ704" i="3"/>
  <c r="BA704" i="3" s="1"/>
  <c r="AZ706" i="3"/>
  <c r="BA706" i="3" s="1"/>
  <c r="AZ713" i="3"/>
  <c r="BA713" i="3" s="1"/>
  <c r="AZ714" i="3"/>
  <c r="BA714" i="3" s="1"/>
  <c r="AZ736" i="3"/>
  <c r="BA736" i="3" s="1"/>
  <c r="AZ729" i="3"/>
  <c r="BA729" i="3" s="1"/>
  <c r="AZ707" i="3"/>
  <c r="BA707" i="3" s="1"/>
  <c r="AZ709" i="3"/>
  <c r="BA709" i="3" s="1"/>
  <c r="AZ710" i="3"/>
  <c r="BA710" i="3" s="1"/>
  <c r="AZ712" i="3"/>
  <c r="BA712" i="3" s="1"/>
  <c r="AZ737" i="3"/>
  <c r="BA737" i="3" s="1"/>
  <c r="AZ728" i="3"/>
  <c r="BA728" i="3" s="1"/>
  <c r="AZ721" i="3"/>
  <c r="BA721" i="3" s="1"/>
  <c r="AZ722" i="3"/>
  <c r="BA722" i="3" s="1"/>
  <c r="AZ727" i="3"/>
  <c r="BA727" i="3" s="1"/>
  <c r="AZ730" i="3"/>
  <c r="BA730" i="3" s="1"/>
  <c r="AZ715" i="3"/>
  <c r="BA715" i="3" s="1"/>
  <c r="AZ719" i="3"/>
  <c r="BA719" i="3" s="1"/>
  <c r="AZ718" i="3"/>
  <c r="BA718" i="3" s="1"/>
  <c r="AZ720" i="3"/>
  <c r="BA720" i="3" s="1"/>
  <c r="AZ705" i="3"/>
  <c r="BA705" i="3" s="1"/>
  <c r="AZ717" i="3"/>
  <c r="BA717" i="3" s="1"/>
  <c r="AZ732" i="3"/>
  <c r="BA732" i="3" s="1"/>
  <c r="AZ724" i="3"/>
  <c r="BA724" i="3" s="1"/>
  <c r="AZ716" i="3"/>
  <c r="BA716" i="3" s="1"/>
  <c r="AZ731" i="3"/>
  <c r="BA731" i="3" s="1"/>
  <c r="AZ734" i="3"/>
  <c r="BA734" i="3" s="1"/>
  <c r="AZ723" i="3"/>
  <c r="BA723" i="3" s="1"/>
  <c r="AZ725" i="3"/>
  <c r="BA725" i="3" s="1"/>
  <c r="AZ726" i="3"/>
  <c r="BA726" i="3" s="1"/>
  <c r="AZ703" i="3"/>
  <c r="L26" i="28"/>
  <c r="BN659" i="3"/>
  <c r="AB969" i="3" s="1"/>
  <c r="O613" i="6"/>
  <c r="AO613" i="6" s="1"/>
  <c r="BR635" i="3"/>
  <c r="CQ636" i="3" s="1"/>
  <c r="AP533" i="6"/>
  <c r="BP583" i="6" s="1"/>
  <c r="AZ573" i="6"/>
  <c r="AP537" i="6"/>
  <c r="BN587" i="6" s="1"/>
  <c r="BN588" i="6" s="1"/>
  <c r="Y609" i="6"/>
  <c r="CH546" i="6" s="1"/>
  <c r="BE545" i="6" s="1"/>
  <c r="BE550" i="6" s="1"/>
  <c r="Y787" i="3"/>
  <c r="Y788" i="3"/>
  <c r="E4" i="9" s="1"/>
  <c r="G4" i="9" s="1"/>
  <c r="G5" i="9" s="1"/>
  <c r="C40" i="10"/>
  <c r="O611" i="6"/>
  <c r="AJ969" i="3"/>
  <c r="BX659" i="3"/>
  <c r="AB971" i="3" s="1"/>
  <c r="AD27" i="27"/>
  <c r="T27" i="5"/>
  <c r="Y27" i="5"/>
  <c r="AI27" i="5"/>
  <c r="Y27" i="27"/>
  <c r="AD27" i="5"/>
  <c r="Q583" i="6"/>
  <c r="W583" i="6" s="1"/>
  <c r="AC583" i="6" s="1"/>
  <c r="AI27" i="27"/>
  <c r="T27" i="26"/>
  <c r="AD27" i="26"/>
  <c r="Y27" i="26"/>
  <c r="AI27" i="26"/>
  <c r="T27" i="27"/>
  <c r="AK283" i="6"/>
  <c r="T703" i="6" s="1"/>
  <c r="AO694" i="6" s="1"/>
  <c r="Y112" i="6"/>
  <c r="AZ260" i="3"/>
  <c r="BO245" i="3" s="1"/>
  <c r="T269" i="3" s="1"/>
  <c r="T698" i="6"/>
  <c r="AF698" i="6" s="1"/>
  <c r="R971" i="3"/>
  <c r="R970" i="3"/>
  <c r="AJ970" i="3" s="1"/>
  <c r="R973" i="3"/>
  <c r="AJ973" i="3" s="1"/>
  <c r="R972" i="3"/>
  <c r="BA1000" i="3"/>
  <c r="G9" i="9"/>
  <c r="I8" i="9"/>
  <c r="K8" i="9" s="1"/>
  <c r="M8" i="9" s="1"/>
  <c r="O8"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CH547" i="6" s="1"/>
  <c r="AP536" i="6"/>
  <c r="BJ586" i="6" s="1"/>
  <c r="BJ588" i="6" s="1"/>
  <c r="O40" i="9"/>
  <c r="O43" i="9" s="1"/>
  <c r="AG29" i="9"/>
  <c r="BO526" i="6"/>
  <c r="BO531" i="6" s="1"/>
  <c r="BM532" i="6" s="1"/>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Y26" i="5"/>
  <c r="AO609" i="6"/>
  <c r="I4" i="9"/>
  <c r="I15" i="9"/>
  <c r="G22" i="9"/>
  <c r="F40" i="10"/>
  <c r="I40" i="10"/>
  <c r="Z796" i="3" s="1"/>
  <c r="L944" i="3" s="1"/>
  <c r="AP548" i="6"/>
  <c r="BU528" i="6"/>
  <c r="BU531" i="6" s="1"/>
  <c r="E22" i="9"/>
  <c r="E35" i="9" s="1"/>
  <c r="AP535" i="6"/>
  <c r="BK565" i="6"/>
  <c r="AI7" i="5"/>
  <c r="AI11" i="5" s="1"/>
  <c r="AI23" i="5" s="1"/>
  <c r="AI26" i="5" s="1"/>
  <c r="AI28" i="5" s="1"/>
  <c r="T614" i="6"/>
  <c r="AF1000" i="3"/>
  <c r="E77" i="15" l="1"/>
  <c r="AA953" i="3"/>
  <c r="M959" i="3" s="1"/>
  <c r="L945" i="3"/>
  <c r="O53" i="9"/>
  <c r="M58" i="9"/>
  <c r="E27" i="15"/>
  <c r="H103" i="18"/>
  <c r="T106" i="4"/>
  <c r="H105" i="18" s="1"/>
  <c r="AC592" i="6"/>
  <c r="T707" i="6" s="1"/>
  <c r="AO698" i="6" s="1"/>
  <c r="AO693" i="6"/>
  <c r="T702" i="6" s="1"/>
  <c r="AF702" i="6" s="1"/>
  <c r="AK474" i="6"/>
  <c r="T704" i="6" s="1"/>
  <c r="AO695" i="6" s="1"/>
  <c r="F11" i="4"/>
  <c r="F18" i="4"/>
  <c r="S103" i="4"/>
  <c r="E102" i="18" s="1"/>
  <c r="E97" i="18"/>
  <c r="G97" i="18" s="1"/>
  <c r="G102" i="18" s="1"/>
  <c r="D97" i="15"/>
  <c r="D63" i="15"/>
  <c r="B97" i="15"/>
  <c r="B62" i="4"/>
  <c r="B95" i="18"/>
  <c r="C63" i="15"/>
  <c r="C104" i="4"/>
  <c r="B103" i="18" s="1"/>
  <c r="C97" i="15"/>
  <c r="B63" i="15"/>
  <c r="B61" i="18"/>
  <c r="I9" i="9"/>
  <c r="M9" i="9"/>
  <c r="E5" i="9"/>
  <c r="BO572" i="6"/>
  <c r="BI546" i="6"/>
  <c r="BI550" i="6" s="1"/>
  <c r="BL583" i="6"/>
  <c r="AU574" i="6"/>
  <c r="AO611" i="6"/>
  <c r="AO610" i="6"/>
  <c r="AU573" i="6"/>
  <c r="BH583" i="6"/>
  <c r="BH588" i="6" s="1"/>
  <c r="BD583" i="6"/>
  <c r="BD588" i="6" s="1"/>
  <c r="BB589" i="6" s="1"/>
  <c r="P422" i="3"/>
  <c r="O741" i="3"/>
  <c r="CQ657" i="3"/>
  <c r="U370" i="6" s="1"/>
  <c r="BG703" i="3"/>
  <c r="BG738" i="3" s="1"/>
  <c r="AM738" i="3" s="1"/>
  <c r="BF738" i="3"/>
  <c r="AU549" i="6"/>
  <c r="O614" i="6"/>
  <c r="AR606" i="6" s="1"/>
  <c r="AR610" i="6" s="1"/>
  <c r="AB974" i="3"/>
  <c r="AX583" i="6"/>
  <c r="AX588" i="6" s="1"/>
  <c r="AX589" i="6" s="1"/>
  <c r="AY541" i="6"/>
  <c r="BH584" i="6"/>
  <c r="AJ972" i="3"/>
  <c r="V26" i="28"/>
  <c r="V31" i="28" s="1"/>
  <c r="L31" i="28"/>
  <c r="AU571" i="6"/>
  <c r="AO608" i="6"/>
  <c r="AO612" i="6"/>
  <c r="AU575" i="6"/>
  <c r="AZ202" i="6"/>
  <c r="BA703" i="3"/>
  <c r="BA738" i="3" s="1"/>
  <c r="AH738" i="3" s="1"/>
  <c r="AZ738" i="3"/>
  <c r="Y612" i="6"/>
  <c r="AU533" i="6" s="1"/>
  <c r="AJ975" i="3"/>
  <c r="AJ1028" i="3" s="1"/>
  <c r="BF565" i="6"/>
  <c r="BK568" i="6" s="1"/>
  <c r="AU546" i="6" s="1"/>
  <c r="AX546" i="6" s="1"/>
  <c r="AJ971" i="3"/>
  <c r="CE530" i="6"/>
  <c r="CE531" i="6" s="1"/>
  <c r="CC532" i="6" s="1"/>
  <c r="CC535" i="6" s="1"/>
  <c r="CH550" i="6"/>
  <c r="BE576" i="6"/>
  <c r="AP586" i="6" s="1"/>
  <c r="Y28" i="5"/>
  <c r="BL584" i="6"/>
  <c r="G35" i="9"/>
  <c r="BP586" i="6"/>
  <c r="BP584" i="6"/>
  <c r="K9" i="9"/>
  <c r="BE573" i="6"/>
  <c r="AP583" i="6" s="1"/>
  <c r="BS527" i="6"/>
  <c r="BS531" i="6" s="1"/>
  <c r="BQ532" i="6" s="1"/>
  <c r="BE574" i="6"/>
  <c r="AP584" i="6" s="1"/>
  <c r="CH548" i="6"/>
  <c r="BW528" i="6"/>
  <c r="BW531" i="6" s="1"/>
  <c r="BU532" i="6" s="1"/>
  <c r="AR609" i="6"/>
  <c r="Q8" i="9"/>
  <c r="O9" i="9"/>
  <c r="K15" i="9"/>
  <c r="I22" i="9"/>
  <c r="I35" i="9" s="1"/>
  <c r="BM547" i="6"/>
  <c r="BF585" i="6"/>
  <c r="BF588" i="6" s="1"/>
  <c r="BP585" i="6"/>
  <c r="BP588" i="6" s="1"/>
  <c r="BN589" i="6" s="1"/>
  <c r="BL585" i="6"/>
  <c r="BL588" i="6" s="1"/>
  <c r="BJ589" i="6" s="1"/>
  <c r="CC536" i="6"/>
  <c r="BO577" i="6"/>
  <c r="BT573" i="6"/>
  <c r="BY574" i="6" s="1"/>
  <c r="I5" i="9"/>
  <c r="K4" i="9"/>
  <c r="E6" i="9"/>
  <c r="Z805" i="3"/>
  <c r="Q53" i="9" l="1"/>
  <c r="O58" i="9"/>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D11" i="5"/>
  <c r="AD23" i="5" s="1"/>
  <c r="AD26" i="5" s="1"/>
  <c r="AD28" i="5" s="1"/>
  <c r="AD63" i="5" s="1"/>
  <c r="AD67" i="5" s="1"/>
  <c r="F26" i="4"/>
  <c r="F62" i="4"/>
  <c r="F96" i="4" s="1"/>
  <c r="F104" i="4" s="1"/>
  <c r="F12" i="4"/>
  <c r="E63" i="15"/>
  <c r="AC456" i="3"/>
  <c r="B105" i="15"/>
  <c r="C105" i="15"/>
  <c r="B104" i="4"/>
  <c r="AB46" i="5" s="1"/>
  <c r="AB48" i="5" s="1"/>
  <c r="AB53" i="5" s="1"/>
  <c r="AB54" i="5" s="1"/>
  <c r="D105" i="15"/>
  <c r="E97" i="15"/>
  <c r="AU537" i="6"/>
  <c r="AR608" i="6"/>
  <c r="AR611" i="6"/>
  <c r="CA529" i="6"/>
  <c r="CA531" i="6" s="1"/>
  <c r="BY532" i="6" s="1"/>
  <c r="BY535" i="6" s="1"/>
  <c r="CH549" i="6"/>
  <c r="BQ548" i="6" s="1"/>
  <c r="BE575" i="6"/>
  <c r="AP585" i="6" s="1"/>
  <c r="CD575" i="6" s="1"/>
  <c r="CD577" i="6" s="1"/>
  <c r="BF589" i="6"/>
  <c r="BJ590" i="6" s="1"/>
  <c r="AV554" i="6" s="1"/>
  <c r="AZ203" i="6"/>
  <c r="AO197" i="6" s="1"/>
  <c r="BA203" i="6"/>
  <c r="T24" i="5"/>
  <c r="AR613" i="6"/>
  <c r="AU534" i="6"/>
  <c r="AR612" i="6"/>
  <c r="AU536" i="6"/>
  <c r="AS542" i="6"/>
  <c r="AU535" i="6"/>
  <c r="Y614" i="6"/>
  <c r="AR605" i="6" s="1"/>
  <c r="CC533" i="6"/>
  <c r="BU534" i="6"/>
  <c r="BU533" i="6"/>
  <c r="BU537" i="6" s="1"/>
  <c r="BQ533" i="6"/>
  <c r="BQ537" i="6" s="1"/>
  <c r="BT577" i="6"/>
  <c r="M15" i="9"/>
  <c r="K22" i="9"/>
  <c r="K35" i="9" s="1"/>
  <c r="BY577" i="6"/>
  <c r="BM550" i="6"/>
  <c r="E7" i="9"/>
  <c r="E11" i="9" s="1"/>
  <c r="E37" i="9" s="1"/>
  <c r="G6" i="9"/>
  <c r="S8" i="9"/>
  <c r="Q9" i="9"/>
  <c r="M4" i="9"/>
  <c r="K5" i="9"/>
  <c r="S53" i="9" l="1"/>
  <c r="Q58" i="9"/>
  <c r="R18" i="4"/>
  <c r="E26" i="4"/>
  <c r="E62" i="4" s="1"/>
  <c r="E96" i="4" s="1"/>
  <c r="E104" i="4" s="1"/>
  <c r="J58" i="25"/>
  <c r="G71" i="25" s="1"/>
  <c r="G72" i="25" s="1"/>
  <c r="B75" i="25" s="1"/>
  <c r="E105" i="15"/>
  <c r="AB46" i="27"/>
  <c r="AB48" i="27" s="1"/>
  <c r="AB53" i="27" s="1"/>
  <c r="AB54" i="27" s="1"/>
  <c r="AC455" i="3"/>
  <c r="F458" i="3" s="1"/>
  <c r="AB46" i="26"/>
  <c r="AB48" i="26" s="1"/>
  <c r="AB53" i="26" s="1"/>
  <c r="AB54" i="26" s="1"/>
  <c r="BY534" i="6"/>
  <c r="BY533" i="6"/>
  <c r="CC534" i="6" s="1"/>
  <c r="CC537" i="6" s="1"/>
  <c r="AJ617" i="6"/>
  <c r="T708" i="6" s="1"/>
  <c r="T706" i="6" s="1"/>
  <c r="AP192" i="6"/>
  <c r="AP193" i="6"/>
  <c r="AK619" i="6"/>
  <c r="BY537" i="6"/>
  <c r="O4" i="9"/>
  <c r="M5" i="9"/>
  <c r="I6" i="9"/>
  <c r="G7" i="9"/>
  <c r="G11" i="9" s="1"/>
  <c r="G37" i="9" s="1"/>
  <c r="E49" i="9"/>
  <c r="E45" i="9"/>
  <c r="U8" i="9"/>
  <c r="S9" i="9"/>
  <c r="CI576" i="6"/>
  <c r="CI577" i="6" s="1"/>
  <c r="CN577" i="6" s="1"/>
  <c r="BD558" i="6" s="1"/>
  <c r="BQ550" i="6"/>
  <c r="CC550" i="6" s="1"/>
  <c r="BU549" i="6"/>
  <c r="BU550" i="6" s="1"/>
  <c r="O15" i="9"/>
  <c r="M22" i="9"/>
  <c r="M35" i="9" s="1"/>
  <c r="U53" i="9" l="1"/>
  <c r="S58" i="9"/>
  <c r="S18" i="4"/>
  <c r="R26" i="4"/>
  <c r="R62" i="4" s="1"/>
  <c r="R96" i="4" s="1"/>
  <c r="R104" i="4" s="1"/>
  <c r="B76" i="25"/>
  <c r="O76" i="25" s="1"/>
  <c r="CG537" i="6"/>
  <c r="AF706" i="6"/>
  <c r="AF712" i="6" s="1"/>
  <c r="AW562" i="6"/>
  <c r="AT560" i="6"/>
  <c r="G45" i="9"/>
  <c r="G49" i="9"/>
  <c r="I7" i="9"/>
  <c r="I11" i="9" s="1"/>
  <c r="I37" i="9" s="1"/>
  <c r="K6" i="9"/>
  <c r="W8" i="9"/>
  <c r="U9" i="9"/>
  <c r="Q15" i="9"/>
  <c r="O22" i="9"/>
  <c r="O35" i="9" s="1"/>
  <c r="O5" i="9"/>
  <c r="Q4" i="9"/>
  <c r="E48" i="9"/>
  <c r="E60" i="9"/>
  <c r="E66" i="9" s="1"/>
  <c r="E47" i="9"/>
  <c r="W53" i="9" l="1"/>
  <c r="U58" i="9"/>
  <c r="E18" i="18"/>
  <c r="G18" i="18" s="1"/>
  <c r="G25" i="18" s="1"/>
  <c r="G61" i="18" s="1"/>
  <c r="G95" i="18" s="1"/>
  <c r="G103" i="18" s="1"/>
  <c r="G105" i="18" s="1"/>
  <c r="S26" i="4"/>
  <c r="K7" i="9"/>
  <c r="K11" i="9" s="1"/>
  <c r="K37" i="9" s="1"/>
  <c r="M6" i="9"/>
  <c r="G47" i="9"/>
  <c r="G60" i="9"/>
  <c r="G66" i="9" s="1"/>
  <c r="G48" i="9"/>
  <c r="S15" i="9"/>
  <c r="Q22" i="9"/>
  <c r="Q35" i="9" s="1"/>
  <c r="I49" i="9"/>
  <c r="I45" i="9"/>
  <c r="Q5" i="9"/>
  <c r="S4" i="9"/>
  <c r="W9" i="9"/>
  <c r="Y8" i="9"/>
  <c r="W58" i="9" l="1"/>
  <c r="Y53" i="9"/>
  <c r="S62" i="4"/>
  <c r="E25" i="18"/>
  <c r="S22" i="9"/>
  <c r="S35" i="9" s="1"/>
  <c r="U15" i="9"/>
  <c r="G62" i="9"/>
  <c r="K49" i="9"/>
  <c r="K45" i="9"/>
  <c r="S5" i="9"/>
  <c r="U4" i="9"/>
  <c r="Y9" i="9"/>
  <c r="AA8" i="9"/>
  <c r="O6" i="9"/>
  <c r="M7" i="9"/>
  <c r="M11" i="9" s="1"/>
  <c r="M37" i="9" s="1"/>
  <c r="I47" i="9"/>
  <c r="I48" i="9"/>
  <c r="I60" i="9"/>
  <c r="AA53" i="9" l="1"/>
  <c r="Y58" i="9"/>
  <c r="E61" i="18"/>
  <c r="S96" i="4"/>
  <c r="O7" i="9"/>
  <c r="O11" i="9" s="1"/>
  <c r="O37" i="9" s="1"/>
  <c r="Q6" i="9"/>
  <c r="I62" i="9"/>
  <c r="I66" i="9"/>
  <c r="G70" i="9"/>
  <c r="G72" i="9" s="1"/>
  <c r="M45" i="9"/>
  <c r="M49" i="9"/>
  <c r="K60" i="9"/>
  <c r="K47" i="9"/>
  <c r="K48" i="9"/>
  <c r="W15" i="9"/>
  <c r="U22" i="9"/>
  <c r="U35" i="9" s="1"/>
  <c r="AA9" i="9"/>
  <c r="AC8" i="9"/>
  <c r="U5" i="9"/>
  <c r="W4" i="9"/>
  <c r="AC53" i="9" l="1"/>
  <c r="AA58" i="9"/>
  <c r="S104" i="4"/>
  <c r="E95" i="18"/>
  <c r="Y4" i="9"/>
  <c r="W5" i="9"/>
  <c r="K62" i="9"/>
  <c r="K66" i="9"/>
  <c r="O49" i="9"/>
  <c r="O45" i="9"/>
  <c r="I70" i="9"/>
  <c r="I72" i="9" s="1"/>
  <c r="AC9" i="9"/>
  <c r="AE8" i="9"/>
  <c r="M48" i="9"/>
  <c r="M47" i="9"/>
  <c r="M60" i="9"/>
  <c r="S6" i="9"/>
  <c r="Q7" i="9"/>
  <c r="Q11" i="9" s="1"/>
  <c r="Q37" i="9" s="1"/>
  <c r="Y15" i="9"/>
  <c r="W22" i="9"/>
  <c r="W35" i="9" s="1"/>
  <c r="AE53" i="9" l="1"/>
  <c r="AC58" i="9"/>
  <c r="E103" i="18"/>
  <c r="S106" i="4"/>
  <c r="AE9" i="9"/>
  <c r="AG8" i="9"/>
  <c r="AG9" i="9" s="1"/>
  <c r="Q45" i="9"/>
  <c r="Q49" i="9"/>
  <c r="O47" i="9"/>
  <c r="O48" i="9"/>
  <c r="O60" i="9"/>
  <c r="K70" i="9"/>
  <c r="K72" i="9" s="1"/>
  <c r="AA15" i="9"/>
  <c r="Y22" i="9"/>
  <c r="Y35" i="9" s="1"/>
  <c r="S7" i="9"/>
  <c r="S11" i="9" s="1"/>
  <c r="S37" i="9" s="1"/>
  <c r="U6" i="9"/>
  <c r="M62" i="9"/>
  <c r="M66" i="9"/>
  <c r="AA4" i="9"/>
  <c r="Y5" i="9"/>
  <c r="AG53" i="9" l="1"/>
  <c r="AG58" i="9" s="1"/>
  <c r="AE58" i="9"/>
  <c r="X1032" i="3"/>
  <c r="X1033" i="3" s="1"/>
  <c r="D1034" i="3" s="1"/>
  <c r="AC457" i="3"/>
  <c r="E105" i="18"/>
  <c r="Q48" i="9"/>
  <c r="Q60" i="9"/>
  <c r="Q47" i="9"/>
  <c r="U7" i="9"/>
  <c r="U11" i="9" s="1"/>
  <c r="U37" i="9" s="1"/>
  <c r="W6" i="9"/>
  <c r="AC4" i="9"/>
  <c r="AA5" i="9"/>
  <c r="AA22" i="9"/>
  <c r="AA35" i="9" s="1"/>
  <c r="AC15" i="9"/>
  <c r="O66" i="9"/>
  <c r="O62" i="9"/>
  <c r="S45" i="9"/>
  <c r="S49" i="9"/>
  <c r="M70" i="9"/>
  <c r="M72" i="9" s="1"/>
  <c r="T11" i="26" l="1"/>
  <c r="T23" i="26" s="1"/>
  <c r="T11" i="5"/>
  <c r="T11" i="27"/>
  <c r="T23" i="27" s="1"/>
  <c r="Y11" i="26"/>
  <c r="Y23" i="26" s="1"/>
  <c r="Y26" i="26" s="1"/>
  <c r="Y28" i="26" s="1"/>
  <c r="Y63" i="26" s="1"/>
  <c r="Y67" i="26" s="1"/>
  <c r="Y11" i="27"/>
  <c r="Y23" i="27" s="1"/>
  <c r="Y26" i="27" s="1"/>
  <c r="Y28" i="27" s="1"/>
  <c r="Y63" i="27" s="1"/>
  <c r="Y67" i="27" s="1"/>
  <c r="O70" i="9"/>
  <c r="O72" i="9" s="1"/>
  <c r="W7" i="9"/>
  <c r="W11" i="9" s="1"/>
  <c r="W37" i="9" s="1"/>
  <c r="Y6" i="9"/>
  <c r="U45" i="9"/>
  <c r="U49" i="9"/>
  <c r="AC22" i="9"/>
  <c r="AC35" i="9" s="1"/>
  <c r="AE15" i="9"/>
  <c r="S60" i="9"/>
  <c r="S47" i="9"/>
  <c r="S48" i="9"/>
  <c r="Q66" i="9"/>
  <c r="Q62" i="9"/>
  <c r="AC5" i="9"/>
  <c r="AE4" i="9"/>
  <c r="AD38" i="27" l="1"/>
  <c r="AD40" i="27" s="1"/>
  <c r="T26" i="27"/>
  <c r="T28" i="27" s="1"/>
  <c r="T29" i="27" s="1"/>
  <c r="Y38" i="27"/>
  <c r="Y40" i="27" s="1"/>
  <c r="BE16" i="28"/>
  <c r="T23" i="5"/>
  <c r="T26" i="26"/>
  <c r="T28" i="26" s="1"/>
  <c r="T29" i="26" s="1"/>
  <c r="Y38" i="26"/>
  <c r="Y40" i="26" s="1"/>
  <c r="AD38" i="26"/>
  <c r="AD40" i="26" s="1"/>
  <c r="AG15" i="9"/>
  <c r="AG22" i="9" s="1"/>
  <c r="AG35" i="9" s="1"/>
  <c r="AE22" i="9"/>
  <c r="AE35" i="9" s="1"/>
  <c r="AE5" i="9"/>
  <c r="AG4" i="9"/>
  <c r="U47" i="9"/>
  <c r="U48" i="9"/>
  <c r="U60" i="9"/>
  <c r="Y7" i="9"/>
  <c r="Y11" i="9" s="1"/>
  <c r="Y37" i="9" s="1"/>
  <c r="AA6" i="9"/>
  <c r="S66" i="9"/>
  <c r="S62" i="9"/>
  <c r="Q70" i="9"/>
  <c r="Q72" i="9" s="1"/>
  <c r="W45" i="9"/>
  <c r="W49" i="9"/>
  <c r="Y41" i="27" l="1"/>
  <c r="AB55" i="27" s="1"/>
  <c r="AB56" i="27" s="1"/>
  <c r="AB58" i="27" s="1"/>
  <c r="AB75" i="27" s="1"/>
  <c r="AB76" i="27" s="1"/>
  <c r="AB77" i="27" s="1"/>
  <c r="AB79" i="27" s="1"/>
  <c r="J80" i="27" s="1"/>
  <c r="Y41" i="26"/>
  <c r="AB55" i="26" s="1"/>
  <c r="AB56" i="26" s="1"/>
  <c r="AB58" i="26" s="1"/>
  <c r="F59" i="26" s="1"/>
  <c r="T26" i="5"/>
  <c r="T28" i="5" s="1"/>
  <c r="Y38" i="5" s="1"/>
  <c r="Y40" i="5" s="1"/>
  <c r="AD38" i="5"/>
  <c r="AD40" i="5" s="1"/>
  <c r="Q71" i="25"/>
  <c r="O75" i="25" s="1"/>
  <c r="R75" i="25" s="1"/>
  <c r="S70" i="9"/>
  <c r="S72" i="9" s="1"/>
  <c r="AG5" i="9"/>
  <c r="W47" i="9"/>
  <c r="W60" i="9"/>
  <c r="W48" i="9"/>
  <c r="Y49" i="9"/>
  <c r="Y45" i="9"/>
  <c r="AA7" i="9"/>
  <c r="AA11" i="9" s="1"/>
  <c r="AA37" i="9" s="1"/>
  <c r="AC6" i="9"/>
  <c r="U66" i="9"/>
  <c r="U62" i="9"/>
  <c r="F59" i="27" l="1"/>
  <c r="AB75" i="26"/>
  <c r="AB76" i="26" s="1"/>
  <c r="AB77" i="26" s="1"/>
  <c r="AB79" i="26" s="1"/>
  <c r="J80" i="26" s="1"/>
  <c r="AR43" i="5"/>
  <c r="AR42" i="5"/>
  <c r="Y41" i="5" s="1"/>
  <c r="AB55" i="5" s="1"/>
  <c r="Y63" i="5"/>
  <c r="Y67" i="5" s="1"/>
  <c r="T29" i="5"/>
  <c r="AA49" i="9"/>
  <c r="AA45" i="9"/>
  <c r="W66" i="9"/>
  <c r="W62" i="9"/>
  <c r="Y47" i="9"/>
  <c r="Y48" i="9"/>
  <c r="Y60" i="9"/>
  <c r="U70" i="9"/>
  <c r="U72" i="9" s="1"/>
  <c r="AE6" i="9"/>
  <c r="AC7" i="9"/>
  <c r="AC11" i="9" s="1"/>
  <c r="AC37" i="9" s="1"/>
  <c r="Q22" i="28" l="1"/>
  <c r="V33" i="28" s="1"/>
  <c r="V35" i="28" s="1"/>
  <c r="BE15" i="28"/>
  <c r="M25" i="3"/>
  <c r="AB56" i="5"/>
  <c r="AC45" i="9"/>
  <c r="AC49" i="9"/>
  <c r="Y62" i="9"/>
  <c r="Y66" i="9"/>
  <c r="AG6" i="9"/>
  <c r="AE7" i="9"/>
  <c r="AE11" i="9"/>
  <c r="AE37" i="9" s="1"/>
  <c r="W70" i="9"/>
  <c r="W72" i="9" s="1"/>
  <c r="AA47" i="9"/>
  <c r="AA48" i="9"/>
  <c r="AA60" i="9"/>
  <c r="AB58" i="5" l="1"/>
  <c r="AB75" i="5" s="1"/>
  <c r="AB76" i="5" s="1"/>
  <c r="P203" i="3"/>
  <c r="Y70" i="9"/>
  <c r="Y72" i="9" s="1"/>
  <c r="AA66" i="9"/>
  <c r="AA62" i="9"/>
  <c r="AE45" i="9"/>
  <c r="AE49" i="9"/>
  <c r="AG7" i="9"/>
  <c r="AG11" i="9" s="1"/>
  <c r="AG37" i="9" s="1"/>
  <c r="AC60" i="9"/>
  <c r="AC47" i="9"/>
  <c r="AC48" i="9"/>
  <c r="F59" i="5" l="1"/>
  <c r="M27" i="3"/>
  <c r="AB77" i="5"/>
  <c r="AG49" i="9"/>
  <c r="AG45" i="9"/>
  <c r="AA70" i="9"/>
  <c r="AA72" i="9" s="1"/>
  <c r="AE48" i="9"/>
  <c r="AE60" i="9"/>
  <c r="AE47" i="9"/>
  <c r="AC66" i="9"/>
  <c r="AC62" i="9"/>
  <c r="AB79" i="5" l="1"/>
  <c r="J80" i="5" s="1"/>
  <c r="AO642" i="3"/>
  <c r="W203" i="3"/>
  <c r="D203" i="3"/>
  <c r="AC70" i="9"/>
  <c r="AC72" i="9" s="1"/>
  <c r="AE66" i="9"/>
  <c r="AE62" i="9"/>
  <c r="AG47" i="9"/>
  <c r="AG48" i="9"/>
  <c r="AG60" i="9"/>
  <c r="E107" i="4" l="1"/>
  <c r="AO643" i="3"/>
  <c r="AG66" i="9"/>
  <c r="AG62" i="9"/>
  <c r="AE70" i="9"/>
  <c r="AE72" i="9" s="1"/>
  <c r="AG70" i="9" l="1"/>
  <c r="AG72" i="9" s="1"/>
  <c r="E70" i="9" l="1"/>
  <c r="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<sst xmlns="http://schemas.openxmlformats.org/spreadsheetml/2006/main" count="4777" uniqueCount="2530">
  <si>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</si>
  <si>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</si>
  <si>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</si>
  <si>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</si>
  <si>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</si>
  <si>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</si>
  <si>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</si>
  <si>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</si>
  <si>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</si>
  <si>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</si>
  <si>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</si>
  <si>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</si>
  <si>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</si>
  <si>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</si>
  <si>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</si>
  <si>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</si>
  <si>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</si>
  <si>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</si>
  <si>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</si>
  <si>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</si>
  <si>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</si>
  <si>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</si>
  <si>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</si>
  <si>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</si>
  <si>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</si>
  <si>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</si>
  <si>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</si>
  <si>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</si>
  <si>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</si>
  <si>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</si>
  <si>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</si>
  <si>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</si>
  <si>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</si>
  <si>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</si>
  <si>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</si>
  <si>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</si>
  <si>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</si>
  <si>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</si>
  <si>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</si>
  <si>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</si>
  <si>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</si>
  <si>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</si>
  <si>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</si>
  <si>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</si>
  <si>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</si>
  <si>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</si>
  <si>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</si>
  <si>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</si>
  <si>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</si>
  <si>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</si>
  <si>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</si>
  <si>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</si>
  <si>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</si>
  <si>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</si>
  <si>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</si>
  <si>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</si>
  <si>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</si>
  <si>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</si>
  <si>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</si>
  <si>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</si>
  <si>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</si>
  <si>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</si>
  <si>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</si>
  <si>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</si>
  <si>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</si>
  <si>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</si>
  <si>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</si>
  <si>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</si>
  <si>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</si>
  <si>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</si>
  <si>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</si>
  <si>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</si>
  <si>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</si>
  <si>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</si>
  <si>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</si>
  <si>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</si>
  <si>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</si>
  <si>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</si>
  <si>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</si>
  <si>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</si>
  <si>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</si>
  <si>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</si>
  <si>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</si>
  <si>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</si>
  <si>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</si>
  <si>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</si>
  <si>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</si>
  <si>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</si>
  <si>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</si>
  <si>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</si>
  <si>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</si>
  <si>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</si>
  <si>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</si>
  <si>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</si>
  <si>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</si>
  <si>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</si>
  <si>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</si>
  <si>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</si>
  <si>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</si>
  <si>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</si>
  <si>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</si>
  <si>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</si>
  <si>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</si>
  <si>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</si>
  <si>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</si>
  <si>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</si>
  <si>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</si>
  <si>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</si>
  <si>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</si>
  <si>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</si>
  <si>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</si>
  <si>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</si>
  <si>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</si>
  <si>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</si>
  <si>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</si>
  <si>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</si>
  <si>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</si>
  <si>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</si>
  <si>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</si>
  <si>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</si>
  <si>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</si>
  <si>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</si>
  <si>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</si>
  <si>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</si>
  <si>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</si>
  <si>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</si>
  <si>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</si>
  <si>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</si>
  <si>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</si>
  <si>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</si>
  <si>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</si>
  <si>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</si>
  <si>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</si>
  <si>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</si>
  <si>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</si>
  <si>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</si>
  <si>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</si>
  <si>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</si>
  <si>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</si>
  <si>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</si>
  <si>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</si>
  <si>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</si>
  <si>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</si>
  <si>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</si>
  <si>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</si>
  <si>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</si>
  <si>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</si>
  <si>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</si>
  <si>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</si>
  <si>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</si>
  <si>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</si>
  <si>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</si>
  <si>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</si>
  <si>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</si>
  <si>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</si>
  <si>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</si>
  <si>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</si>
  <si>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</si>
  <si>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</si>
  <si>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</si>
  <si>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</si>
  <si>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</si>
  <si>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</si>
  <si>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</si>
  <si>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</si>
  <si>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</si>
  <si>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</si>
  <si>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</si>
  <si>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</si>
  <si>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</si>
  <si>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</si>
  <si>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</si>
  <si>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</si>
  <si>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</si>
  <si>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</si>
  <si>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</si>
  <si>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</si>
  <si>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</si>
  <si>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</si>
  <si>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</si>
  <si>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</si>
  <si>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</si>
  <si>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</si>
  <si>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</si>
  <si>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</si>
  <si>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</si>
  <si>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</si>
  <si>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</si>
  <si>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</si>
  <si>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</si>
  <si>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</si>
  <si>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</si>
  <si>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</si>
  <si>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</si>
  <si>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</si>
  <si>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</si>
  <si>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</si>
  <si>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</si>
  <si>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</si>
  <si>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</si>
  <si>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</si>
  <si>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</si>
  <si>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</si>
  <si>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</si>
  <si>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</si>
  <si>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</si>
  <si>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</si>
  <si>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</si>
  <si>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</si>
  <si>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</si>
  <si>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</si>
  <si>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</si>
  <si>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</si>
  <si>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</si>
  <si>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</si>
  <si>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</si>
  <si>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</si>
  <si>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</si>
  <si>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</si>
  <si>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</si>
  <si>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</si>
  <si>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</si>
  <si>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</si>
  <si>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</si>
  <si>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</si>
  <si>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</si>
  <si>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</si>
  <si>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</si>
  <si>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</si>
  <si>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</si>
  <si>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</si>
  <si>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</si>
  <si>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</si>
  <si>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</si>
  <si>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</si>
  <si>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</si>
  <si>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</si>
  <si>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</si>
  <si>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</si>
  <si>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</si>
  <si>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</si>
  <si>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</si>
  <si>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</si>
  <si>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</si>
  <si>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</si>
  <si>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</si>
  <si>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</si>
  <si>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</si>
  <si>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</si>
  <si>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</si>
  <si>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</si>
  <si>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</si>
  <si>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</si>
  <si>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</si>
  <si>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</si>
  <si>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</si>
  <si>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</si>
  <si>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</si>
  <si>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</si>
  <si>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</si>
  <si>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</si>
  <si>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</si>
  <si>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</si>
  <si>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</si>
  <si>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</si>
  <si>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</si>
  <si>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</si>
  <si>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</si>
  <si>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</si>
  <si>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</si>
  <si>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</si>
  <si>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</si>
  <si>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</si>
  <si>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</si>
  <si>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</si>
  <si>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</si>
  <si>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</si>
  <si>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</si>
  <si>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</si>
  <si>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</si>
  <si>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</si>
  <si>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</si>
  <si>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</si>
  <si>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</si>
  <si>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</si>
  <si>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</si>
  <si>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</si>
  <si>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</si>
  <si>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</si>
  <si>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</si>
  <si>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</si>
  <si>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</si>
  <si>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</si>
  <si>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</si>
  <si>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</si>
  <si>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</si>
  <si>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</si>
  <si>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</si>
  <si>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</si>
  <si>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</si>
  <si>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</si>
  <si>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</si>
  <si>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</si>
  <si>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</si>
  <si>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</si>
  <si>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</si>
  <si>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</si>
  <si>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</si>
  <si>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</si>
  <si>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</si>
  <si>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</si>
  <si>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</si>
  <si>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</si>
  <si>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</si>
  <si>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</si>
  <si>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</si>
  <si>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</si>
  <si>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</si>
  <si>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</si>
  <si>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</si>
  <si>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</si>
  <si>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</si>
  <si>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</si>
  <si>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</si>
  <si>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</si>
  <si>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</si>
  <si>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</si>
  <si>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</si>
  <si>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</si>
  <si>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</si>
  <si>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</si>
  <si>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</si>
  <si>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</si>
  <si>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</si>
  <si>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</si>
  <si>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</si>
  <si>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</si>
  <si>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</si>
  <si>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</si>
  <si>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</si>
  <si>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</si>
  <si>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</si>
  <si>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</si>
  <si>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</si>
  <si>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</si>
  <si>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</si>
  <si>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</si>
  <si>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</si>
  <si>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</si>
  <si>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</si>
  <si>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</si>
  <si>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</si>
  <si>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</si>
  <si>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</si>
  <si>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</si>
  <si>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</si>
  <si>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</si>
  <si>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</si>
  <si>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</si>
  <si>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</si>
  <si>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</si>
  <si>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</si>
  <si>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</si>
  <si>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</si>
  <si>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</si>
  <si>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</si>
  <si>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</si>
  <si>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</si>
  <si>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</si>
  <si>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</si>
  <si>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</si>
  <si>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</si>
  <si>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</si>
  <si>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</si>
  <si>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</si>
  <si>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</si>
  <si>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</si>
  <si>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</si>
  <si>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</si>
  <si>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</si>
  <si>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</si>
  <si>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</si>
  <si>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</si>
  <si>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</si>
  <si>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</si>
  <si>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</si>
  <si>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</si>
  <si>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</si>
  <si>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</si>
  <si>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</si>
  <si>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</si>
  <si>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</si>
  <si>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</si>
  <si>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</si>
  <si>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</si>
  <si>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</si>
  <si>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</si>
  <si>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</si>
  <si>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</si>
  <si>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</si>
  <si>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</si>
  <si>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</si>
  <si>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</si>
  <si>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</si>
  <si>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</si>
  <si>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</si>
  <si>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</si>
  <si>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</si>
  <si>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</si>
  <si>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</si>
  <si>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</si>
  <si>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</si>
  <si>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</si>
  <si>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</si>
  <si>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</si>
  <si>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</si>
  <si>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</si>
  <si>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</si>
  <si>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</si>
  <si>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</si>
  <si>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</si>
  <si>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</si>
  <si>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</si>
  <si>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</si>
  <si>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</si>
  <si>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</si>
  <si>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</si>
  <si>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</si>
  <si>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</si>
  <si>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</si>
  <si>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</si>
  <si>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</si>
  <si>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</si>
  <si>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</si>
  <si>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</si>
  <si>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</si>
  <si>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</si>
  <si>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</si>
  <si>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</si>
  <si>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</si>
  <si>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</si>
  <si>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</si>
  <si>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</si>
  <si>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</si>
  <si>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</si>
  <si>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</si>
  <si>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</si>
  <si>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</si>
  <si>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</si>
  <si>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</si>
  <si>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</si>
  <si>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</si>
  <si>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</si>
  <si>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</si>
  <si>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</si>
  <si>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</si>
  <si>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</si>
  <si>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</si>
  <si>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</si>
  <si>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</si>
  <si>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</si>
  <si>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</si>
  <si>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</si>
  <si>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</si>
  <si>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</si>
  <si>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</si>
  <si>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</si>
  <si>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</si>
  <si>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</si>
  <si>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</si>
  <si>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</si>
  <si>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</si>
  <si>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</si>
  <si>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</si>
  <si>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</si>
  <si>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</si>
  <si>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</si>
  <si>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</si>
  <si>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</si>
  <si>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</si>
  <si>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</si>
  <si>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</si>
  <si>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</si>
  <si>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</si>
  <si>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</si>
  <si>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</si>
  <si>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</si>
  <si>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</si>
  <si>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</si>
  <si>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</si>
  <si>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</si>
  <si>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</si>
  <si>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</si>
  <si>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</si>
  <si>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</si>
  <si>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</si>
  <si>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</si>
  <si>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</si>
  <si>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</si>
  <si>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</si>
  <si>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</si>
  <si>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</si>
  <si>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</si>
  <si>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</si>
  <si>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</si>
  <si>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</si>
  <si>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</si>
  <si>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</si>
  <si>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</si>
  <si>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</si>
  <si>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</si>
  <si>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</si>
  <si>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</si>
  <si>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</si>
  <si>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</si>
  <si>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</si>
  <si>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</si>
  <si>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</si>
  <si>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</si>
  <si>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</si>
  <si>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</si>
  <si>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</si>
  <si>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</si>
  <si>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</si>
  <si>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</si>
  <si>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</si>
  <si>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</si>
  <si>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</si>
  <si>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</si>
  <si>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</si>
  <si>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</si>
  <si>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</si>
  <si>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</si>
  <si>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</si>
  <si>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</si>
  <si>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</si>
  <si>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</si>
  <si>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</si>
  <si>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</si>
  <si>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</si>
  <si>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</si>
  <si>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</si>
  <si>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</si>
  <si>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</si>
  <si>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</si>
  <si>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</si>
  <si>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</si>
  <si>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</si>
  <si>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</si>
  <si>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</si>
  <si>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</si>
  <si>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</si>
  <si>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</si>
  <si>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</si>
  <si>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</si>
  <si>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</si>
  <si>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</si>
  <si>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</si>
  <si>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</si>
  <si>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</si>
  <si>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</si>
  <si>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</si>
  <si>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</si>
  <si>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</si>
  <si>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</si>
  <si>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</si>
  <si>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</si>
  <si>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</si>
  <si>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</si>
  <si>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</si>
  <si>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</si>
  <si>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</si>
  <si>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</si>
  <si>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</si>
  <si>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</si>
  <si>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</si>
  <si>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</si>
  <si>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</si>
  <si>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</si>
  <si>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</si>
  <si>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</si>
  <si>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</si>
  <si>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</si>
  <si>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</si>
  <si>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</si>
  <si>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</si>
  <si>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</si>
  <si>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</si>
  <si>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</si>
  <si>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</si>
  <si>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</si>
  <si>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</si>
  <si>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</si>
  <si>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</si>
  <si>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</si>
  <si>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</si>
  <si>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</si>
  <si>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</si>
  <si>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</si>
  <si>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</si>
  <si>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</si>
  <si>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</si>
  <si>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</si>
  <si>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</si>
  <si>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</si>
  <si>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</si>
  <si>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</si>
  <si>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</si>
  <si>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</si>
  <si>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</si>
  <si>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</si>
  <si>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</si>
  <si>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</si>
  <si>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</si>
  <si>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</si>
  <si>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</si>
  <si>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</si>
  <si>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</si>
  <si>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</si>
  <si>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</si>
  <si>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</si>
  <si>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</si>
  <si>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</si>
  <si>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</si>
  <si>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</si>
  <si>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</si>
  <si>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</si>
  <si>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</si>
  <si>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</si>
  <si>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</si>
  <si>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</si>
  <si>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</si>
  <si>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</si>
  <si>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</si>
  <si>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</si>
  <si>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</si>
  <si>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</si>
  <si>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</si>
  <si>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</si>
  <si>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</si>
  <si>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</si>
  <si>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</si>
  <si>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</si>
  <si>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</si>
  <si>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</si>
  <si>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</si>
  <si>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</si>
  <si>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</si>
  <si>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</si>
  <si>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</si>
  <si>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</si>
  <si>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</si>
  <si>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</si>
  <si>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</si>
  <si>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</si>
  <si>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</si>
  <si>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</si>
  <si>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</si>
  <si>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</si>
  <si>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</si>
  <si>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</si>
  <si>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</si>
  <si>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</si>
  <si>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</si>
  <si>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</si>
  <si>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</si>
  <si>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</si>
  <si>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</si>
  <si>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</si>
  <si>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</si>
  <si>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</si>
  <si>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</si>
  <si>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</si>
  <si>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</si>
  <si>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</si>
  <si>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</si>
  <si>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</si>
  <si>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</si>
  <si>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</si>
  <si>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</si>
  <si>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</si>
  <si>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</si>
  <si>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</si>
  <si>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</si>
  <si>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</si>
  <si>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</si>
  <si>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</si>
  <si>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</si>
  <si>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</si>
  <si>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</si>
  <si>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</si>
  <si>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</si>
  <si>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</si>
  <si>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</si>
  <si>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</si>
  <si>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</si>
  <si>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</si>
  <si>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</si>
  <si>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</si>
  <si>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</si>
  <si>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</si>
  <si>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</si>
  <si>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</si>
  <si>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</si>
  <si>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</si>
  <si>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</si>
  <si>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</si>
  <si>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</si>
  <si>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</si>
  <si>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</si>
  <si>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</si>
  <si>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</si>
  <si>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</si>
  <si>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</si>
  <si>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</si>
  <si>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</si>
  <si>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</si>
  <si>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</si>
  <si>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</si>
  <si>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</si>
  <si>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</si>
  <si>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</si>
  <si>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</si>
  <si>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</si>
  <si>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</si>
  <si>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</si>
  <si>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</si>
  <si>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</si>
  <si>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</si>
  <si>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</si>
  <si>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</si>
  <si>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</si>
  <si>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</si>
  <si>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</si>
  <si>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</si>
  <si>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</si>
  <si>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</si>
  <si>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</si>
  <si>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</si>
  <si>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</si>
  <si>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</si>
  <si>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</si>
  <si>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</si>
  <si>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</si>
  <si>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</si>
  <si>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</si>
  <si>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</si>
  <si>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</si>
  <si>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</si>
  <si>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</si>
  <si>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</si>
  <si>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</si>
  <si>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</si>
  <si>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</si>
  <si>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</si>
  <si>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</si>
  <si>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</si>
  <si>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</si>
  <si>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</si>
  <si>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</si>
  <si>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</si>
  <si>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</si>
  <si>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</si>
  <si>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</si>
  <si>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</si>
  <si>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</si>
  <si>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</si>
  <si>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</si>
  <si>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</si>
  <si>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</si>
  <si>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</si>
  <si>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</si>
  <si>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</si>
  <si>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</si>
  <si>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</si>
  <si>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</si>
  <si>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</si>
  <si>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</si>
  <si>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</si>
  <si>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</si>
  <si>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</si>
  <si>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</si>
  <si>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</si>
  <si>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</si>
  <si>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</si>
  <si>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</si>
  <si>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</si>
  <si>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</si>
  <si>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</si>
  <si>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</si>
  <si>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</si>
  <si>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</si>
  <si>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</si>
  <si>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</si>
  <si>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</si>
  <si>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</si>
  <si>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</si>
  <si>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</si>
  <si>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</si>
  <si>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</si>
  <si>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</si>
  <si>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</si>
  <si>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</si>
  <si>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</si>
  <si>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</si>
  <si>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</si>
  <si>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</si>
  <si>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</si>
  <si>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</si>
  <si>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</si>
  <si>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</si>
  <si>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</si>
  <si>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</si>
  <si>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</si>
  <si>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</si>
  <si>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</si>
  <si>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</si>
  <si>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</si>
  <si>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</si>
  <si>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</si>
  <si>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</si>
  <si>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</si>
  <si>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</si>
  <si>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</si>
  <si>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</si>
  <si>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</si>
  <si>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</si>
  <si>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</si>
  <si>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</si>
  <si>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</si>
  <si>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</si>
  <si>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</si>
  <si>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</si>
  <si>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</si>
  <si>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</si>
  <si>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</si>
  <si>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</si>
  <si>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</si>
  <si>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</si>
  <si>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</si>
  <si>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</si>
  <si>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</si>
  <si>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</si>
  <si>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</si>
  <si>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</si>
  <si>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</si>
  <si>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</si>
  <si>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</si>
  <si>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</si>
  <si>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</si>
  <si>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</si>
  <si>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</si>
  <si>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</si>
  <si>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</si>
  <si>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</si>
  <si>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</si>
  <si>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</si>
  <si>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</si>
  <si>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</si>
  <si>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</si>
  <si>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</si>
  <si>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</si>
  <si>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</si>
  <si>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</si>
  <si>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</si>
  <si>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</si>
  <si>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</si>
  <si>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</si>
  <si>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</si>
  <si>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</si>
  <si>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</si>
  <si>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</si>
  <si>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</si>
  <si>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</si>
  <si>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</si>
  <si>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</si>
  <si>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</si>
  <si>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</si>
  <si>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</si>
  <si>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</si>
  <si>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</si>
  <si>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</si>
  <si>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</si>
  <si>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</si>
  <si>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</si>
  <si>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</si>
  <si>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</si>
  <si>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</si>
  <si>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</si>
  <si>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</si>
  <si>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</si>
  <si>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</si>
  <si>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</si>
  <si>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</si>
  <si>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</si>
  <si>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</si>
  <si>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</si>
  <si>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</si>
  <si>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</si>
  <si>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</si>
  <si>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</si>
  <si>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</si>
  <si>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</si>
  <si>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</si>
  <si>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</si>
  <si>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</si>
  <si>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</si>
  <si>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</si>
  <si>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</si>
  <si>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</si>
  <si>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</si>
  <si>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</si>
  <si>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</si>
  <si>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</si>
  <si>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</si>
  <si>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</si>
  <si>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</si>
  <si>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</si>
  <si>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</si>
  <si>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</si>
  <si>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</si>
  <si>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</si>
  <si>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</si>
  <si>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</si>
  <si>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</si>
  <si>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</si>
  <si>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</si>
  <si>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</si>
  <si>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</si>
  <si>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</si>
  <si>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</si>
  <si>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</si>
  <si>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</si>
  <si>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</si>
  <si>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</si>
  <si>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</si>
  <si>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</si>
  <si>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</si>
  <si>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</si>
  <si>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</si>
  <si>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</si>
  <si>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</si>
  <si>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</si>
  <si>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</si>
  <si>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</si>
  <si>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</si>
  <si>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</si>
  <si>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</si>
  <si>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</si>
  <si>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</si>
  <si>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</si>
  <si>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</si>
  <si>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</si>
  <si>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</si>
  <si>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</si>
  <si>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</si>
  <si>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</si>
  <si>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</si>
  <si>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</si>
  <si>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</si>
  <si>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</si>
  <si>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</si>
  <si>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</si>
  <si>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</si>
  <si>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</si>
  <si>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</si>
  <si>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</si>
  <si>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</si>
  <si>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</si>
  <si>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</si>
  <si>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</si>
  <si>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</si>
  <si>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</si>
  <si>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</si>
  <si>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</si>
  <si>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</si>
  <si>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</si>
  <si>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</si>
  <si>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</si>
  <si>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</si>
  <si>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</si>
  <si>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</si>
  <si>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</si>
  <si>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</si>
  <si>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</si>
  <si>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</si>
  <si>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</si>
  <si>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</si>
  <si>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</si>
  <si>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</si>
  <si>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</si>
  <si>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</si>
  <si>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</si>
  <si>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</si>
  <si>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</si>
  <si>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</si>
  <si>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</si>
  <si>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</si>
  <si>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</si>
  <si>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</si>
  <si>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</si>
  <si>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</si>
  <si>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</si>
  <si>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</si>
  <si>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</si>
  <si>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</si>
  <si>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</si>
  <si>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</si>
  <si>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</si>
  <si>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</si>
  <si>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</si>
  <si>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</si>
  <si>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</si>
  <si>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</si>
  <si>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</si>
  <si>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</si>
  <si>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</si>
  <si>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</si>
  <si>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</si>
  <si>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</si>
  <si>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</si>
  <si>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</si>
  <si>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</si>
  <si>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</si>
  <si>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</si>
  <si>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</si>
  <si>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</si>
  <si>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</si>
  <si>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</si>
  <si>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</si>
  <si>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</si>
  <si>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</si>
  <si>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</si>
  <si>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</si>
  <si>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</si>
  <si>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</si>
  <si>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</si>
  <si>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</si>
  <si>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</si>
  <si>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</si>
  <si>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</si>
  <si>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</si>
  <si>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</si>
  <si>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</si>
  <si>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</si>
  <si>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</si>
  <si>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</si>
  <si>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</si>
  <si>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</si>
  <si>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</si>
  <si>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</si>
  <si>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</si>
  <si>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</si>
  <si>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</si>
  <si>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</si>
  <si>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</si>
  <si>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</si>
  <si>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</si>
  <si>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</si>
  <si>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</si>
  <si>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</si>
  <si>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</si>
  <si>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</si>
  <si>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</si>
  <si>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</si>
  <si>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</si>
  <si>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</si>
  <si>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</si>
  <si>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</si>
  <si>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</si>
  <si>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</si>
  <si>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</si>
  <si>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</si>
  <si>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</si>
  <si>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</si>
  <si>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</si>
  <si>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</si>
  <si>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</si>
  <si>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</si>
  <si>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</si>
  <si>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</si>
  <si>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</si>
  <si>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</si>
  <si>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</si>
  <si>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</si>
  <si>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</si>
  <si>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</si>
  <si>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</si>
  <si>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</si>
  <si>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</si>
  <si>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</si>
  <si>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</si>
  <si>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</si>
  <si>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</si>
  <si>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</si>
  <si>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</si>
  <si>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</si>
  <si>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</si>
  <si>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</si>
  <si>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</si>
  <si>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</si>
  <si>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</si>
  <si>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</si>
  <si>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</si>
  <si>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</si>
  <si>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</si>
  <si>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</si>
  <si>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</si>
  <si>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</si>
  <si>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</si>
  <si>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</si>
  <si>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</si>
  <si>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</si>
  <si>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</si>
  <si>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</si>
  <si>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</si>
  <si>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</si>
  <si>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</si>
  <si>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</si>
  <si>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</si>
  <si>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</si>
  <si>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</si>
  <si>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</si>
  <si>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</si>
  <si>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</si>
  <si>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</si>
  <si>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</si>
  <si>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</si>
  <si>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</si>
  <si>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</si>
  <si>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</si>
  <si>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</si>
  <si>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</si>
  <si>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</si>
  <si>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</si>
  <si>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</si>
  <si>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</si>
  <si>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</si>
  <si>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</si>
  <si>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</si>
  <si>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</si>
  <si>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</si>
  <si>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</si>
  <si>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</si>
  <si>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</si>
  <si>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</si>
  <si>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</si>
  <si>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</si>
  <si>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</si>
  <si>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</si>
  <si>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</si>
  <si>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</si>
  <si>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</si>
  <si>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</si>
  <si>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</si>
  <si>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</si>
  <si>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</si>
  <si>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</si>
  <si>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</si>
  <si>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</si>
  <si>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</si>
  <si>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</si>
  <si>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</si>
  <si>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</si>
  <si>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</si>
  <si>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</si>
  <si>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</si>
  <si>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</si>
  <si>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</si>
  <si>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</si>
  <si>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</si>
  <si>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</si>
  <si>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</si>
  <si>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</si>
  <si>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</si>
  <si>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</si>
  <si>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</si>
  <si>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</si>
  <si>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</si>
  <si>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</si>
  <si>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</si>
  <si>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</si>
  <si>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</si>
  <si>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</si>
  <si>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</si>
  <si>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</si>
  <si>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</si>
  <si>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</si>
  <si>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</si>
  <si>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</si>
  <si>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</si>
  <si>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</si>
  <si>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</si>
  <si>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</si>
  <si>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</si>
  <si>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</si>
  <si>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</si>
  <si>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</si>
  <si>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</si>
  <si>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</si>
  <si>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</si>
  <si>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</si>
  <si>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</si>
  <si>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</si>
  <si>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</si>
  <si>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</si>
  <si>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</si>
  <si>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</si>
  <si>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</si>
  <si>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</si>
  <si>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</si>
  <si>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</si>
  <si>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</si>
  <si>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</si>
  <si>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</si>
  <si>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</si>
  <si>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</si>
  <si>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</si>
  <si>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</si>
  <si>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</si>
  <si>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</si>
  <si>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</si>
  <si>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</si>
  <si>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</si>
  <si>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</si>
  <si>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</si>
  <si>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</si>
  <si>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</si>
  <si>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</si>
  <si>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</si>
  <si>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</si>
  <si>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</si>
  <si>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</si>
  <si>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</si>
  <si>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</si>
  <si>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</si>
  <si>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</si>
  <si>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</si>
  <si>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</si>
  <si>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</si>
  <si>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</si>
  <si>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</si>
  <si>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</si>
  <si>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</si>
  <si>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</si>
  <si>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</si>
  <si>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</si>
  <si>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</si>
  <si>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</si>
  <si>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</si>
  <si>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</si>
  <si>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</si>
  <si>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</si>
  <si>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</si>
  <si>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</si>
  <si>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</si>
  <si>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</si>
  <si>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</si>
  <si>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</si>
  <si>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</si>
  <si>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</si>
  <si>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</si>
  <si>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</si>
  <si>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</si>
  <si>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</si>
  <si>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</si>
  <si>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</si>
  <si>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</si>
  <si>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</si>
  <si>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</si>
  <si>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</si>
  <si>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</si>
  <si>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</si>
  <si>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</si>
  <si>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</si>
  <si>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</si>
  <si>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</si>
  <si>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</si>
  <si>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</si>
  <si>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</si>
  <si>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</si>
  <si>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</si>
  <si>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</si>
  <si>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</si>
  <si>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</si>
  <si>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</si>
  <si>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</si>
  <si>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</si>
  <si>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</si>
  <si>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</si>
  <si>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</si>
  <si>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</si>
  <si>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</si>
  <si>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</si>
  <si>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</si>
  <si>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</si>
  <si>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</si>
  <si>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</si>
  <si>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</si>
  <si>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</si>
  <si>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</si>
  <si>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</si>
  <si>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</si>
  <si>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</si>
  <si>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</si>
  <si>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</si>
  <si>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</si>
  <si>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</si>
  <si>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</si>
  <si>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</si>
  <si>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</si>
  <si>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</si>
  <si>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</si>
  <si>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</si>
  <si>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</si>
  <si>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</si>
  <si>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</si>
  <si>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</si>
  <si>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</si>
  <si>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</si>
  <si>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</si>
  <si>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</si>
  <si>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</si>
  <si>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</si>
  <si>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</si>
  <si>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</si>
  <si>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</si>
  <si>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</si>
  <si>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</si>
  <si>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</si>
  <si>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</si>
  <si>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</si>
  <si>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</si>
  <si>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</si>
  <si>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</si>
  <si>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</si>
  <si>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</si>
  <si>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</si>
  <si>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</si>
  <si>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</si>
  <si>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</si>
  <si>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</si>
  <si>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</si>
  <si>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</si>
  <si>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</si>
  <si>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</si>
  <si>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</si>
  <si>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</si>
  <si>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</si>
  <si>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</si>
  <si>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</si>
  <si>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</si>
  <si>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</si>
  <si>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</si>
  <si>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</si>
  <si>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</si>
  <si>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</si>
  <si>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</si>
  <si>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</si>
  <si>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</si>
  <si>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</si>
  <si>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</si>
  <si>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</si>
  <si>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</si>
  <si>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</si>
  <si>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</si>
  <si>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</si>
  <si>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</si>
  <si>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</si>
  <si>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</si>
  <si>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</si>
  <si>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</si>
  <si>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</si>
  <si>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</si>
  <si>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</si>
  <si>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</si>
  <si>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</si>
  <si>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</si>
  <si>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</si>
  <si>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</si>
  <si>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</si>
  <si>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</si>
  <si>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</si>
  <si>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</si>
  <si>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</si>
  <si>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</si>
  <si>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</si>
  <si>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</si>
  <si>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</si>
  <si>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</si>
  <si>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</si>
  <si>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</si>
  <si>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</si>
  <si>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</si>
  <si>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</si>
  <si>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</si>
  <si>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</si>
  <si>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</si>
  <si>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</si>
  <si>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</si>
  <si>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</si>
  <si>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</si>
  <si>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</si>
  <si>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</si>
  <si>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</si>
  <si>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</si>
  <si>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</si>
  <si>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</si>
  <si>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</si>
  <si>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</si>
  <si>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</si>
  <si>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</si>
  <si>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</si>
  <si>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</si>
  <si>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</si>
  <si>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</si>
  <si>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</si>
  <si>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</si>
  <si>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</si>
  <si>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</si>
  <si>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</si>
  <si>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</si>
  <si>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</si>
  <si>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</si>
  <si>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</si>
  <si>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</si>
  <si>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</si>
  <si>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</si>
  <si>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</si>
  <si>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</si>
  <si>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</si>
  <si>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</si>
  <si>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</si>
  <si>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</si>
  <si>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</si>
  <si>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</si>
  <si>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</si>
  <si>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</si>
  <si>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</si>
  <si>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</si>
  <si>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</si>
  <si>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</si>
  <si>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</si>
  <si>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</si>
  <si>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</si>
  <si>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</si>
  <si>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</si>
  <si>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</si>
  <si>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</si>
  <si>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</si>
  <si>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</si>
  <si>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</si>
  <si>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</si>
  <si>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</si>
  <si>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</si>
  <si>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</si>
  <si>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</si>
  <si>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</si>
  <si>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</si>
  <si>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</si>
  <si>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</si>
  <si>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</si>
  <si>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</si>
  <si>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</si>
  <si>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</si>
  <si>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</si>
  <si>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</si>
  <si>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</si>
  <si>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</si>
  <si>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</si>
  <si>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</si>
  <si>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</si>
  <si>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</si>
  <si>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</si>
  <si>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</si>
  <si>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</si>
  <si>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</si>
  <si>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</si>
  <si>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</si>
  <si>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</si>
  <si>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</si>
  <si>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</si>
  <si>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</si>
  <si>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</si>
  <si>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</si>
  <si>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</si>
  <si>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</si>
  <si>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</si>
  <si>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</si>
  <si>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</si>
  <si>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</si>
  <si>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</si>
  <si>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</si>
  <si>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</si>
  <si>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</si>
  <si>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</si>
  <si>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</si>
  <si>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</si>
  <si>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</si>
  <si>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</si>
  <si>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</si>
  <si>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</si>
  <si>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</si>
  <si>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</si>
  <si>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</si>
  <si>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</si>
  <si>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</si>
  <si>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</si>
  <si>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</si>
  <si>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</si>
  <si>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</si>
  <si>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</si>
  <si>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</si>
  <si>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</si>
  <si>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</si>
  <si>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</si>
  <si>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</si>
  <si>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</si>
  <si>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</si>
  <si>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</si>
  <si>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</si>
  <si>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</si>
  <si>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</si>
  <si>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</si>
  <si>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</si>
  <si>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</si>
  <si>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</si>
  <si>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</si>
  <si>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</si>
  <si>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</si>
  <si>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</si>
  <si>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</si>
  <si>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</si>
  <si>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</si>
  <si>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</si>
  <si>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</si>
  <si>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</si>
  <si>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</si>
  <si>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</si>
  <si>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</si>
  <si>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</si>
  <si>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</si>
  <si>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</si>
  <si>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</si>
  <si>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</si>
  <si>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</si>
  <si>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</si>
  <si>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</si>
  <si>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</si>
  <si>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</si>
  <si>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</si>
  <si>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</si>
  <si>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</si>
  <si>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</si>
  <si>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</si>
  <si>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</si>
  <si>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</si>
  <si>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</si>
  <si>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</si>
  <si>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</si>
  <si>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</si>
  <si>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</si>
  <si>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</si>
  <si>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</si>
  <si>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</si>
  <si>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</si>
  <si>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</si>
  <si>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</si>
  <si>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</si>
  <si>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</si>
  <si>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</si>
  <si>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</si>
  <si>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</si>
  <si>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</si>
  <si>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</si>
  <si>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</si>
  <si>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</si>
  <si>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</si>
  <si>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</si>
  <si>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</si>
  <si>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</si>
  <si>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</si>
  <si>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</si>
  <si>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</si>
  <si>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</si>
  <si>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</si>
  <si>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</si>
  <si>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</si>
  <si>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</si>
  <si>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</si>
  <si>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</si>
  <si>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</si>
  <si>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</si>
  <si>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</si>
  <si>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</si>
  <si>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</si>
  <si>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</si>
  <si>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</si>
  <si>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</si>
  <si>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</si>
  <si>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</si>
  <si>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</si>
  <si>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</si>
  <si>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</si>
  <si>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</si>
  <si>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</si>
  <si>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</si>
  <si>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</si>
  <si>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</si>
  <si>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</si>
  <si>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</si>
  <si>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</si>
  <si>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</si>
  <si>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</si>
  <si>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</si>
  <si>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</si>
  <si>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</si>
  <si>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</si>
  <si>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</si>
  <si>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</si>
  <si>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</si>
  <si>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</si>
  <si>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</si>
  <si>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</si>
  <si>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</si>
  <si>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</si>
  <si>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</si>
  <si>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</si>
  <si>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</si>
  <si>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</si>
  <si>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</si>
  <si>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</si>
  <si>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</si>
  <si>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</si>
  <si>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</si>
  <si>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</si>
  <si>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</si>
  <si>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</si>
  <si>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</si>
  <si>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</si>
  <si>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</si>
  <si>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</si>
  <si>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</si>
  <si>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</si>
  <si>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</si>
  <si>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</si>
  <si>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</si>
  <si>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</si>
  <si>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</si>
  <si>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</si>
  <si>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</si>
  <si>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</si>
  <si>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</si>
  <si>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</si>
  <si>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</si>
  <si>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</si>
  <si>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</si>
  <si>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</si>
  <si>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</si>
  <si>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</si>
  <si>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</si>
  <si>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</si>
  <si>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</si>
  <si>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</si>
  <si>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</si>
  <si>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</si>
  <si>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</si>
  <si>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</si>
  <si>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</si>
  <si>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</si>
  <si>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</si>
  <si>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</si>
  <si>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</si>
  <si>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</si>
  <si>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</si>
  <si>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</si>
  <si>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</si>
  <si>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</si>
  <si>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</si>
  <si>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</si>
  <si>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</si>
  <si>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</si>
  <si>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</si>
  <si>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</si>
  <si>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</si>
  <si>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</si>
  <si>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</si>
  <si>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</si>
  <si>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</si>
  <si>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</si>
  <si>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</si>
  <si>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</si>
  <si>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</si>
  <si>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</si>
  <si>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</si>
  <si>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</si>
  <si>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</si>
  <si>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</si>
  <si>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</si>
  <si>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</si>
  <si>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</si>
  <si>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</si>
  <si>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</si>
  <si>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</si>
  <si>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</si>
  <si>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</si>
  <si>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</si>
  <si>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</si>
  <si>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</si>
  <si>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</si>
  <si>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</si>
  <si>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</si>
  <si>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</si>
  <si>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</si>
  <si>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</si>
  <si>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</si>
  <si>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</si>
  <si>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</si>
  <si>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</si>
  <si>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</si>
  <si>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</si>
  <si>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</si>
  <si>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</si>
  <si>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</si>
  <si>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</si>
  <si>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</si>
  <si>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</si>
  <si>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</si>
  <si>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</si>
  <si>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</si>
  <si>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</si>
  <si>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</si>
  <si>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</si>
  <si>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</si>
  <si>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</si>
  <si>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</si>
  <si>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</si>
  <si>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</si>
  <si>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</si>
  <si>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</si>
  <si>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</si>
  <si>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</si>
  <si>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</si>
  <si>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</si>
  <si>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</si>
  <si>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</si>
  <si>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</si>
  <si>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</si>
  <si>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</si>
  <si>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</si>
  <si>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</si>
  <si>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</si>
  <si>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</si>
  <si>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</si>
  <si>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</si>
  <si>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</si>
  <si>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</si>
  <si>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</si>
  <si>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</si>
  <si>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</si>
  <si>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</si>
  <si>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</si>
  <si>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</si>
  <si>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</si>
  <si>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</si>
  <si>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</si>
  <si>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</si>
  <si>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</si>
  <si>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</si>
  <si>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</si>
  <si>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</si>
  <si>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</si>
  <si>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</si>
  <si>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</si>
  <si>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</si>
  <si>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</si>
  <si>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</si>
  <si>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</si>
  <si>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</si>
  <si>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</si>
  <si>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</si>
  <si>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</si>
  <si>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</si>
  <si>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</si>
  <si>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</si>
  <si>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</si>
  <si>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</si>
  <si>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</si>
  <si>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</si>
  <si>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</si>
  <si>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</si>
  <si>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</si>
  <si>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</si>
  <si>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</si>
  <si>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</si>
  <si>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</si>
  <si>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</si>
  <si>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</si>
  <si>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</si>
  <si>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</si>
  <si>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</si>
  <si>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</si>
  <si>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</si>
  <si>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</si>
  <si>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</si>
  <si>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</si>
  <si>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</si>
  <si>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</si>
  <si>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</si>
  <si>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</si>
  <si>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</si>
  <si>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</si>
  <si>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</si>
  <si>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</si>
  <si>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</si>
  <si>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</si>
  <si>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</si>
  <si>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</si>
  <si>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</si>
  <si>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</si>
  <si>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</si>
  <si>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</si>
  <si>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</si>
  <si>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</si>
  <si>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</si>
  <si>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</si>
  <si>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</si>
  <si>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</si>
  <si>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</si>
  <si>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</si>
  <si>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</si>
  <si>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</si>
  <si>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</si>
  <si>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</si>
  <si>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</si>
  <si>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</si>
  <si>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</si>
  <si>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</si>
  <si>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</si>
  <si>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</si>
  <si>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</si>
  <si>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</si>
  <si>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</si>
  <si>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</si>
  <si>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</si>
  <si>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</si>
  <si>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</si>
  <si>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</si>
  <si>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</si>
  <si>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</si>
  <si>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</si>
  <si>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</si>
  <si>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</si>
  <si>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</si>
  <si>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</si>
  <si>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</si>
  <si>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</si>
  <si>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</si>
  <si>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</si>
  <si>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</si>
  <si>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</si>
  <si>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</si>
  <si>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</si>
  <si>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</si>
  <si>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</si>
  <si>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</si>
  <si>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</si>
  <si>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</si>
  <si>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</si>
  <si>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</si>
  <si>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</si>
  <si>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</si>
  <si>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</si>
  <si>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</si>
  <si>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</si>
  <si>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</si>
  <si>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</si>
  <si>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</si>
  <si>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</si>
  <si>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</si>
  <si>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</si>
  <si>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</si>
  <si>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</si>
  <si>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</si>
  <si>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</si>
  <si>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</si>
  <si>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</si>
  <si>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</si>
  <si>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</si>
  <si>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</si>
  <si>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</si>
  <si>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</si>
  <si>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</si>
  <si>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</si>
  <si>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</si>
  <si>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</si>
  <si>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</si>
  <si>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</si>
  <si>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</si>
  <si>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</si>
  <si>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</si>
  <si>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</si>
  <si>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</si>
  <si>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</si>
  <si>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</si>
  <si>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</si>
  <si>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</si>
  <si>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</si>
  <si>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</si>
  <si>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</si>
  <si>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</si>
  <si>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</si>
  <si>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</si>
  <si>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</si>
  <si>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</si>
  <si>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</si>
  <si>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</si>
  <si>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</si>
  <si>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</si>
  <si>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</si>
  <si>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</si>
  <si>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</si>
  <si>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</si>
  <si>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</si>
  <si>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</si>
  <si>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</si>
  <si>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</si>
  <si>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</si>
  <si>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</si>
  <si>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</si>
  <si>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</si>
  <si>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</si>
  <si>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</si>
  <si>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</si>
  <si>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</si>
  <si>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</si>
  <si>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</si>
  <si>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</si>
  <si>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</si>
  <si>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</si>
  <si>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</si>
  <si>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</si>
  <si>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</si>
  <si>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</si>
  <si>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</si>
  <si>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</si>
  <si>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</si>
  <si>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</si>
  <si>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</si>
  <si>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</si>
  <si>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</si>
  <si>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</si>
  <si>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</si>
  <si>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</si>
  <si>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</si>
  <si>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</si>
  <si>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</si>
  <si>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</si>
  <si>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</si>
  <si>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</si>
  <si>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</si>
  <si>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</si>
  <si>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</si>
  <si>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</si>
  <si>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</si>
  <si>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</si>
  <si>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</si>
  <si>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</si>
  <si>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</si>
  <si>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</si>
  <si>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</si>
  <si>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</si>
  <si>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</si>
  <si>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</si>
  <si>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</si>
  <si>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</si>
  <si>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</si>
  <si>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</si>
  <si>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</si>
  <si>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</si>
  <si>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</si>
  <si>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</si>
  <si>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</si>
  <si>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</si>
  <si>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</si>
  <si>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</si>
  <si>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</si>
  <si>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</si>
  <si>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</si>
  <si>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</si>
  <si>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</si>
  <si>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</si>
  <si>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</si>
  <si>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</si>
  <si>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</si>
  <si>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</si>
  <si>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</si>
  <si>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</si>
  <si>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</si>
  <si>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</si>
  <si>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</si>
  <si>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</si>
  <si>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</si>
  <si>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</si>
  <si>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</si>
  <si>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</si>
  <si>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</si>
  <si>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</si>
  <si>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</si>
  <si>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</si>
  <si>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</si>
  <si>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</si>
  <si>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</si>
  <si>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</si>
  <si>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</si>
  <si>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</si>
  <si>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</si>
  <si>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</si>
  <si>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</si>
  <si>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</si>
  <si>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</si>
  <si>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</si>
  <si>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</si>
  <si>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</si>
  <si>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</si>
  <si>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</si>
  <si>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</si>
  <si>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</si>
  <si>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</si>
  <si>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</si>
  <si>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</si>
  <si>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</si>
  <si>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</si>
  <si>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</si>
  <si>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</si>
  <si>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</si>
  <si>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</si>
  <si>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</si>
  <si>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</si>
  <si>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</si>
  <si>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</si>
  <si>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</si>
  <si>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</si>
  <si>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</si>
  <si>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</si>
  <si>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</si>
  <si>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</si>
  <si>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</si>
  <si>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</si>
  <si>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</si>
  <si>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</si>
  <si>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</si>
  <si>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</si>
  <si>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</si>
  <si>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</si>
  <si>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</si>
  <si>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</si>
  <si>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</si>
  <si>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</si>
  <si>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</si>
  <si>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</si>
  <si>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</si>
  <si>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</si>
  <si>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</si>
  <si>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</si>
  <si>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</si>
  <si>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</si>
  <si>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</si>
  <si>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</si>
  <si>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</si>
  <si>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</si>
  <si>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</si>
  <si>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</si>
  <si>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</si>
  <si>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</si>
  <si>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</si>
  <si>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</si>
  <si>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</si>
  <si>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</si>
  <si>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</si>
  <si>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</si>
  <si>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</si>
  <si>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</si>
  <si>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</si>
  <si>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</si>
  <si>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</si>
  <si>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</si>
  <si>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</si>
  <si>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</si>
  <si>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</si>
  <si>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</si>
  <si>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</si>
  <si>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</si>
  <si>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</si>
  <si>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</si>
  <si>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</si>
  <si>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</si>
  <si>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</si>
  <si>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</si>
  <si>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</si>
  <si>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</si>
  <si>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</si>
  <si>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</si>
  <si>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</si>
  <si>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</si>
  <si>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</si>
  <si>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</si>
  <si>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</si>
  <si>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</si>
  <si>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</si>
  <si>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</si>
  <si>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</si>
  <si>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</si>
  <si>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</si>
  <si>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</si>
  <si>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</si>
  <si>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</si>
  <si>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</si>
  <si>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</si>
  <si>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</si>
  <si>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</si>
  <si>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</si>
  <si>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</si>
  <si>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</si>
  <si>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</si>
  <si>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</si>
  <si>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</si>
  <si>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</si>
  <si>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</si>
  <si>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</si>
  <si>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</si>
  <si>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</si>
  <si>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</si>
  <si>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</si>
  <si>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</si>
  <si>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</si>
  <si>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</si>
  <si>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</si>
  <si>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</si>
  <si>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</si>
  <si>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</si>
  <si>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</si>
  <si>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</si>
  <si>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</si>
  <si>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</si>
  <si>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</si>
  <si>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</si>
  <si>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</si>
  <si>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</si>
  <si>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</si>
  <si>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</si>
  <si>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</si>
  <si>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</si>
  <si>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</si>
  <si>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</si>
  <si>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</si>
  <si>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</si>
  <si>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</si>
  <si>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</si>
  <si>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</si>
  <si>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</si>
  <si>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</si>
  <si>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</si>
  <si>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</si>
  <si>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</si>
  <si>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</si>
  <si>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</si>
  <si>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</si>
  <si>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</si>
  <si>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</si>
  <si>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</si>
  <si>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</si>
  <si>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</si>
  <si>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</si>
  <si>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</si>
  <si>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</si>
  <si>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</si>
  <si>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</si>
  <si>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</si>
  <si>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</si>
  <si>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</si>
  <si>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</si>
  <si>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</si>
  <si>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</si>
  <si>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</si>
  <si>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</si>
  <si>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</si>
  <si>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</si>
  <si>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</si>
  <si>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</si>
  <si>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</si>
  <si>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</si>
  <si>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</si>
  <si>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</si>
  <si>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</si>
  <si>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</si>
  <si>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</si>
  <si>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</si>
  <si>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</si>
  <si>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</si>
  <si>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</si>
  <si>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</si>
  <si>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</si>
  <si>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</si>
  <si>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</si>
  <si>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</si>
  <si>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</si>
  <si>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</si>
  <si>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</si>
  <si>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</si>
  <si>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</si>
  <si>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</si>
  <si>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</si>
  <si>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</si>
  <si>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</si>
  <si>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</si>
  <si>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</si>
  <si>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</si>
  <si>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</si>
  <si>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</si>
  <si>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</si>
  <si>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</si>
  <si>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</si>
  <si>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</si>
  <si>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</si>
  <si>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</si>
  <si>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</si>
  <si>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</si>
  <si>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</si>
  <si>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</si>
  <si>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</si>
  <si>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</si>
  <si>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</si>
  <si>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</si>
  <si>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</si>
  <si>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</si>
  <si>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</si>
  <si>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</si>
  <si>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</si>
  <si>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</si>
  <si>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</si>
  <si>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</si>
  <si>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</si>
  <si>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</si>
  <si>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</si>
  <si>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</si>
  <si>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</si>
  <si>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</si>
  <si>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</si>
  <si>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</si>
  <si>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</si>
  <si>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</si>
  <si>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</si>
  <si>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</si>
  <si>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</si>
  <si>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</si>
  <si>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</si>
  <si>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</si>
  <si>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</si>
  <si>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</si>
  <si>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</si>
  <si>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</si>
  <si>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</si>
  <si>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</si>
  <si>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</si>
  <si>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</si>
  <si>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</si>
  <si>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</si>
  <si>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</si>
  <si>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</si>
  <si>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</si>
  <si>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</si>
  <si>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</si>
  <si>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</si>
  <si>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</si>
  <si>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</si>
  <si>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</si>
  <si>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</si>
  <si>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</si>
  <si>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</si>
  <si>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</si>
  <si>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</si>
  <si>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</si>
  <si>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</si>
  <si>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</si>
  <si>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</si>
  <si>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</si>
  <si>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</si>
  <si>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</si>
  <si>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</si>
  <si>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</si>
  <si>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</si>
  <si>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</si>
  <si>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</si>
  <si>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</si>
  <si>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</si>
  <si>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</si>
  <si>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</si>
  <si>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</si>
  <si>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</si>
  <si>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</si>
  <si>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</si>
  <si>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</si>
  <si>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</si>
  <si>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</si>
  <si>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</si>
  <si>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</si>
  <si>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</si>
  <si>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</si>
  <si>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</si>
  <si>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</si>
  <si>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</si>
  <si>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</si>
  <si>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</si>
  <si>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</si>
  <si>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</si>
  <si>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</si>
  <si>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</si>
  <si>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</si>
  <si>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</si>
  <si>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</si>
  <si>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</si>
  <si>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</si>
  <si>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</si>
  <si>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</si>
  <si>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</si>
  <si>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</si>
  <si>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</si>
  <si>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</si>
  <si>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</si>
  <si>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Horizon ELOM Holdings, LLC</t>
  </si>
  <si>
    <t>Park Kingsburg Apartments</t>
  </si>
  <si>
    <t>March</t>
  </si>
  <si>
    <t>Calabasas</t>
  </si>
  <si>
    <t>Keith Stanley</t>
  </si>
  <si>
    <t>Managing Member</t>
  </si>
  <si>
    <t>City of Kingsburg</t>
  </si>
  <si>
    <t>Holly Owen</t>
  </si>
  <si>
    <t>1401 Draper St.</t>
  </si>
  <si>
    <t>Kingsburg</t>
  </si>
  <si>
    <t>559-897-5328</t>
  </si>
  <si>
    <t>559-897-6558</t>
  </si>
  <si>
    <t>howen@cityofkingsburg-ca.gov</t>
  </si>
  <si>
    <t>333 Kern St</t>
  </si>
  <si>
    <t>395-173-10</t>
  </si>
  <si>
    <t>40%/60% Average Income</t>
  </si>
  <si>
    <t>already expired</t>
  </si>
  <si>
    <t>26565 West Agoura Road, Suite 200</t>
  </si>
  <si>
    <t>CA</t>
  </si>
  <si>
    <t>keith.stanley@horizondev.com</t>
  </si>
  <si>
    <t>Limited Liability Company</t>
  </si>
  <si>
    <t>Horizon Development Consulting, LLC</t>
  </si>
  <si>
    <t>Administrative GP</t>
  </si>
  <si>
    <t>818-330-3314</t>
  </si>
  <si>
    <t>ELOM LLC</t>
  </si>
  <si>
    <t>9935 Eller Road</t>
  </si>
  <si>
    <t>Fishers</t>
  </si>
  <si>
    <t>IN</t>
  </si>
  <si>
    <t>Jon Lalanne</t>
  </si>
  <si>
    <t>310-562-5273</t>
  </si>
  <si>
    <t>jon@elom.com</t>
  </si>
  <si>
    <t xml:space="preserve">AOF/Pacific Affordable Housing Corp. </t>
  </si>
  <si>
    <t>7755 Center Avenue, Suite 575</t>
  </si>
  <si>
    <t>Managing GP</t>
  </si>
  <si>
    <t>Huntington Beach</t>
  </si>
  <si>
    <t>Ajay Nayar</t>
  </si>
  <si>
    <t>714-551-0123</t>
  </si>
  <si>
    <t>714-891-2098</t>
  </si>
  <si>
    <t>ajay.nayar@aofpacific.com</t>
  </si>
  <si>
    <t>The American Opportunity Foundation, Inc.</t>
  </si>
  <si>
    <t>2nd or 3rd quarter, 2025</t>
  </si>
  <si>
    <t>Horizon Development Consulting, LLC &amp; ELOM LLC</t>
  </si>
  <si>
    <t>26565 West Agoura Road, Suite 200 &amp; 9935 Eller Road</t>
  </si>
  <si>
    <t>Calabasas, CA 91302 &amp; Fishers, Indiana 46038</t>
  </si>
  <si>
    <t>Akheil Shah</t>
  </si>
  <si>
    <t>225-938-9029</t>
  </si>
  <si>
    <t>akheil@truecraftarchitecture.com</t>
  </si>
  <si>
    <t>Carle, Mackie, Power &amp; Ross LLP</t>
  </si>
  <si>
    <t>100 B Street, Suite 400</t>
  </si>
  <si>
    <t>Santa Rosa, CA 95401</t>
  </si>
  <si>
    <t>Jason C. Vargelis</t>
  </si>
  <si>
    <t>Wilshire Pacific Builders LLC</t>
  </si>
  <si>
    <t>2250 Germann Rd., Ste 1</t>
  </si>
  <si>
    <t>Chandler, AZ 85286</t>
  </si>
  <si>
    <t>Jim Brundage</t>
  </si>
  <si>
    <t>(707) 526-4200</t>
  </si>
  <si>
    <t>(707) 526-4707</t>
  </si>
  <si>
    <t>jvargelis@cmprlaw.com</t>
  </si>
  <si>
    <t>623-777-4438</t>
  </si>
  <si>
    <t>jbrundage@wilshirepacific.com</t>
  </si>
  <si>
    <t>Partner Energy</t>
  </si>
  <si>
    <t>2154 Torrance Blvd., Suite 100</t>
  </si>
  <si>
    <t>Torrance, CA  90501</t>
  </si>
  <si>
    <t>Jason Mandler</t>
  </si>
  <si>
    <t>(310) 765-7293</t>
  </si>
  <si>
    <t>(310) 817-2745</t>
  </si>
  <si>
    <t>Jmandler@ptrenergy.com</t>
  </si>
  <si>
    <t>Dauby O'Connor &amp; Zaleski, LLC</t>
  </si>
  <si>
    <t>501 Congressional Blvd.</t>
  </si>
  <si>
    <t>Suite 300, Carmel, IN  46032</t>
  </si>
  <si>
    <t>Rob Doyle</t>
  </si>
  <si>
    <t xml:space="preserve">(317) 819-6228 </t>
  </si>
  <si>
    <t>(317) 815-6140</t>
  </si>
  <si>
    <t>rdoyle@doz.net</t>
  </si>
  <si>
    <t>RBC Community Investments</t>
  </si>
  <si>
    <t>2 Embarcadero #1200</t>
  </si>
  <si>
    <t>San Francisco, CA 94111</t>
  </si>
  <si>
    <t>Stacie Altmann</t>
  </si>
  <si>
    <t>916-790-0246</t>
  </si>
  <si>
    <t>stacie.altmann@rbccm.com</t>
  </si>
  <si>
    <t>CBRE</t>
  </si>
  <si>
    <t>4520 Main Street, Suite 600</t>
  </si>
  <si>
    <t>Kansas City, MO 64111</t>
  </si>
  <si>
    <t>Matt Hummel</t>
  </si>
  <si>
    <t xml:space="preserve">(816) 968-5891 </t>
  </si>
  <si>
    <t>(816) 968-5890</t>
  </si>
  <si>
    <t>matt.hummel@cbre.com</t>
  </si>
  <si>
    <t>Michaels Management-Affordable, LLC</t>
  </si>
  <si>
    <t>2236 Longport Court, Suite 100</t>
  </si>
  <si>
    <t>Elk Grove, CA 95758</t>
  </si>
  <si>
    <t>Mary Keshishian</t>
  </si>
  <si>
    <t>(916) 883-1100</t>
  </si>
  <si>
    <t>mkeshishian@tmo.com</t>
  </si>
  <si>
    <t>Partner Engineering and Science, Inc.</t>
  </si>
  <si>
    <t>495 Rincon Street, Suite 211</t>
  </si>
  <si>
    <t>Corona, CA 92879</t>
  </si>
  <si>
    <t>Jay Grenfell</t>
  </si>
  <si>
    <t>(415) 992-3755</t>
  </si>
  <si>
    <t>(415) 952-9421</t>
  </si>
  <si>
    <t>jgrenfell@partneresi.com</t>
  </si>
  <si>
    <t>Properties are currently functioning and leased as residential rental projects.</t>
  </si>
  <si>
    <t>Park Kingsburg, a Limited Partnership</t>
  </si>
  <si>
    <t>Matthew D. Sullivan</t>
  </si>
  <si>
    <t>Vice President</t>
  </si>
  <si>
    <t>Matthew Sullivan</t>
  </si>
  <si>
    <t>2 Cooper Street, 14th Floor, Camden, New Jersey 08102</t>
  </si>
  <si>
    <t>NA</t>
  </si>
  <si>
    <t>706-587-3592</t>
  </si>
  <si>
    <t>Other (Specify below)</t>
  </si>
  <si>
    <t>1 building, 3 story multi-family apartment building</t>
  </si>
  <si>
    <t>No commercial/retail space, but to clarify the above numbers: community is 1 building, and in that 1 building are both the residential units and community spaces</t>
  </si>
  <si>
    <t>RM-3</t>
  </si>
  <si>
    <t>RM-3, existing density (du/ac) = 23.15</t>
  </si>
  <si>
    <t>RM-3, (du/ac) = 23.15</t>
  </si>
  <si>
    <t>35 ft (but N/A since existing project)</t>
  </si>
  <si>
    <t>1 per dwelling unit for an elderly property (but N/A since existing project)</t>
  </si>
  <si>
    <t>N/A - Existing Project/rehab</t>
  </si>
  <si>
    <t>USDA 515 Loan</t>
  </si>
  <si>
    <t>Merchants Bank of Indiana</t>
  </si>
  <si>
    <t>Variable</t>
  </si>
  <si>
    <t>RBC Community Investments, LLC</t>
  </si>
  <si>
    <t>Fixed</t>
  </si>
  <si>
    <t>Costs Deffered till Perm Conversion</t>
  </si>
  <si>
    <t>410 Monon Blvd, 5th Floor</t>
  </si>
  <si>
    <t>Carmel</t>
  </si>
  <si>
    <t>Michael Dury</t>
  </si>
  <si>
    <t>Construction Bridge Loan</t>
  </si>
  <si>
    <t>Permanent Loan</t>
  </si>
  <si>
    <t>2 Embarcadero</t>
  </si>
  <si>
    <t>Tax Credit Equity</t>
  </si>
  <si>
    <t>Calabasas, CA 91302</t>
  </si>
  <si>
    <t>(818) 330-3314</t>
  </si>
  <si>
    <t>Deferred Developer Fee</t>
  </si>
  <si>
    <t>4625 W Jennifer Ave #109</t>
  </si>
  <si>
    <t>Michelle McDaniel</t>
  </si>
  <si>
    <t>(816) 385-5781</t>
  </si>
  <si>
    <t>Perm Loan (USDA 515)</t>
  </si>
  <si>
    <t>26565 Agoura Road, STE 200</t>
  </si>
  <si>
    <t>Existing Replacement Reserves</t>
  </si>
  <si>
    <t>2 Cooper Street, 14th Floor</t>
  </si>
  <si>
    <t>Camden</t>
  </si>
  <si>
    <t>Existing Reserves Acquired</t>
  </si>
  <si>
    <t>Annual Renewal</t>
  </si>
  <si>
    <t>training and conventions, office expenses, misc. admin expenses</t>
  </si>
  <si>
    <t>Misc. repairs, contracts and services</t>
  </si>
  <si>
    <t>payroll taxes and benefits</t>
  </si>
  <si>
    <t>Existing</t>
  </si>
  <si>
    <t>USDA Rental Assistance</t>
  </si>
  <si>
    <t>Partnership Legal</t>
  </si>
  <si>
    <t>Other: Existing Replacement Reserves</t>
  </si>
  <si>
    <t>Other: Energy Audit</t>
  </si>
  <si>
    <t>Other: Capital Needs Assessment</t>
  </si>
  <si>
    <t>Other: Third Party Construction Management</t>
  </si>
  <si>
    <t>1 bedroom</t>
  </si>
  <si>
    <t>AOF/Pacific Affordable Housing Corp</t>
  </si>
  <si>
    <t>Bicentennial Park</t>
  </si>
  <si>
    <t>621 Kern St</t>
  </si>
  <si>
    <t>Kingsburg, 93631</t>
  </si>
  <si>
    <t>Adam Castaneda</t>
  </si>
  <si>
    <t>559-897-5821</t>
  </si>
  <si>
    <t>https://www.cityofkingsburg-ca.gov/facilities/facility/details/Bicentennial-Park-4</t>
  </si>
  <si>
    <t>less than 0.5 miles</t>
  </si>
  <si>
    <t>Kingsburg Branch Library</t>
  </si>
  <si>
    <t>1399 Draper St</t>
  </si>
  <si>
    <t>Mark Berner</t>
  </si>
  <si>
    <t>559-897-3710</t>
  </si>
  <si>
    <t>https://www.fresnolibrary.org/branch/kbrg.html</t>
  </si>
  <si>
    <t>less than 1 mile</t>
  </si>
  <si>
    <t>Save Mart Supermarkets</t>
  </si>
  <si>
    <t>909 Sierra St.</t>
  </si>
  <si>
    <t>Scott McBride</t>
  </si>
  <si>
    <t>559-897-9742</t>
  </si>
  <si>
    <t>https://savemart.com/stores/2848396a-0b8f-4ecc-8cdb-853f3f4181bf/KINGSBURG/654/KINGSBURG</t>
  </si>
  <si>
    <t>0.63 miles</t>
  </si>
  <si>
    <t>Kingsburg Senior Center</t>
  </si>
  <si>
    <t>1450 Ellis Street</t>
  </si>
  <si>
    <t>Kingsburg, CA 93631</t>
  </si>
  <si>
    <t>https://www.cityofkingsburg-ca.gov/161/Senior-Center</t>
  </si>
  <si>
    <t>Kingsburg Health Center</t>
  </si>
  <si>
    <t>1251 Draper St</t>
  </si>
  <si>
    <t>Brian Petree</t>
  </si>
  <si>
    <t>800-492-4227</t>
  </si>
  <si>
    <t>https://unitedhealthcenters.org/kingsburg</t>
  </si>
  <si>
    <t>Walgreens</t>
  </si>
  <si>
    <t>988 Sierra St</t>
  </si>
  <si>
    <t>Rahul T</t>
  </si>
  <si>
    <t>559-897-9733</t>
  </si>
  <si>
    <t>https://www.walgreens.com/locator/walgreens-988+sierra+st-kingsburg-ca-93631/id=9815</t>
  </si>
  <si>
    <t>County of Fresno</t>
  </si>
  <si>
    <t>2220 Tulare St, 8th Floor</t>
  </si>
  <si>
    <t>Steven White</t>
  </si>
  <si>
    <t>559-600-4078</t>
  </si>
  <si>
    <t>Residual Receipts Loan</t>
  </si>
  <si>
    <t>County of Fresno Residual Receipts Loan</t>
  </si>
  <si>
    <t>True Craft Architecture</t>
  </si>
  <si>
    <t>14241 Coursey Blvd #A12-318</t>
  </si>
  <si>
    <t>Baton Rouge, LA 70817</t>
  </si>
  <si>
    <t>2/29/2026</t>
  </si>
  <si>
    <t>18th</t>
  </si>
  <si>
    <t>Community Development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</si>
</sst>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111898</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45" zeroHeight="1"/>
  <cols>
    <col min="1" max="38" width="2.4609375" customWidth="1"/>
    <col min="39" max="16384" width="8.84375" hidden="1"/>
  </cols>
  <sheetData>
    <row r="1" spans="1:38">
      <c r="A1" s="977" t="s">
        <v>1858</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2.9"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2.9"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81" t="s">
        <v>2138</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5"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65" customHeight="1">
      <c r="A19" s="5"/>
      <c r="C19" s="3"/>
      <c r="D19" s="984" t="s">
        <v>2323</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2317</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2318</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2324</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2002</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1285</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1142</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1" t="s">
        <v>1680</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81" t="s">
        <v>2140</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3" t="s">
        <v>2141</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2142</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1" t="s">
        <v>1683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1682</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1" t="s">
        <v>1684</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1685</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1698</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1699</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1" t="s">
        <v>1686</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1687</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1" t="s">
        <v>1691</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1692</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1693</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1694</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1" t="s">
        <v>1695</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1" t="s">
        <v>1696</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1" t="s">
        <v>1697</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1" t="s">
        <v>1700</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81" t="s">
        <v>1701</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729</v>
      </c>
      <c r="E161" s="3" t="s">
        <v>2146</v>
      </c>
    </row>
    <row r="162" spans="3:9">
      <c r="E162" s="751" t="s">
        <v>2147</v>
      </c>
      <c r="F162" s="358"/>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532</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81" t="s">
        <v>1702</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1" t="s">
        <v>2287</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900</v>
      </c>
      <c r="F235" s="5" t="s">
        <v>245</v>
      </c>
      <c r="G235" s="5"/>
      <c r="H235" s="5"/>
      <c r="I235" s="5"/>
      <c r="M235" s="5"/>
      <c r="N235" s="5"/>
      <c r="O235" s="5"/>
      <c r="P235" s="5"/>
      <c r="Q235" s="5"/>
      <c r="R235" s="5"/>
      <c r="S235" s="5"/>
    </row>
    <row r="236" spans="1:38">
      <c r="B236" s="5"/>
      <c r="C236" s="5"/>
      <c r="F236" s="5" t="s">
        <v>820</v>
      </c>
      <c r="G236" s="981" t="s">
        <v>1703</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65" customHeight="1">
      <c r="B343" s="3"/>
      <c r="E343" s="983" t="s">
        <v>1808</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899</v>
      </c>
      <c r="F348" s="981" t="s">
        <v>1809</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900</v>
      </c>
      <c r="F352" s="981" t="s">
        <v>1810</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9" customFormat="1">
      <c r="A365"/>
      <c r="B365" s="3"/>
      <c r="C365"/>
      <c r="D365"/>
      <c r="E365" s="989" t="s">
        <v>1805</v>
      </c>
    </row>
    <row r="366" spans="1:38" s="989" customFormat="1">
      <c r="A366"/>
      <c r="B366" s="3"/>
      <c r="C366"/>
      <c r="D366"/>
    </row>
    <row r="367" spans="1:38">
      <c r="B367" s="3"/>
      <c r="F367" s="987" t="s">
        <v>1806</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6" zoomScale="70" zoomScaleNormal="70" workbookViewId="0">
      <selection activeCell="E90" sqref="E90"/>
    </sheetView>
  </sheetViews>
  <sheetFormatPr defaultColWidth="0" defaultRowHeight="15" customHeight="1"/>
  <cols>
    <col min="1" max="1" width="3.53515625" style="751" customWidth="1"/>
    <col min="2" max="4" width="17.53515625" style="751" customWidth="1"/>
    <col min="5" max="5" width="15.53515625" style="751" customWidth="1"/>
    <col min="6" max="6" width="2.4609375" style="751" customWidth="1"/>
    <col min="7" max="7" width="14.53515625" style="751" customWidth="1"/>
    <col min="8" max="9" width="2.53515625" style="751" customWidth="1"/>
    <col min="10" max="10" width="3.53515625" style="751" customWidth="1"/>
    <col min="11" max="11" width="2.53515625" style="751" customWidth="1"/>
    <col min="12" max="14" width="2.4609375" style="751" customWidth="1"/>
    <col min="15" max="15" width="43.69140625" style="751" customWidth="1"/>
    <col min="16" max="16" width="7.53515625" style="751" customWidth="1"/>
    <col min="17" max="17" width="3.53515625" style="751" customWidth="1"/>
    <col min="18" max="19" width="10.53515625" style="751" customWidth="1"/>
    <col min="20" max="20" width="8.84375" style="751" customWidth="1"/>
    <col min="21" max="16384" width="8.84375" style="751" hidden="1"/>
  </cols>
  <sheetData>
    <row r="1" spans="1:19" ht="15" customHeight="1">
      <c r="A1" s="1958" t="s">
        <v>1850</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3" t="s">
        <v>2104</v>
      </c>
      <c r="C4" s="1943"/>
      <c r="D4" s="1943"/>
      <c r="E4" s="1943"/>
      <c r="F4" s="1943"/>
      <c r="G4" s="1943"/>
      <c r="H4" s="1943"/>
      <c r="I4" s="1943"/>
      <c r="J4" s="1943"/>
      <c r="K4" s="1943"/>
      <c r="L4" s="1943"/>
      <c r="M4" s="1943"/>
      <c r="N4" s="1943"/>
      <c r="O4" s="1943"/>
      <c r="P4" s="1943"/>
      <c r="Q4" s="1943"/>
      <c r="R4" s="1943"/>
    </row>
    <row r="5" spans="1:19" ht="15" customHeight="1">
      <c r="A5" s="504"/>
      <c r="B5" s="1943"/>
      <c r="C5" s="1943"/>
      <c r="D5" s="1943"/>
      <c r="E5" s="1943"/>
      <c r="F5" s="1943"/>
      <c r="G5" s="1943"/>
      <c r="H5" s="1943"/>
      <c r="I5" s="1943"/>
      <c r="J5" s="1943"/>
      <c r="K5" s="1943"/>
      <c r="L5" s="1943"/>
      <c r="M5" s="1943"/>
      <c r="N5" s="1943"/>
      <c r="O5" s="1943"/>
      <c r="P5" s="1943"/>
      <c r="Q5" s="1943"/>
      <c r="R5" s="1943"/>
    </row>
    <row r="6" spans="1:19" ht="15" customHeight="1">
      <c r="A6" s="504"/>
      <c r="B6" s="1943"/>
      <c r="C6" s="1943"/>
      <c r="D6" s="1943"/>
      <c r="E6" s="1943"/>
      <c r="F6" s="1943"/>
      <c r="G6" s="1943"/>
      <c r="H6" s="1943"/>
      <c r="I6" s="1943"/>
      <c r="J6" s="1943"/>
      <c r="K6" s="1943"/>
      <c r="L6" s="1943"/>
      <c r="M6" s="1943"/>
      <c r="N6" s="1943"/>
      <c r="O6" s="1943"/>
      <c r="P6" s="1943"/>
      <c r="Q6" s="1943"/>
      <c r="R6" s="194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3" t="s">
        <v>2209</v>
      </c>
      <c r="C8" s="1943"/>
      <c r="D8" s="1943"/>
      <c r="E8" s="1943"/>
      <c r="F8" s="1943"/>
      <c r="G8" s="1943"/>
      <c r="H8" s="1943"/>
      <c r="I8" s="1943"/>
      <c r="J8" s="1943"/>
      <c r="K8" s="1943"/>
      <c r="L8" s="1943"/>
      <c r="M8" s="1943"/>
      <c r="N8" s="1943"/>
      <c r="O8" s="1943"/>
      <c r="P8" s="1943"/>
      <c r="Q8" s="1943"/>
      <c r="R8" s="194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3" t="s">
        <v>2189</v>
      </c>
      <c r="C10" s="1943"/>
      <c r="D10" s="1943"/>
      <c r="E10" s="1943"/>
      <c r="F10" s="1943"/>
      <c r="G10" s="1943"/>
      <c r="H10" s="1943"/>
      <c r="I10" s="1943"/>
      <c r="J10" s="1943"/>
      <c r="K10" s="1943"/>
      <c r="L10" s="1943"/>
      <c r="M10" s="1943"/>
      <c r="N10" s="1943"/>
      <c r="O10" s="1943"/>
      <c r="P10" s="1943"/>
      <c r="Q10" s="1943"/>
      <c r="R10" s="1943"/>
    </row>
    <row r="11" spans="1:19" ht="29.25" customHeight="1">
      <c r="A11" s="504"/>
      <c r="B11" s="1943"/>
      <c r="C11" s="1943"/>
      <c r="D11" s="1943"/>
      <c r="E11" s="1943"/>
      <c r="F11" s="1943"/>
      <c r="G11" s="1943"/>
      <c r="H11" s="1943"/>
      <c r="I11" s="1943"/>
      <c r="J11" s="1943"/>
      <c r="K11" s="1943"/>
      <c r="L11" s="1943"/>
      <c r="M11" s="1943"/>
      <c r="N11" s="1943"/>
      <c r="O11" s="1943"/>
      <c r="P11" s="1943"/>
      <c r="Q11" s="1943"/>
      <c r="R11" s="194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3" t="s">
        <v>2105</v>
      </c>
      <c r="C13" s="1943"/>
      <c r="D13" s="1943"/>
      <c r="E13" s="1943"/>
      <c r="F13" s="1943"/>
      <c r="G13" s="1943"/>
      <c r="H13" s="1943"/>
      <c r="I13" s="1943"/>
      <c r="J13" s="1943"/>
      <c r="K13" s="1943"/>
      <c r="L13" s="1943"/>
      <c r="M13" s="1943"/>
      <c r="N13" s="1943"/>
      <c r="O13" s="1943"/>
      <c r="P13" s="1943"/>
      <c r="Q13" s="1943"/>
      <c r="R13" s="1943"/>
    </row>
    <row r="14" spans="1:19" ht="15" customHeight="1">
      <c r="A14" s="504"/>
      <c r="B14" s="1943"/>
      <c r="C14" s="1943"/>
      <c r="D14" s="1943"/>
      <c r="E14" s="1943"/>
      <c r="F14" s="1943"/>
      <c r="G14" s="1943"/>
      <c r="H14" s="1943"/>
      <c r="I14" s="1943"/>
      <c r="J14" s="1943"/>
      <c r="K14" s="1943"/>
      <c r="L14" s="1943"/>
      <c r="M14" s="1943"/>
      <c r="N14" s="1943"/>
      <c r="O14" s="1943"/>
      <c r="P14" s="1943"/>
      <c r="Q14" s="1943"/>
      <c r="R14" s="1943"/>
    </row>
    <row r="15" spans="1:19" ht="15" customHeight="1">
      <c r="A15" s="504"/>
      <c r="B15" s="1943"/>
      <c r="C15" s="1943"/>
      <c r="D15" s="1943"/>
      <c r="E15" s="1943"/>
      <c r="F15" s="1943"/>
      <c r="G15" s="1943"/>
      <c r="H15" s="1943"/>
      <c r="I15" s="1943"/>
      <c r="J15" s="1943"/>
      <c r="K15" s="1943"/>
      <c r="L15" s="1943"/>
      <c r="M15" s="1943"/>
      <c r="N15" s="1943"/>
      <c r="O15" s="1943"/>
      <c r="P15" s="1943"/>
      <c r="Q15" s="1943"/>
      <c r="R15" s="1943"/>
    </row>
    <row r="16" spans="1:19" ht="15" customHeight="1">
      <c r="A16" s="504"/>
      <c r="B16" s="1943"/>
      <c r="C16" s="1943"/>
      <c r="D16" s="1943"/>
      <c r="E16" s="1943"/>
      <c r="F16" s="1943"/>
      <c r="G16" s="1943"/>
      <c r="H16" s="1943"/>
      <c r="I16" s="1943"/>
      <c r="J16" s="1943"/>
      <c r="K16" s="1943"/>
      <c r="L16" s="1943"/>
      <c r="M16" s="1943"/>
      <c r="N16" s="1943"/>
      <c r="O16" s="1943"/>
      <c r="P16" s="1943"/>
      <c r="Q16" s="1943"/>
      <c r="R16" s="1943"/>
    </row>
    <row r="17" spans="1:18" ht="15" customHeight="1">
      <c r="A17" s="504"/>
      <c r="B17" s="1943"/>
      <c r="C17" s="1943"/>
      <c r="D17" s="1943"/>
      <c r="E17" s="1943"/>
      <c r="F17" s="1943"/>
      <c r="G17" s="1943"/>
      <c r="H17" s="1943"/>
      <c r="I17" s="1943"/>
      <c r="J17" s="1943"/>
      <c r="K17" s="1943"/>
      <c r="L17" s="1943"/>
      <c r="M17" s="1943"/>
      <c r="N17" s="1943"/>
      <c r="O17" s="1943"/>
      <c r="P17" s="1943"/>
      <c r="Q17" s="1943"/>
      <c r="R17" s="194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3" t="s">
        <v>1789</v>
      </c>
      <c r="C19" s="1943"/>
      <c r="D19" s="1943"/>
      <c r="E19" s="1943"/>
      <c r="F19" s="1943"/>
      <c r="G19" s="1943"/>
      <c r="H19" s="1943"/>
      <c r="I19" s="1943"/>
      <c r="J19" s="1943"/>
      <c r="K19" s="1943"/>
      <c r="L19" s="1943"/>
      <c r="M19" s="1943"/>
      <c r="N19" s="1943"/>
      <c r="O19" s="1943"/>
      <c r="P19" s="1943"/>
      <c r="Q19" s="1943"/>
      <c r="R19" s="1943"/>
    </row>
    <row r="20" spans="1:18" ht="15" customHeight="1">
      <c r="A20" s="504"/>
      <c r="B20" s="1943"/>
      <c r="C20" s="1943"/>
      <c r="D20" s="1943"/>
      <c r="E20" s="1943"/>
      <c r="F20" s="1943"/>
      <c r="G20" s="1943"/>
      <c r="H20" s="1943"/>
      <c r="I20" s="1943"/>
      <c r="J20" s="1943"/>
      <c r="K20" s="1943"/>
      <c r="L20" s="1943"/>
      <c r="M20" s="1943"/>
      <c r="N20" s="1943"/>
      <c r="O20" s="1943"/>
      <c r="P20" s="1943"/>
      <c r="Q20" s="1943"/>
      <c r="R20" s="1943"/>
    </row>
    <row r="21" spans="1:18" ht="15" customHeight="1">
      <c r="A21" s="504"/>
      <c r="B21" s="1943"/>
      <c r="C21" s="1943"/>
      <c r="D21" s="1943"/>
      <c r="E21" s="1943"/>
      <c r="F21" s="1943"/>
      <c r="G21" s="1943"/>
      <c r="H21" s="1943"/>
      <c r="I21" s="1943"/>
      <c r="J21" s="1943"/>
      <c r="K21" s="1943"/>
      <c r="L21" s="1943"/>
      <c r="M21" s="1943"/>
      <c r="N21" s="1943"/>
      <c r="O21" s="1943"/>
      <c r="P21" s="1943"/>
      <c r="Q21" s="1943"/>
      <c r="R21" s="194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3" t="s">
        <v>1790</v>
      </c>
      <c r="C23" s="1943"/>
      <c r="D23" s="1943"/>
      <c r="E23" s="1943"/>
      <c r="F23" s="1943"/>
      <c r="G23" s="1943"/>
      <c r="H23" s="1943"/>
      <c r="I23" s="1943"/>
      <c r="J23" s="1943"/>
      <c r="K23" s="1943"/>
      <c r="L23" s="1943"/>
      <c r="M23" s="1943"/>
      <c r="N23" s="1943"/>
      <c r="O23" s="1943"/>
      <c r="P23" s="1943"/>
      <c r="Q23" s="1943"/>
      <c r="R23" s="1943"/>
    </row>
    <row r="24" spans="1:18" ht="15" customHeight="1">
      <c r="B24" s="1943"/>
      <c r="C24" s="1943"/>
      <c r="D24" s="1943"/>
      <c r="E24" s="1943"/>
      <c r="F24" s="1943"/>
      <c r="G24" s="1943"/>
      <c r="H24" s="1943"/>
      <c r="I24" s="1943"/>
      <c r="J24" s="1943"/>
      <c r="K24" s="1943"/>
      <c r="L24" s="1943"/>
      <c r="M24" s="1943"/>
      <c r="N24" s="1943"/>
      <c r="O24" s="1943"/>
      <c r="P24" s="1943"/>
      <c r="Q24" s="1943"/>
      <c r="R24" s="194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3" t="s">
        <v>1688</v>
      </c>
      <c r="C26" s="1943"/>
      <c r="D26" s="1943"/>
      <c r="E26" s="1943"/>
      <c r="F26" s="1943"/>
      <c r="G26" s="1943"/>
      <c r="H26" s="1943"/>
      <c r="I26" s="1943"/>
      <c r="J26" s="1943"/>
      <c r="K26" s="1943"/>
      <c r="L26" s="1943"/>
      <c r="M26" s="1943"/>
      <c r="N26" s="1943"/>
      <c r="O26" s="1943"/>
      <c r="P26" s="1943"/>
      <c r="Q26" s="1943"/>
      <c r="R26" s="194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9" t="s">
        <v>1602</v>
      </c>
      <c r="C29" s="1969"/>
      <c r="D29" s="1969"/>
      <c r="E29" s="1969"/>
      <c r="F29" s="1969"/>
      <c r="G29" s="1969"/>
      <c r="H29" s="373"/>
      <c r="I29" s="373"/>
      <c r="J29" s="373"/>
      <c r="K29" s="373"/>
      <c r="L29" s="373"/>
      <c r="M29" s="373"/>
      <c r="N29" s="373"/>
      <c r="O29" s="1967" t="s">
        <v>1611</v>
      </c>
    </row>
    <row r="30" spans="1:18" ht="15" customHeight="1">
      <c r="B30" s="1969"/>
      <c r="C30" s="1969"/>
      <c r="D30" s="1969"/>
      <c r="E30" s="1969"/>
      <c r="F30" s="1969"/>
      <c r="G30" s="1969"/>
      <c r="H30" s="373"/>
      <c r="I30" s="373"/>
      <c r="J30" s="373"/>
      <c r="K30" s="373"/>
      <c r="L30" s="373"/>
      <c r="M30" s="373"/>
      <c r="N30" s="373"/>
      <c r="O30" s="1967"/>
    </row>
    <row r="31" spans="1:18" ht="15" customHeight="1">
      <c r="B31" s="1969"/>
      <c r="C31" s="1969"/>
      <c r="D31" s="1969"/>
      <c r="E31" s="1969"/>
      <c r="F31" s="1969"/>
      <c r="G31" s="1969"/>
      <c r="H31" s="373"/>
      <c r="I31" s="373"/>
      <c r="J31" s="373"/>
      <c r="K31" s="373"/>
      <c r="L31" s="373"/>
      <c r="M31" s="373"/>
      <c r="N31" s="373"/>
      <c r="O31" s="1967"/>
    </row>
    <row r="32" spans="1:18" ht="15" customHeight="1">
      <c r="B32" s="1970"/>
      <c r="C32" s="1970"/>
      <c r="D32" s="1970"/>
      <c r="E32" s="1970"/>
      <c r="F32" s="1970"/>
      <c r="G32" s="1970"/>
      <c r="I32" s="1936" t="s">
        <v>139</v>
      </c>
      <c r="J32" s="1937" t="s">
        <v>991</v>
      </c>
      <c r="K32" s="1971">
        <v>1</v>
      </c>
      <c r="M32" s="506"/>
      <c r="O32" s="1968"/>
      <c r="P32" s="1937" t="s">
        <v>1928</v>
      </c>
    </row>
    <row r="33" spans="1:21" ht="15" customHeight="1">
      <c r="B33" s="1972" t="s">
        <v>1606</v>
      </c>
      <c r="C33" s="1972"/>
      <c r="D33" s="1972"/>
      <c r="E33" s="1972"/>
      <c r="F33" s="1972"/>
      <c r="G33" s="1972"/>
      <c r="I33" s="1936"/>
      <c r="J33" s="1937"/>
      <c r="K33" s="1971"/>
      <c r="M33" s="507"/>
      <c r="O33" s="1972" t="s">
        <v>1606</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1596</v>
      </c>
      <c r="C37" s="1959"/>
      <c r="D37" s="1959"/>
      <c r="E37" s="1959"/>
      <c r="F37" s="513"/>
      <c r="G37" s="513"/>
      <c r="H37" s="514"/>
      <c r="I37" s="373"/>
      <c r="J37" s="373"/>
      <c r="L37" s="526"/>
      <c r="M37" s="526"/>
      <c r="N37" s="526"/>
      <c r="O37" s="526"/>
      <c r="P37" s="526"/>
      <c r="Q37" s="526"/>
      <c r="R37" s="526"/>
      <c r="S37" s="526"/>
    </row>
    <row r="38" spans="1:21" ht="15" customHeight="1">
      <c r="B38" s="1946" t="s">
        <v>1612</v>
      </c>
      <c r="C38" s="1946"/>
      <c r="D38" s="1946"/>
      <c r="E38" s="1946"/>
      <c r="F38" s="647"/>
      <c r="G38" s="515">
        <f>D110</f>
        <v>4469452.4346560901</v>
      </c>
      <c r="H38" s="381"/>
      <c r="I38" s="516"/>
      <c r="J38" s="381"/>
      <c r="K38" s="1955" t="s">
        <v>2206</v>
      </c>
      <c r="L38" s="1955"/>
      <c r="M38" s="1955"/>
      <c r="N38" s="1955"/>
      <c r="O38" s="1955"/>
      <c r="P38" s="1955"/>
      <c r="Q38" s="1955"/>
      <c r="R38" s="1955"/>
      <c r="S38" s="1955"/>
    </row>
    <row r="39" spans="1:21" ht="15" customHeight="1">
      <c r="B39" s="1954" t="s">
        <v>1282</v>
      </c>
      <c r="C39" s="1954"/>
      <c r="D39" s="1954"/>
      <c r="E39" s="1954"/>
      <c r="F39" s="647"/>
      <c r="G39" s="629"/>
      <c r="H39" s="381"/>
      <c r="I39" s="516"/>
      <c r="J39" s="381"/>
      <c r="K39" s="1955"/>
      <c r="L39" s="1955"/>
      <c r="M39" s="1955"/>
      <c r="N39" s="1955"/>
      <c r="O39" s="1955"/>
      <c r="P39" s="1955"/>
      <c r="Q39" s="1955"/>
      <c r="R39" s="1955"/>
      <c r="S39" s="1955"/>
    </row>
    <row r="40" spans="1:21" ht="15" customHeight="1">
      <c r="B40" s="1954" t="s">
        <v>1283</v>
      </c>
      <c r="C40" s="1954"/>
      <c r="D40" s="1954"/>
      <c r="E40" s="1954"/>
      <c r="F40" s="647"/>
      <c r="G40" s="629"/>
      <c r="H40" s="381"/>
      <c r="I40" s="516"/>
      <c r="J40" s="381"/>
      <c r="K40" s="1955"/>
      <c r="L40" s="1955"/>
      <c r="M40" s="1955"/>
      <c r="N40" s="1955"/>
      <c r="O40" s="1955"/>
      <c r="P40" s="1955"/>
      <c r="Q40" s="1955"/>
      <c r="R40" s="1955"/>
      <c r="S40" s="1955"/>
    </row>
    <row r="41" spans="1:21" ht="15" customHeight="1">
      <c r="B41" s="1964" t="s">
        <v>1607</v>
      </c>
      <c r="C41" s="1964"/>
      <c r="D41" s="1964"/>
      <c r="E41" s="1964"/>
      <c r="F41" s="647"/>
      <c r="G41" s="381"/>
      <c r="H41" s="381"/>
      <c r="I41" s="516"/>
      <c r="J41" s="381"/>
      <c r="K41" s="1948" t="s">
        <v>124</v>
      </c>
      <c r="L41" s="1948"/>
      <c r="M41" s="1948"/>
      <c r="N41" s="1948"/>
      <c r="O41" s="1948"/>
      <c r="P41" s="1948"/>
      <c r="Q41" s="1948"/>
      <c r="R41" s="1948"/>
      <c r="S41" s="1948"/>
    </row>
    <row r="42" spans="1:21" ht="15" customHeight="1">
      <c r="B42" s="631" t="s">
        <v>2447</v>
      </c>
      <c r="C42" s="631"/>
      <c r="D42" s="625"/>
      <c r="E42" s="649">
        <f>+Application!AM561</f>
        <v>3272350</v>
      </c>
      <c r="F42" s="647"/>
      <c r="G42" s="381"/>
      <c r="H42" s="381"/>
      <c r="I42" s="516"/>
      <c r="J42" s="381"/>
      <c r="K42" s="1953"/>
      <c r="L42" s="1953"/>
      <c r="M42" s="1953"/>
      <c r="N42" s="1953"/>
      <c r="O42" s="1953"/>
      <c r="Q42" s="1933"/>
      <c r="R42" s="1933"/>
      <c r="U42" s="751" t="s">
        <v>124</v>
      </c>
    </row>
    <row r="43" spans="1:21" ht="15" customHeight="1">
      <c r="B43" s="631" t="s">
        <v>2523</v>
      </c>
      <c r="C43" s="631"/>
      <c r="D43" s="501"/>
      <c r="E43" s="649">
        <v>1500000</v>
      </c>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33"/>
      <c r="R44" s="1933"/>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0" t="s">
        <v>1837</v>
      </c>
      <c r="L46" s="1930"/>
      <c r="M46" s="1930"/>
      <c r="N46" s="1930"/>
      <c r="O46" s="1930"/>
      <c r="Q46" s="1928"/>
      <c r="R46" s="1928"/>
    </row>
    <row r="47" spans="1:21" ht="15" customHeight="1">
      <c r="B47" s="631"/>
      <c r="C47" s="631"/>
      <c r="D47" s="501"/>
      <c r="E47" s="649"/>
      <c r="F47" s="647"/>
      <c r="G47" s="381"/>
      <c r="H47" s="381"/>
      <c r="I47" s="516"/>
      <c r="J47" s="381"/>
      <c r="K47" s="1929" t="s">
        <v>1838</v>
      </c>
      <c r="L47" s="1929"/>
      <c r="M47" s="1929"/>
      <c r="N47" s="1929"/>
      <c r="O47" s="1929"/>
      <c r="Q47" s="1966"/>
      <c r="R47" s="1966"/>
    </row>
    <row r="48" spans="1:21" ht="15" customHeight="1">
      <c r="B48" s="631"/>
      <c r="C48" s="631"/>
      <c r="D48" s="501"/>
      <c r="E48" s="649"/>
      <c r="F48" s="647"/>
      <c r="G48" s="381"/>
      <c r="H48" s="381"/>
      <c r="I48" s="516"/>
      <c r="J48" s="381"/>
      <c r="K48" s="1965" t="s">
        <v>1839</v>
      </c>
      <c r="L48" s="1965"/>
      <c r="M48" s="1965"/>
      <c r="N48" s="1965"/>
      <c r="O48" s="1965"/>
      <c r="Q48" s="1930">
        <f>Q46+Q47</f>
        <v>0</v>
      </c>
      <c r="R48" s="1930"/>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6" t="s">
        <v>1603</v>
      </c>
      <c r="C52" s="1946"/>
      <c r="D52" s="1946"/>
      <c r="E52" s="1946"/>
      <c r="F52" s="647"/>
      <c r="G52" s="515">
        <f>SUM(E42:E49)-ABS(E50)-ABS(E51)</f>
        <v>4772350</v>
      </c>
      <c r="H52" s="381"/>
      <c r="I52" s="516"/>
      <c r="J52" s="381"/>
    </row>
    <row r="53" spans="1:29" ht="15" customHeight="1">
      <c r="C53" s="520"/>
      <c r="D53" s="520" t="s">
        <v>874</v>
      </c>
      <c r="E53" s="520"/>
      <c r="F53" s="520"/>
      <c r="G53" s="521">
        <f>SUM(G38:G40)+G52</f>
        <v>9241802.434656091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5" t="s">
        <v>1263</v>
      </c>
      <c r="C56" s="1945"/>
      <c r="D56" s="647"/>
      <c r="E56" s="647"/>
      <c r="F56" s="647"/>
      <c r="G56" s="647"/>
      <c r="H56" s="647"/>
      <c r="I56" s="647"/>
      <c r="J56" s="647"/>
      <c r="K56" s="647"/>
      <c r="L56" s="647"/>
      <c r="M56" s="647"/>
      <c r="N56" s="647"/>
      <c r="O56" s="647"/>
      <c r="P56" s="647"/>
      <c r="U56" s="948" t="s">
        <v>1784</v>
      </c>
      <c r="AC56" s="949">
        <v>0.2</v>
      </c>
    </row>
    <row r="57" spans="1:29" ht="15" customHeight="1">
      <c r="A57" s="518"/>
      <c r="B57" s="1944" t="s">
        <v>1598</v>
      </c>
      <c r="C57" s="1944"/>
      <c r="D57" s="1944"/>
      <c r="E57" s="1944"/>
      <c r="F57" s="1944"/>
      <c r="G57" s="1944"/>
      <c r="H57" s="1944"/>
      <c r="I57" s="1944"/>
      <c r="J57" s="1944"/>
      <c r="K57" s="1944"/>
      <c r="L57" s="1944"/>
      <c r="M57" s="1944"/>
      <c r="N57" s="1944"/>
      <c r="O57" s="1944"/>
      <c r="P57" s="647"/>
      <c r="U57" s="948" t="s">
        <v>1785</v>
      </c>
      <c r="AC57" s="949">
        <v>0.1</v>
      </c>
    </row>
    <row r="58" spans="1:29" ht="15" customHeight="1">
      <c r="B58" s="1959" t="s">
        <v>2204</v>
      </c>
      <c r="C58" s="1960"/>
      <c r="D58" s="1960"/>
      <c r="E58" s="1960"/>
      <c r="F58" s="523"/>
      <c r="G58" s="523"/>
      <c r="H58" s="513"/>
      <c r="I58" s="513"/>
      <c r="J58" s="1961">
        <f>('Sources and Uses Budget'!D104+Q47)/('Sources and Uses Budget'!B104+Q48)</f>
        <v>0</v>
      </c>
      <c r="K58" s="1962"/>
      <c r="L58" s="1962"/>
      <c r="M58" s="1962"/>
      <c r="N58" s="1963"/>
      <c r="O58" s="513"/>
      <c r="P58" s="513"/>
      <c r="U58" s="948" t="s">
        <v>1786</v>
      </c>
      <c r="AC58" s="949">
        <v>0.1</v>
      </c>
    </row>
    <row r="59" spans="1:29" ht="15" customHeight="1">
      <c r="B59" s="1943" t="s">
        <v>2106</v>
      </c>
      <c r="C59" s="1943"/>
      <c r="D59" s="1943"/>
      <c r="E59" s="1943"/>
      <c r="F59" s="1943"/>
      <c r="G59" s="1943"/>
      <c r="H59" s="1943"/>
      <c r="I59" s="1943"/>
      <c r="J59" s="1943"/>
      <c r="K59" s="1943"/>
      <c r="L59" s="1943"/>
      <c r="M59" s="1943"/>
      <c r="N59" s="1943"/>
      <c r="O59" s="1943"/>
      <c r="P59" s="513"/>
      <c r="U59" s="948" t="s">
        <v>1787</v>
      </c>
      <c r="AC59" s="949">
        <v>0.05</v>
      </c>
    </row>
    <row r="60" spans="1:29" ht="15" customHeight="1">
      <c r="B60" s="1943"/>
      <c r="C60" s="1943"/>
      <c r="D60" s="1943"/>
      <c r="E60" s="1943"/>
      <c r="F60" s="1943"/>
      <c r="G60" s="1943"/>
      <c r="H60" s="1943"/>
      <c r="I60" s="1943"/>
      <c r="J60" s="1943"/>
      <c r="K60" s="1943"/>
      <c r="L60" s="1943"/>
      <c r="M60" s="1943"/>
      <c r="N60" s="1943"/>
      <c r="O60" s="1943"/>
      <c r="P60" s="513"/>
      <c r="AC60" s="950"/>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9" t="s">
        <v>2207</v>
      </c>
      <c r="K63" s="1950"/>
      <c r="L63" s="1950"/>
      <c r="M63" s="1950"/>
      <c r="N63" s="1950"/>
      <c r="O63" s="1950"/>
      <c r="P63" s="1950"/>
      <c r="Q63" s="1950"/>
      <c r="R63" s="1950"/>
    </row>
    <row r="64" spans="1:29" ht="15" customHeight="1" thickBot="1">
      <c r="B64" s="1945" t="s">
        <v>1608</v>
      </c>
      <c r="C64" s="1945"/>
      <c r="D64" s="373"/>
      <c r="F64" s="373"/>
      <c r="G64" s="520" t="s">
        <v>1840</v>
      </c>
      <c r="H64" s="373"/>
      <c r="I64" s="755"/>
      <c r="J64" s="1951"/>
      <c r="K64" s="1952"/>
      <c r="L64" s="1952"/>
      <c r="M64" s="1952"/>
      <c r="N64" s="1952"/>
      <c r="O64" s="1952"/>
      <c r="P64" s="1952"/>
      <c r="Q64" s="1952"/>
      <c r="R64" s="1952"/>
      <c r="U64" s="947">
        <f>IF(K41="Rural project in a county where no tax credit applications have been received within 5 years",AC59,0)</f>
        <v>0</v>
      </c>
    </row>
    <row r="65" spans="1:22" ht="15" customHeight="1" thickBot="1">
      <c r="B65" s="524" t="s">
        <v>1601</v>
      </c>
      <c r="C65" s="509" t="str">
        <f>IF(OR(Application!M357="Yes",Application!M358="Yes"),"Yes","No")</f>
        <v>No</v>
      </c>
      <c r="E65" s="785"/>
      <c r="F65" s="785"/>
      <c r="G65" s="520" t="s">
        <v>1842</v>
      </c>
      <c r="H65" s="373"/>
      <c r="I65" s="755"/>
      <c r="J65" s="1951"/>
      <c r="K65" s="1952"/>
      <c r="L65" s="1952"/>
      <c r="M65" s="1952"/>
      <c r="N65" s="1952"/>
      <c r="O65" s="1952"/>
      <c r="P65" s="1952"/>
      <c r="Q65" s="1952"/>
      <c r="R65" s="1952"/>
      <c r="U65" s="947">
        <f>IF(J67="Non-rural project, Census Tract is Highest Resource (20 percentage points)",AC56,0)</f>
        <v>0</v>
      </c>
    </row>
    <row r="66" spans="1:22" ht="15" customHeight="1" thickBot="1">
      <c r="B66" s="525" t="s">
        <v>1676</v>
      </c>
      <c r="C66" s="635">
        <f>Application!AG438-Application!AG439</f>
        <v>101</v>
      </c>
      <c r="D66" s="785"/>
      <c r="E66" s="525" t="s">
        <v>1843</v>
      </c>
      <c r="F66" s="785"/>
      <c r="G66" s="652"/>
      <c r="H66" s="526"/>
      <c r="I66" s="756"/>
      <c r="J66" s="1951"/>
      <c r="K66" s="1952"/>
      <c r="L66" s="1952"/>
      <c r="M66" s="1952"/>
      <c r="N66" s="1952"/>
      <c r="O66" s="1952"/>
      <c r="P66" s="1952"/>
      <c r="Q66" s="1952"/>
      <c r="R66" s="1952"/>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101</v>
      </c>
      <c r="H67" s="526"/>
      <c r="I67" s="756"/>
      <c r="J67" s="1947" t="s">
        <v>124</v>
      </c>
      <c r="K67" s="1948"/>
      <c r="L67" s="1948"/>
      <c r="M67" s="1948"/>
      <c r="N67" s="1948"/>
      <c r="O67" s="1948"/>
      <c r="P67" s="1948"/>
      <c r="Q67" s="1948"/>
      <c r="R67" s="194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6">
        <f>SUM(U62:U68)</f>
        <v>0</v>
      </c>
    </row>
    <row r="70" spans="1:22" ht="15" customHeight="1" thickBot="1">
      <c r="B70" s="505" t="s">
        <v>1605</v>
      </c>
      <c r="C70" s="505"/>
      <c r="D70" s="505"/>
      <c r="E70" s="505"/>
      <c r="F70" s="505"/>
      <c r="G70" s="505"/>
      <c r="U70" s="1957"/>
      <c r="V70" s="370" t="s">
        <v>1788</v>
      </c>
    </row>
    <row r="71" spans="1:22" ht="15" customHeight="1">
      <c r="B71" s="1946" t="s">
        <v>1609</v>
      </c>
      <c r="C71" s="1946"/>
      <c r="D71" s="1946"/>
      <c r="E71" s="505"/>
      <c r="F71" s="505"/>
      <c r="G71" s="515">
        <f>G53*(1-J58)</f>
        <v>9241802.434656091</v>
      </c>
      <c r="J71" s="527"/>
      <c r="K71" s="684" t="s">
        <v>1611</v>
      </c>
      <c r="L71" s="684"/>
      <c r="M71" s="684"/>
      <c r="N71" s="684"/>
      <c r="O71" s="684"/>
      <c r="Q71" s="1930">
        <f>'Basis &amp; Credits'!T23+'Basis &amp; Credits'!Y23+'Basis &amp; Credits'!AD23+'Basis &amp; Credits'!AI23</f>
        <v>10948333</v>
      </c>
      <c r="R71" s="1930"/>
    </row>
    <row r="72" spans="1:22" ht="15" customHeight="1">
      <c r="B72" s="1932" t="s">
        <v>1610</v>
      </c>
      <c r="C72" s="1932"/>
      <c r="D72" s="1932"/>
      <c r="E72" s="505"/>
      <c r="F72" s="505"/>
      <c r="G72" s="515">
        <f>G71*C67</f>
        <v>9241802.434656091</v>
      </c>
      <c r="J72" s="527"/>
      <c r="K72" s="647"/>
      <c r="L72" s="647"/>
      <c r="M72" s="647"/>
      <c r="N72" s="647"/>
      <c r="O72" s="647"/>
      <c r="Q72" s="1933"/>
      <c r="R72" s="193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4">
        <f>$G$72</f>
        <v>9241802.434656091</v>
      </c>
      <c r="C75" s="1935"/>
      <c r="D75" s="1935"/>
      <c r="E75" s="1935"/>
      <c r="F75" s="1935"/>
      <c r="G75" s="1935"/>
      <c r="H75" s="528"/>
      <c r="I75" s="1936" t="s">
        <v>139</v>
      </c>
      <c r="J75" s="1937" t="s">
        <v>991</v>
      </c>
      <c r="K75" s="1936">
        <v>1</v>
      </c>
      <c r="M75" s="392"/>
      <c r="N75" s="507"/>
      <c r="O75" s="654">
        <f>$Q$71</f>
        <v>10948333</v>
      </c>
      <c r="P75" s="1937" t="s">
        <v>1928</v>
      </c>
      <c r="Q75" s="1938" t="s">
        <v>138</v>
      </c>
      <c r="R75" s="1941">
        <f>((B75/B76)+((1-(O75/O76))/2))+U69</f>
        <v>0.7088781766996326</v>
      </c>
    </row>
    <row r="76" spans="1:22" ht="15" customHeight="1" thickBot="1">
      <c r="B76" s="1939">
        <f>'Sources and Uses Budget'!$C$104+$Q$46-($E$50+$E$51)*(1-$J$58)</f>
        <v>18037480</v>
      </c>
      <c r="C76" s="1940"/>
      <c r="D76" s="1940"/>
      <c r="E76" s="1940"/>
      <c r="F76" s="1940"/>
      <c r="G76" s="1939"/>
      <c r="I76" s="1936"/>
      <c r="J76" s="1937"/>
      <c r="K76" s="1936"/>
      <c r="M76" s="645"/>
      <c r="O76" s="653">
        <f>B76</f>
        <v>18037480</v>
      </c>
      <c r="P76" s="1937"/>
      <c r="Q76" s="1938"/>
      <c r="R76" s="194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8"/>
      <c r="R84" s="1928"/>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8"/>
      <c r="R89" s="1928"/>
    </row>
    <row r="90" spans="2:18" ht="15" customHeight="1">
      <c r="B90" s="494" t="s">
        <v>2483</v>
      </c>
      <c r="C90" s="495">
        <v>92</v>
      </c>
      <c r="D90" s="496">
        <v>660</v>
      </c>
      <c r="E90" s="496">
        <v>1095</v>
      </c>
      <c r="F90" s="537"/>
      <c r="G90" s="381">
        <f>MAX(($E90-$D90)*$C90*12,0)</f>
        <v>480240</v>
      </c>
      <c r="I90" s="516"/>
      <c r="K90" s="753" t="s">
        <v>1620</v>
      </c>
      <c r="L90" s="681"/>
      <c r="M90" s="681"/>
      <c r="N90" s="681"/>
      <c r="O90" s="681"/>
      <c r="P90" s="681"/>
      <c r="Q90" s="1931"/>
      <c r="R90" s="1931"/>
    </row>
    <row r="91" spans="2:18" ht="15" customHeight="1">
      <c r="B91" s="494" t="s">
        <v>614</v>
      </c>
      <c r="C91" s="495"/>
      <c r="D91" s="496"/>
      <c r="E91" s="496"/>
      <c r="F91" s="537"/>
      <c r="G91" s="381">
        <f t="shared" ref="G91:G97" si="0">MAX(($E91-$D91)*$C91*12,0)</f>
        <v>0</v>
      </c>
      <c r="I91" s="516"/>
      <c r="K91" s="753" t="s">
        <v>1623</v>
      </c>
      <c r="L91" s="681"/>
      <c r="M91" s="681"/>
      <c r="N91" s="681"/>
      <c r="O91" s="681"/>
      <c r="P91" s="681"/>
      <c r="Q91" s="1929">
        <f>IFERROR(Q89/Q90,0)</f>
        <v>0</v>
      </c>
      <c r="R91" s="1929"/>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0">
        <f>MAX(Q84,Q91)</f>
        <v>0</v>
      </c>
      <c r="R93" s="1930"/>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480240</v>
      </c>
      <c r="I98" s="516"/>
    </row>
    <row r="99" spans="2:9" ht="15" customHeight="1">
      <c r="I99" s="516"/>
    </row>
    <row r="100" spans="2:9" ht="15" customHeight="1">
      <c r="B100" s="373" t="s">
        <v>1621</v>
      </c>
      <c r="D100" s="517">
        <f>G98+Q93</f>
        <v>480240</v>
      </c>
      <c r="I100" s="516"/>
    </row>
    <row r="101" spans="2:9" ht="15" customHeight="1">
      <c r="B101" s="373" t="s">
        <v>987</v>
      </c>
      <c r="D101" s="533">
        <v>0.05</v>
      </c>
      <c r="I101" s="516"/>
    </row>
    <row r="102" spans="2:9" ht="15" customHeight="1">
      <c r="B102" s="373" t="s">
        <v>1016</v>
      </c>
      <c r="D102" s="517">
        <f>D100-(D100*D101)</f>
        <v>456228</v>
      </c>
    </row>
    <row r="103" spans="2:9" ht="15" customHeight="1">
      <c r="B103" s="373" t="s">
        <v>1613</v>
      </c>
      <c r="D103" s="534"/>
    </row>
    <row r="104" spans="2:9" ht="15" customHeight="1">
      <c r="B104" s="373" t="s">
        <v>1622</v>
      </c>
      <c r="D104" s="517">
        <f>D102/D108</f>
        <v>396720.00000000006</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4469452.4346560901</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63" sqref="E63"/>
    </sheetView>
  </sheetViews>
  <sheetFormatPr defaultColWidth="0" defaultRowHeight="12.45" zeroHeight="1"/>
  <cols>
    <col min="1" max="1" width="3.53515625" customWidth="1"/>
    <col min="2" max="2" width="32.84375" customWidth="1"/>
    <col min="3" max="3" width="9.4609375" customWidth="1"/>
    <col min="4" max="4" width="2.53515625" customWidth="1"/>
    <col min="5" max="5" width="12.53515625" customWidth="1"/>
    <col min="6" max="6" width="2.53515625" customWidth="1"/>
    <col min="7" max="7" width="12.53515625" customWidth="1"/>
    <col min="8" max="8" width="2.53515625" customWidth="1"/>
    <col min="9" max="9" width="12.53515625" customWidth="1"/>
    <col min="10" max="10" width="2.53515625" customWidth="1"/>
    <col min="11" max="11" width="12.53515625" customWidth="1"/>
    <col min="12" max="12" width="2.53515625" customWidth="1"/>
    <col min="13" max="13" width="12.53515625" customWidth="1"/>
    <col min="14" max="14" width="2.53515625" customWidth="1"/>
    <col min="15" max="15" width="12.53515625" customWidth="1"/>
    <col min="16" max="16" width="2.53515625" customWidth="1"/>
    <col min="17" max="17" width="12.53515625" customWidth="1"/>
    <col min="18" max="18" width="2.53515625" customWidth="1"/>
    <col min="19" max="19" width="12.53515625" customWidth="1"/>
    <col min="20" max="20" width="2.53515625" customWidth="1"/>
    <col min="21" max="21" width="12.53515625" customWidth="1"/>
    <col min="22" max="22" width="2.53515625" customWidth="1"/>
    <col min="23" max="23" width="12.53515625" customWidth="1"/>
    <col min="24" max="24" width="2.53515625" customWidth="1"/>
    <col min="25" max="25" width="12.53515625" customWidth="1"/>
    <col min="26" max="26" width="2.53515625" customWidth="1"/>
    <col min="27" max="27" width="12.53515625" customWidth="1"/>
    <col min="28" max="28" width="2.53515625" customWidth="1"/>
    <col min="29" max="29" width="12.53515625" customWidth="1"/>
    <col min="30" max="30" width="2.53515625" customWidth="1"/>
    <col min="31" max="31" width="12.53515625" customWidth="1"/>
    <col min="32" max="32" width="2.53515625" customWidth="1"/>
    <col min="33" max="33" width="12.53515625" customWidth="1"/>
    <col min="34" max="34" width="2.53515625" customWidth="1"/>
  </cols>
  <sheetData>
    <row r="1" spans="1:34" ht="17.600000000000001">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4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15">
      <c r="A4" s="381" t="s">
        <v>1072</v>
      </c>
      <c r="B4" s="381"/>
      <c r="C4" s="404">
        <v>1.0249999999999999</v>
      </c>
      <c r="D4" s="381"/>
      <c r="E4" s="381">
        <f>Application!Y788</f>
        <v>950400</v>
      </c>
      <c r="F4" s="381"/>
      <c r="G4" s="381">
        <f>E4*$C$4</f>
        <v>974159.99999999988</v>
      </c>
      <c r="H4" s="381"/>
      <c r="I4" s="381">
        <f>G4*$C$4</f>
        <v>998513.99999999977</v>
      </c>
      <c r="J4" s="381"/>
      <c r="K4" s="381">
        <f>I4*$C$4</f>
        <v>1023476.8499999996</v>
      </c>
      <c r="L4" s="381"/>
      <c r="M4" s="381">
        <f>K4*$C$4</f>
        <v>1049063.7712499995</v>
      </c>
      <c r="N4" s="381"/>
      <c r="O4" s="381">
        <f>M4*$C$4</f>
        <v>1075290.3655312494</v>
      </c>
      <c r="P4" s="381"/>
      <c r="Q4" s="381">
        <f>O4*$C$4</f>
        <v>1102172.6246695307</v>
      </c>
      <c r="R4" s="381"/>
      <c r="S4" s="381">
        <f>Q4*$C$4</f>
        <v>1129726.9402862689</v>
      </c>
      <c r="T4" s="381"/>
      <c r="U4" s="381">
        <f>S4*$C$4</f>
        <v>1157970.1137934255</v>
      </c>
      <c r="V4" s="381"/>
      <c r="W4" s="381">
        <f>U4*$C$4</f>
        <v>1186919.3666382611</v>
      </c>
      <c r="X4" s="381"/>
      <c r="Y4" s="381">
        <f>W4*$C$4</f>
        <v>1216592.3508042176</v>
      </c>
      <c r="Z4" s="381"/>
      <c r="AA4" s="381">
        <f>Y4*$C$4</f>
        <v>1247007.1595743229</v>
      </c>
      <c r="AB4" s="381"/>
      <c r="AC4" s="381">
        <f>AA4*$C$4</f>
        <v>1278182.3385636809</v>
      </c>
      <c r="AD4" s="381"/>
      <c r="AE4" s="381">
        <f>AC4*$C$4</f>
        <v>1310136.8970277729</v>
      </c>
      <c r="AF4" s="381"/>
      <c r="AG4" s="381">
        <f>AE4*$C$4</f>
        <v>1342890.3194534671</v>
      </c>
      <c r="AH4" s="381"/>
    </row>
    <row r="5" spans="1:34" ht="14.15">
      <c r="A5" s="373"/>
      <c r="B5" s="373" t="s">
        <v>987</v>
      </c>
      <c r="C5" s="405">
        <f>IF(Application!$D$214="Special Needs",(((0.1*Application!$V$215)+(0.05*(1-Application!$V$215)))),0.05)</f>
        <v>0.05</v>
      </c>
      <c r="D5" s="373"/>
      <c r="E5" s="383">
        <f>-E4*$C$5</f>
        <v>-47520</v>
      </c>
      <c r="F5" s="383"/>
      <c r="G5" s="383">
        <f>-G4*$C$5</f>
        <v>-48708</v>
      </c>
      <c r="H5" s="383"/>
      <c r="I5" s="383">
        <f>-I4*$C$5</f>
        <v>-49925.69999999999</v>
      </c>
      <c r="J5" s="383"/>
      <c r="K5" s="383">
        <f>-K4*$C$5</f>
        <v>-51173.842499999984</v>
      </c>
      <c r="L5" s="383"/>
      <c r="M5" s="383">
        <f>-M4*$C$5</f>
        <v>-52453.188562499978</v>
      </c>
      <c r="N5" s="383"/>
      <c r="O5" s="383">
        <f>-O4*$C$5</f>
        <v>-53764.518276562478</v>
      </c>
      <c r="P5" s="383"/>
      <c r="Q5" s="383">
        <f>-Q4*$C$5</f>
        <v>-55108.631233476539</v>
      </c>
      <c r="R5" s="383"/>
      <c r="S5" s="383">
        <f>-S4*$C$5</f>
        <v>-56486.347014313447</v>
      </c>
      <c r="T5" s="383"/>
      <c r="U5" s="383">
        <f>-U4*$C$5</f>
        <v>-57898.505689671278</v>
      </c>
      <c r="V5" s="383"/>
      <c r="W5" s="383">
        <f>-W4*$C$5</f>
        <v>-59345.968331913056</v>
      </c>
      <c r="X5" s="383"/>
      <c r="Y5" s="383">
        <f>-Y4*$C$5</f>
        <v>-60829.617540210886</v>
      </c>
      <c r="Z5" s="383"/>
      <c r="AA5" s="383">
        <f>-AA4*$C$5</f>
        <v>-62350.357978716143</v>
      </c>
      <c r="AB5" s="383"/>
      <c r="AC5" s="383">
        <f>-AC4*$C$5</f>
        <v>-63909.116928184048</v>
      </c>
      <c r="AD5" s="383"/>
      <c r="AE5" s="383">
        <f>-AE4*$C$5</f>
        <v>-65506.844851388647</v>
      </c>
      <c r="AF5" s="383"/>
      <c r="AG5" s="383">
        <f>-AG4*$C$5</f>
        <v>-67144.515972673355</v>
      </c>
      <c r="AH5" s="373"/>
    </row>
    <row r="6" spans="1:34" ht="14.15">
      <c r="A6" s="373" t="s">
        <v>1073</v>
      </c>
      <c r="B6" s="373"/>
      <c r="C6" s="404">
        <v>1.0249999999999999</v>
      </c>
      <c r="D6" s="373"/>
      <c r="E6" s="384">
        <f>Application!Z796</f>
        <v>647184</v>
      </c>
      <c r="F6" s="384"/>
      <c r="G6" s="384">
        <f>E6*$C$6</f>
        <v>663363.6</v>
      </c>
      <c r="H6" s="384"/>
      <c r="I6" s="384">
        <f>G6*$C$6</f>
        <v>679947.69</v>
      </c>
      <c r="J6" s="384"/>
      <c r="K6" s="384">
        <f>I6*$C$6</f>
        <v>696946.38224999991</v>
      </c>
      <c r="L6" s="384"/>
      <c r="M6" s="384">
        <f>K6*$C$6</f>
        <v>714370.04180624988</v>
      </c>
      <c r="N6" s="384"/>
      <c r="O6" s="384">
        <f>M6*$C$6</f>
        <v>732229.29285140603</v>
      </c>
      <c r="P6" s="384"/>
      <c r="Q6" s="384">
        <f>O6*$C$6</f>
        <v>750535.02517269109</v>
      </c>
      <c r="R6" s="384"/>
      <c r="S6" s="384">
        <f>Q6*$C$6</f>
        <v>769298.40080200834</v>
      </c>
      <c r="T6" s="384"/>
      <c r="U6" s="384">
        <f>S6*$C$6</f>
        <v>788530.86082205852</v>
      </c>
      <c r="V6" s="384"/>
      <c r="W6" s="384">
        <f>U6*$C$6</f>
        <v>808244.13234260993</v>
      </c>
      <c r="X6" s="384"/>
      <c r="Y6" s="384">
        <f>W6*$C$6</f>
        <v>828450.23565117514</v>
      </c>
      <c r="Z6" s="384"/>
      <c r="AA6" s="384">
        <f>Y6*$C$6</f>
        <v>849161.49154245446</v>
      </c>
      <c r="AB6" s="384"/>
      <c r="AC6" s="384">
        <f>AA6*$C$6</f>
        <v>870390.52883101569</v>
      </c>
      <c r="AD6" s="384"/>
      <c r="AE6" s="384">
        <f>AC6*$C$6</f>
        <v>892150.29205179098</v>
      </c>
      <c r="AF6" s="384"/>
      <c r="AG6" s="384">
        <f>AE6*$C$6</f>
        <v>914454.04935308569</v>
      </c>
      <c r="AH6" s="373"/>
    </row>
    <row r="7" spans="1:34" ht="14.15">
      <c r="A7" s="373"/>
      <c r="B7" s="373" t="s">
        <v>987</v>
      </c>
      <c r="C7" s="405">
        <f>IF(Application!$D$214="Special Needs",(((0.1*Application!$V$215)+(0.05*(1-Application!$V$215)))),0.05)</f>
        <v>0.05</v>
      </c>
      <c r="D7" s="373"/>
      <c r="E7" s="383">
        <f>-E6*$C$7</f>
        <v>-32359.200000000001</v>
      </c>
      <c r="F7" s="383"/>
      <c r="G7" s="383">
        <f>-G6*$C$7</f>
        <v>-33168.18</v>
      </c>
      <c r="H7" s="383"/>
      <c r="I7" s="383">
        <f>-I6*$C$7</f>
        <v>-33997.3845</v>
      </c>
      <c r="J7" s="383"/>
      <c r="K7" s="383">
        <f>-K6*$C$7</f>
        <v>-34847.319112499994</v>
      </c>
      <c r="L7" s="383"/>
      <c r="M7" s="383">
        <f>-M6*$C$7</f>
        <v>-35718.502090312497</v>
      </c>
      <c r="N7" s="383"/>
      <c r="O7" s="383">
        <f>-O6*$C$7</f>
        <v>-36611.464642570303</v>
      </c>
      <c r="P7" s="383"/>
      <c r="Q7" s="383">
        <f>-Q6*$C$7</f>
        <v>-37526.751258634555</v>
      </c>
      <c r="R7" s="383"/>
      <c r="S7" s="383">
        <f>-S6*$C$7</f>
        <v>-38464.92004010042</v>
      </c>
      <c r="T7" s="383"/>
      <c r="U7" s="383">
        <f>-U6*$C$7</f>
        <v>-39426.54304110293</v>
      </c>
      <c r="V7" s="383"/>
      <c r="W7" s="383">
        <f>-W6*$C$7</f>
        <v>-40412.206617130498</v>
      </c>
      <c r="X7" s="383"/>
      <c r="Y7" s="383">
        <f>-Y6*$C$7</f>
        <v>-41422.511782558759</v>
      </c>
      <c r="Z7" s="383"/>
      <c r="AA7" s="383">
        <f>-AA6*$C$7</f>
        <v>-42458.074577122723</v>
      </c>
      <c r="AB7" s="383"/>
      <c r="AC7" s="383">
        <f>-AC6*$C$7</f>
        <v>-43519.526441550785</v>
      </c>
      <c r="AD7" s="383"/>
      <c r="AE7" s="383">
        <f>-AE6*$C$7</f>
        <v>-44607.514602589552</v>
      </c>
      <c r="AF7" s="383"/>
      <c r="AG7" s="383">
        <f>-AG6*$C$7</f>
        <v>-45722.702467654286</v>
      </c>
      <c r="AH7" s="373"/>
    </row>
    <row r="8" spans="1:34" ht="14.15">
      <c r="A8" s="373" t="s">
        <v>261</v>
      </c>
      <c r="B8" s="373"/>
      <c r="C8" s="404">
        <v>1.0249999999999999</v>
      </c>
      <c r="D8" s="373"/>
      <c r="E8" s="384">
        <f>Application!Z804</f>
        <v>12450</v>
      </c>
      <c r="F8" s="384"/>
      <c r="G8" s="384">
        <f>E8*$C$8</f>
        <v>12761.249999999998</v>
      </c>
      <c r="H8" s="384"/>
      <c r="I8" s="384">
        <f>G8*$C$8</f>
        <v>13080.281249999996</v>
      </c>
      <c r="J8" s="384"/>
      <c r="K8" s="384">
        <f>I8*$C$8</f>
        <v>13407.288281249996</v>
      </c>
      <c r="L8" s="384"/>
      <c r="M8" s="384">
        <f>K8*$C$8</f>
        <v>13742.470488281244</v>
      </c>
      <c r="N8" s="384"/>
      <c r="O8" s="384">
        <f>M8*$C$8</f>
        <v>14086.032250488273</v>
      </c>
      <c r="P8" s="384"/>
      <c r="Q8" s="384">
        <f>O8*$C$8</f>
        <v>14438.183056750478</v>
      </c>
      <c r="R8" s="384"/>
      <c r="S8" s="384">
        <f>Q8*$C$8</f>
        <v>14799.137633169239</v>
      </c>
      <c r="T8" s="384"/>
      <c r="U8" s="384">
        <f>S8*$C$8</f>
        <v>15169.116073998468</v>
      </c>
      <c r="V8" s="384"/>
      <c r="W8" s="384">
        <f>U8*$C$8</f>
        <v>15548.343975848429</v>
      </c>
      <c r="X8" s="384"/>
      <c r="Y8" s="384">
        <f>W8*$C$8</f>
        <v>15937.052575244639</v>
      </c>
      <c r="Z8" s="384"/>
      <c r="AA8" s="384">
        <f>Y8*$C$8</f>
        <v>16335.478889625754</v>
      </c>
      <c r="AB8" s="384"/>
      <c r="AC8" s="384">
        <f>AA8*$C$8</f>
        <v>16743.865861866398</v>
      </c>
      <c r="AD8" s="384"/>
      <c r="AE8" s="384">
        <f>AC8*$C$8</f>
        <v>17162.462508413057</v>
      </c>
      <c r="AF8" s="384"/>
      <c r="AG8" s="384">
        <f>AE8*$C$8</f>
        <v>17591.524071123382</v>
      </c>
      <c r="AH8" s="373"/>
    </row>
    <row r="9" spans="1:34" ht="14.15">
      <c r="A9" s="373"/>
      <c r="B9" s="373" t="s">
        <v>987</v>
      </c>
      <c r="C9" s="405">
        <f>IF(Application!$D$214="Special Needs",(((0.1*Application!$V$215)+(0.05*(1-Application!$V$215)))),0.05)</f>
        <v>0.05</v>
      </c>
      <c r="D9" s="373"/>
      <c r="E9" s="383">
        <f>-E8*$C$9</f>
        <v>-622.5</v>
      </c>
      <c r="F9" s="383"/>
      <c r="G9" s="383">
        <f>-G8*$C$9</f>
        <v>-638.0625</v>
      </c>
      <c r="H9" s="383"/>
      <c r="I9" s="383">
        <f>-I8*$C$9</f>
        <v>-654.01406249999991</v>
      </c>
      <c r="J9" s="383"/>
      <c r="K9" s="383">
        <f>-K8*$C$9</f>
        <v>-670.3644140624998</v>
      </c>
      <c r="L9" s="383"/>
      <c r="M9" s="383">
        <f>-M8*$C$9</f>
        <v>-687.12352441406222</v>
      </c>
      <c r="N9" s="383"/>
      <c r="O9" s="383">
        <f>-O8*$C$9</f>
        <v>-704.30161252441371</v>
      </c>
      <c r="P9" s="383"/>
      <c r="Q9" s="383">
        <f>-Q8*$C$9</f>
        <v>-721.90915283752395</v>
      </c>
      <c r="R9" s="383"/>
      <c r="S9" s="383">
        <f>-S8*$C$9</f>
        <v>-739.95688165846195</v>
      </c>
      <c r="T9" s="383"/>
      <c r="U9" s="383">
        <f>-U8*$C$9</f>
        <v>-758.45580369992342</v>
      </c>
      <c r="V9" s="383"/>
      <c r="W9" s="383">
        <f>-W8*$C$9</f>
        <v>-777.41719879242146</v>
      </c>
      <c r="X9" s="383"/>
      <c r="Y9" s="383">
        <f>-Y8*$C$9</f>
        <v>-796.85262876223203</v>
      </c>
      <c r="Z9" s="383"/>
      <c r="AA9" s="383">
        <f>-AA8*$C$9</f>
        <v>-816.7739444812878</v>
      </c>
      <c r="AB9" s="383"/>
      <c r="AC9" s="383">
        <f>-AC8*$C$9</f>
        <v>-837.19329309331988</v>
      </c>
      <c r="AD9" s="383"/>
      <c r="AE9" s="383">
        <f>-AE8*$C$9</f>
        <v>-858.12312542065285</v>
      </c>
      <c r="AF9" s="383"/>
      <c r="AG9" s="383">
        <f>-AG8*$C$9</f>
        <v>-879.57620355616916</v>
      </c>
      <c r="AH9" s="373"/>
    </row>
    <row r="10" spans="1:34" ht="14.1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15">
      <c r="A11" s="385" t="s">
        <v>1074</v>
      </c>
      <c r="B11" s="385"/>
      <c r="C11" s="378"/>
      <c r="D11" s="385"/>
      <c r="E11" s="385">
        <f>SUM(E4:E10)</f>
        <v>1529532.3</v>
      </c>
      <c r="F11" s="385"/>
      <c r="G11" s="385">
        <f>SUM(G4:G10)</f>
        <v>1567770.6074999999</v>
      </c>
      <c r="H11" s="385"/>
      <c r="I11" s="385">
        <f>SUM(I4:I10)</f>
        <v>1606964.8726874997</v>
      </c>
      <c r="J11" s="385"/>
      <c r="K11" s="385">
        <f>SUM(K4:K10)</f>
        <v>1647138.9945046871</v>
      </c>
      <c r="L11" s="385"/>
      <c r="M11" s="385">
        <f>SUM(M4:M10)</f>
        <v>1688317.4693673039</v>
      </c>
      <c r="N11" s="385"/>
      <c r="O11" s="385">
        <f>SUM(O4:O10)</f>
        <v>1730525.4061014866</v>
      </c>
      <c r="P11" s="385"/>
      <c r="Q11" s="385">
        <f>SUM(Q4:Q10)</f>
        <v>1773788.5412540238</v>
      </c>
      <c r="R11" s="385"/>
      <c r="S11" s="385">
        <f>SUM(S4:S10)</f>
        <v>1818133.2547853743</v>
      </c>
      <c r="T11" s="385"/>
      <c r="U11" s="385">
        <f>SUM(U4:U10)</f>
        <v>1863586.5861550083</v>
      </c>
      <c r="V11" s="385"/>
      <c r="W11" s="385">
        <f>SUM(W4:W10)</f>
        <v>1910176.2508088837</v>
      </c>
      <c r="X11" s="385"/>
      <c r="Y11" s="385">
        <f>SUM(Y4:Y10)</f>
        <v>1957930.6570791053</v>
      </c>
      <c r="Z11" s="385"/>
      <c r="AA11" s="385">
        <f>SUM(AA4:AA10)</f>
        <v>2006878.923506083</v>
      </c>
      <c r="AB11" s="385"/>
      <c r="AC11" s="385">
        <f>SUM(AC4:AC10)</f>
        <v>2057050.8965937349</v>
      </c>
      <c r="AD11" s="385"/>
      <c r="AE11" s="385">
        <f>SUM(AE4:AE10)</f>
        <v>2108477.1690085782</v>
      </c>
      <c r="AF11" s="385"/>
      <c r="AG11" s="385">
        <f>SUM(AG4:AG10)</f>
        <v>2161189.098233792</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4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1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15">
      <c r="A15" s="381" t="s">
        <v>1077</v>
      </c>
      <c r="B15" s="381"/>
      <c r="C15" s="396"/>
      <c r="D15" s="381"/>
      <c r="E15" s="381">
        <f>Application!W834</f>
        <v>47549</v>
      </c>
      <c r="F15" s="381"/>
      <c r="G15" s="381">
        <f t="shared" ref="G15:G21" si="0">E15*$C$14</f>
        <v>49213.214999999997</v>
      </c>
      <c r="H15" s="381"/>
      <c r="I15" s="381">
        <f t="shared" ref="I15:I21" si="1">G15*$C$14</f>
        <v>50935.677524999992</v>
      </c>
      <c r="J15" s="381"/>
      <c r="K15" s="381">
        <f t="shared" ref="K15:K21" si="2">I15*$C$14</f>
        <v>52718.426238374988</v>
      </c>
      <c r="L15" s="381"/>
      <c r="M15" s="381">
        <f t="shared" ref="M15:M21" si="3">K15*$C$14</f>
        <v>54563.571156718106</v>
      </c>
      <c r="N15" s="381"/>
      <c r="O15" s="381">
        <f t="shared" ref="O15:O21" si="4">M15*$C$14</f>
        <v>56473.296147203233</v>
      </c>
      <c r="P15" s="381"/>
      <c r="Q15" s="381">
        <f t="shared" ref="Q15:Q21" si="5">O15*$C$14</f>
        <v>58449.861512355339</v>
      </c>
      <c r="R15" s="381"/>
      <c r="S15" s="381">
        <f t="shared" ref="S15:S21" si="6">Q15*$C$14</f>
        <v>60495.606665287771</v>
      </c>
      <c r="T15" s="381"/>
      <c r="U15" s="381">
        <f t="shared" ref="U15:U21" si="7">S15*$C$14</f>
        <v>62612.952898572839</v>
      </c>
      <c r="V15" s="381"/>
      <c r="W15" s="381">
        <f t="shared" ref="W15:W21" si="8">U15*$C$14</f>
        <v>64804.406250022883</v>
      </c>
      <c r="X15" s="381"/>
      <c r="Y15" s="381">
        <f t="shared" ref="Y15:Y21" si="9">W15*$C$14</f>
        <v>67072.560468773678</v>
      </c>
      <c r="Z15" s="381"/>
      <c r="AA15" s="381">
        <f t="shared" ref="AA15:AA21" si="10">Y15*$C$14</f>
        <v>69420.100085180748</v>
      </c>
      <c r="AB15" s="381"/>
      <c r="AC15" s="381">
        <f t="shared" ref="AC15:AC21" si="11">AA15*$C$14</f>
        <v>71849.803588162074</v>
      </c>
      <c r="AD15" s="381"/>
      <c r="AE15" s="381">
        <f t="shared" ref="AE15:AE21" si="12">AC15*$C$14</f>
        <v>74364.546713747739</v>
      </c>
      <c r="AF15" s="381"/>
      <c r="AG15" s="381">
        <f t="shared" ref="AG15:AG21" si="13">AE15*$C$14</f>
        <v>76967.305848728909</v>
      </c>
      <c r="AH15" s="381"/>
    </row>
    <row r="16" spans="1:34" ht="14.15">
      <c r="A16" s="373" t="s">
        <v>468</v>
      </c>
      <c r="B16" s="373"/>
      <c r="C16" s="395"/>
      <c r="D16" s="373"/>
      <c r="E16" s="384">
        <f>Application!W836</f>
        <v>106800</v>
      </c>
      <c r="F16" s="384"/>
      <c r="G16" s="384">
        <f t="shared" si="0"/>
        <v>110537.99999999999</v>
      </c>
      <c r="H16" s="384"/>
      <c r="I16" s="384">
        <f t="shared" si="1"/>
        <v>114406.82999999997</v>
      </c>
      <c r="J16" s="384"/>
      <c r="K16" s="384">
        <f t="shared" si="2"/>
        <v>118411.06904999996</v>
      </c>
      <c r="L16" s="384"/>
      <c r="M16" s="384">
        <f t="shared" si="3"/>
        <v>122555.45646674995</v>
      </c>
      <c r="N16" s="384"/>
      <c r="O16" s="384">
        <f t="shared" si="4"/>
        <v>126844.89744308619</v>
      </c>
      <c r="P16" s="384"/>
      <c r="Q16" s="384">
        <f t="shared" si="5"/>
        <v>131284.46885359418</v>
      </c>
      <c r="R16" s="384"/>
      <c r="S16" s="384">
        <f t="shared" si="6"/>
        <v>135879.42526346998</v>
      </c>
      <c r="T16" s="384"/>
      <c r="U16" s="384">
        <f t="shared" si="7"/>
        <v>140635.20514769142</v>
      </c>
      <c r="V16" s="384"/>
      <c r="W16" s="384">
        <f t="shared" si="8"/>
        <v>145557.43732786062</v>
      </c>
      <c r="X16" s="384"/>
      <c r="Y16" s="384">
        <f t="shared" si="9"/>
        <v>150651.94763433572</v>
      </c>
      <c r="Z16" s="384"/>
      <c r="AA16" s="384">
        <f t="shared" si="10"/>
        <v>155924.76580153746</v>
      </c>
      <c r="AB16" s="384"/>
      <c r="AC16" s="384">
        <f t="shared" si="11"/>
        <v>161382.13260459126</v>
      </c>
      <c r="AD16" s="384"/>
      <c r="AE16" s="384">
        <f t="shared" si="12"/>
        <v>167030.50724575194</v>
      </c>
      <c r="AF16" s="384"/>
      <c r="AG16" s="384">
        <f t="shared" si="13"/>
        <v>172876.57499935324</v>
      </c>
      <c r="AH16" s="373"/>
    </row>
    <row r="17" spans="1:34" ht="14.15">
      <c r="A17" s="373" t="s">
        <v>733</v>
      </c>
      <c r="B17" s="373"/>
      <c r="C17" s="395"/>
      <c r="D17" s="373"/>
      <c r="E17" s="384">
        <f>Application!W842</f>
        <v>283621</v>
      </c>
      <c r="F17" s="384"/>
      <c r="G17" s="384">
        <f t="shared" si="0"/>
        <v>293547.73499999999</v>
      </c>
      <c r="H17" s="384"/>
      <c r="I17" s="384">
        <f t="shared" si="1"/>
        <v>303821.90572499996</v>
      </c>
      <c r="J17" s="384"/>
      <c r="K17" s="384">
        <f t="shared" si="2"/>
        <v>314455.67242537491</v>
      </c>
      <c r="L17" s="384"/>
      <c r="M17" s="384">
        <f t="shared" si="3"/>
        <v>325461.62096026301</v>
      </c>
      <c r="N17" s="384"/>
      <c r="O17" s="384">
        <f t="shared" si="4"/>
        <v>336852.77769387217</v>
      </c>
      <c r="P17" s="384"/>
      <c r="Q17" s="384">
        <f t="shared" si="5"/>
        <v>348642.62491315766</v>
      </c>
      <c r="R17" s="384"/>
      <c r="S17" s="384">
        <f t="shared" si="6"/>
        <v>360845.11678511818</v>
      </c>
      <c r="T17" s="384"/>
      <c r="U17" s="384">
        <f t="shared" si="7"/>
        <v>373474.69587259728</v>
      </c>
      <c r="V17" s="384"/>
      <c r="W17" s="384">
        <f t="shared" si="8"/>
        <v>386546.31022813817</v>
      </c>
      <c r="X17" s="384"/>
      <c r="Y17" s="384">
        <f t="shared" si="9"/>
        <v>400075.43108612299</v>
      </c>
      <c r="Z17" s="384"/>
      <c r="AA17" s="384">
        <f t="shared" si="10"/>
        <v>414078.07117413724</v>
      </c>
      <c r="AB17" s="384"/>
      <c r="AC17" s="384">
        <f t="shared" si="11"/>
        <v>428570.80366523203</v>
      </c>
      <c r="AD17" s="384"/>
      <c r="AE17" s="384">
        <f t="shared" si="12"/>
        <v>443570.78179351514</v>
      </c>
      <c r="AF17" s="384"/>
      <c r="AG17" s="384">
        <f t="shared" si="13"/>
        <v>459095.75915628811</v>
      </c>
      <c r="AH17" s="373"/>
    </row>
    <row r="18" spans="1:34" ht="14.15">
      <c r="A18" s="373" t="s">
        <v>1078</v>
      </c>
      <c r="B18" s="373"/>
      <c r="C18" s="395"/>
      <c r="D18" s="373"/>
      <c r="E18" s="384">
        <f>Application!W849</f>
        <v>228174</v>
      </c>
      <c r="F18" s="384"/>
      <c r="G18" s="384">
        <f t="shared" si="0"/>
        <v>236160.08999999997</v>
      </c>
      <c r="H18" s="384"/>
      <c r="I18" s="384">
        <f t="shared" si="1"/>
        <v>244425.69314999995</v>
      </c>
      <c r="J18" s="384"/>
      <c r="K18" s="384">
        <f t="shared" si="2"/>
        <v>252980.59241024993</v>
      </c>
      <c r="L18" s="384"/>
      <c r="M18" s="384">
        <f t="shared" si="3"/>
        <v>261834.91314460864</v>
      </c>
      <c r="N18" s="384"/>
      <c r="O18" s="384">
        <f t="shared" si="4"/>
        <v>270999.1351046699</v>
      </c>
      <c r="P18" s="384"/>
      <c r="Q18" s="384">
        <f t="shared" si="5"/>
        <v>280484.10483333335</v>
      </c>
      <c r="R18" s="384"/>
      <c r="S18" s="384">
        <f t="shared" si="6"/>
        <v>290301.04850249999</v>
      </c>
      <c r="T18" s="384"/>
      <c r="U18" s="384">
        <f t="shared" si="7"/>
        <v>300461.58520008746</v>
      </c>
      <c r="V18" s="384"/>
      <c r="W18" s="384">
        <f t="shared" si="8"/>
        <v>310977.74068209052</v>
      </c>
      <c r="X18" s="384"/>
      <c r="Y18" s="384">
        <f t="shared" si="9"/>
        <v>321861.96160596365</v>
      </c>
      <c r="Z18" s="384"/>
      <c r="AA18" s="384">
        <f t="shared" si="10"/>
        <v>333127.13026217237</v>
      </c>
      <c r="AB18" s="384"/>
      <c r="AC18" s="384">
        <f t="shared" si="11"/>
        <v>344786.57982134836</v>
      </c>
      <c r="AD18" s="384"/>
      <c r="AE18" s="384">
        <f t="shared" si="12"/>
        <v>356854.11011509551</v>
      </c>
      <c r="AF18" s="384"/>
      <c r="AG18" s="384">
        <f t="shared" si="13"/>
        <v>369344.00396912382</v>
      </c>
    </row>
    <row r="19" spans="1:34" ht="14.15">
      <c r="A19" s="373" t="s">
        <v>930</v>
      </c>
      <c r="B19" s="373"/>
      <c r="C19" s="395"/>
      <c r="D19" s="373"/>
      <c r="E19" s="384">
        <f>Application!W850</f>
        <v>0</v>
      </c>
      <c r="F19" s="384"/>
      <c r="G19" s="384">
        <f t="shared" si="0"/>
        <v>0</v>
      </c>
      <c r="H19" s="384"/>
      <c r="I19" s="384">
        <f t="shared" si="1"/>
        <v>0</v>
      </c>
      <c r="J19" s="384"/>
      <c r="K19" s="384">
        <f t="shared" si="2"/>
        <v>0</v>
      </c>
      <c r="L19" s="384"/>
      <c r="M19" s="384">
        <f t="shared" si="3"/>
        <v>0</v>
      </c>
      <c r="N19" s="384"/>
      <c r="O19" s="384">
        <f t="shared" si="4"/>
        <v>0</v>
      </c>
      <c r="P19" s="384"/>
      <c r="Q19" s="384">
        <f t="shared" si="5"/>
        <v>0</v>
      </c>
      <c r="R19" s="384"/>
      <c r="S19" s="384">
        <f t="shared" si="6"/>
        <v>0</v>
      </c>
      <c r="T19" s="384"/>
      <c r="U19" s="384">
        <f t="shared" si="7"/>
        <v>0</v>
      </c>
      <c r="V19" s="384"/>
      <c r="W19" s="384">
        <f t="shared" si="8"/>
        <v>0</v>
      </c>
      <c r="X19" s="384"/>
      <c r="Y19" s="384">
        <f t="shared" si="9"/>
        <v>0</v>
      </c>
      <c r="Z19" s="384"/>
      <c r="AA19" s="384">
        <f t="shared" si="10"/>
        <v>0</v>
      </c>
      <c r="AB19" s="384"/>
      <c r="AC19" s="384">
        <f t="shared" si="11"/>
        <v>0</v>
      </c>
      <c r="AD19" s="384"/>
      <c r="AE19" s="384">
        <f t="shared" si="12"/>
        <v>0</v>
      </c>
      <c r="AF19" s="384"/>
      <c r="AG19" s="384">
        <f t="shared" si="13"/>
        <v>0</v>
      </c>
    </row>
    <row r="20" spans="1:34" ht="14.15">
      <c r="A20" s="373" t="s">
        <v>55</v>
      </c>
      <c r="B20" s="373"/>
      <c r="C20" s="395"/>
      <c r="D20" s="373"/>
      <c r="E20" s="384">
        <f>Application!W859</f>
        <v>153982</v>
      </c>
      <c r="F20" s="384"/>
      <c r="G20" s="384">
        <f t="shared" si="0"/>
        <v>159371.37</v>
      </c>
      <c r="H20" s="384"/>
      <c r="I20" s="384">
        <f t="shared" si="1"/>
        <v>164949.36794999999</v>
      </c>
      <c r="J20" s="384"/>
      <c r="K20" s="384">
        <f t="shared" si="2"/>
        <v>170722.59582824996</v>
      </c>
      <c r="L20" s="384"/>
      <c r="M20" s="384">
        <f t="shared" si="3"/>
        <v>176697.88668223869</v>
      </c>
      <c r="N20" s="384"/>
      <c r="O20" s="384">
        <f t="shared" si="4"/>
        <v>182882.31271611704</v>
      </c>
      <c r="P20" s="384"/>
      <c r="Q20" s="384">
        <f t="shared" si="5"/>
        <v>189283.19366118111</v>
      </c>
      <c r="R20" s="384"/>
      <c r="S20" s="384">
        <f t="shared" si="6"/>
        <v>195908.10543932245</v>
      </c>
      <c r="T20" s="384"/>
      <c r="U20" s="384">
        <f t="shared" si="7"/>
        <v>202764.88912969871</v>
      </c>
      <c r="V20" s="384"/>
      <c r="W20" s="384">
        <f t="shared" si="8"/>
        <v>209861.66024923816</v>
      </c>
      <c r="X20" s="384"/>
      <c r="Y20" s="384">
        <f t="shared" si="9"/>
        <v>217206.81835796149</v>
      </c>
      <c r="Z20" s="384"/>
      <c r="AA20" s="384">
        <f t="shared" si="10"/>
        <v>224809.05700049011</v>
      </c>
      <c r="AB20" s="384"/>
      <c r="AC20" s="384">
        <f t="shared" si="11"/>
        <v>232677.37399550725</v>
      </c>
      <c r="AD20" s="384"/>
      <c r="AE20" s="384">
        <f t="shared" si="12"/>
        <v>240821.08208534998</v>
      </c>
      <c r="AF20" s="384"/>
      <c r="AG20" s="384">
        <f t="shared" si="13"/>
        <v>249249.8199583372</v>
      </c>
    </row>
    <row r="21" spans="1:34" ht="14.15">
      <c r="A21" s="596" t="s">
        <v>1218</v>
      </c>
      <c r="B21" s="596"/>
      <c r="C21" s="395"/>
      <c r="D21" s="373"/>
      <c r="E21" s="394">
        <f>Application!W866</f>
        <v>199116</v>
      </c>
      <c r="F21" s="384"/>
      <c r="G21" s="394">
        <f t="shared" si="0"/>
        <v>206085.06</v>
      </c>
      <c r="H21" s="384"/>
      <c r="I21" s="394">
        <f t="shared" si="1"/>
        <v>213298.03709999999</v>
      </c>
      <c r="J21" s="384"/>
      <c r="K21" s="394">
        <f t="shared" si="2"/>
        <v>220763.46839849997</v>
      </c>
      <c r="L21" s="384"/>
      <c r="M21" s="394">
        <f t="shared" si="3"/>
        <v>228490.18979244746</v>
      </c>
      <c r="N21" s="384"/>
      <c r="O21" s="394">
        <f t="shared" si="4"/>
        <v>236487.34643518311</v>
      </c>
      <c r="P21" s="384"/>
      <c r="Q21" s="394">
        <f t="shared" si="5"/>
        <v>244764.4035604145</v>
      </c>
      <c r="R21" s="384"/>
      <c r="S21" s="394">
        <f t="shared" si="6"/>
        <v>253331.157685029</v>
      </c>
      <c r="T21" s="384"/>
      <c r="U21" s="394">
        <f t="shared" si="7"/>
        <v>262197.74820400501</v>
      </c>
      <c r="V21" s="384"/>
      <c r="W21" s="394">
        <f t="shared" si="8"/>
        <v>271374.66939114517</v>
      </c>
      <c r="X21" s="384"/>
      <c r="Y21" s="394">
        <f t="shared" si="9"/>
        <v>280872.78281983524</v>
      </c>
      <c r="Z21" s="384"/>
      <c r="AA21" s="394">
        <f t="shared" si="10"/>
        <v>290703.33021852945</v>
      </c>
      <c r="AB21" s="384"/>
      <c r="AC21" s="394">
        <f t="shared" si="11"/>
        <v>300877.94677617797</v>
      </c>
      <c r="AD21" s="384"/>
      <c r="AE21" s="394">
        <f t="shared" si="12"/>
        <v>311408.67491334415</v>
      </c>
      <c r="AF21" s="384"/>
      <c r="AG21" s="394">
        <f t="shared" si="13"/>
        <v>322307.97853531118</v>
      </c>
    </row>
    <row r="22" spans="1:34" ht="14.15">
      <c r="A22" s="385" t="s">
        <v>1079</v>
      </c>
      <c r="B22" s="385"/>
      <c r="C22" s="395"/>
      <c r="D22" s="385"/>
      <c r="E22" s="385">
        <f>SUM(E15:E21)</f>
        <v>1019242</v>
      </c>
      <c r="F22" s="385"/>
      <c r="G22" s="385">
        <f>SUM(G15:G21)</f>
        <v>1054915.47</v>
      </c>
      <c r="H22" s="385"/>
      <c r="I22" s="385">
        <f>SUM(I15:I21)</f>
        <v>1091837.5114499999</v>
      </c>
      <c r="J22" s="385"/>
      <c r="K22" s="385">
        <f>SUM(K15:K21)</f>
        <v>1130051.8243507496</v>
      </c>
      <c r="L22" s="385"/>
      <c r="M22" s="385">
        <f>SUM(M15:M21)</f>
        <v>1169603.6382030258</v>
      </c>
      <c r="N22" s="385"/>
      <c r="O22" s="385">
        <f>SUM(O15:O21)</f>
        <v>1210539.7655401316</v>
      </c>
      <c r="P22" s="385"/>
      <c r="Q22" s="385">
        <f>SUM(Q15:Q21)</f>
        <v>1252908.6573340362</v>
      </c>
      <c r="R22" s="385"/>
      <c r="S22" s="385">
        <f>SUM(S15:S21)</f>
        <v>1296760.4603407274</v>
      </c>
      <c r="T22" s="385"/>
      <c r="U22" s="385">
        <f>SUM(U15:U21)</f>
        <v>1342147.0764526527</v>
      </c>
      <c r="V22" s="385"/>
      <c r="W22" s="385">
        <f>SUM(W15:W21)</f>
        <v>1389122.2241284957</v>
      </c>
      <c r="X22" s="385"/>
      <c r="Y22" s="385">
        <f>SUM(Y15:Y21)</f>
        <v>1437741.5019729927</v>
      </c>
      <c r="Z22" s="385"/>
      <c r="AA22" s="385">
        <f>SUM(AA15:AA21)</f>
        <v>1488062.4545420473</v>
      </c>
      <c r="AB22" s="385"/>
      <c r="AC22" s="385">
        <f>SUM(AC15:AC21)</f>
        <v>1540144.6404510189</v>
      </c>
      <c r="AD22" s="385"/>
      <c r="AE22" s="385">
        <f>SUM(AE15:AE21)</f>
        <v>1594049.7028668046</v>
      </c>
      <c r="AF22" s="385"/>
      <c r="AG22" s="385">
        <f>SUM(AG15:AG21)</f>
        <v>1649841.4424671424</v>
      </c>
    </row>
    <row r="23" spans="1:34" ht="14.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1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1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15">
      <c r="A27" s="373" t="s">
        <v>1080</v>
      </c>
      <c r="B27" s="373"/>
      <c r="C27" s="404">
        <v>1.0349999999999999</v>
      </c>
      <c r="D27" s="373"/>
      <c r="E27" s="384">
        <f>Application!AC875</f>
        <v>11076</v>
      </c>
      <c r="F27" s="384"/>
      <c r="G27" s="384">
        <f>E27*$C$27</f>
        <v>11463.66</v>
      </c>
      <c r="H27" s="384"/>
      <c r="I27" s="384">
        <f>G27*$C$27</f>
        <v>11864.888099999998</v>
      </c>
      <c r="J27" s="384"/>
      <c r="K27" s="384">
        <f>I27*$C$27</f>
        <v>12280.159183499998</v>
      </c>
      <c r="L27" s="384"/>
      <c r="M27" s="384">
        <f>K27*$C$27</f>
        <v>12709.964754922497</v>
      </c>
      <c r="N27" s="384"/>
      <c r="O27" s="384">
        <f>M27*$C$27</f>
        <v>13154.813521344784</v>
      </c>
      <c r="P27" s="384"/>
      <c r="Q27" s="384">
        <f>O27*$C$27</f>
        <v>13615.23199459185</v>
      </c>
      <c r="R27" s="384"/>
      <c r="S27" s="384">
        <f>Q27*$C$27</f>
        <v>14091.765114402564</v>
      </c>
      <c r="T27" s="384"/>
      <c r="U27" s="384">
        <f>S27*$C$27</f>
        <v>14584.976893406652</v>
      </c>
      <c r="V27" s="384"/>
      <c r="W27" s="384">
        <f>U27*$C$27</f>
        <v>15095.451084675884</v>
      </c>
      <c r="X27" s="384"/>
      <c r="Y27" s="384">
        <f>W27*$C$27</f>
        <v>15623.791872639538</v>
      </c>
      <c r="Z27" s="384"/>
      <c r="AA27" s="384">
        <f>Y27*$C$27</f>
        <v>16170.624588181921</v>
      </c>
      <c r="AB27" s="384"/>
      <c r="AC27" s="384">
        <f>AA27*$C$27</f>
        <v>16736.596448768287</v>
      </c>
      <c r="AD27" s="384"/>
      <c r="AE27" s="384">
        <f>AC27*$C$27</f>
        <v>17322.377324475176</v>
      </c>
      <c r="AF27" s="384"/>
      <c r="AG27" s="384">
        <f>AE27*$C$27</f>
        <v>17928.660530831807</v>
      </c>
    </row>
    <row r="28" spans="1:34" ht="14.15">
      <c r="A28" s="596" t="s">
        <v>1081</v>
      </c>
      <c r="B28" s="373"/>
      <c r="C28" s="404"/>
      <c r="D28" s="373"/>
      <c r="E28" s="384">
        <f>Application!AC876</f>
        <v>30300</v>
      </c>
      <c r="F28" s="384"/>
      <c r="G28" s="384">
        <f>$E$28</f>
        <v>30300</v>
      </c>
      <c r="H28" s="384"/>
      <c r="I28" s="384">
        <f>$E$28</f>
        <v>30300</v>
      </c>
      <c r="J28" s="384"/>
      <c r="K28" s="384">
        <f>$E$28</f>
        <v>30300</v>
      </c>
      <c r="L28" s="384"/>
      <c r="M28" s="384">
        <f>$E$28</f>
        <v>30300</v>
      </c>
      <c r="N28" s="384"/>
      <c r="O28" s="384">
        <f>$E$28</f>
        <v>30300</v>
      </c>
      <c r="P28" s="384"/>
      <c r="Q28" s="384">
        <f>$E$28</f>
        <v>30300</v>
      </c>
      <c r="R28" s="384"/>
      <c r="S28" s="384">
        <f>$E$28</f>
        <v>30300</v>
      </c>
      <c r="T28" s="384"/>
      <c r="U28" s="384">
        <f>$E$28</f>
        <v>30300</v>
      </c>
      <c r="V28" s="384"/>
      <c r="W28" s="384">
        <f>$E$28</f>
        <v>30300</v>
      </c>
      <c r="X28" s="384"/>
      <c r="Y28" s="384">
        <f>$E$28</f>
        <v>30300</v>
      </c>
      <c r="Z28" s="384"/>
      <c r="AA28" s="384">
        <f>$E$28</f>
        <v>30300</v>
      </c>
      <c r="AB28" s="384"/>
      <c r="AC28" s="384">
        <f>$E$28</f>
        <v>30300</v>
      </c>
      <c r="AD28" s="384"/>
      <c r="AE28" s="384">
        <f>$E$28</f>
        <v>30300</v>
      </c>
      <c r="AF28" s="384"/>
      <c r="AG28" s="384">
        <f>$E$28</f>
        <v>30300</v>
      </c>
    </row>
    <row r="29" spans="1:34" ht="14.15">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15">
      <c r="A30" s="596" t="s">
        <v>1082</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1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1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1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1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15">
      <c r="A35" s="385" t="s">
        <v>148</v>
      </c>
      <c r="B35" s="385"/>
      <c r="C35" s="386"/>
      <c r="D35" s="385"/>
      <c r="E35" s="385">
        <f>SUM(E22:E33)</f>
        <v>1060618</v>
      </c>
      <c r="F35" s="385"/>
      <c r="G35" s="385">
        <f>SUM(G22:G33)</f>
        <v>1096679.1299999999</v>
      </c>
      <c r="H35" s="385"/>
      <c r="I35" s="385">
        <f>SUM(I22:I33)</f>
        <v>1134002.39955</v>
      </c>
      <c r="J35" s="385"/>
      <c r="K35" s="385">
        <f>SUM(K22:K33)</f>
        <v>1172631.9835342497</v>
      </c>
      <c r="L35" s="385"/>
      <c r="M35" s="385">
        <f>SUM(M22:M33)</f>
        <v>1212613.6029579483</v>
      </c>
      <c r="N35" s="385"/>
      <c r="O35" s="385">
        <f>SUM(O22:O33)</f>
        <v>1253994.5790614763</v>
      </c>
      <c r="P35" s="385"/>
      <c r="Q35" s="385">
        <f>SUM(Q22:Q33)</f>
        <v>1296823.8893286281</v>
      </c>
      <c r="R35" s="385"/>
      <c r="S35" s="385">
        <f>SUM(S22:S33)</f>
        <v>1341152.22545513</v>
      </c>
      <c r="T35" s="385"/>
      <c r="U35" s="385">
        <f>SUM(U22:U33)</f>
        <v>1387032.0533460593</v>
      </c>
      <c r="V35" s="385"/>
      <c r="W35" s="385">
        <f>SUM(W22:W33)</f>
        <v>1434517.6752131716</v>
      </c>
      <c r="X35" s="385"/>
      <c r="Y35" s="385">
        <f>SUM(Y22:Y33)</f>
        <v>1483665.2938456321</v>
      </c>
      <c r="Z35" s="385"/>
      <c r="AA35" s="385">
        <f>SUM(AA22:AA33)</f>
        <v>1534533.0791302293</v>
      </c>
      <c r="AB35" s="385"/>
      <c r="AC35" s="385">
        <f>SUM(AC22:AC33)</f>
        <v>1587181.2368997873</v>
      </c>
      <c r="AD35" s="385"/>
      <c r="AE35" s="385">
        <f>SUM(AE22:AE33)</f>
        <v>1641672.0801912798</v>
      </c>
      <c r="AF35" s="385"/>
      <c r="AG35" s="385">
        <f>SUM(AG22:AG33)</f>
        <v>1698070.1029979743</v>
      </c>
    </row>
    <row r="36" spans="1:35" ht="14.1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15">
      <c r="A37" s="385" t="s">
        <v>1083</v>
      </c>
      <c r="B37" s="385"/>
      <c r="C37" s="386"/>
      <c r="D37" s="385"/>
      <c r="E37" s="385">
        <f>E11-E35</f>
        <v>468914.30000000005</v>
      </c>
      <c r="F37" s="385"/>
      <c r="G37" s="385">
        <f>G11-G35</f>
        <v>471091.47750000004</v>
      </c>
      <c r="H37" s="385"/>
      <c r="I37" s="385">
        <f>I11-I35</f>
        <v>472962.47313749976</v>
      </c>
      <c r="J37" s="385"/>
      <c r="K37" s="385">
        <f>K11-K35</f>
        <v>474507.01097043743</v>
      </c>
      <c r="L37" s="385"/>
      <c r="M37" s="385">
        <f>M11-M35</f>
        <v>475703.86640935554</v>
      </c>
      <c r="N37" s="385"/>
      <c r="O37" s="385">
        <f>O11-O35</f>
        <v>476530.82704001036</v>
      </c>
      <c r="P37" s="385"/>
      <c r="Q37" s="385">
        <f>Q11-Q35</f>
        <v>476964.65192539571</v>
      </c>
      <c r="R37" s="385"/>
      <c r="S37" s="385">
        <f>S11-S35</f>
        <v>476981.02933024429</v>
      </c>
      <c r="T37" s="385"/>
      <c r="U37" s="385">
        <f>U11-U35</f>
        <v>476554.53280894901</v>
      </c>
      <c r="V37" s="385"/>
      <c r="W37" s="385">
        <f>W11-W35</f>
        <v>475658.57559571206</v>
      </c>
      <c r="X37" s="385"/>
      <c r="Y37" s="385">
        <f>Y11-Y35</f>
        <v>474265.36323347315</v>
      </c>
      <c r="Z37" s="385"/>
      <c r="AA37" s="385">
        <f>AA11-AA35</f>
        <v>472345.84437585366</v>
      </c>
      <c r="AB37" s="385"/>
      <c r="AC37" s="385">
        <f>AC11-AC35</f>
        <v>469869.65969394753</v>
      </c>
      <c r="AD37" s="385"/>
      <c r="AE37" s="385">
        <f>AE11-AE35</f>
        <v>466805.08881729841</v>
      </c>
      <c r="AF37" s="385"/>
      <c r="AG37" s="385">
        <f>AG11-AG35</f>
        <v>463118.99523581774</v>
      </c>
    </row>
    <row r="38" spans="1:35" ht="14.1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15">
      <c r="A40" s="387" t="str">
        <f>Application!C629</f>
        <v>Merchants Bank of Indiana</v>
      </c>
      <c r="B40" s="388"/>
      <c r="C40" s="382"/>
      <c r="D40" s="373"/>
      <c r="E40" s="381">
        <f>Application!AF629</f>
        <v>270805.31264246581</v>
      </c>
      <c r="F40" s="381"/>
      <c r="G40" s="381">
        <f>$E$40</f>
        <v>270805.31264246581</v>
      </c>
      <c r="H40" s="381"/>
      <c r="I40" s="381">
        <f>$E$40</f>
        <v>270805.31264246581</v>
      </c>
      <c r="J40" s="381"/>
      <c r="K40" s="381">
        <f>$E$40</f>
        <v>270805.31264246581</v>
      </c>
      <c r="L40" s="381"/>
      <c r="M40" s="381">
        <f>$E$40</f>
        <v>270805.31264246581</v>
      </c>
      <c r="N40" s="381"/>
      <c r="O40" s="381">
        <f>$E$40</f>
        <v>270805.31264246581</v>
      </c>
      <c r="P40" s="381"/>
      <c r="Q40" s="381">
        <f>$E$40</f>
        <v>270805.31264246581</v>
      </c>
      <c r="R40" s="381"/>
      <c r="S40" s="381">
        <f>$E$40</f>
        <v>270805.31264246581</v>
      </c>
      <c r="T40" s="381"/>
      <c r="U40" s="381">
        <f>$E$40</f>
        <v>270805.31264246581</v>
      </c>
      <c r="V40" s="381"/>
      <c r="W40" s="381">
        <f>$E$40</f>
        <v>270805.31264246581</v>
      </c>
      <c r="X40" s="381"/>
      <c r="Y40" s="381">
        <f>$E$40</f>
        <v>270805.31264246581</v>
      </c>
      <c r="Z40" s="381"/>
      <c r="AA40" s="381">
        <f>$E$40</f>
        <v>270805.31264246581</v>
      </c>
      <c r="AB40" s="381"/>
      <c r="AC40" s="381">
        <f>$E$40</f>
        <v>270805.31264246581</v>
      </c>
      <c r="AD40" s="381"/>
      <c r="AE40" s="381">
        <f>$E$40</f>
        <v>270805.31264246581</v>
      </c>
      <c r="AF40" s="381"/>
      <c r="AG40" s="381">
        <f>$E$40</f>
        <v>270805.31264246581</v>
      </c>
      <c r="AH40" s="373"/>
      <c r="AI40" s="373"/>
    </row>
    <row r="41" spans="1:35" ht="14.15">
      <c r="A41" s="387" t="s">
        <v>2447</v>
      </c>
      <c r="B41" s="388"/>
      <c r="C41" s="382"/>
      <c r="D41" s="373"/>
      <c r="E41" s="384">
        <f>+Application!AF630</f>
        <v>83486.585052796261</v>
      </c>
      <c r="F41" s="384"/>
      <c r="G41" s="384">
        <f>$E$41</f>
        <v>83486.585052796261</v>
      </c>
      <c r="H41" s="384"/>
      <c r="I41" s="384">
        <f>$E$41</f>
        <v>83486.585052796261</v>
      </c>
      <c r="J41" s="384"/>
      <c r="K41" s="384">
        <f>$E$41</f>
        <v>83486.585052796261</v>
      </c>
      <c r="L41" s="384"/>
      <c r="M41" s="384">
        <f>$E$41</f>
        <v>83486.585052796261</v>
      </c>
      <c r="N41" s="384"/>
      <c r="O41" s="384">
        <f>$E$41</f>
        <v>83486.585052796261</v>
      </c>
      <c r="P41" s="384"/>
      <c r="Q41" s="384">
        <f>$E$41</f>
        <v>83486.585052796261</v>
      </c>
      <c r="R41" s="384"/>
      <c r="S41" s="384">
        <f>$E$41</f>
        <v>83486.585052796261</v>
      </c>
      <c r="T41" s="384"/>
      <c r="U41" s="384">
        <f>$E$41</f>
        <v>83486.585052796261</v>
      </c>
      <c r="V41" s="384"/>
      <c r="W41" s="384">
        <f>$E$41</f>
        <v>83486.585052796261</v>
      </c>
      <c r="X41" s="384"/>
      <c r="Y41" s="384">
        <f>$E$41</f>
        <v>83486.585052796261</v>
      </c>
      <c r="Z41" s="384"/>
      <c r="AA41" s="384">
        <f>$E$41</f>
        <v>83486.585052796261</v>
      </c>
      <c r="AB41" s="384"/>
      <c r="AC41" s="384">
        <f>$E$41</f>
        <v>83486.585052796261</v>
      </c>
      <c r="AD41" s="384"/>
      <c r="AE41" s="384">
        <f>$E$41</f>
        <v>83486.585052796261</v>
      </c>
      <c r="AF41" s="384"/>
      <c r="AG41" s="384">
        <f>$E$41</f>
        <v>83486.585052796261</v>
      </c>
      <c r="AH41" s="373"/>
      <c r="AI41" s="373"/>
    </row>
    <row r="42" spans="1:35" ht="14.1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15">
      <c r="A43" s="385" t="s">
        <v>1085</v>
      </c>
      <c r="B43" s="385"/>
      <c r="C43" s="386"/>
      <c r="D43" s="385"/>
      <c r="E43" s="385">
        <f>SUM(E40:E42)</f>
        <v>354291.8976952621</v>
      </c>
      <c r="F43" s="385"/>
      <c r="G43" s="385">
        <f>SUM(G40:G42)</f>
        <v>354291.8976952621</v>
      </c>
      <c r="H43" s="385"/>
      <c r="I43" s="385">
        <f>SUM(I40:I42)</f>
        <v>354291.8976952621</v>
      </c>
      <c r="J43" s="385"/>
      <c r="K43" s="385">
        <f>SUM(K40:K42)</f>
        <v>354291.8976952621</v>
      </c>
      <c r="L43" s="385"/>
      <c r="M43" s="385">
        <f>SUM(M40:M42)</f>
        <v>354291.8976952621</v>
      </c>
      <c r="N43" s="385"/>
      <c r="O43" s="385">
        <f>SUM(O40:O42)</f>
        <v>354291.8976952621</v>
      </c>
      <c r="P43" s="385"/>
      <c r="Q43" s="385">
        <f>SUM(Q40:Q42)</f>
        <v>354291.8976952621</v>
      </c>
      <c r="R43" s="385"/>
      <c r="S43" s="385">
        <f>SUM(S40:S42)</f>
        <v>354291.8976952621</v>
      </c>
      <c r="T43" s="385"/>
      <c r="U43" s="385">
        <f>SUM(U40:U42)</f>
        <v>354291.8976952621</v>
      </c>
      <c r="V43" s="385"/>
      <c r="W43" s="385">
        <f>SUM(W40:W42)</f>
        <v>354291.8976952621</v>
      </c>
      <c r="X43" s="385"/>
      <c r="Y43" s="385">
        <f>SUM(Y40:Y42)</f>
        <v>354291.8976952621</v>
      </c>
      <c r="Z43" s="385"/>
      <c r="AA43" s="385">
        <f>SUM(AA40:AA42)</f>
        <v>354291.8976952621</v>
      </c>
      <c r="AB43" s="385"/>
      <c r="AC43" s="385">
        <f>SUM(AC40:AC42)</f>
        <v>354291.8976952621</v>
      </c>
      <c r="AD43" s="385"/>
      <c r="AE43" s="385">
        <f>SUM(AE40:AE42)</f>
        <v>354291.8976952621</v>
      </c>
      <c r="AF43" s="385"/>
      <c r="AG43" s="385">
        <f>SUM(AG40:AG42)</f>
        <v>354291.8976952621</v>
      </c>
      <c r="AH43" s="385"/>
      <c r="AI43" s="385"/>
    </row>
    <row r="44" spans="1:35" ht="14.1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15">
      <c r="A45" s="385" t="s">
        <v>1086</v>
      </c>
      <c r="B45" s="385"/>
      <c r="C45" s="386"/>
      <c r="D45" s="385"/>
      <c r="E45" s="385">
        <f>E37-E43</f>
        <v>114622.40230473795</v>
      </c>
      <c r="F45" s="385"/>
      <c r="G45" s="385">
        <f>G37-G43</f>
        <v>116799.57980473794</v>
      </c>
      <c r="H45" s="385"/>
      <c r="I45" s="385">
        <f>I37-I43</f>
        <v>118670.57544223766</v>
      </c>
      <c r="J45" s="385"/>
      <c r="K45" s="385">
        <f>K37-K43</f>
        <v>120215.11327517533</v>
      </c>
      <c r="L45" s="385"/>
      <c r="M45" s="385">
        <f>M37-M43</f>
        <v>121411.96871409344</v>
      </c>
      <c r="N45" s="385"/>
      <c r="O45" s="385">
        <f>O37-O43</f>
        <v>122238.92934474826</v>
      </c>
      <c r="P45" s="385"/>
      <c r="Q45" s="385">
        <f>Q37-Q43</f>
        <v>122672.75423013361</v>
      </c>
      <c r="R45" s="385"/>
      <c r="S45" s="385">
        <f>S37-S43</f>
        <v>122689.13163498219</v>
      </c>
      <c r="T45" s="385"/>
      <c r="U45" s="385">
        <f>U37-U43</f>
        <v>122262.63511368691</v>
      </c>
      <c r="V45" s="385"/>
      <c r="W45" s="385">
        <f>W37-W43</f>
        <v>121366.67790044995</v>
      </c>
      <c r="X45" s="385"/>
      <c r="Y45" s="385">
        <f>Y37-Y43</f>
        <v>119973.46553821105</v>
      </c>
      <c r="Z45" s="385"/>
      <c r="AA45" s="385">
        <f>AA37-AA43</f>
        <v>118053.94668059156</v>
      </c>
      <c r="AB45" s="385"/>
      <c r="AC45" s="385">
        <f>AC37-AC43</f>
        <v>115577.76199868543</v>
      </c>
      <c r="AD45" s="385"/>
      <c r="AE45" s="385">
        <f>AE37-AE43</f>
        <v>112513.19112203631</v>
      </c>
      <c r="AF45" s="385"/>
      <c r="AG45" s="385">
        <f>AG37-AG43</f>
        <v>108827.09754055564</v>
      </c>
      <c r="AH45" s="385"/>
      <c r="AI45" s="385"/>
    </row>
    <row r="46" spans="1:35" ht="14.1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15">
      <c r="A47" s="389" t="s">
        <v>1087</v>
      </c>
      <c r="B47" s="389"/>
      <c r="C47" s="382"/>
      <c r="D47" s="389"/>
      <c r="E47" s="389">
        <f>E45/(E4+E6+E8)</f>
        <v>7.1192535253751132E-2</v>
      </c>
      <c r="F47" s="389"/>
      <c r="G47" s="389">
        <f>G45/(G4+G6+G8)</f>
        <v>7.0775405715406012E-2</v>
      </c>
      <c r="H47" s="389"/>
      <c r="I47" s="389">
        <f>I45/(I4+I6+I8)</f>
        <v>7.0155265112661444E-2</v>
      </c>
      <c r="J47" s="389"/>
      <c r="K47" s="389">
        <f>K45/(K4+K6+K8)</f>
        <v>6.9334985081668285E-2</v>
      </c>
      <c r="L47" s="389"/>
      <c r="M47" s="389">
        <f>M45/(M4+M6+M8)</f>
        <v>6.8317346927419323E-2</v>
      </c>
      <c r="N47" s="389"/>
      <c r="O47" s="389">
        <f>O45/(O4+O6+O8)</f>
        <v>6.7105043628987088E-2</v>
      </c>
      <c r="P47" s="389"/>
      <c r="Q47" s="389">
        <f>Q45/(Q4+Q6+Q8)</f>
        <v>6.5700681793917054E-2</v>
      </c>
      <c r="R47" s="389"/>
      <c r="S47" s="389">
        <f>S45/(S4+S6+S8)</f>
        <v>6.4106783563007891E-2</v>
      </c>
      <c r="T47" s="389"/>
      <c r="U47" s="389">
        <f>U45/(U4+U6+U8)</f>
        <v>6.2325788466660245E-2</v>
      </c>
      <c r="V47" s="389"/>
      <c r="W47" s="389">
        <f>W45/(W4+W6+W8)</f>
        <v>6.0360055233962422E-2</v>
      </c>
      <c r="X47" s="389"/>
      <c r="Y47" s="389">
        <f>Y45/(Y4+Y6+Y8)</f>
        <v>5.8211863555643596E-2</v>
      </c>
      <c r="Z47" s="389"/>
      <c r="AA47" s="389">
        <f>AA45/(AA4+AA6+AA8)</f>
        <v>5.5883415802000694E-2</v>
      </c>
      <c r="AB47" s="389"/>
      <c r="AC47" s="389">
        <f>AC45/(AC4+AC6+AC8)</f>
        <v>5.3376838696877565E-2</v>
      </c>
      <c r="AD47" s="389"/>
      <c r="AE47" s="389">
        <f>AE45/(AE4+AE6+AE8)</f>
        <v>5.0694184948748493E-2</v>
      </c>
      <c r="AF47" s="389"/>
      <c r="AG47" s="389">
        <f>AG45/(AG4+AG6+AG8)</f>
        <v>4.7837434839930797E-2</v>
      </c>
      <c r="AH47" s="389"/>
      <c r="AI47" s="389"/>
    </row>
    <row r="48" spans="1:35" ht="14.15">
      <c r="A48" s="389" t="s">
        <v>1088</v>
      </c>
      <c r="B48" s="389"/>
      <c r="C48" s="382"/>
      <c r="D48" s="389"/>
      <c r="E48" s="389">
        <f>E45/E43</f>
        <v>0.3235253277040176</v>
      </c>
      <c r="F48" s="389"/>
      <c r="G48" s="389">
        <f>G45/G43</f>
        <v>0.32967047952420586</v>
      </c>
      <c r="H48" s="389"/>
      <c r="I48" s="389">
        <f>I45/I43</f>
        <v>0.33495142342857093</v>
      </c>
      <c r="J48" s="389"/>
      <c r="K48" s="389">
        <f>K45/K43</f>
        <v>0.33931092993432277</v>
      </c>
      <c r="L48" s="389"/>
      <c r="M48" s="389">
        <f>M45/M43</f>
        <v>0.34268909197162561</v>
      </c>
      <c r="N48" s="389"/>
      <c r="O48" s="389">
        <f>O45/O43</f>
        <v>0.34502321430418348</v>
      </c>
      <c r="P48" s="389"/>
      <c r="Q48" s="389">
        <f>Q45/Q43</f>
        <v>0.34624769865792526</v>
      </c>
      <c r="R48" s="389"/>
      <c r="S48" s="389">
        <f>S45/S43</f>
        <v>0.34629392439708306</v>
      </c>
      <c r="T48" s="389"/>
      <c r="U48" s="389">
        <f>U45/U43</f>
        <v>0.34509012458097177</v>
      </c>
      <c r="V48" s="389"/>
      <c r="W48" s="389">
        <f>W45/W43</f>
        <v>0.34256125722875364</v>
      </c>
      <c r="X48" s="389"/>
      <c r="Y48" s="389">
        <f>Y45/Y43</f>
        <v>0.33862887161310162</v>
      </c>
      <c r="Z48" s="389"/>
      <c r="AA48" s="389">
        <f>AA45/AA43</f>
        <v>0.33321096939714262</v>
      </c>
      <c r="AB48" s="389"/>
      <c r="AC48" s="389">
        <f>AC45/AC43</f>
        <v>0.3262218604222713</v>
      </c>
      <c r="AD48" s="389"/>
      <c r="AE48" s="389">
        <f>AE45/AE43</f>
        <v>0.31757201294739329</v>
      </c>
      <c r="AF48" s="389"/>
      <c r="AG48" s="389">
        <f>AG45/AG43</f>
        <v>0.30716789813285916</v>
      </c>
      <c r="AH48" s="389"/>
      <c r="AI48" s="389"/>
    </row>
    <row r="49" spans="1:35" ht="14.15">
      <c r="A49" s="390" t="s">
        <v>1089</v>
      </c>
      <c r="B49" s="390"/>
      <c r="C49" s="391"/>
      <c r="D49" s="390"/>
      <c r="E49" s="390">
        <f>E37/E43</f>
        <v>1.3235253277040175</v>
      </c>
      <c r="F49" s="390"/>
      <c r="G49" s="390">
        <f>G37/G43</f>
        <v>1.3296704795242058</v>
      </c>
      <c r="H49" s="390"/>
      <c r="I49" s="390">
        <f>I37/I43</f>
        <v>1.3349514234285709</v>
      </c>
      <c r="J49" s="390"/>
      <c r="K49" s="390">
        <f>K37/K43</f>
        <v>1.3393109299343229</v>
      </c>
      <c r="L49" s="390"/>
      <c r="M49" s="390">
        <f>M37/M43</f>
        <v>1.3426890919716257</v>
      </c>
      <c r="N49" s="390"/>
      <c r="O49" s="390">
        <f>O37/O43</f>
        <v>1.3450232143041834</v>
      </c>
      <c r="P49" s="390"/>
      <c r="Q49" s="390">
        <f>Q37/Q43</f>
        <v>1.3462476986579253</v>
      </c>
      <c r="R49" s="390"/>
      <c r="S49" s="390">
        <f>S37/S43</f>
        <v>1.3462939243970831</v>
      </c>
      <c r="T49" s="390"/>
      <c r="U49" s="390">
        <f>U37/U43</f>
        <v>1.3450901245809719</v>
      </c>
      <c r="V49" s="390"/>
      <c r="W49" s="390">
        <f>W37/W43</f>
        <v>1.3425612572287537</v>
      </c>
      <c r="X49" s="390"/>
      <c r="Y49" s="390">
        <f>Y37/Y43</f>
        <v>1.3386288716131016</v>
      </c>
      <c r="Z49" s="390"/>
      <c r="AA49" s="390">
        <f>AA37/AA43</f>
        <v>1.3332109693971426</v>
      </c>
      <c r="AB49" s="390"/>
      <c r="AC49" s="390">
        <f>AC37/AC43</f>
        <v>1.3262218604222713</v>
      </c>
      <c r="AD49" s="390"/>
      <c r="AE49" s="390">
        <f>AE37/AE43</f>
        <v>1.3175720129473933</v>
      </c>
      <c r="AF49" s="390"/>
      <c r="AG49" s="390">
        <f>AG37/AG43</f>
        <v>1.3071678981328592</v>
      </c>
      <c r="AH49" s="390"/>
      <c r="AI49" s="390"/>
    </row>
    <row r="50" spans="1:35" ht="14.1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f>7500+40*(101-75)</f>
        <v>8540</v>
      </c>
      <c r="F54" s="377"/>
      <c r="G54" s="815">
        <f>E54*$C$53</f>
        <v>8796.2000000000007</v>
      </c>
      <c r="H54" s="815"/>
      <c r="I54" s="815">
        <f t="shared" ref="G54:AG57" si="14">G54*$C$53</f>
        <v>9060.0860000000011</v>
      </c>
      <c r="J54" s="815"/>
      <c r="K54" s="815">
        <f t="shared" si="14"/>
        <v>9331.8885800000007</v>
      </c>
      <c r="L54" s="815"/>
      <c r="M54" s="815">
        <f t="shared" si="14"/>
        <v>9611.8452374000008</v>
      </c>
      <c r="N54" s="815"/>
      <c r="O54" s="815">
        <f t="shared" si="14"/>
        <v>9900.2005945220008</v>
      </c>
      <c r="P54" s="815"/>
      <c r="Q54" s="815">
        <f t="shared" si="14"/>
        <v>10197.206612357661</v>
      </c>
      <c r="R54" s="815"/>
      <c r="S54" s="815">
        <f t="shared" si="14"/>
        <v>10503.122810728391</v>
      </c>
      <c r="T54" s="815"/>
      <c r="U54" s="815">
        <f t="shared" si="14"/>
        <v>10818.216495050243</v>
      </c>
      <c r="V54" s="815"/>
      <c r="W54" s="815">
        <f t="shared" si="14"/>
        <v>11142.76298990175</v>
      </c>
      <c r="X54" s="815"/>
      <c r="Y54" s="815">
        <f t="shared" si="14"/>
        <v>11477.045879598803</v>
      </c>
      <c r="Z54" s="815"/>
      <c r="AA54" s="815">
        <f t="shared" si="14"/>
        <v>11821.357255986768</v>
      </c>
      <c r="AB54" s="815"/>
      <c r="AC54" s="815">
        <f t="shared" si="14"/>
        <v>12175.997973666372</v>
      </c>
      <c r="AD54" s="815"/>
      <c r="AE54" s="815">
        <f t="shared" si="14"/>
        <v>12541.277912876363</v>
      </c>
      <c r="AF54" s="815"/>
      <c r="AG54" s="815">
        <f t="shared" si="14"/>
        <v>12917.516250262654</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8540</v>
      </c>
      <c r="F58" s="377"/>
      <c r="G58" s="377">
        <f>SUM(G53:G57)</f>
        <v>8796.2000000000007</v>
      </c>
      <c r="H58" s="377"/>
      <c r="I58" s="377">
        <f>SUM(I53:I57)</f>
        <v>9060.0860000000011</v>
      </c>
      <c r="J58" s="377"/>
      <c r="K58" s="377">
        <f>SUM(K53:K57)</f>
        <v>9331.8885800000007</v>
      </c>
      <c r="L58" s="377"/>
      <c r="M58" s="377">
        <f>SUM(M53:M57)</f>
        <v>9611.8452374000008</v>
      </c>
      <c r="N58" s="377"/>
      <c r="O58" s="377">
        <f>SUM(O53:O57)</f>
        <v>9900.2005945220008</v>
      </c>
      <c r="P58" s="377"/>
      <c r="Q58" s="377">
        <f>SUM(Q53:Q57)</f>
        <v>10197.206612357661</v>
      </c>
      <c r="R58" s="377"/>
      <c r="S58" s="377">
        <f>SUM(S53:S57)</f>
        <v>10503.122810728391</v>
      </c>
      <c r="T58" s="377"/>
      <c r="U58" s="377">
        <f>SUM(U53:U57)</f>
        <v>10818.216495050243</v>
      </c>
      <c r="V58" s="377"/>
      <c r="W58" s="377">
        <f>SUM(W53:W57)</f>
        <v>11142.76298990175</v>
      </c>
      <c r="X58" s="377"/>
      <c r="Y58" s="377">
        <f>SUM(Y53:Y57)</f>
        <v>11477.045879598803</v>
      </c>
      <c r="Z58" s="377"/>
      <c r="AA58" s="377">
        <f>SUM(AA53:AA57)</f>
        <v>11821.357255986768</v>
      </c>
      <c r="AB58" s="377"/>
      <c r="AC58" s="377">
        <f>SUM(AC53:AC57)</f>
        <v>12175.997973666372</v>
      </c>
      <c r="AD58" s="377"/>
      <c r="AE58" s="377">
        <f>SUM(AE53:AE57)</f>
        <v>12541.277912876363</v>
      </c>
      <c r="AF58" s="377"/>
      <c r="AG58" s="377">
        <f>SUM(AG53:AG57)</f>
        <v>12917.516250262654</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106082.40230473795</v>
      </c>
      <c r="F60" s="371"/>
      <c r="G60" s="371">
        <f>G45-G58</f>
        <v>108003.37980473794</v>
      </c>
      <c r="H60" s="371"/>
      <c r="I60" s="371">
        <f>I45-I58</f>
        <v>109610.48944223767</v>
      </c>
      <c r="J60" s="371"/>
      <c r="K60" s="371">
        <f>K45-K58</f>
        <v>110883.22469517533</v>
      </c>
      <c r="L60" s="371"/>
      <c r="M60" s="371">
        <f>M45-M58</f>
        <v>111800.12347669344</v>
      </c>
      <c r="N60" s="371"/>
      <c r="O60" s="371">
        <f>O45-O58</f>
        <v>112338.72875022626</v>
      </c>
      <c r="P60" s="371"/>
      <c r="Q60" s="371">
        <f>Q45-Q58</f>
        <v>112475.54761777594</v>
      </c>
      <c r="R60" s="371"/>
      <c r="S60" s="371">
        <f>S45-S58</f>
        <v>112186.00882425379</v>
      </c>
      <c r="T60" s="371"/>
      <c r="U60" s="371">
        <f>U45-U58</f>
        <v>111444.41861863666</v>
      </c>
      <c r="V60" s="371"/>
      <c r="W60" s="371">
        <f>W45-W58</f>
        <v>110223.91491054821</v>
      </c>
      <c r="X60" s="371"/>
      <c r="Y60" s="371">
        <f>Y45-Y58</f>
        <v>108496.41965861224</v>
      </c>
      <c r="Z60" s="371"/>
      <c r="AA60" s="371">
        <f>AA45-AA58</f>
        <v>106232.58942460478</v>
      </c>
      <c r="AB60" s="371"/>
      <c r="AC60" s="371">
        <f>AC45-AC58</f>
        <v>103401.76402501906</v>
      </c>
      <c r="AD60" s="371"/>
      <c r="AE60" s="371">
        <f>AE45-AE58</f>
        <v>99971.913209159946</v>
      </c>
      <c r="AF60" s="371"/>
      <c r="AG60" s="371">
        <f>AG45-AG58</f>
        <v>95909.58129029299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v>0</v>
      </c>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2523</v>
      </c>
      <c r="B66" s="398"/>
      <c r="C66" s="396"/>
      <c r="D66" s="371"/>
      <c r="E66" s="399">
        <f>(E60-E62)/2</f>
        <v>53041.201152368973</v>
      </c>
      <c r="F66" s="371"/>
      <c r="G66" s="371">
        <f>G60*$C$65</f>
        <v>54001.689902368969</v>
      </c>
      <c r="H66" s="371"/>
      <c r="I66" s="371">
        <f>I60*$C$65</f>
        <v>54805.244721118834</v>
      </c>
      <c r="J66" s="371"/>
      <c r="K66" s="371">
        <f>K60*$C$65</f>
        <v>55441.612347587667</v>
      </c>
      <c r="L66" s="371"/>
      <c r="M66" s="371">
        <f>M60*$C$65</f>
        <v>55900.061738346718</v>
      </c>
      <c r="N66" s="371"/>
      <c r="O66" s="371">
        <f>O60*$C$65</f>
        <v>56169.364375113131</v>
      </c>
      <c r="P66" s="371"/>
      <c r="Q66" s="371">
        <f>Q60*$C$65</f>
        <v>56237.773808887971</v>
      </c>
      <c r="R66" s="371"/>
      <c r="S66" s="371">
        <f>S60*$C$65</f>
        <v>56093.004412126895</v>
      </c>
      <c r="T66" s="371"/>
      <c r="U66" s="371">
        <f>U60*$C$65</f>
        <v>55722.209309318328</v>
      </c>
      <c r="V66" s="371"/>
      <c r="W66" s="371">
        <f>W60*$C$65</f>
        <v>55111.957455274103</v>
      </c>
      <c r="X66" s="371"/>
      <c r="Y66" s="371">
        <f>Y60*$C$65</f>
        <v>54248.209829306121</v>
      </c>
      <c r="Z66" s="371"/>
      <c r="AA66" s="371">
        <f>AA60*$C$65</f>
        <v>53116.294712302391</v>
      </c>
      <c r="AB66" s="371"/>
      <c r="AC66" s="371">
        <f>AC60*$C$65</f>
        <v>51700.88201250953</v>
      </c>
      <c r="AD66" s="371"/>
      <c r="AE66" s="371">
        <f>AE60*$C$65</f>
        <v>49985.956604579973</v>
      </c>
      <c r="AF66" s="371"/>
      <c r="AG66" s="371">
        <f>AG60*$C$65</f>
        <v>47954.790645146495</v>
      </c>
      <c r="AH66" s="371"/>
      <c r="AI66" s="371"/>
    </row>
    <row r="67" spans="1:35">
      <c r="A67" s="399"/>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1094</v>
      </c>
      <c r="B70" s="377"/>
      <c r="C70" s="379"/>
      <c r="D70" s="377"/>
      <c r="E70" s="371">
        <f>SUM(E66:E69)</f>
        <v>53041.201152368973</v>
      </c>
      <c r="F70" s="371"/>
      <c r="G70" s="371">
        <f>SUM(G66:G69)</f>
        <v>54001.689902368969</v>
      </c>
      <c r="H70" s="371"/>
      <c r="I70" s="371">
        <f>SUM(I66:I69)</f>
        <v>54805.244721118834</v>
      </c>
      <c r="J70" s="371"/>
      <c r="K70" s="371">
        <f>SUM(K66:K69)</f>
        <v>55441.612347587667</v>
      </c>
      <c r="L70" s="371"/>
      <c r="M70" s="371">
        <f>SUM(M66:M69)</f>
        <v>55900.061738346718</v>
      </c>
      <c r="N70" s="371"/>
      <c r="O70" s="371">
        <f>SUM(O66:O69)</f>
        <v>56169.364375113131</v>
      </c>
      <c r="P70" s="371"/>
      <c r="Q70" s="371">
        <f>SUM(Q66:Q69)</f>
        <v>56237.773808887971</v>
      </c>
      <c r="R70" s="371"/>
      <c r="S70" s="371">
        <f>SUM(S66:S69)</f>
        <v>56093.004412126895</v>
      </c>
      <c r="T70" s="371"/>
      <c r="U70" s="371">
        <f>SUM(U66:U69)</f>
        <v>55722.209309318328</v>
      </c>
      <c r="V70" s="371"/>
      <c r="W70" s="371">
        <f>SUM(W66:W69)</f>
        <v>55111.957455274103</v>
      </c>
      <c r="X70" s="371"/>
      <c r="Y70" s="371">
        <f>SUM(Y66:Y69)</f>
        <v>54248.209829306121</v>
      </c>
      <c r="Z70" s="371"/>
      <c r="AA70" s="371">
        <f>SUM(AA66:AA69)</f>
        <v>53116.294712302391</v>
      </c>
      <c r="AB70" s="371"/>
      <c r="AC70" s="371">
        <f>SUM(AC66:AC69)</f>
        <v>51700.88201250953</v>
      </c>
      <c r="AD70" s="371"/>
      <c r="AE70" s="371">
        <f>SUM(AE66:AE69)</f>
        <v>49985.956604579973</v>
      </c>
      <c r="AF70" s="371"/>
      <c r="AG70" s="371">
        <f>SUM(AG66:AG69)</f>
        <v>47954.790645146495</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53041.201152368973</v>
      </c>
      <c r="F72" s="377"/>
      <c r="G72" s="371">
        <f>G60-G62-G70</f>
        <v>54001.689902368969</v>
      </c>
      <c r="H72" s="377"/>
      <c r="I72" s="371">
        <f>I60-I62-I70</f>
        <v>54805.244721118834</v>
      </c>
      <c r="J72" s="377"/>
      <c r="K72" s="371">
        <f>K60-K62-K70</f>
        <v>55441.612347587667</v>
      </c>
      <c r="L72" s="377"/>
      <c r="M72" s="371">
        <f>M60-M62-M70</f>
        <v>55900.061738346718</v>
      </c>
      <c r="N72" s="377"/>
      <c r="O72" s="371">
        <f>O60-O62-O70</f>
        <v>56169.364375113131</v>
      </c>
      <c r="P72" s="377"/>
      <c r="Q72" s="371">
        <f>Q60-Q62-Q70</f>
        <v>56237.773808887971</v>
      </c>
      <c r="R72" s="377"/>
      <c r="S72" s="371">
        <f>S60-S62-S70</f>
        <v>56093.004412126895</v>
      </c>
      <c r="T72" s="377"/>
      <c r="U72" s="371">
        <f>U60-U62-U70</f>
        <v>55722.209309318328</v>
      </c>
      <c r="V72" s="377"/>
      <c r="W72" s="371">
        <f>W60-W62-W70</f>
        <v>55111.957455274103</v>
      </c>
      <c r="X72" s="377"/>
      <c r="Y72" s="371">
        <f>Y60-Y62-Y70</f>
        <v>54248.209829306121</v>
      </c>
      <c r="Z72" s="377"/>
      <c r="AA72" s="371">
        <f>AA60-AA62-AA70</f>
        <v>53116.294712302391</v>
      </c>
      <c r="AB72" s="377"/>
      <c r="AC72" s="371">
        <f>AC60-AC62-AC70</f>
        <v>51700.88201250953</v>
      </c>
      <c r="AD72" s="377"/>
      <c r="AE72" s="371">
        <f>AE60-AE62-AE70</f>
        <v>49985.956604579973</v>
      </c>
      <c r="AF72" s="377"/>
      <c r="AG72" s="371">
        <f>AG60-AG62-AG70</f>
        <v>47954.790645146495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1098</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B4" sqref="B4:B8"/>
    </sheetView>
  </sheetViews>
  <sheetFormatPr defaultColWidth="9.07421875" defaultRowHeight="14.15" zeroHeight="1"/>
  <cols>
    <col min="1" max="3" width="15.53515625" style="286" customWidth="1"/>
    <col min="4" max="4" width="3.53515625" style="286" customWidth="1"/>
    <col min="5" max="6" width="15.53515625" style="286" customWidth="1"/>
    <col min="7" max="7" width="3.53515625" style="286" customWidth="1"/>
    <col min="8" max="9" width="15.53515625" style="286" customWidth="1"/>
    <col min="10" max="16383" width="9.07421875" style="286"/>
    <col min="16384" max="16384" width="0.4609375" style="286" customWidth="1"/>
  </cols>
  <sheetData>
    <row r="1" spans="1:9">
      <c r="A1" s="1974" t="s">
        <v>1169</v>
      </c>
      <c r="B1" s="1974"/>
      <c r="C1" s="1974"/>
      <c r="D1" s="1974"/>
      <c r="E1" s="1974"/>
      <c r="F1" s="1974"/>
      <c r="G1" s="1974"/>
      <c r="H1" s="1974"/>
      <c r="I1" s="1974"/>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15</v>
      </c>
      <c r="C4" s="599">
        <f>Application!$O703</f>
        <v>495</v>
      </c>
      <c r="D4" s="600"/>
      <c r="E4" s="938">
        <v>1361</v>
      </c>
      <c r="F4" s="599">
        <f>$E4*$B4</f>
        <v>20415</v>
      </c>
      <c r="G4" s="600"/>
      <c r="H4" s="599">
        <f>IF($E4=0,0,MAX($E4-$C4,0))</f>
        <v>866</v>
      </c>
      <c r="I4" s="599">
        <f>IF($H4=0,0,($H4*$B4))</f>
        <v>12990</v>
      </c>
    </row>
    <row r="5" spans="1:9">
      <c r="A5" s="599" t="str">
        <f>Application!$B704</f>
        <v>1 Bedroom</v>
      </c>
      <c r="B5" s="939">
        <f>Application!$G704</f>
        <v>25</v>
      </c>
      <c r="C5" s="599">
        <f>Application!$O704</f>
        <v>660</v>
      </c>
      <c r="D5" s="600"/>
      <c r="E5" s="938">
        <f>E4</f>
        <v>1361</v>
      </c>
      <c r="F5" s="599">
        <f t="shared" ref="F5:F38" si="0">$E5*$B5</f>
        <v>34025</v>
      </c>
      <c r="G5" s="600"/>
      <c r="H5" s="599">
        <f t="shared" ref="H5:H38" si="1">IF($E5=0,0,MAX($E5-$C5,0))</f>
        <v>701</v>
      </c>
      <c r="I5" s="599">
        <f t="shared" ref="I5:I38" si="2">IF($H5=0,0,($H5*$B5))</f>
        <v>17525</v>
      </c>
    </row>
    <row r="6" spans="1:9">
      <c r="A6" s="599" t="str">
        <f>Application!$B705</f>
        <v>1 Bedroom</v>
      </c>
      <c r="B6" s="939">
        <f>Application!$G705</f>
        <v>25</v>
      </c>
      <c r="C6" s="599">
        <f>Application!$O705</f>
        <v>825</v>
      </c>
      <c r="D6" s="600"/>
      <c r="E6" s="938">
        <f t="shared" ref="E6:E8" si="3">E5</f>
        <v>1361</v>
      </c>
      <c r="F6" s="599">
        <f t="shared" si="0"/>
        <v>34025</v>
      </c>
      <c r="G6" s="600"/>
      <c r="H6" s="599">
        <f t="shared" si="1"/>
        <v>536</v>
      </c>
      <c r="I6" s="599">
        <f t="shared" si="2"/>
        <v>13400</v>
      </c>
    </row>
    <row r="7" spans="1:9">
      <c r="A7" s="599" t="str">
        <f>Application!$B706</f>
        <v>1 Bedroom</v>
      </c>
      <c r="B7" s="939">
        <f>Application!$G706</f>
        <v>25</v>
      </c>
      <c r="C7" s="599">
        <f>Application!$O706</f>
        <v>990</v>
      </c>
      <c r="D7" s="600"/>
      <c r="E7" s="938">
        <f t="shared" si="3"/>
        <v>1361</v>
      </c>
      <c r="F7" s="599">
        <f t="shared" si="0"/>
        <v>34025</v>
      </c>
      <c r="G7" s="600"/>
      <c r="H7" s="599">
        <f t="shared" si="1"/>
        <v>371</v>
      </c>
      <c r="I7" s="599">
        <f t="shared" si="2"/>
        <v>9275</v>
      </c>
    </row>
    <row r="8" spans="1:9">
      <c r="A8" s="599" t="str">
        <f>Application!$B707</f>
        <v>1 Bedroom</v>
      </c>
      <c r="B8" s="939">
        <f>Application!$G707</f>
        <v>2</v>
      </c>
      <c r="C8" s="599">
        <f>Application!$O707</f>
        <v>990</v>
      </c>
      <c r="D8" s="600"/>
      <c r="E8" s="938">
        <f t="shared" si="3"/>
        <v>1361</v>
      </c>
      <c r="F8" s="599">
        <f t="shared" si="0"/>
        <v>2722</v>
      </c>
      <c r="G8" s="600"/>
      <c r="H8" s="599">
        <f t="shared" si="1"/>
        <v>371</v>
      </c>
      <c r="I8" s="599">
        <f t="shared" si="2"/>
        <v>742</v>
      </c>
    </row>
    <row r="9" spans="1:9">
      <c r="A9" s="599" t="str">
        <f>Application!$B708</f>
        <v>1 Bedroom</v>
      </c>
      <c r="B9" s="939">
        <f>Application!$G708</f>
        <v>8</v>
      </c>
      <c r="C9" s="599">
        <f>Application!$O708</f>
        <v>990</v>
      </c>
      <c r="D9" s="600"/>
      <c r="E9" s="938">
        <v>990</v>
      </c>
      <c r="F9" s="599">
        <f t="shared" si="0"/>
        <v>7920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1168</v>
      </c>
      <c r="B40" s="602"/>
      <c r="C40" s="603">
        <f>Application!$T$738*12</f>
        <v>950400</v>
      </c>
      <c r="D40" s="600"/>
      <c r="E40" s="600"/>
      <c r="F40" s="603">
        <f>SUM(F4:F38)*12</f>
        <v>1597584</v>
      </c>
      <c r="G40" s="604"/>
      <c r="H40" s="602"/>
      <c r="I40" s="603">
        <f>SUM(I4:I38)*12</f>
        <v>647184</v>
      </c>
    </row>
    <row r="41" spans="1:9">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07421875" defaultRowHeight="12.45"/>
  <cols>
    <col min="1" max="16384" width="9.07421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45" zeroHeight="1"/>
  <cols>
    <col min="1" max="1" width="161.53515625" customWidth="1"/>
    <col min="2" max="16384" width="8.84375" hidden="1"/>
  </cols>
  <sheetData>
    <row r="1" spans="1:1" s="300" customFormat="1" ht="45" customHeight="1">
      <c r="A1" s="484" t="s">
        <v>1228</v>
      </c>
    </row>
    <row r="2" spans="1:1" ht="15.45">
      <c r="A2" s="482"/>
    </row>
    <row r="3" spans="1:1" ht="15.45">
      <c r="A3" s="483" t="s">
        <v>1223</v>
      </c>
    </row>
    <row r="4" spans="1:1" ht="15.45">
      <c r="A4" s="483" t="s">
        <v>1224</v>
      </c>
    </row>
    <row r="5" spans="1:1" ht="15.45">
      <c r="A5" s="483" t="s">
        <v>1225</v>
      </c>
    </row>
    <row r="6" spans="1:1" ht="15.45">
      <c r="A6" s="483" t="s">
        <v>1226</v>
      </c>
    </row>
    <row r="7" spans="1:1" ht="15.45">
      <c r="A7" s="483" t="s">
        <v>1227</v>
      </c>
    </row>
    <row r="8" spans="1:1" ht="15.45">
      <c r="A8" s="561" t="s">
        <v>1342</v>
      </c>
    </row>
    <row r="9" spans="1:1" ht="15.4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609375" customWidth="1"/>
    <col min="2" max="2" width="0.84375" customWidth="1"/>
    <col min="3" max="18" width="2.4609375" customWidth="1"/>
    <col min="19" max="19" width="4" customWidth="1"/>
    <col min="20" max="39" width="2.4609375" customWidth="1"/>
    <col min="40" max="40" width="1.4609375" customWidth="1"/>
    <col min="41" max="16384" width="2.4609375" hidden="1"/>
  </cols>
  <sheetData>
    <row r="1" spans="1:40" ht="12.9" customHeight="1">
      <c r="A1" s="1621" t="s">
        <v>1099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2.9"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18" t="s">
        <v>508</v>
      </c>
      <c r="C11" s="1119"/>
      <c r="D11" s="1119"/>
      <c r="E11" s="1119"/>
      <c r="F11" s="1119"/>
      <c r="G11" s="1119"/>
      <c r="H11" s="1119"/>
      <c r="I11" s="1119"/>
      <c r="J11" s="1119"/>
      <c r="K11" s="1119"/>
      <c r="L11" s="1119"/>
      <c r="M11" s="1119"/>
      <c r="N11" s="1119"/>
      <c r="O11" s="1119"/>
      <c r="P11" s="1119"/>
      <c r="Q11" s="1119"/>
      <c r="R11" s="1119"/>
      <c r="S11" s="1121"/>
      <c r="T11" s="1639">
        <f>IF('Sources and Basis Breakdown'!F105=0,'Sources and Basis Breakdown'!E105,'Sources and Basis Breakdown'!F105)</f>
        <v>10948333</v>
      </c>
      <c r="U11" s="1626"/>
      <c r="V11" s="1626"/>
      <c r="W11" s="1626"/>
      <c r="X11" s="1626"/>
      <c r="Y11" s="1625">
        <f>IF('Sources and Basis Breakdown'!G105+'Sources and Basis Breakdown'!F105='Sources and Basis Breakdown'!E105,'Sources and Basis Breakdown'!G105,0)</f>
        <v>10948333</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 customHeight="1">
      <c r="B12" s="1633" t="s">
        <v>447</v>
      </c>
      <c r="C12" s="1013"/>
      <c r="D12" s="1013"/>
      <c r="E12" s="1013"/>
      <c r="F12" s="1013"/>
      <c r="G12" s="1013"/>
      <c r="H12" s="1013"/>
      <c r="I12" s="1013"/>
      <c r="J12" s="1013"/>
      <c r="K12" s="1013"/>
      <c r="L12" s="1013"/>
      <c r="M12" s="1013"/>
      <c r="N12" s="1013"/>
      <c r="O12" s="1013"/>
      <c r="P12" s="1013"/>
      <c r="Q12" s="1013"/>
      <c r="R12" s="1013"/>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36" t="s">
        <v>767</v>
      </c>
      <c r="D14" s="1636"/>
      <c r="E14" s="1636"/>
      <c r="F14" s="1636"/>
      <c r="G14" s="1636"/>
      <c r="H14" s="1636"/>
      <c r="I14" s="1636"/>
      <c r="J14" s="1636"/>
      <c r="K14" s="1636"/>
      <c r="L14" s="1636"/>
      <c r="M14" s="1636"/>
      <c r="N14" s="1636"/>
      <c r="O14" s="1636"/>
      <c r="P14" s="1636"/>
      <c r="Q14" s="1636"/>
      <c r="R14" s="1636"/>
      <c r="S14" s="1637"/>
      <c r="T14" s="1196">
        <f>'Basis &amp; Credits'!T14</f>
        <v>0</v>
      </c>
      <c r="U14" s="1213"/>
      <c r="V14" s="1213"/>
      <c r="W14" s="1213"/>
      <c r="X14" s="1213"/>
      <c r="Y14" s="1196">
        <f>'Basis &amp; Credits'!Y14</f>
        <v>0</v>
      </c>
      <c r="Z14" s="1213"/>
      <c r="AA14" s="1213"/>
      <c r="AB14" s="1213"/>
      <c r="AC14" s="1213"/>
      <c r="AD14" s="1213">
        <f>'Basis &amp; Credits'!AD14</f>
        <v>0</v>
      </c>
      <c r="AE14" s="1213"/>
      <c r="AF14" s="1213"/>
      <c r="AG14" s="1213"/>
      <c r="AH14" s="1213"/>
      <c r="AI14" s="1213">
        <f>'Basis &amp; Credits'!AI14</f>
        <v>0</v>
      </c>
      <c r="AJ14" s="1213"/>
      <c r="AK14" s="1213"/>
      <c r="AL14" s="1213"/>
      <c r="AM14" s="1213"/>
    </row>
    <row r="15" spans="1:40" ht="12.9" customHeight="1">
      <c r="B15" s="8"/>
      <c r="C15" s="1636" t="s">
        <v>768</v>
      </c>
      <c r="D15" s="1636"/>
      <c r="E15" s="1636"/>
      <c r="F15" s="1636"/>
      <c r="G15" s="1636"/>
      <c r="H15" s="1636"/>
      <c r="I15" s="1636"/>
      <c r="J15" s="1636"/>
      <c r="K15" s="1636"/>
      <c r="L15" s="1636"/>
      <c r="M15" s="1636"/>
      <c r="N15" s="1636"/>
      <c r="O15" s="1636"/>
      <c r="P15" s="1636"/>
      <c r="Q15" s="1636"/>
      <c r="R15" s="1636"/>
      <c r="S15" s="1637"/>
      <c r="T15" s="1196">
        <f>'Basis &amp; Credits'!T15</f>
        <v>0</v>
      </c>
      <c r="U15" s="1213"/>
      <c r="V15" s="1213"/>
      <c r="W15" s="1213"/>
      <c r="X15" s="1213"/>
      <c r="Y15" s="1196">
        <f>'Basis &amp; Credits'!Y15</f>
        <v>0</v>
      </c>
      <c r="Z15" s="1213"/>
      <c r="AA15" s="1213"/>
      <c r="AB15" s="1213"/>
      <c r="AC15" s="1213"/>
      <c r="AD15" s="1213">
        <f>'Basis &amp; Credits'!AD15</f>
        <v>0</v>
      </c>
      <c r="AE15" s="1213"/>
      <c r="AF15" s="1213"/>
      <c r="AG15" s="1213"/>
      <c r="AH15" s="1213"/>
      <c r="AI15" s="1213">
        <f>'Basis &amp; Credits'!AI15</f>
        <v>0</v>
      </c>
      <c r="AJ15" s="1213"/>
      <c r="AK15" s="1213"/>
      <c r="AL15" s="1213"/>
      <c r="AM15" s="1213"/>
    </row>
    <row r="16" spans="1:40" ht="12.9" customHeight="1">
      <c r="B16" s="8"/>
      <c r="C16" s="1635" t="s">
        <v>1011</v>
      </c>
      <c r="D16" s="1635"/>
      <c r="E16" s="1635"/>
      <c r="F16" s="1635"/>
      <c r="G16" s="1635"/>
      <c r="H16" s="1635"/>
      <c r="I16" s="1635"/>
      <c r="J16" s="1635"/>
      <c r="K16" s="1635"/>
      <c r="L16" s="1635"/>
      <c r="M16" s="1635"/>
      <c r="N16" s="1635"/>
      <c r="O16" s="1635"/>
      <c r="P16" s="1635"/>
      <c r="Q16" s="1635"/>
      <c r="R16" s="1635"/>
      <c r="S16" s="1638"/>
      <c r="T16" s="1196">
        <f>'Basis &amp; Credits'!T16</f>
        <v>0</v>
      </c>
      <c r="U16" s="1213"/>
      <c r="V16" s="1213"/>
      <c r="W16" s="1213"/>
      <c r="X16" s="1213"/>
      <c r="Y16" s="1196">
        <f>'Basis &amp; Credits'!Y16</f>
        <v>0</v>
      </c>
      <c r="Z16" s="1213"/>
      <c r="AA16" s="1213"/>
      <c r="AB16" s="1213"/>
      <c r="AC16" s="1213"/>
      <c r="AD16" s="1213">
        <f>'Basis &amp; Credits'!AD16</f>
        <v>0</v>
      </c>
      <c r="AE16" s="1213"/>
      <c r="AF16" s="1213"/>
      <c r="AG16" s="1213"/>
      <c r="AH16" s="1213"/>
      <c r="AI16" s="1213">
        <f>'Basis &amp; Credits'!AI16</f>
        <v>0</v>
      </c>
      <c r="AJ16" s="1213"/>
      <c r="AK16" s="1213"/>
      <c r="AL16" s="1213"/>
      <c r="AM16" s="1213"/>
    </row>
    <row r="17" spans="1:39" ht="12.9" customHeight="1">
      <c r="B17" s="8"/>
      <c r="C17" s="1636" t="s">
        <v>769</v>
      </c>
      <c r="D17" s="1636"/>
      <c r="E17" s="1636"/>
      <c r="F17" s="1636"/>
      <c r="G17" s="1636"/>
      <c r="H17" s="1636"/>
      <c r="I17" s="1636"/>
      <c r="J17" s="1636"/>
      <c r="K17" s="1636"/>
      <c r="L17" s="1636"/>
      <c r="M17" s="1636"/>
      <c r="N17" s="1636"/>
      <c r="O17" s="1636"/>
      <c r="P17" s="1636"/>
      <c r="Q17" s="1636"/>
      <c r="R17" s="1636"/>
      <c r="S17" s="1637"/>
      <c r="T17" s="1196">
        <f>'Basis &amp; Credits'!T17</f>
        <v>0</v>
      </c>
      <c r="U17" s="1213"/>
      <c r="V17" s="1213"/>
      <c r="W17" s="1213"/>
      <c r="X17" s="1213"/>
      <c r="Y17" s="1196">
        <f>'Basis &amp; Credits'!Y17</f>
        <v>0</v>
      </c>
      <c r="Z17" s="1213"/>
      <c r="AA17" s="1213"/>
      <c r="AB17" s="1213"/>
      <c r="AC17" s="1213"/>
      <c r="AD17" s="1213">
        <f>'Basis &amp; Credits'!AD17</f>
        <v>0</v>
      </c>
      <c r="AE17" s="1213"/>
      <c r="AF17" s="1213"/>
      <c r="AG17" s="1213"/>
      <c r="AH17" s="1213"/>
      <c r="AI17" s="1213">
        <f>'Basis &amp; Credits'!AI17</f>
        <v>0</v>
      </c>
      <c r="AJ17" s="1213"/>
      <c r="AK17" s="1213"/>
      <c r="AL17" s="1213"/>
      <c r="AM17" s="1213"/>
    </row>
    <row r="18" spans="1:39" ht="12.9" customHeight="1">
      <c r="B18" s="590"/>
      <c r="C18" s="1635" t="s">
        <v>1362</v>
      </c>
      <c r="D18" s="1636"/>
      <c r="E18" s="1636"/>
      <c r="F18" s="1636"/>
      <c r="G18" s="1636"/>
      <c r="H18" s="1636"/>
      <c r="I18" s="1636"/>
      <c r="J18" s="1636"/>
      <c r="K18" s="1636"/>
      <c r="L18" s="1636"/>
      <c r="M18" s="1636"/>
      <c r="N18" s="1636"/>
      <c r="O18" s="1636"/>
      <c r="P18" s="1636"/>
      <c r="Q18" s="1636"/>
      <c r="R18" s="1636"/>
      <c r="S18" s="1637"/>
      <c r="T18" s="1194">
        <f>'Basis &amp; Credits'!T18</f>
        <v>0</v>
      </c>
      <c r="U18" s="1195"/>
      <c r="V18" s="1195"/>
      <c r="W18" s="1195"/>
      <c r="X18" s="1196"/>
      <c r="Y18" s="1196">
        <f>'Basis &amp; Credits'!Y18</f>
        <v>0</v>
      </c>
      <c r="Z18" s="1213"/>
      <c r="AA18" s="1213"/>
      <c r="AB18" s="1213"/>
      <c r="AC18" s="1213"/>
      <c r="AD18" s="1213">
        <f>'Basis &amp; Credits'!AD18</f>
        <v>0</v>
      </c>
      <c r="AE18" s="1213"/>
      <c r="AF18" s="1213"/>
      <c r="AG18" s="1213"/>
      <c r="AH18" s="1213"/>
      <c r="AI18" s="1213">
        <f>'Basis &amp; Credits'!AI18</f>
        <v>0</v>
      </c>
      <c r="AJ18" s="1213"/>
      <c r="AK18" s="1213"/>
      <c r="AL18" s="1213"/>
      <c r="AM18" s="1213"/>
    </row>
    <row r="19" spans="1:39" ht="12.9"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6">
        <f>'Basis &amp; Credits'!T19</f>
        <v>0</v>
      </c>
      <c r="U19" s="1213"/>
      <c r="V19" s="1213"/>
      <c r="W19" s="1213"/>
      <c r="X19" s="1213"/>
      <c r="Y19" s="1196">
        <f>'Basis &amp; Credits'!Y19</f>
        <v>0</v>
      </c>
      <c r="Z19" s="1213"/>
      <c r="AA19" s="1213"/>
      <c r="AB19" s="1213"/>
      <c r="AC19" s="1213"/>
      <c r="AD19" s="1213">
        <f>'Basis &amp; Credits'!AD19</f>
        <v>0</v>
      </c>
      <c r="AE19" s="1213"/>
      <c r="AF19" s="1213"/>
      <c r="AG19" s="1213"/>
      <c r="AH19" s="1213"/>
      <c r="AI19" s="1213">
        <f>'Basis &amp; Credits'!AI19</f>
        <v>0</v>
      </c>
      <c r="AJ19" s="1213"/>
      <c r="AK19" s="1213"/>
      <c r="AL19" s="1213"/>
      <c r="AM19" s="1213"/>
    </row>
    <row r="20" spans="1:39" ht="12.9" customHeight="1">
      <c r="B20" s="1118" t="s">
        <v>770</v>
      </c>
      <c r="C20" s="1119"/>
      <c r="D20" s="1119"/>
      <c r="E20" s="1119"/>
      <c r="F20" s="1119"/>
      <c r="G20" s="1119"/>
      <c r="H20" s="1119"/>
      <c r="I20" s="1119"/>
      <c r="J20" s="1119"/>
      <c r="K20" s="1119"/>
      <c r="L20" s="1119"/>
      <c r="M20" s="1119"/>
      <c r="N20" s="1119"/>
      <c r="O20" s="1119"/>
      <c r="P20" s="1119"/>
      <c r="Q20" s="1119"/>
      <c r="R20" s="1119"/>
      <c r="S20" s="1121"/>
      <c r="T20" s="1606">
        <f>SUM(T13:X19)</f>
        <v>0</v>
      </c>
      <c r="U20" s="1248"/>
      <c r="V20" s="1248"/>
      <c r="W20" s="1248"/>
      <c r="X20" s="1248"/>
      <c r="Y20" s="1606">
        <f>SUM(Y13:AC19)</f>
        <v>0</v>
      </c>
      <c r="Z20" s="1248"/>
      <c r="AA20" s="1248"/>
      <c r="AB20" s="1248"/>
      <c r="AC20" s="1248"/>
      <c r="AD20" s="1248">
        <f>SUM(AD13:AH19)</f>
        <v>0</v>
      </c>
      <c r="AE20" s="1248"/>
      <c r="AF20" s="1248"/>
      <c r="AG20" s="1248"/>
      <c r="AH20" s="1248"/>
      <c r="AI20" s="1248">
        <f>SUM(AI13:AM19)</f>
        <v>0</v>
      </c>
      <c r="AJ20" s="1248"/>
      <c r="AK20" s="1248"/>
      <c r="AL20" s="1248"/>
      <c r="AM20" s="1248"/>
    </row>
    <row r="21" spans="1:39" ht="12.9" customHeight="1">
      <c r="B21" s="1118" t="s">
        <v>1704</v>
      </c>
      <c r="C21" s="1119"/>
      <c r="D21" s="1119"/>
      <c r="E21" s="1119"/>
      <c r="F21" s="1119"/>
      <c r="G21" s="1119"/>
      <c r="H21" s="1119"/>
      <c r="I21" s="1119"/>
      <c r="J21" s="1119"/>
      <c r="K21" s="1119"/>
      <c r="L21" s="1119"/>
      <c r="M21" s="1119"/>
      <c r="N21" s="1119"/>
      <c r="O21" s="1119"/>
      <c r="P21" s="1119"/>
      <c r="Q21" s="1119"/>
      <c r="R21" s="1119"/>
      <c r="S21" s="1121"/>
      <c r="T21" s="1196">
        <f>'Basis &amp; Credits'!E21</f>
        <v>0</v>
      </c>
      <c r="U21" s="1213"/>
      <c r="V21" s="1213"/>
      <c r="W21" s="1213"/>
      <c r="X21" s="1213"/>
      <c r="Y21" s="1196">
        <f>'Basis &amp; Credits'!J21</f>
        <v>0</v>
      </c>
      <c r="Z21" s="1213"/>
      <c r="AA21" s="1213"/>
      <c r="AB21" s="1213"/>
      <c r="AC21" s="1213"/>
      <c r="AD21" s="1213">
        <f>'Basis &amp; Credits'!O21</f>
        <v>0</v>
      </c>
      <c r="AE21" s="1213"/>
      <c r="AF21" s="1213"/>
      <c r="AG21" s="1213"/>
      <c r="AH21" s="1213"/>
      <c r="AI21" s="1213">
        <f>'Basis &amp; Credits'!T21</f>
        <v>0</v>
      </c>
      <c r="AJ21" s="1213"/>
      <c r="AK21" s="1213"/>
      <c r="AL21" s="1213"/>
      <c r="AM21" s="1213"/>
    </row>
    <row r="22" spans="1:39" ht="12.9" customHeight="1">
      <c r="B22" s="1118" t="s">
        <v>771</v>
      </c>
      <c r="C22" s="1119"/>
      <c r="D22" s="1119"/>
      <c r="E22" s="1119"/>
      <c r="F22" s="1119"/>
      <c r="G22" s="1119"/>
      <c r="H22" s="1119"/>
      <c r="I22" s="1119"/>
      <c r="J22" s="1119"/>
      <c r="K22" s="1119"/>
      <c r="L22" s="1119"/>
      <c r="M22" s="1119"/>
      <c r="N22" s="1119"/>
      <c r="O22" s="1119"/>
      <c r="P22" s="1119"/>
      <c r="Q22" s="1119"/>
      <c r="R22" s="1119"/>
      <c r="S22" s="1121"/>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2.9" customHeight="1">
      <c r="B23" s="1118" t="s">
        <v>772</v>
      </c>
      <c r="C23" s="1119"/>
      <c r="D23" s="1119"/>
      <c r="E23" s="1119"/>
      <c r="F23" s="1119"/>
      <c r="G23" s="1119"/>
      <c r="H23" s="1119"/>
      <c r="I23" s="1119"/>
      <c r="J23" s="1119"/>
      <c r="K23" s="1119"/>
      <c r="L23" s="1119"/>
      <c r="M23" s="1119"/>
      <c r="N23" s="1119"/>
      <c r="O23" s="1119"/>
      <c r="P23" s="1119"/>
      <c r="Q23" s="1119"/>
      <c r="R23" s="1119"/>
      <c r="S23" s="1121"/>
      <c r="T23" s="1606">
        <f>T11+T22</f>
        <v>10948333</v>
      </c>
      <c r="U23" s="1248"/>
      <c r="V23" s="1248"/>
      <c r="W23" s="1248"/>
      <c r="X23" s="1248"/>
      <c r="Y23" s="1606">
        <f>Y11+Y22</f>
        <v>10948333</v>
      </c>
      <c r="Z23" s="1248"/>
      <c r="AA23" s="1248"/>
      <c r="AB23" s="1248"/>
      <c r="AC23" s="1248"/>
      <c r="AD23" s="1606">
        <f>AD11+AD22</f>
        <v>0</v>
      </c>
      <c r="AE23" s="1248"/>
      <c r="AF23" s="1248"/>
      <c r="AG23" s="1248"/>
      <c r="AH23" s="1248"/>
      <c r="AI23" s="1606">
        <f>AI11+AI22</f>
        <v>0</v>
      </c>
      <c r="AJ23" s="1248"/>
      <c r="AK23" s="1248"/>
      <c r="AL23" s="1248"/>
      <c r="AM23" s="1248"/>
    </row>
    <row r="24" spans="1:39" ht="12.9" customHeight="1">
      <c r="B24" s="1118" t="s">
        <v>1217</v>
      </c>
      <c r="C24" s="1119"/>
      <c r="D24" s="1119"/>
      <c r="E24" s="1119"/>
      <c r="F24" s="1119"/>
      <c r="G24" s="1119"/>
      <c r="H24" s="1119"/>
      <c r="I24" s="1119"/>
      <c r="J24" s="1119"/>
      <c r="K24" s="1119"/>
      <c r="L24" s="1119"/>
      <c r="M24" s="1119"/>
      <c r="N24" s="1119"/>
      <c r="O24" s="1119"/>
      <c r="P24" s="1119"/>
      <c r="Q24" s="1119"/>
      <c r="R24" s="1119"/>
      <c r="S24" s="1121"/>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6"/>
      <c r="Y25" s="1642">
        <v>1</v>
      </c>
      <c r="Z25" s="1643"/>
      <c r="AA25" s="1643"/>
      <c r="AB25" s="1643"/>
      <c r="AC25" s="1646"/>
      <c r="AD25" s="1642">
        <v>1</v>
      </c>
      <c r="AE25" s="1643"/>
      <c r="AF25" s="1643"/>
      <c r="AG25" s="1643"/>
      <c r="AH25" s="1646"/>
      <c r="AI25" s="1642">
        <v>1</v>
      </c>
      <c r="AJ25" s="1643"/>
      <c r="AK25" s="1643"/>
      <c r="AL25" s="1643"/>
      <c r="AM25" s="1646"/>
    </row>
    <row r="26" spans="1:39" ht="12.9" customHeight="1">
      <c r="B26" s="1118" t="s">
        <v>773</v>
      </c>
      <c r="C26" s="1119"/>
      <c r="D26" s="1119"/>
      <c r="E26" s="1119"/>
      <c r="F26" s="1119"/>
      <c r="G26" s="1119"/>
      <c r="H26" s="1119"/>
      <c r="I26" s="1119"/>
      <c r="J26" s="1119"/>
      <c r="K26" s="1119"/>
      <c r="L26" s="1119"/>
      <c r="M26" s="1119"/>
      <c r="N26" s="1119"/>
      <c r="O26" s="1119"/>
      <c r="P26" s="1119"/>
      <c r="Q26" s="1119"/>
      <c r="R26" s="1119"/>
      <c r="S26" s="1121"/>
      <c r="T26" s="1103">
        <f>T23*T25</f>
        <v>10948333</v>
      </c>
      <c r="U26" s="1618"/>
      <c r="V26" s="1618"/>
      <c r="W26" s="1618"/>
      <c r="X26" s="1618"/>
      <c r="Y26" s="1103">
        <f>Y23*Y25</f>
        <v>10948333</v>
      </c>
      <c r="Z26" s="1618"/>
      <c r="AA26" s="1618"/>
      <c r="AB26" s="1618"/>
      <c r="AC26" s="1618"/>
      <c r="AD26" s="1103">
        <f>AD23*AD25</f>
        <v>0</v>
      </c>
      <c r="AE26" s="1618"/>
      <c r="AF26" s="1618"/>
      <c r="AG26" s="1618"/>
      <c r="AH26" s="1618"/>
      <c r="AI26" s="1103">
        <f>AI23*AI25</f>
        <v>0</v>
      </c>
      <c r="AJ26" s="1618"/>
      <c r="AK26" s="1618"/>
      <c r="AL26" s="1618"/>
      <c r="AM26" s="1618"/>
    </row>
    <row r="27" spans="1:39" ht="12.9"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 customHeight="1">
      <c r="A28" s="3"/>
      <c r="B28" s="1118" t="s">
        <v>842</v>
      </c>
      <c r="C28" s="1119"/>
      <c r="D28" s="1119"/>
      <c r="E28" s="1119"/>
      <c r="F28" s="1119"/>
      <c r="G28" s="1119"/>
      <c r="H28" s="1119"/>
      <c r="I28" s="1119"/>
      <c r="J28" s="1119"/>
      <c r="K28" s="1119"/>
      <c r="L28" s="1119"/>
      <c r="M28" s="1119"/>
      <c r="N28" s="1119"/>
      <c r="O28" s="1119"/>
      <c r="P28" s="1119"/>
      <c r="Q28" s="1119"/>
      <c r="R28" s="1119"/>
      <c r="S28" s="1121"/>
      <c r="T28" s="1103">
        <f>IF(ISERROR((T26*T27)),0,(T26*T27))</f>
        <v>10948333</v>
      </c>
      <c r="U28" s="1618"/>
      <c r="V28" s="1618"/>
      <c r="W28" s="1618"/>
      <c r="X28" s="1618"/>
      <c r="Y28" s="1103">
        <f>IF(ISERROR((Y26*Y27)),0,(Y26*Y27))</f>
        <v>10948333</v>
      </c>
      <c r="Z28" s="1618"/>
      <c r="AA28" s="1618"/>
      <c r="AB28" s="1618"/>
      <c r="AC28" s="1618"/>
      <c r="AD28" s="1103">
        <f>IF(ISERROR((AD26*AD27)),0,(AD26*AD27))</f>
        <v>0</v>
      </c>
      <c r="AE28" s="1618"/>
      <c r="AF28" s="1618"/>
      <c r="AG28" s="1618"/>
      <c r="AH28" s="1618"/>
      <c r="AI28" s="1103">
        <f>IF(ISERROR((AI26*AI27)),0,(AI26*AI27))</f>
        <v>0</v>
      </c>
      <c r="AJ28" s="1618"/>
      <c r="AK28" s="1618"/>
      <c r="AL28" s="1618"/>
      <c r="AM28" s="1618"/>
    </row>
    <row r="29" spans="1:39" ht="12.9" customHeight="1">
      <c r="B29" s="1118" t="s">
        <v>622</v>
      </c>
      <c r="C29" s="1119"/>
      <c r="D29" s="1119"/>
      <c r="E29" s="1119"/>
      <c r="F29" s="1119"/>
      <c r="G29" s="1119"/>
      <c r="H29" s="1119"/>
      <c r="I29" s="1119"/>
      <c r="J29" s="1119"/>
      <c r="K29" s="1119"/>
      <c r="L29" s="1119"/>
      <c r="M29" s="1119"/>
      <c r="N29" s="1119"/>
      <c r="O29" s="1119"/>
      <c r="P29" s="1119"/>
      <c r="Q29" s="1119"/>
      <c r="R29" s="1119"/>
      <c r="S29" s="1121"/>
      <c r="T29" s="1607">
        <f>T28+Y28+AD28+AI28</f>
        <v>21896666</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38" t="s">
        <v>41</v>
      </c>
      <c r="AE35" s="1238"/>
      <c r="AF35" s="1238"/>
      <c r="AG35" s="1238"/>
      <c r="AH35" s="1238"/>
    </row>
    <row r="36" spans="1:40" ht="12.9" customHeight="1">
      <c r="B36" s="202"/>
      <c r="X36" s="71"/>
      <c r="Y36" s="1609"/>
      <c r="Z36" s="1609"/>
      <c r="AA36" s="1609"/>
      <c r="AB36" s="1609"/>
      <c r="AC36" s="1609"/>
      <c r="AD36" s="1238"/>
      <c r="AE36" s="1238"/>
      <c r="AF36" s="1238"/>
      <c r="AG36" s="1238"/>
      <c r="AH36" s="123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8"/>
      <c r="AE37" s="1238"/>
      <c r="AF37" s="1238"/>
      <c r="AG37" s="1238"/>
      <c r="AH37" s="1238"/>
    </row>
    <row r="38" spans="1:40" ht="12.9" customHeight="1">
      <c r="A38" s="3"/>
      <c r="B38" s="1118" t="s">
        <v>842</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8">
        <f>IF(T24&gt;=(T23+Y23+AD23+AI23),T28+Y28,0)</f>
        <v>0</v>
      </c>
      <c r="Z38" s="1248"/>
      <c r="AA38" s="1248"/>
      <c r="AB38" s="1248"/>
      <c r="AC38" s="1248"/>
      <c r="AD38" s="1248">
        <f>IF(T24&gt;=(T23+Y23+AD23+AI23),AD28+AI28,0)</f>
        <v>0</v>
      </c>
      <c r="AE38" s="1248"/>
      <c r="AF38" s="1248"/>
      <c r="AG38" s="1248"/>
      <c r="AH38" s="1248"/>
    </row>
    <row r="39" spans="1:40" ht="12.9" customHeight="1">
      <c r="B39" s="1118" t="s">
        <v>764</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6">
        <v>0.09</v>
      </c>
      <c r="Z39" s="1976"/>
      <c r="AA39" s="1976"/>
      <c r="AB39" s="1976"/>
      <c r="AC39" s="1976"/>
      <c r="AD39" s="1605">
        <v>0.04</v>
      </c>
      <c r="AE39" s="1605"/>
      <c r="AF39" s="1605"/>
      <c r="AG39" s="1605"/>
      <c r="AH39" s="1605"/>
    </row>
    <row r="40" spans="1:40" ht="12.9"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8">
        <f>ROUND(Y38*Y39,0)</f>
        <v>0</v>
      </c>
      <c r="Z40" s="1248"/>
      <c r="AA40" s="1248"/>
      <c r="AB40" s="1248"/>
      <c r="AC40" s="1248"/>
      <c r="AD40" s="1606">
        <f>ROUND(AD38*AD39,0)</f>
        <v>0</v>
      </c>
      <c r="AE40" s="1248"/>
      <c r="AF40" s="1248"/>
      <c r="AG40" s="1248"/>
      <c r="AH40" s="1248"/>
    </row>
    <row r="41" spans="1:40" ht="12.9" customHeight="1">
      <c r="B41" s="1118" t="s">
        <v>616</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7">
        <f>IF((Y40+AD40)&gt;2500000,2500000,Y40+AD40)</f>
        <v>0</v>
      </c>
      <c r="Z41" s="1608"/>
      <c r="AA41" s="1608"/>
      <c r="AB41" s="1608"/>
      <c r="AC41" s="1608"/>
      <c r="AD41" s="1608"/>
      <c r="AE41" s="1608"/>
      <c r="AF41" s="1608"/>
      <c r="AG41" s="1608"/>
      <c r="AH41" s="1606"/>
    </row>
    <row r="42" spans="1:40" ht="12.9"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39">
        <f>'Sources and Uses Budget'!B104-'Sources and Uses Budget'!$B$15</f>
        <v>18037480</v>
      </c>
      <c r="AC46" s="1240"/>
      <c r="AD46" s="1240"/>
      <c r="AE46" s="1240"/>
      <c r="AF46" s="1241"/>
    </row>
    <row r="47" spans="1:40" ht="12.9" customHeight="1">
      <c r="D47" s="3" t="s">
        <v>836</v>
      </c>
      <c r="AB47" s="1239">
        <f>Application!AG641-MIN('Sources and Uses Budget'!B15,Application!AG393)</f>
        <v>0</v>
      </c>
      <c r="AC47" s="1240"/>
      <c r="AD47" s="1240"/>
      <c r="AE47" s="1240"/>
      <c r="AF47" s="1241"/>
    </row>
    <row r="48" spans="1:40" ht="12.9" customHeight="1">
      <c r="D48" s="3" t="s">
        <v>378</v>
      </c>
      <c r="AB48" s="1239">
        <f>AB46-AB47</f>
        <v>18037480</v>
      </c>
      <c r="AC48" s="1240"/>
      <c r="AD48" s="1240"/>
      <c r="AE48" s="1240"/>
      <c r="AF48" s="1241"/>
    </row>
    <row r="49" spans="1:40" ht="12.9" customHeight="1">
      <c r="D49" s="3" t="s">
        <v>871</v>
      </c>
      <c r="AA49" s="34"/>
      <c r="AB49" s="1612"/>
      <c r="AC49" s="1613"/>
      <c r="AD49" s="1613"/>
      <c r="AE49" s="1613"/>
      <c r="AF49" s="1614"/>
    </row>
    <row r="50" spans="1:40" s="321" customFormat="1" ht="12.9"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9">
        <f>ROUND(IF(ISERROR((AB48/AB49)),0,(AB48/AB49)),0)</f>
        <v>0</v>
      </c>
      <c r="AC53" s="1240"/>
      <c r="AD53" s="1240"/>
      <c r="AE53" s="1240"/>
      <c r="AF53" s="1241"/>
    </row>
    <row r="54" spans="1:40" ht="12.9" customHeight="1">
      <c r="D54" s="3" t="s">
        <v>560</v>
      </c>
      <c r="AB54" s="1239">
        <f>(AB53/10)</f>
        <v>0</v>
      </c>
      <c r="AC54" s="1240"/>
      <c r="AD54" s="1240"/>
      <c r="AE54" s="1240"/>
      <c r="AF54" s="1241"/>
    </row>
    <row r="55" spans="1:40" ht="12.9" customHeight="1">
      <c r="D55" s="3" t="s">
        <v>341</v>
      </c>
      <c r="AB55" s="1239">
        <f>(IF((Y41&lt;AB54),Y41,AB54))</f>
        <v>0</v>
      </c>
      <c r="AC55" s="1240"/>
      <c r="AD55" s="1240"/>
      <c r="AE55" s="1240"/>
      <c r="AF55" s="1241"/>
    </row>
    <row r="56" spans="1:40" ht="12.9" customHeight="1">
      <c r="D56" s="3" t="s">
        <v>107</v>
      </c>
      <c r="AB56" s="1239">
        <f>ROUND((10*AB55*AB49),0)</f>
        <v>0</v>
      </c>
      <c r="AC56" s="1240"/>
      <c r="AD56" s="1240"/>
      <c r="AE56" s="1240"/>
      <c r="AF56" s="1241"/>
    </row>
    <row r="57" spans="1:40" ht="12.9" customHeight="1">
      <c r="D57" s="3"/>
      <c r="AB57" s="274"/>
      <c r="AC57" s="274"/>
      <c r="AD57" s="274"/>
      <c r="AE57" s="274"/>
      <c r="AF57" s="274"/>
    </row>
    <row r="58" spans="1:40" ht="12.9" customHeight="1">
      <c r="D58" s="3" t="s">
        <v>106</v>
      </c>
      <c r="AB58" s="1252">
        <f>AB48-AB56</f>
        <v>18037480</v>
      </c>
      <c r="AC58" s="1252"/>
      <c r="AD58" s="1252"/>
      <c r="AE58" s="1252"/>
      <c r="AF58" s="1252"/>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2.9" customHeight="1">
      <c r="A62" s="3" t="s">
        <v>122</v>
      </c>
      <c r="C62" s="3" t="s">
        <v>509</v>
      </c>
      <c r="Y62" s="1559" t="s">
        <v>298</v>
      </c>
      <c r="Z62" s="1559"/>
      <c r="AA62" s="1559"/>
      <c r="AB62" s="1559"/>
      <c r="AC62" s="1559"/>
      <c r="AD62" s="1559" t="s">
        <v>41</v>
      </c>
      <c r="AE62" s="1559"/>
      <c r="AF62" s="1559"/>
      <c r="AG62" s="1559"/>
      <c r="AH62" s="1559"/>
    </row>
    <row r="63" spans="1:40" ht="12.9"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8">
        <f>Y28</f>
        <v>10948333</v>
      </c>
      <c r="Z63" s="1615"/>
      <c r="AA63" s="1615"/>
      <c r="AB63" s="1615"/>
      <c r="AC63" s="1615"/>
      <c r="AD63" s="1248">
        <f>AI28</f>
        <v>0</v>
      </c>
      <c r="AE63" s="1615"/>
      <c r="AF63" s="1615"/>
      <c r="AG63" s="1615"/>
      <c r="AH63" s="1615"/>
    </row>
    <row r="64" spans="1:40" ht="12.9"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2.2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 customHeight="1">
      <c r="C67" s="3"/>
      <c r="D67" s="3" t="s">
        <v>940</v>
      </c>
      <c r="Y67" s="1248">
        <f>ROUND(Y63*Y66,0)</f>
        <v>3284500</v>
      </c>
      <c r="Z67" s="1615"/>
      <c r="AA67" s="1615"/>
      <c r="AB67" s="1615"/>
      <c r="AC67" s="1615"/>
      <c r="AD67" s="1248">
        <f>IF(OR(Application!D211="At-Risk",Application!D211="At-Risk/Located in Rural Census Tract",Application!D214="At-Risk"),ROUND(AD63*AD66,0),"$0")</f>
        <v>0</v>
      </c>
      <c r="AE67" s="1248"/>
      <c r="AF67" s="1248"/>
      <c r="AG67" s="1248"/>
      <c r="AH67" s="1248"/>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12"/>
      <c r="AC70" s="1613"/>
      <c r="AD70" s="1613"/>
      <c r="AE70" s="1613"/>
      <c r="AF70" s="1614"/>
    </row>
    <row r="71" spans="1:34" ht="12.9"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2">
        <f>ROUND(IF(ISERROR((AB58/AB70)),0,(AB58/AB70)),0)</f>
        <v>0</v>
      </c>
      <c r="AC75" s="1292"/>
      <c r="AD75" s="1292"/>
      <c r="AE75" s="1292"/>
      <c r="AF75" s="1292"/>
    </row>
    <row r="76" spans="1:34" ht="12.9" customHeight="1">
      <c r="C76" s="3"/>
      <c r="D76" s="3" t="s">
        <v>105</v>
      </c>
      <c r="AB76" s="1206">
        <f>IF((Y67+AD67&lt;AB75),Y67+AD67,AB75)</f>
        <v>0</v>
      </c>
      <c r="AC76" s="1207"/>
      <c r="AD76" s="1207"/>
      <c r="AE76" s="1207"/>
      <c r="AF76" s="1208"/>
    </row>
    <row r="77" spans="1:34" ht="12.9" customHeight="1">
      <c r="C77" s="3"/>
      <c r="D77" s="3" t="s">
        <v>941</v>
      </c>
      <c r="AB77" s="1610">
        <f>AB76*AB70</f>
        <v>0</v>
      </c>
      <c r="AC77" s="1610"/>
      <c r="AD77" s="1610"/>
      <c r="AE77" s="1610"/>
      <c r="AF77" s="1610"/>
    </row>
    <row r="78" spans="1:34" ht="12.9" customHeight="1">
      <c r="C78" s="3"/>
      <c r="D78" s="3"/>
      <c r="AB78" s="595"/>
      <c r="AC78" s="595"/>
      <c r="AD78" s="595"/>
      <c r="AE78" s="595"/>
      <c r="AF78" s="595"/>
    </row>
    <row r="79" spans="1:34" ht="12.9" customHeight="1">
      <c r="D79" s="3" t="s">
        <v>106</v>
      </c>
      <c r="AB79" s="1252">
        <f>AB48-(AB56+AB77)</f>
        <v>18037480</v>
      </c>
      <c r="AC79" s="1252"/>
      <c r="AD79" s="1252"/>
      <c r="AE79" s="1252"/>
      <c r="AF79" s="1252"/>
    </row>
    <row r="80" spans="1:34" ht="12.9" customHeight="1">
      <c r="F80" s="16"/>
      <c r="J80" s="16" t="str">
        <f>IF(AB79&gt;0,"FUNDING GAP MUST NOT EXCEED ZERO","")</f>
        <v>FUNDING GAP MUST NOT EXCEED ZERO</v>
      </c>
    </row>
    <row r="81" spans="4:4" ht="12.9"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609375" customWidth="1"/>
    <col min="2" max="2" width="0.84375" customWidth="1"/>
    <col min="3" max="18" width="2.4609375" customWidth="1"/>
    <col min="19" max="19" width="4" customWidth="1"/>
    <col min="20" max="39" width="2.4609375" customWidth="1"/>
    <col min="40" max="40" width="1.4609375" customWidth="1"/>
    <col min="41" max="16384" width="2.4609375" hidden="1"/>
  </cols>
  <sheetData>
    <row r="1" spans="1:40" ht="12.9" customHeight="1">
      <c r="A1" s="1621" t="s">
        <v>1352</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2.9"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18" t="s">
        <v>508</v>
      </c>
      <c r="C11" s="1119"/>
      <c r="D11" s="1119"/>
      <c r="E11" s="1119"/>
      <c r="F11" s="1119"/>
      <c r="G11" s="1119"/>
      <c r="H11" s="1119"/>
      <c r="I11" s="1119"/>
      <c r="J11" s="1119"/>
      <c r="K11" s="1119"/>
      <c r="L11" s="1119"/>
      <c r="M11" s="1119"/>
      <c r="N11" s="1119"/>
      <c r="O11" s="1119"/>
      <c r="P11" s="1119"/>
      <c r="Q11" s="1119"/>
      <c r="R11" s="1119"/>
      <c r="S11" s="1121"/>
      <c r="T11" s="1639">
        <f>IF('Sources and Basis Breakdown'!F105=0,'Sources and Basis Breakdown'!E105,'Sources and Basis Breakdown'!F105)</f>
        <v>10948333</v>
      </c>
      <c r="U11" s="1626"/>
      <c r="V11" s="1626"/>
      <c r="W11" s="1626"/>
      <c r="X11" s="1626"/>
      <c r="Y11" s="1625">
        <f>IF('Sources and Basis Breakdown'!G105+'Sources and Basis Breakdown'!F105='Sources and Basis Breakdown'!E105,'Sources and Basis Breakdown'!G105,0)</f>
        <v>10948333</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 customHeight="1">
      <c r="B12" s="1633" t="s">
        <v>447</v>
      </c>
      <c r="C12" s="1013"/>
      <c r="D12" s="1013"/>
      <c r="E12" s="1013"/>
      <c r="F12" s="1013"/>
      <c r="G12" s="1013"/>
      <c r="H12" s="1013"/>
      <c r="I12" s="1013"/>
      <c r="J12" s="1013"/>
      <c r="K12" s="1013"/>
      <c r="L12" s="1013"/>
      <c r="M12" s="1013"/>
      <c r="N12" s="1013"/>
      <c r="O12" s="1013"/>
      <c r="P12" s="1013"/>
      <c r="Q12" s="1013"/>
      <c r="R12" s="1013"/>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36" t="s">
        <v>767</v>
      </c>
      <c r="D14" s="1636"/>
      <c r="E14" s="1636"/>
      <c r="F14" s="1636"/>
      <c r="G14" s="1636"/>
      <c r="H14" s="1636"/>
      <c r="I14" s="1636"/>
      <c r="J14" s="1636"/>
      <c r="K14" s="1636"/>
      <c r="L14" s="1636"/>
      <c r="M14" s="1636"/>
      <c r="N14" s="1636"/>
      <c r="O14" s="1636"/>
      <c r="P14" s="1636"/>
      <c r="Q14" s="1636"/>
      <c r="R14" s="1636"/>
      <c r="S14" s="1637"/>
      <c r="T14" s="1196">
        <f>'Basis &amp; Credits'!T14</f>
        <v>0</v>
      </c>
      <c r="U14" s="1213"/>
      <c r="V14" s="1213"/>
      <c r="W14" s="1213"/>
      <c r="X14" s="1213"/>
      <c r="Y14" s="1196">
        <f>'Basis &amp; Credits'!Y14</f>
        <v>0</v>
      </c>
      <c r="Z14" s="1213"/>
      <c r="AA14" s="1213"/>
      <c r="AB14" s="1213"/>
      <c r="AC14" s="1213"/>
      <c r="AD14" s="1213">
        <f>'Basis &amp; Credits'!AD14</f>
        <v>0</v>
      </c>
      <c r="AE14" s="1213"/>
      <c r="AF14" s="1213"/>
      <c r="AG14" s="1213"/>
      <c r="AH14" s="1213"/>
      <c r="AI14" s="1213">
        <f>'Basis &amp; Credits'!AI14</f>
        <v>0</v>
      </c>
      <c r="AJ14" s="1213"/>
      <c r="AK14" s="1213"/>
      <c r="AL14" s="1213"/>
      <c r="AM14" s="1213"/>
    </row>
    <row r="15" spans="1:40" ht="12.9" customHeight="1">
      <c r="B15" s="8"/>
      <c r="C15" s="1636" t="s">
        <v>768</v>
      </c>
      <c r="D15" s="1636"/>
      <c r="E15" s="1636"/>
      <c r="F15" s="1636"/>
      <c r="G15" s="1636"/>
      <c r="H15" s="1636"/>
      <c r="I15" s="1636"/>
      <c r="J15" s="1636"/>
      <c r="K15" s="1636"/>
      <c r="L15" s="1636"/>
      <c r="M15" s="1636"/>
      <c r="N15" s="1636"/>
      <c r="O15" s="1636"/>
      <c r="P15" s="1636"/>
      <c r="Q15" s="1636"/>
      <c r="R15" s="1636"/>
      <c r="S15" s="1637"/>
      <c r="T15" s="1196">
        <f>'Basis &amp; Credits'!T15</f>
        <v>0</v>
      </c>
      <c r="U15" s="1213"/>
      <c r="V15" s="1213"/>
      <c r="W15" s="1213"/>
      <c r="X15" s="1213"/>
      <c r="Y15" s="1196">
        <f>'Basis &amp; Credits'!Y15</f>
        <v>0</v>
      </c>
      <c r="Z15" s="1213"/>
      <c r="AA15" s="1213"/>
      <c r="AB15" s="1213"/>
      <c r="AC15" s="1213"/>
      <c r="AD15" s="1213">
        <f>'Basis &amp; Credits'!AD15</f>
        <v>0</v>
      </c>
      <c r="AE15" s="1213"/>
      <c r="AF15" s="1213"/>
      <c r="AG15" s="1213"/>
      <c r="AH15" s="1213"/>
      <c r="AI15" s="1213">
        <f>'Basis &amp; Credits'!AI15</f>
        <v>0</v>
      </c>
      <c r="AJ15" s="1213"/>
      <c r="AK15" s="1213"/>
      <c r="AL15" s="1213"/>
      <c r="AM15" s="1213"/>
    </row>
    <row r="16" spans="1:40" ht="12.9" customHeight="1">
      <c r="B16" s="8"/>
      <c r="C16" s="1635" t="s">
        <v>1011</v>
      </c>
      <c r="D16" s="1635"/>
      <c r="E16" s="1635"/>
      <c r="F16" s="1635"/>
      <c r="G16" s="1635"/>
      <c r="H16" s="1635"/>
      <c r="I16" s="1635"/>
      <c r="J16" s="1635"/>
      <c r="K16" s="1635"/>
      <c r="L16" s="1635"/>
      <c r="M16" s="1635"/>
      <c r="N16" s="1635"/>
      <c r="O16" s="1635"/>
      <c r="P16" s="1635"/>
      <c r="Q16" s="1635"/>
      <c r="R16" s="1635"/>
      <c r="S16" s="1638"/>
      <c r="T16" s="1196">
        <f>'Basis &amp; Credits'!T16</f>
        <v>0</v>
      </c>
      <c r="U16" s="1213"/>
      <c r="V16" s="1213"/>
      <c r="W16" s="1213"/>
      <c r="X16" s="1213"/>
      <c r="Y16" s="1196">
        <f>'Basis &amp; Credits'!Y16</f>
        <v>0</v>
      </c>
      <c r="Z16" s="1213"/>
      <c r="AA16" s="1213"/>
      <c r="AB16" s="1213"/>
      <c r="AC16" s="1213"/>
      <c r="AD16" s="1213">
        <f>'Basis &amp; Credits'!AD16</f>
        <v>0</v>
      </c>
      <c r="AE16" s="1213"/>
      <c r="AF16" s="1213"/>
      <c r="AG16" s="1213"/>
      <c r="AH16" s="1213"/>
      <c r="AI16" s="1213">
        <f>'Basis &amp; Credits'!AI16</f>
        <v>0</v>
      </c>
      <c r="AJ16" s="1213"/>
      <c r="AK16" s="1213"/>
      <c r="AL16" s="1213"/>
      <c r="AM16" s="1213"/>
    </row>
    <row r="17" spans="1:39" ht="12.9" customHeight="1">
      <c r="B17" s="8"/>
      <c r="C17" s="1636" t="s">
        <v>769</v>
      </c>
      <c r="D17" s="1636"/>
      <c r="E17" s="1636"/>
      <c r="F17" s="1636"/>
      <c r="G17" s="1636"/>
      <c r="H17" s="1636"/>
      <c r="I17" s="1636"/>
      <c r="J17" s="1636"/>
      <c r="K17" s="1636"/>
      <c r="L17" s="1636"/>
      <c r="M17" s="1636"/>
      <c r="N17" s="1636"/>
      <c r="O17" s="1636"/>
      <c r="P17" s="1636"/>
      <c r="Q17" s="1636"/>
      <c r="R17" s="1636"/>
      <c r="S17" s="1637"/>
      <c r="T17" s="1196">
        <f>'Basis &amp; Credits'!T17</f>
        <v>0</v>
      </c>
      <c r="U17" s="1213"/>
      <c r="V17" s="1213"/>
      <c r="W17" s="1213"/>
      <c r="X17" s="1213"/>
      <c r="Y17" s="1196">
        <f>'Basis &amp; Credits'!Y17</f>
        <v>0</v>
      </c>
      <c r="Z17" s="1213"/>
      <c r="AA17" s="1213"/>
      <c r="AB17" s="1213"/>
      <c r="AC17" s="1213"/>
      <c r="AD17" s="1213">
        <f>'Basis &amp; Credits'!AD17</f>
        <v>0</v>
      </c>
      <c r="AE17" s="1213"/>
      <c r="AF17" s="1213"/>
      <c r="AG17" s="1213"/>
      <c r="AH17" s="1213"/>
      <c r="AI17" s="1213">
        <f>'Basis &amp; Credits'!AI17</f>
        <v>0</v>
      </c>
      <c r="AJ17" s="1213"/>
      <c r="AK17" s="1213"/>
      <c r="AL17" s="1213"/>
      <c r="AM17" s="1213"/>
    </row>
    <row r="18" spans="1:39" ht="12.9" customHeight="1">
      <c r="B18" s="590"/>
      <c r="C18" s="1635" t="s">
        <v>1362</v>
      </c>
      <c r="D18" s="1636"/>
      <c r="E18" s="1636"/>
      <c r="F18" s="1636"/>
      <c r="G18" s="1636"/>
      <c r="H18" s="1636"/>
      <c r="I18" s="1636"/>
      <c r="J18" s="1636"/>
      <c r="K18" s="1636"/>
      <c r="L18" s="1636"/>
      <c r="M18" s="1636"/>
      <c r="N18" s="1636"/>
      <c r="O18" s="1636"/>
      <c r="P18" s="1636"/>
      <c r="Q18" s="1636"/>
      <c r="R18" s="1636"/>
      <c r="S18" s="1637"/>
      <c r="T18" s="1194">
        <f>'Basis &amp; Credits'!T18</f>
        <v>0</v>
      </c>
      <c r="U18" s="1195"/>
      <c r="V18" s="1195"/>
      <c r="W18" s="1195"/>
      <c r="X18" s="1196"/>
      <c r="Y18" s="1196">
        <f>'Basis &amp; Credits'!Y18</f>
        <v>0</v>
      </c>
      <c r="Z18" s="1213"/>
      <c r="AA18" s="1213"/>
      <c r="AB18" s="1213"/>
      <c r="AC18" s="1213"/>
      <c r="AD18" s="1213">
        <f>'Basis &amp; Credits'!AD18</f>
        <v>0</v>
      </c>
      <c r="AE18" s="1213"/>
      <c r="AF18" s="1213"/>
      <c r="AG18" s="1213"/>
      <c r="AH18" s="1213"/>
      <c r="AI18" s="1213">
        <f>'Basis &amp; Credits'!AI18</f>
        <v>0</v>
      </c>
      <c r="AJ18" s="1213"/>
      <c r="AK18" s="1213"/>
      <c r="AL18" s="1213"/>
      <c r="AM18" s="1213"/>
    </row>
    <row r="19" spans="1:39" ht="12.9"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6">
        <f>'Basis &amp; Credits'!T19</f>
        <v>0</v>
      </c>
      <c r="U19" s="1213"/>
      <c r="V19" s="1213"/>
      <c r="W19" s="1213"/>
      <c r="X19" s="1213"/>
      <c r="Y19" s="1196">
        <f>'Basis &amp; Credits'!Y19</f>
        <v>0</v>
      </c>
      <c r="Z19" s="1213"/>
      <c r="AA19" s="1213"/>
      <c r="AB19" s="1213"/>
      <c r="AC19" s="1213"/>
      <c r="AD19" s="1213">
        <f>'Basis &amp; Credits'!AD19</f>
        <v>0</v>
      </c>
      <c r="AE19" s="1213"/>
      <c r="AF19" s="1213"/>
      <c r="AG19" s="1213"/>
      <c r="AH19" s="1213"/>
      <c r="AI19" s="1213">
        <f>'Basis &amp; Credits'!AI19</f>
        <v>0</v>
      </c>
      <c r="AJ19" s="1213"/>
      <c r="AK19" s="1213"/>
      <c r="AL19" s="1213"/>
      <c r="AM19" s="1213"/>
    </row>
    <row r="20" spans="1:39" ht="12.9" customHeight="1">
      <c r="B20" s="1118" t="s">
        <v>770</v>
      </c>
      <c r="C20" s="1119"/>
      <c r="D20" s="1119"/>
      <c r="E20" s="1119"/>
      <c r="F20" s="1119"/>
      <c r="G20" s="1119"/>
      <c r="H20" s="1119"/>
      <c r="I20" s="1119"/>
      <c r="J20" s="1119"/>
      <c r="K20" s="1119"/>
      <c r="L20" s="1119"/>
      <c r="M20" s="1119"/>
      <c r="N20" s="1119"/>
      <c r="O20" s="1119"/>
      <c r="P20" s="1119"/>
      <c r="Q20" s="1119"/>
      <c r="R20" s="1119"/>
      <c r="S20" s="1121"/>
      <c r="T20" s="1606">
        <f>SUM(T13:X19)</f>
        <v>0</v>
      </c>
      <c r="U20" s="1248"/>
      <c r="V20" s="1248"/>
      <c r="W20" s="1248"/>
      <c r="X20" s="1248"/>
      <c r="Y20" s="1606">
        <f>SUM(Y13:AC19)</f>
        <v>0</v>
      </c>
      <c r="Z20" s="1248"/>
      <c r="AA20" s="1248"/>
      <c r="AB20" s="1248"/>
      <c r="AC20" s="1248"/>
      <c r="AD20" s="1248">
        <f>SUM(AD13:AH19)</f>
        <v>0</v>
      </c>
      <c r="AE20" s="1248"/>
      <c r="AF20" s="1248"/>
      <c r="AG20" s="1248"/>
      <c r="AH20" s="1248"/>
      <c r="AI20" s="1248">
        <f>SUM(AI13:AM19)</f>
        <v>0</v>
      </c>
      <c r="AJ20" s="1248"/>
      <c r="AK20" s="1248"/>
      <c r="AL20" s="1248"/>
      <c r="AM20" s="1248"/>
    </row>
    <row r="21" spans="1:39" ht="12.9" customHeight="1">
      <c r="B21" s="1118" t="s">
        <v>1704</v>
      </c>
      <c r="C21" s="1119"/>
      <c r="D21" s="1119"/>
      <c r="E21" s="1119"/>
      <c r="F21" s="1119"/>
      <c r="G21" s="1119"/>
      <c r="H21" s="1119"/>
      <c r="I21" s="1119"/>
      <c r="J21" s="1119"/>
      <c r="K21" s="1119"/>
      <c r="L21" s="1119"/>
      <c r="M21" s="1119"/>
      <c r="N21" s="1119"/>
      <c r="O21" s="1119"/>
      <c r="P21" s="1119"/>
      <c r="Q21" s="1119"/>
      <c r="R21" s="1119"/>
      <c r="S21" s="1121"/>
      <c r="T21" s="1196">
        <f>'Basis &amp; Credits'!T21</f>
        <v>0</v>
      </c>
      <c r="U21" s="1213"/>
      <c r="V21" s="1213"/>
      <c r="W21" s="1213"/>
      <c r="X21" s="1213"/>
      <c r="Y21" s="1196">
        <f>'Basis &amp; Credits'!Y21</f>
        <v>0</v>
      </c>
      <c r="Z21" s="1213"/>
      <c r="AA21" s="1213"/>
      <c r="AB21" s="1213"/>
      <c r="AC21" s="1213"/>
      <c r="AD21" s="1213">
        <f>'Basis &amp; Credits'!AD21</f>
        <v>0</v>
      </c>
      <c r="AE21" s="1213"/>
      <c r="AF21" s="1213"/>
      <c r="AG21" s="1213"/>
      <c r="AH21" s="1213"/>
      <c r="AI21" s="1213">
        <f>'Basis &amp; Credits'!AI21</f>
        <v>0</v>
      </c>
      <c r="AJ21" s="1213"/>
      <c r="AK21" s="1213"/>
      <c r="AL21" s="1213"/>
      <c r="AM21" s="1213"/>
    </row>
    <row r="22" spans="1:39" ht="12.9" customHeight="1">
      <c r="B22" s="1118" t="s">
        <v>771</v>
      </c>
      <c r="C22" s="1119"/>
      <c r="D22" s="1119"/>
      <c r="E22" s="1119"/>
      <c r="F22" s="1119"/>
      <c r="G22" s="1119"/>
      <c r="H22" s="1119"/>
      <c r="I22" s="1119"/>
      <c r="J22" s="1119"/>
      <c r="K22" s="1119"/>
      <c r="L22" s="1119"/>
      <c r="M22" s="1119"/>
      <c r="N22" s="1119"/>
      <c r="O22" s="1119"/>
      <c r="P22" s="1119"/>
      <c r="Q22" s="1119"/>
      <c r="R22" s="1119"/>
      <c r="S22" s="1121"/>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2.9" customHeight="1">
      <c r="B23" s="1118" t="s">
        <v>772</v>
      </c>
      <c r="C23" s="1119"/>
      <c r="D23" s="1119"/>
      <c r="E23" s="1119"/>
      <c r="F23" s="1119"/>
      <c r="G23" s="1119"/>
      <c r="H23" s="1119"/>
      <c r="I23" s="1119"/>
      <c r="J23" s="1119"/>
      <c r="K23" s="1119"/>
      <c r="L23" s="1119"/>
      <c r="M23" s="1119"/>
      <c r="N23" s="1119"/>
      <c r="O23" s="1119"/>
      <c r="P23" s="1119"/>
      <c r="Q23" s="1119"/>
      <c r="R23" s="1119"/>
      <c r="S23" s="1121"/>
      <c r="T23" s="1606">
        <f>T11+T22</f>
        <v>10948333</v>
      </c>
      <c r="U23" s="1248"/>
      <c r="V23" s="1248"/>
      <c r="W23" s="1248"/>
      <c r="X23" s="1248"/>
      <c r="Y23" s="1606">
        <f>Y11+Y22</f>
        <v>10948333</v>
      </c>
      <c r="Z23" s="1248"/>
      <c r="AA23" s="1248"/>
      <c r="AB23" s="1248"/>
      <c r="AC23" s="1248"/>
      <c r="AD23" s="1606">
        <f>AD11+AD22</f>
        <v>0</v>
      </c>
      <c r="AE23" s="1248"/>
      <c r="AF23" s="1248"/>
      <c r="AG23" s="1248"/>
      <c r="AH23" s="1248"/>
      <c r="AI23" s="1606">
        <f>AI11+AI22</f>
        <v>0</v>
      </c>
      <c r="AJ23" s="1248"/>
      <c r="AK23" s="1248"/>
      <c r="AL23" s="1248"/>
      <c r="AM23" s="1248"/>
    </row>
    <row r="24" spans="1:39" ht="12.9" customHeight="1">
      <c r="B24" s="1118" t="s">
        <v>1217</v>
      </c>
      <c r="C24" s="1119"/>
      <c r="D24" s="1119"/>
      <c r="E24" s="1119"/>
      <c r="F24" s="1119"/>
      <c r="G24" s="1119"/>
      <c r="H24" s="1119"/>
      <c r="I24" s="1119"/>
      <c r="J24" s="1119"/>
      <c r="K24" s="1119"/>
      <c r="L24" s="1119"/>
      <c r="M24" s="1119"/>
      <c r="N24" s="1119"/>
      <c r="O24" s="1119"/>
      <c r="P24" s="1119"/>
      <c r="Q24" s="1119"/>
      <c r="R24" s="1119"/>
      <c r="S24" s="1121"/>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 customHeight="1">
      <c r="B26" s="1118" t="s">
        <v>773</v>
      </c>
      <c r="C26" s="1119"/>
      <c r="D26" s="1119"/>
      <c r="E26" s="1119"/>
      <c r="F26" s="1119"/>
      <c r="G26" s="1119"/>
      <c r="H26" s="1119"/>
      <c r="I26" s="1119"/>
      <c r="J26" s="1119"/>
      <c r="K26" s="1119"/>
      <c r="L26" s="1119"/>
      <c r="M26" s="1119"/>
      <c r="N26" s="1119"/>
      <c r="O26" s="1119"/>
      <c r="P26" s="1119"/>
      <c r="Q26" s="1119"/>
      <c r="R26" s="1119"/>
      <c r="S26" s="1121"/>
      <c r="T26" s="1103">
        <f>T23*T25</f>
        <v>10948333</v>
      </c>
      <c r="U26" s="1618"/>
      <c r="V26" s="1618"/>
      <c r="W26" s="1618"/>
      <c r="X26" s="1618"/>
      <c r="Y26" s="1103">
        <f>Y23*Y25</f>
        <v>10948333</v>
      </c>
      <c r="Z26" s="1618"/>
      <c r="AA26" s="1618"/>
      <c r="AB26" s="1618"/>
      <c r="AC26" s="1618"/>
      <c r="AD26" s="1103">
        <f>AD23*AD25</f>
        <v>0</v>
      </c>
      <c r="AE26" s="1618"/>
      <c r="AF26" s="1618"/>
      <c r="AG26" s="1618"/>
      <c r="AH26" s="1618"/>
      <c r="AI26" s="1103">
        <f>AI23*AI25</f>
        <v>0</v>
      </c>
      <c r="AJ26" s="1618"/>
      <c r="AK26" s="1618"/>
      <c r="AL26" s="1618"/>
      <c r="AM26" s="1618"/>
    </row>
    <row r="27" spans="1:39" ht="12.9"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 customHeight="1">
      <c r="A28" s="3"/>
      <c r="B28" s="1118" t="s">
        <v>842</v>
      </c>
      <c r="C28" s="1119"/>
      <c r="D28" s="1119"/>
      <c r="E28" s="1119"/>
      <c r="F28" s="1119"/>
      <c r="G28" s="1119"/>
      <c r="H28" s="1119"/>
      <c r="I28" s="1119"/>
      <c r="J28" s="1119"/>
      <c r="K28" s="1119"/>
      <c r="L28" s="1119"/>
      <c r="M28" s="1119"/>
      <c r="N28" s="1119"/>
      <c r="O28" s="1119"/>
      <c r="P28" s="1119"/>
      <c r="Q28" s="1119"/>
      <c r="R28" s="1119"/>
      <c r="S28" s="1121"/>
      <c r="T28" s="1103">
        <f>IF(ISERROR((T26*T27)),0,(T26*T27))</f>
        <v>10948333</v>
      </c>
      <c r="U28" s="1618"/>
      <c r="V28" s="1618"/>
      <c r="W28" s="1618"/>
      <c r="X28" s="1618"/>
      <c r="Y28" s="1103">
        <f>IF(ISERROR((Y26*Y27)),0,(Y26*Y27))</f>
        <v>10948333</v>
      </c>
      <c r="Z28" s="1618"/>
      <c r="AA28" s="1618"/>
      <c r="AB28" s="1618"/>
      <c r="AC28" s="1618"/>
      <c r="AD28" s="1103">
        <f>IF(ISERROR((AD26*AD27)),0,(AD26*AD27))</f>
        <v>0</v>
      </c>
      <c r="AE28" s="1618"/>
      <c r="AF28" s="1618"/>
      <c r="AG28" s="1618"/>
      <c r="AH28" s="1618"/>
      <c r="AI28" s="1103">
        <f>IF(ISERROR((AI26*AI27)),0,(AI26*AI27))</f>
        <v>0</v>
      </c>
      <c r="AJ28" s="1618"/>
      <c r="AK28" s="1618"/>
      <c r="AL28" s="1618"/>
      <c r="AM28" s="1618"/>
    </row>
    <row r="29" spans="1:39" ht="12.9" customHeight="1">
      <c r="B29" s="1118" t="s">
        <v>622</v>
      </c>
      <c r="C29" s="1119"/>
      <c r="D29" s="1119"/>
      <c r="E29" s="1119"/>
      <c r="F29" s="1119"/>
      <c r="G29" s="1119"/>
      <c r="H29" s="1119"/>
      <c r="I29" s="1119"/>
      <c r="J29" s="1119"/>
      <c r="K29" s="1119"/>
      <c r="L29" s="1119"/>
      <c r="M29" s="1119"/>
      <c r="N29" s="1119"/>
      <c r="O29" s="1119"/>
      <c r="P29" s="1119"/>
      <c r="Q29" s="1119"/>
      <c r="R29" s="1119"/>
      <c r="S29" s="1121"/>
      <c r="T29" s="1607">
        <f>T28+Y28+AD28+AI28</f>
        <v>21896666</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38" t="s">
        <v>41</v>
      </c>
      <c r="AE35" s="1238"/>
      <c r="AF35" s="1238"/>
      <c r="AG35" s="1238"/>
      <c r="AH35" s="1238"/>
    </row>
    <row r="36" spans="1:40" ht="12.9" customHeight="1">
      <c r="B36" s="202"/>
      <c r="X36" s="71"/>
      <c r="Y36" s="1609"/>
      <c r="Z36" s="1609"/>
      <c r="AA36" s="1609"/>
      <c r="AB36" s="1609"/>
      <c r="AC36" s="1609"/>
      <c r="AD36" s="1238"/>
      <c r="AE36" s="1238"/>
      <c r="AF36" s="1238"/>
      <c r="AG36" s="1238"/>
      <c r="AH36" s="123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8"/>
      <c r="AE37" s="1238"/>
      <c r="AF37" s="1238"/>
      <c r="AG37" s="1238"/>
      <c r="AH37" s="1238"/>
    </row>
    <row r="38" spans="1:40" ht="12.9" customHeight="1">
      <c r="A38" s="3"/>
      <c r="B38" s="1118" t="s">
        <v>842</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8">
        <f>IF(T24&gt;=(T23+Y23+AD23+AI23),T28+Y28,0)</f>
        <v>0</v>
      </c>
      <c r="Z38" s="1248"/>
      <c r="AA38" s="1248"/>
      <c r="AB38" s="1248"/>
      <c r="AC38" s="1248"/>
      <c r="AD38" s="1248">
        <f>IF(T24&gt;=(T23+Y23+AD23+AI23),AD28+AI28,0)</f>
        <v>0</v>
      </c>
      <c r="AE38" s="1248"/>
      <c r="AF38" s="1248"/>
      <c r="AG38" s="1248"/>
      <c r="AH38" s="1248"/>
    </row>
    <row r="39" spans="1:40" ht="12.9" customHeight="1">
      <c r="B39" s="1118" t="s">
        <v>764</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6">
        <v>0.09</v>
      </c>
      <c r="Z39" s="1976"/>
      <c r="AA39" s="1976"/>
      <c r="AB39" s="1976"/>
      <c r="AC39" s="1976"/>
      <c r="AD39" s="1976">
        <f>'Basis &amp; Credits'!AD39:AH39</f>
        <v>0.04</v>
      </c>
      <c r="AE39" s="1976"/>
      <c r="AF39" s="1976"/>
      <c r="AG39" s="1976"/>
      <c r="AH39" s="1976"/>
    </row>
    <row r="40" spans="1:40" ht="12.9"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8">
        <f>ROUND(Y38*Y39,0)</f>
        <v>0</v>
      </c>
      <c r="Z40" s="1248"/>
      <c r="AA40" s="1248"/>
      <c r="AB40" s="1248"/>
      <c r="AC40" s="1248"/>
      <c r="AD40" s="1606">
        <f>ROUND(AD38*AD39,0)</f>
        <v>0</v>
      </c>
      <c r="AE40" s="1248"/>
      <c r="AF40" s="1248"/>
      <c r="AG40" s="1248"/>
      <c r="AH40" s="1248"/>
    </row>
    <row r="41" spans="1:40" ht="12.9" customHeight="1">
      <c r="B41" s="1118" t="s">
        <v>616</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7">
        <f>IF((Y40+AD40)&gt;2500000,2500000,Y40+AD40)</f>
        <v>0</v>
      </c>
      <c r="Z41" s="1608"/>
      <c r="AA41" s="1608"/>
      <c r="AB41" s="1608"/>
      <c r="AC41" s="1608"/>
      <c r="AD41" s="1608"/>
      <c r="AE41" s="1608"/>
      <c r="AF41" s="1608"/>
      <c r="AG41" s="1608"/>
      <c r="AH41" s="1606"/>
    </row>
    <row r="42" spans="1:40" ht="12.9"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239">
        <f>'Sources and Uses Budget'!B104-'Sources and Uses Budget'!$B$15</f>
        <v>18037480</v>
      </c>
      <c r="AC46" s="1240"/>
      <c r="AD46" s="1240"/>
      <c r="AE46" s="1240"/>
      <c r="AF46" s="1241"/>
    </row>
    <row r="47" spans="1:40" ht="12.9" customHeight="1">
      <c r="D47" s="3" t="s">
        <v>836</v>
      </c>
      <c r="AB47" s="1239">
        <f>Application!AG641-MIN('Sources and Uses Budget'!B15,Application!AG393)</f>
        <v>0</v>
      </c>
      <c r="AC47" s="1240"/>
      <c r="AD47" s="1240"/>
      <c r="AE47" s="1240"/>
      <c r="AF47" s="1241"/>
    </row>
    <row r="48" spans="1:40" ht="12.9" customHeight="1">
      <c r="D48" s="3" t="s">
        <v>378</v>
      </c>
      <c r="AB48" s="1239">
        <f>AB46-AB47</f>
        <v>18037480</v>
      </c>
      <c r="AC48" s="1240"/>
      <c r="AD48" s="1240"/>
      <c r="AE48" s="1240"/>
      <c r="AF48" s="1241"/>
    </row>
    <row r="49" spans="1:40" ht="12.9" customHeight="1">
      <c r="D49" s="3" t="s">
        <v>871</v>
      </c>
      <c r="AA49" s="34"/>
      <c r="AB49" s="1612"/>
      <c r="AC49" s="1613"/>
      <c r="AD49" s="1613"/>
      <c r="AE49" s="1613"/>
      <c r="AF49" s="1614"/>
    </row>
    <row r="50" spans="1:40" s="321" customFormat="1" ht="12.9"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9">
        <f>ROUND(IF(ISERROR((AB48/AB49)),0,(AB48/AB49)),0)</f>
        <v>0</v>
      </c>
      <c r="AC53" s="1240"/>
      <c r="AD53" s="1240"/>
      <c r="AE53" s="1240"/>
      <c r="AF53" s="1241"/>
    </row>
    <row r="54" spans="1:40" ht="12.9" customHeight="1">
      <c r="D54" s="3" t="s">
        <v>560</v>
      </c>
      <c r="AB54" s="1239">
        <f>(AB53/10)</f>
        <v>0</v>
      </c>
      <c r="AC54" s="1240"/>
      <c r="AD54" s="1240"/>
      <c r="AE54" s="1240"/>
      <c r="AF54" s="1241"/>
    </row>
    <row r="55" spans="1:40" ht="12.9" customHeight="1">
      <c r="D55" s="3" t="s">
        <v>341</v>
      </c>
      <c r="AB55" s="1977">
        <f>(IF((Y41&lt;AB54),Y41,AB54))</f>
        <v>0</v>
      </c>
      <c r="AC55" s="1978"/>
      <c r="AD55" s="1978"/>
      <c r="AE55" s="1978"/>
      <c r="AF55" s="1979"/>
    </row>
    <row r="56" spans="1:40" ht="12.9" customHeight="1">
      <c r="D56" s="3" t="s">
        <v>107</v>
      </c>
      <c r="AB56" s="1239">
        <f>ROUND((10*AB55*AB49),0)</f>
        <v>0</v>
      </c>
      <c r="AC56" s="1240"/>
      <c r="AD56" s="1240"/>
      <c r="AE56" s="1240"/>
      <c r="AF56" s="1241"/>
    </row>
    <row r="57" spans="1:40" ht="12.9" customHeight="1">
      <c r="D57" s="3"/>
      <c r="AB57" s="274"/>
      <c r="AC57" s="274"/>
      <c r="AD57" s="274"/>
      <c r="AE57" s="274"/>
      <c r="AF57" s="274"/>
    </row>
    <row r="58" spans="1:40" ht="12.9" customHeight="1">
      <c r="D58" s="3" t="s">
        <v>106</v>
      </c>
      <c r="AB58" s="1252">
        <f>AB48-AB56</f>
        <v>18037480</v>
      </c>
      <c r="AC58" s="1252"/>
      <c r="AD58" s="1252"/>
      <c r="AE58" s="1252"/>
      <c r="AF58" s="1252"/>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2.9" customHeight="1">
      <c r="A62" s="3" t="s">
        <v>122</v>
      </c>
      <c r="C62" s="3" t="s">
        <v>509</v>
      </c>
      <c r="Y62" s="1559" t="s">
        <v>298</v>
      </c>
      <c r="Z62" s="1559"/>
      <c r="AA62" s="1559"/>
      <c r="AB62" s="1559"/>
      <c r="AC62" s="1559"/>
      <c r="AD62" s="1559" t="s">
        <v>41</v>
      </c>
      <c r="AE62" s="1559"/>
      <c r="AF62" s="1559"/>
      <c r="AG62" s="1559"/>
      <c r="AH62" s="1559"/>
    </row>
    <row r="63" spans="1:40" ht="12.9" customHeight="1">
      <c r="C63" s="3"/>
      <c r="D63" s="126" t="s">
        <v>1240</v>
      </c>
      <c r="E63" s="15"/>
      <c r="F63" s="15"/>
      <c r="G63" s="15"/>
      <c r="H63" s="15"/>
      <c r="I63" s="15"/>
      <c r="J63" s="15"/>
      <c r="K63" s="15"/>
      <c r="L63" s="15"/>
      <c r="M63" s="15"/>
      <c r="N63" s="15"/>
      <c r="O63" s="15"/>
      <c r="P63" s="15"/>
      <c r="Q63" s="15"/>
      <c r="R63" s="15"/>
      <c r="S63" s="15"/>
      <c r="T63" s="15"/>
      <c r="U63" s="15"/>
      <c r="V63" s="15"/>
      <c r="W63" s="15"/>
      <c r="X63" s="15"/>
      <c r="Y63" s="1248">
        <f>Y28</f>
        <v>10948333</v>
      </c>
      <c r="Z63" s="1615"/>
      <c r="AA63" s="1615"/>
      <c r="AB63" s="1615"/>
      <c r="AC63" s="1615"/>
      <c r="AD63" s="1248">
        <f>AI28</f>
        <v>0</v>
      </c>
      <c r="AE63" s="1615"/>
      <c r="AF63" s="1615"/>
      <c r="AG63" s="1615"/>
      <c r="AH63" s="1615"/>
    </row>
    <row r="64" spans="1:40" ht="12.9"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0.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 customHeight="1">
      <c r="C67" s="3"/>
      <c r="D67" s="3" t="s">
        <v>940</v>
      </c>
      <c r="Y67" s="1248">
        <f>ROUND(Y63*Y66,0)</f>
        <v>3284500</v>
      </c>
      <c r="Z67" s="1615"/>
      <c r="AA67" s="1615"/>
      <c r="AB67" s="1615"/>
      <c r="AC67" s="1615"/>
      <c r="AD67" s="1248">
        <f>IF(OR(Application!D211="At-Risk",Application!D211="At-Risk/Located in Rural Census Tract",Application!D214="At-Risk"),ROUND(AD63*AD66,0),"$0")</f>
        <v>0</v>
      </c>
      <c r="AE67" s="1248"/>
      <c r="AF67" s="1248"/>
      <c r="AG67" s="1248"/>
      <c r="AH67" s="1248"/>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12"/>
      <c r="AC70" s="1613"/>
      <c r="AD70" s="1613"/>
      <c r="AE70" s="1613"/>
      <c r="AF70" s="1614"/>
    </row>
    <row r="71" spans="1:34" ht="12.9"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2">
        <f>ROUND(IF(ISERROR((AB58/AB70)),0,(AB58/AB70)),0)</f>
        <v>0</v>
      </c>
      <c r="AC75" s="1292"/>
      <c r="AD75" s="1292"/>
      <c r="AE75" s="1292"/>
      <c r="AF75" s="1292"/>
    </row>
    <row r="76" spans="1:34" ht="12.9" customHeight="1">
      <c r="C76" s="3"/>
      <c r="D76" s="3" t="s">
        <v>105</v>
      </c>
      <c r="AB76" s="1206">
        <f>IF((Y67+AD67&lt;AB75),Y67+AD67,AB75)</f>
        <v>0</v>
      </c>
      <c r="AC76" s="1207"/>
      <c r="AD76" s="1207"/>
      <c r="AE76" s="1207"/>
      <c r="AF76" s="1208"/>
    </row>
    <row r="77" spans="1:34" ht="12.9" customHeight="1">
      <c r="C77" s="3"/>
      <c r="D77" s="3" t="s">
        <v>941</v>
      </c>
      <c r="AB77" s="1610">
        <f>AB76*AB70</f>
        <v>0</v>
      </c>
      <c r="AC77" s="1610"/>
      <c r="AD77" s="1610"/>
      <c r="AE77" s="1610"/>
      <c r="AF77" s="1610"/>
    </row>
    <row r="78" spans="1:34" ht="12.9" customHeight="1">
      <c r="C78" s="3"/>
      <c r="D78" s="3"/>
      <c r="AB78" s="595"/>
      <c r="AC78" s="595"/>
      <c r="AD78" s="595"/>
      <c r="AE78" s="595"/>
      <c r="AF78" s="595"/>
    </row>
    <row r="79" spans="1:34" ht="12.9" customHeight="1">
      <c r="D79" s="3" t="s">
        <v>106</v>
      </c>
      <c r="AB79" s="1252">
        <f>AB48-(AB56+AB77)</f>
        <v>18037480</v>
      </c>
      <c r="AC79" s="1252"/>
      <c r="AD79" s="1252"/>
      <c r="AE79" s="1252"/>
      <c r="AF79" s="1252"/>
    </row>
    <row r="80" spans="1:34" ht="12.9" customHeight="1">
      <c r="F80" s="16"/>
      <c r="J80" s="16" t="str">
        <f>IF(AB79&gt;0,"FUNDING GAP MUST NOT EXCEED ZERO","")</f>
        <v>FUNDING GAP MUST NOT EXCEED ZERO</v>
      </c>
    </row>
    <row r="81" spans="4:4" ht="12.9"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3515625" style="331" customWidth="1"/>
    <col min="2" max="2" width="14.53515625" style="349" customWidth="1"/>
    <col min="3" max="4" width="14.53515625" style="332" customWidth="1"/>
    <col min="5" max="5" width="14.53515625" style="349" customWidth="1"/>
    <col min="6" max="6" width="50.53515625" style="332" customWidth="1"/>
    <col min="7" max="7" width="9.07421875" style="332" customWidth="1"/>
    <col min="8" max="8" width="0.4609375" style="332" hidden="1" customWidth="1"/>
    <col min="9" max="16383" width="11.4609375" style="332" hidden="1"/>
    <col min="16384" max="16384" width="0.4609375" style="332" customWidth="1"/>
  </cols>
  <sheetData>
    <row r="1" spans="1:7" ht="18" customHeight="1">
      <c r="A1" s="662" t="s">
        <v>1229</v>
      </c>
      <c r="G1" s="563"/>
    </row>
    <row r="2" spans="1:7" ht="12.9">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9">
      <c r="A4" s="880" t="s">
        <v>342</v>
      </c>
      <c r="B4" s="325"/>
      <c r="C4" s="325"/>
      <c r="D4" s="325"/>
      <c r="E4" s="325"/>
      <c r="F4" s="325"/>
      <c r="G4" s="325"/>
    </row>
    <row r="5" spans="1:7" s="565" customFormat="1" ht="12.45">
      <c r="A5" s="881" t="s">
        <v>955</v>
      </c>
      <c r="B5" s="327">
        <f>'Sources and Uses Budget'!C4</f>
        <v>360000</v>
      </c>
      <c r="C5" s="327">
        <f>'Sources and Uses Budget'!C4</f>
        <v>360000</v>
      </c>
      <c r="D5" s="327">
        <f>'Sources and Uses Budget'!C4</f>
        <v>360000</v>
      </c>
      <c r="E5" s="329">
        <f>C5-B5</f>
        <v>0</v>
      </c>
      <c r="F5" s="328"/>
      <c r="G5" s="328"/>
    </row>
    <row r="6" spans="1:7" s="565" customFormat="1" ht="12.45">
      <c r="A6" s="881" t="s">
        <v>956</v>
      </c>
      <c r="B6" s="327">
        <f>'Sources and Uses Budget'!C5</f>
        <v>0</v>
      </c>
      <c r="C6" s="327">
        <f>'Sources and Uses Budget'!C5</f>
        <v>0</v>
      </c>
      <c r="D6" s="327">
        <f>'Sources and Uses Budget'!C5</f>
        <v>0</v>
      </c>
      <c r="E6" s="329">
        <f t="shared" ref="E6:E73" si="0">C6-B6</f>
        <v>0</v>
      </c>
      <c r="F6" s="328"/>
      <c r="G6" s="328"/>
    </row>
    <row r="7" spans="1:7" s="565" customFormat="1" ht="12.45">
      <c r="A7" s="881" t="s">
        <v>343</v>
      </c>
      <c r="B7" s="327">
        <f>'Sources and Uses Budget'!C6</f>
        <v>0</v>
      </c>
      <c r="C7" s="327">
        <f>'Sources and Uses Budget'!C6</f>
        <v>0</v>
      </c>
      <c r="D7" s="327">
        <f>'Sources and Uses Budget'!C6</f>
        <v>0</v>
      </c>
      <c r="E7" s="329">
        <f t="shared" si="0"/>
        <v>0</v>
      </c>
      <c r="F7" s="328"/>
      <c r="G7" s="328"/>
    </row>
    <row r="8" spans="1:7" s="565" customFormat="1" ht="12.45">
      <c r="A8" s="881" t="s">
        <v>282</v>
      </c>
      <c r="B8" s="327">
        <f>'Sources and Uses Budget'!C7</f>
        <v>0</v>
      </c>
      <c r="C8" s="327">
        <f>'Sources and Uses Budget'!C7</f>
        <v>0</v>
      </c>
      <c r="D8" s="327">
        <f>'Sources and Uses Budget'!C7</f>
        <v>0</v>
      </c>
      <c r="E8" s="329">
        <f t="shared" si="0"/>
        <v>0</v>
      </c>
      <c r="F8" s="328"/>
      <c r="G8" s="328"/>
    </row>
    <row r="9" spans="1:7" s="565" customFormat="1" ht="12.45">
      <c r="A9" s="882" t="s">
        <v>957</v>
      </c>
      <c r="B9" s="329">
        <f>SUM(B5:B8)</f>
        <v>360000</v>
      </c>
      <c r="C9" s="329">
        <f>SUM(C5:C8)</f>
        <v>360000</v>
      </c>
      <c r="D9" s="329">
        <f>SUM(D5:D8)</f>
        <v>360000</v>
      </c>
      <c r="E9" s="329">
        <f t="shared" si="0"/>
        <v>0</v>
      </c>
      <c r="F9" s="328"/>
      <c r="G9" s="328"/>
    </row>
    <row r="10" spans="1:7" s="565" customFormat="1" ht="12.45">
      <c r="A10" s="881" t="s">
        <v>584</v>
      </c>
      <c r="B10" s="327">
        <f>'Sources and Uses Budget'!C9</f>
        <v>5540000</v>
      </c>
      <c r="C10" s="327">
        <f>'Sources and Uses Budget'!C9</f>
        <v>5540000</v>
      </c>
      <c r="D10" s="327">
        <f>'Sources and Uses Budget'!C9</f>
        <v>5540000</v>
      </c>
      <c r="E10" s="329">
        <f t="shared" si="0"/>
        <v>0</v>
      </c>
      <c r="F10" s="328"/>
      <c r="G10" s="328"/>
    </row>
    <row r="11" spans="1:7" s="565" customFormat="1" ht="12.45">
      <c r="A11" s="881" t="s">
        <v>958</v>
      </c>
      <c r="B11" s="327">
        <f>'Sources and Uses Budget'!C10</f>
        <v>0</v>
      </c>
      <c r="C11" s="327">
        <f>'Sources and Uses Budget'!C10</f>
        <v>0</v>
      </c>
      <c r="D11" s="327">
        <f>'Sources and Uses Budget'!C10</f>
        <v>0</v>
      </c>
      <c r="E11" s="329">
        <f t="shared" si="0"/>
        <v>0</v>
      </c>
      <c r="F11" s="328"/>
      <c r="G11" s="328"/>
    </row>
    <row r="12" spans="1:7" s="565" customFormat="1" ht="12.45">
      <c r="A12" s="882" t="s">
        <v>585</v>
      </c>
      <c r="B12" s="329">
        <f>SUM(B10:B11)</f>
        <v>5540000</v>
      </c>
      <c r="C12" s="329">
        <f>SUM(C10:C11)</f>
        <v>5540000</v>
      </c>
      <c r="D12" s="329">
        <f>SUM(D10:D11)</f>
        <v>5540000</v>
      </c>
      <c r="E12" s="329">
        <f t="shared" si="0"/>
        <v>0</v>
      </c>
      <c r="F12" s="328"/>
      <c r="G12" s="328"/>
    </row>
    <row r="13" spans="1:7" s="565" customFormat="1" ht="12.45">
      <c r="A13" s="882" t="s">
        <v>710</v>
      </c>
      <c r="B13" s="329">
        <f>SUM(B9+B12)</f>
        <v>5900000</v>
      </c>
      <c r="C13" s="329">
        <f>SUM(C9+C12)</f>
        <v>5900000</v>
      </c>
      <c r="D13" s="329">
        <f>SUM(D9+D12)</f>
        <v>5900000</v>
      </c>
      <c r="E13" s="329">
        <f t="shared" si="0"/>
        <v>0</v>
      </c>
      <c r="F13" s="328"/>
      <c r="G13" s="328"/>
    </row>
    <row r="14" spans="1:7" s="565" customFormat="1" ht="12.45">
      <c r="A14" s="883" t="s">
        <v>1109</v>
      </c>
      <c r="B14" s="327">
        <f>'Sources and Uses Budget'!C13</f>
        <v>0</v>
      </c>
      <c r="C14" s="327">
        <f>'Sources and Uses Budget'!C13</f>
        <v>0</v>
      </c>
      <c r="D14" s="327">
        <f>'Sources and Uses Budget'!C13</f>
        <v>0</v>
      </c>
      <c r="E14" s="329">
        <f t="shared" si="0"/>
        <v>0</v>
      </c>
      <c r="F14" s="328"/>
      <c r="G14" s="328"/>
    </row>
    <row r="15" spans="1:7" s="565" customFormat="1" ht="23.15">
      <c r="A15" s="881" t="s">
        <v>1140</v>
      </c>
      <c r="B15" s="327">
        <f>'Sources and Uses Budget'!C14</f>
        <v>0</v>
      </c>
      <c r="C15" s="327">
        <f>'Sources and Uses Budget'!C14</f>
        <v>0</v>
      </c>
      <c r="D15" s="327">
        <f>'Sources and Uses Budget'!C14</f>
        <v>0</v>
      </c>
      <c r="E15" s="329">
        <f t="shared" si="0"/>
        <v>0</v>
      </c>
      <c r="F15" s="328"/>
      <c r="G15" s="328"/>
    </row>
    <row r="16" spans="1:7" s="565" customFormat="1" ht="12.45">
      <c r="A16" s="881" t="s">
        <v>1674</v>
      </c>
      <c r="B16" s="327">
        <f>'Sources and Uses Budget'!C15</f>
        <v>0</v>
      </c>
      <c r="C16" s="327">
        <f>'Sources and Uses Budget'!C15</f>
        <v>0</v>
      </c>
      <c r="D16" s="327">
        <f>'Sources and Uses Budget'!C15</f>
        <v>0</v>
      </c>
      <c r="E16" s="329">
        <f t="shared" si="0"/>
        <v>0</v>
      </c>
      <c r="F16" s="328"/>
      <c r="G16" s="328"/>
    </row>
    <row r="17" spans="1:7" s="565" customFormat="1" ht="12.9">
      <c r="A17" s="880" t="s">
        <v>908</v>
      </c>
      <c r="B17" s="325"/>
      <c r="C17" s="325"/>
      <c r="D17" s="325"/>
      <c r="E17" s="325"/>
      <c r="F17" s="325"/>
      <c r="G17" s="325"/>
    </row>
    <row r="18" spans="1:7" s="565" customFormat="1" ht="12.45">
      <c r="A18" s="237" t="s">
        <v>909</v>
      </c>
      <c r="B18" s="327">
        <f>'Sources and Uses Budget'!C17</f>
        <v>621025</v>
      </c>
      <c r="C18" s="327">
        <f>'Sources and Uses Budget'!C17</f>
        <v>621025</v>
      </c>
      <c r="D18" s="327">
        <f>'Sources and Uses Budget'!C17</f>
        <v>621025</v>
      </c>
      <c r="E18" s="329">
        <f t="shared" si="0"/>
        <v>0</v>
      </c>
      <c r="F18" s="328"/>
      <c r="G18" s="328"/>
    </row>
    <row r="19" spans="1:7" s="565" customFormat="1" ht="12.45">
      <c r="A19" s="237" t="s">
        <v>910</v>
      </c>
      <c r="B19" s="327">
        <f>'Sources and Uses Budget'!C18</f>
        <v>5234810</v>
      </c>
      <c r="C19" s="327">
        <f>'Sources and Uses Budget'!C18</f>
        <v>5234810</v>
      </c>
      <c r="D19" s="327">
        <f>'Sources and Uses Budget'!C18</f>
        <v>5234810</v>
      </c>
      <c r="E19" s="329">
        <f t="shared" ref="E19:E26" si="1">C19-B19</f>
        <v>0</v>
      </c>
      <c r="F19" s="328"/>
      <c r="G19" s="328"/>
    </row>
    <row r="20" spans="1:7" s="565" customFormat="1" ht="12.45">
      <c r="A20" s="237" t="s">
        <v>911</v>
      </c>
      <c r="B20" s="327">
        <f>'Sources and Uses Budget'!C19</f>
        <v>351350</v>
      </c>
      <c r="C20" s="327">
        <f>'Sources and Uses Budget'!C19</f>
        <v>351350</v>
      </c>
      <c r="D20" s="327">
        <f>'Sources and Uses Budget'!C19</f>
        <v>351350</v>
      </c>
      <c r="E20" s="329">
        <f t="shared" si="1"/>
        <v>0</v>
      </c>
      <c r="F20" s="328"/>
      <c r="G20" s="328"/>
    </row>
    <row r="21" spans="1:7" s="565" customFormat="1" ht="12.45">
      <c r="A21" s="237" t="s">
        <v>912</v>
      </c>
      <c r="B21" s="327">
        <f>'Sources and Uses Budget'!C20</f>
        <v>124143</v>
      </c>
      <c r="C21" s="327">
        <f>'Sources and Uses Budget'!C20</f>
        <v>124143</v>
      </c>
      <c r="D21" s="327">
        <f>'Sources and Uses Budget'!C20</f>
        <v>124143</v>
      </c>
      <c r="E21" s="329">
        <f t="shared" si="1"/>
        <v>0</v>
      </c>
      <c r="F21" s="328"/>
      <c r="G21" s="328"/>
    </row>
    <row r="22" spans="1:7" s="565" customFormat="1" ht="12.45">
      <c r="A22" s="237" t="s">
        <v>913</v>
      </c>
      <c r="B22" s="327">
        <f>'Sources and Uses Budget'!C21</f>
        <v>343431</v>
      </c>
      <c r="C22" s="327">
        <f>'Sources and Uses Budget'!C21</f>
        <v>343431</v>
      </c>
      <c r="D22" s="327">
        <f>'Sources and Uses Budget'!C21</f>
        <v>343431</v>
      </c>
      <c r="E22" s="329">
        <f t="shared" si="1"/>
        <v>0</v>
      </c>
      <c r="F22" s="328"/>
      <c r="G22" s="328"/>
    </row>
    <row r="23" spans="1:7" s="565" customFormat="1" ht="12.45">
      <c r="A23" s="237" t="s">
        <v>914</v>
      </c>
      <c r="B23" s="327">
        <f>'Sources and Uses Budget'!C22</f>
        <v>0</v>
      </c>
      <c r="C23" s="327">
        <f>'Sources and Uses Budget'!C22</f>
        <v>0</v>
      </c>
      <c r="D23" s="327">
        <f>'Sources and Uses Budget'!C22</f>
        <v>0</v>
      </c>
      <c r="E23" s="329">
        <f t="shared" si="1"/>
        <v>0</v>
      </c>
      <c r="F23" s="328"/>
      <c r="G23" s="328"/>
    </row>
    <row r="24" spans="1:7" s="565" customFormat="1" ht="12.45">
      <c r="A24" s="237" t="s">
        <v>915</v>
      </c>
      <c r="B24" s="327">
        <f>'Sources and Uses Budget'!C23</f>
        <v>112797</v>
      </c>
      <c r="C24" s="327">
        <f>'Sources and Uses Budget'!C23</f>
        <v>112797</v>
      </c>
      <c r="D24" s="327">
        <f>'Sources and Uses Budget'!C23</f>
        <v>112797</v>
      </c>
      <c r="E24" s="329">
        <f t="shared" si="1"/>
        <v>0</v>
      </c>
      <c r="F24" s="328"/>
      <c r="G24" s="328"/>
    </row>
    <row r="25" spans="1:7" s="565" customFormat="1" ht="12.45">
      <c r="A25" s="248" t="s">
        <v>1939</v>
      </c>
      <c r="B25" s="327">
        <f>'Sources and Uses Budget'!C24</f>
        <v>0</v>
      </c>
      <c r="C25" s="327">
        <f>'Sources and Uses Budget'!C24</f>
        <v>0</v>
      </c>
      <c r="D25" s="327">
        <f>'Sources and Uses Budget'!C24</f>
        <v>0</v>
      </c>
      <c r="E25" s="329">
        <f t="shared" si="1"/>
        <v>0</v>
      </c>
      <c r="F25" s="328"/>
      <c r="G25" s="328"/>
    </row>
    <row r="26" spans="1:7" s="565" customFormat="1" ht="12.45">
      <c r="A26" s="248" t="s">
        <v>533</v>
      </c>
      <c r="B26" s="327">
        <f>'Sources and Uses Budget'!C25</f>
        <v>150000</v>
      </c>
      <c r="C26" s="327">
        <f>'Sources and Uses Budget'!C25</f>
        <v>150000</v>
      </c>
      <c r="D26" s="327">
        <f>'Sources and Uses Budget'!C25</f>
        <v>150000</v>
      </c>
      <c r="E26" s="329">
        <f t="shared" si="1"/>
        <v>0</v>
      </c>
      <c r="F26" s="328"/>
      <c r="G26" s="328"/>
    </row>
    <row r="27" spans="1:7" s="565" customFormat="1" ht="12.45">
      <c r="A27" s="330" t="s">
        <v>222</v>
      </c>
      <c r="B27" s="891">
        <f>'Sources and Uses Budget'!C26</f>
        <v>6937556</v>
      </c>
      <c r="C27" s="891">
        <f>'Sources and Uses Budget'!C26</f>
        <v>6937556</v>
      </c>
      <c r="D27" s="891">
        <f>'Sources and Uses Budget'!C26</f>
        <v>6937556</v>
      </c>
      <c r="E27" s="329">
        <f>C27-B27</f>
        <v>0</v>
      </c>
      <c r="F27" s="328"/>
      <c r="G27" s="328"/>
    </row>
    <row r="28" spans="1:7" s="565" customFormat="1" ht="12.45">
      <c r="A28" s="884" t="s">
        <v>916</v>
      </c>
      <c r="B28" s="327">
        <f>'Sources and Uses Budget'!C27</f>
        <v>303000</v>
      </c>
      <c r="C28" s="327">
        <f>'Sources and Uses Budget'!C27</f>
        <v>303000</v>
      </c>
      <c r="D28" s="327">
        <f>'Sources and Uses Budget'!C27</f>
        <v>303000</v>
      </c>
      <c r="E28" s="329">
        <f>C28-B28</f>
        <v>0</v>
      </c>
      <c r="F28" s="328"/>
      <c r="G28" s="328"/>
    </row>
    <row r="29" spans="1:7" s="565" customFormat="1" ht="12.9">
      <c r="A29" s="880" t="s">
        <v>917</v>
      </c>
      <c r="B29" s="325"/>
      <c r="C29" s="325"/>
      <c r="D29" s="325"/>
      <c r="E29" s="325"/>
      <c r="F29" s="325"/>
      <c r="G29" s="325"/>
    </row>
    <row r="30" spans="1:7" s="565" customFormat="1" ht="12.45">
      <c r="A30" s="237" t="s">
        <v>909</v>
      </c>
      <c r="B30" s="327">
        <f>'Sources and Uses Budget'!C29</f>
        <v>0</v>
      </c>
      <c r="C30" s="327">
        <f>'Sources and Uses Budget'!C29</f>
        <v>0</v>
      </c>
      <c r="D30" s="327">
        <f>'Sources and Uses Budget'!C29</f>
        <v>0</v>
      </c>
      <c r="E30" s="329">
        <f t="shared" si="0"/>
        <v>0</v>
      </c>
      <c r="F30" s="328"/>
      <c r="G30" s="328"/>
    </row>
    <row r="31" spans="1:7" s="565" customFormat="1" ht="12.45">
      <c r="A31" s="237" t="s">
        <v>910</v>
      </c>
      <c r="B31" s="327">
        <f>'Sources and Uses Budget'!C30</f>
        <v>0</v>
      </c>
      <c r="C31" s="327">
        <f>'Sources and Uses Budget'!C30</f>
        <v>0</v>
      </c>
      <c r="D31" s="327">
        <f>'Sources and Uses Budget'!C30</f>
        <v>0</v>
      </c>
      <c r="E31" s="329">
        <f t="shared" si="0"/>
        <v>0</v>
      </c>
      <c r="F31" s="328"/>
      <c r="G31" s="328"/>
    </row>
    <row r="32" spans="1:7" s="565" customFormat="1" ht="12.45">
      <c r="A32" s="237" t="s">
        <v>911</v>
      </c>
      <c r="B32" s="327">
        <f>'Sources and Uses Budget'!C31</f>
        <v>0</v>
      </c>
      <c r="C32" s="327">
        <f>'Sources and Uses Budget'!C31</f>
        <v>0</v>
      </c>
      <c r="D32" s="327">
        <f>'Sources and Uses Budget'!C31</f>
        <v>0</v>
      </c>
      <c r="E32" s="329">
        <f t="shared" si="0"/>
        <v>0</v>
      </c>
      <c r="F32" s="328"/>
      <c r="G32" s="328"/>
    </row>
    <row r="33" spans="1:7" s="565" customFormat="1" ht="12.45">
      <c r="A33" s="237" t="s">
        <v>912</v>
      </c>
      <c r="B33" s="327">
        <f>'Sources and Uses Budget'!C32</f>
        <v>0</v>
      </c>
      <c r="C33" s="327">
        <f>'Sources and Uses Budget'!C32</f>
        <v>0</v>
      </c>
      <c r="D33" s="327">
        <f>'Sources and Uses Budget'!C32</f>
        <v>0</v>
      </c>
      <c r="E33" s="329">
        <f t="shared" si="0"/>
        <v>0</v>
      </c>
      <c r="F33" s="328"/>
      <c r="G33" s="328"/>
    </row>
    <row r="34" spans="1:7" s="565" customFormat="1" ht="12.45">
      <c r="A34" s="237" t="s">
        <v>913</v>
      </c>
      <c r="B34" s="327">
        <f>'Sources and Uses Budget'!C33</f>
        <v>0</v>
      </c>
      <c r="C34" s="327">
        <f>'Sources and Uses Budget'!C33</f>
        <v>0</v>
      </c>
      <c r="D34" s="327">
        <f>'Sources and Uses Budget'!C33</f>
        <v>0</v>
      </c>
      <c r="E34" s="329">
        <f t="shared" si="0"/>
        <v>0</v>
      </c>
      <c r="F34" s="328"/>
      <c r="G34" s="328"/>
    </row>
    <row r="35" spans="1:7" s="565" customFormat="1" ht="12.45">
      <c r="A35" s="237" t="s">
        <v>914</v>
      </c>
      <c r="B35" s="327">
        <f>'Sources and Uses Budget'!C34</f>
        <v>0</v>
      </c>
      <c r="C35" s="327">
        <f>'Sources and Uses Budget'!C34</f>
        <v>0</v>
      </c>
      <c r="D35" s="327">
        <f>'Sources and Uses Budget'!C34</f>
        <v>0</v>
      </c>
      <c r="E35" s="329">
        <f t="shared" si="0"/>
        <v>0</v>
      </c>
      <c r="F35" s="328"/>
      <c r="G35" s="328"/>
    </row>
    <row r="36" spans="1:7" s="565" customFormat="1" ht="12.45">
      <c r="A36" s="237" t="s">
        <v>915</v>
      </c>
      <c r="B36" s="327">
        <f>'Sources and Uses Budget'!C35</f>
        <v>0</v>
      </c>
      <c r="C36" s="327">
        <f>'Sources and Uses Budget'!C35</f>
        <v>0</v>
      </c>
      <c r="D36" s="327">
        <f>'Sources and Uses Budget'!C35</f>
        <v>0</v>
      </c>
      <c r="E36" s="329">
        <f t="shared" si="0"/>
        <v>0</v>
      </c>
      <c r="F36" s="328"/>
      <c r="G36" s="328"/>
    </row>
    <row r="37" spans="1:7" s="565" customFormat="1" ht="12.45">
      <c r="A37" s="237" t="s">
        <v>1939</v>
      </c>
      <c r="B37" s="327">
        <f>'Sources and Uses Budget'!C36</f>
        <v>0</v>
      </c>
      <c r="C37" s="327">
        <f>'Sources and Uses Budget'!C36</f>
        <v>0</v>
      </c>
      <c r="D37" s="327">
        <f>'Sources and Uses Budget'!C36</f>
        <v>0</v>
      </c>
      <c r="E37" s="329">
        <f t="shared" si="0"/>
        <v>0</v>
      </c>
      <c r="F37" s="328"/>
      <c r="G37" s="328"/>
    </row>
    <row r="38" spans="1:7" s="565" customFormat="1" ht="12.45">
      <c r="A38" s="248" t="s">
        <v>533</v>
      </c>
      <c r="B38" s="327">
        <f>'Sources and Uses Budget'!C37</f>
        <v>0</v>
      </c>
      <c r="C38" s="327">
        <f>'Sources and Uses Budget'!C37</f>
        <v>0</v>
      </c>
      <c r="D38" s="327">
        <f>'Sources and Uses Budget'!C37</f>
        <v>0</v>
      </c>
      <c r="E38" s="329">
        <f>C38-B38</f>
        <v>0</v>
      </c>
      <c r="F38" s="328"/>
      <c r="G38" s="328"/>
    </row>
    <row r="39" spans="1:7" s="565" customFormat="1" ht="12.45">
      <c r="A39" s="884" t="s">
        <v>918</v>
      </c>
      <c r="B39" s="891">
        <f>'Sources and Uses Budget'!C38</f>
        <v>0</v>
      </c>
      <c r="C39" s="891">
        <f>'Sources and Uses Budget'!C38</f>
        <v>0</v>
      </c>
      <c r="D39" s="891">
        <f>'Sources and Uses Budget'!C38</f>
        <v>0</v>
      </c>
      <c r="E39" s="329">
        <f>C39-B39</f>
        <v>0</v>
      </c>
      <c r="F39" s="328"/>
      <c r="G39" s="328"/>
    </row>
    <row r="40" spans="1:7" s="565" customFormat="1" ht="12.9">
      <c r="A40" s="880" t="s">
        <v>919</v>
      </c>
      <c r="B40" s="325"/>
      <c r="C40" s="325"/>
      <c r="D40" s="325"/>
      <c r="E40" s="325"/>
      <c r="F40" s="325"/>
      <c r="G40" s="325"/>
    </row>
    <row r="41" spans="1:7" s="565" customFormat="1" ht="12.45">
      <c r="A41" s="885" t="s">
        <v>920</v>
      </c>
      <c r="B41" s="327">
        <f>'Sources and Uses Budget'!C40</f>
        <v>150000</v>
      </c>
      <c r="C41" s="327">
        <f>'Sources and Uses Budget'!C40</f>
        <v>150000</v>
      </c>
      <c r="D41" s="327">
        <f>'Sources and Uses Budget'!C40</f>
        <v>150000</v>
      </c>
      <c r="E41" s="329">
        <f>C41-B41</f>
        <v>0</v>
      </c>
      <c r="F41" s="328"/>
      <c r="G41" s="328"/>
    </row>
    <row r="42" spans="1:7" s="565" customFormat="1" ht="12.45">
      <c r="A42" s="885" t="s">
        <v>921</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922</v>
      </c>
      <c r="B43" s="891">
        <f>'Sources and Uses Budget'!C42</f>
        <v>200000</v>
      </c>
      <c r="C43" s="891">
        <f>'Sources and Uses Budget'!C42</f>
        <v>200000</v>
      </c>
      <c r="D43" s="891">
        <f>'Sources and Uses Budget'!C42</f>
        <v>200000</v>
      </c>
      <c r="E43" s="329">
        <f>C43-B43</f>
        <v>0</v>
      </c>
      <c r="F43" s="328"/>
      <c r="G43" s="328"/>
    </row>
    <row r="44" spans="1:7" s="565" customFormat="1" ht="12.45">
      <c r="A44" s="884" t="s">
        <v>923</v>
      </c>
      <c r="B44" s="327">
        <f>'Sources and Uses Budget'!C43</f>
        <v>50000</v>
      </c>
      <c r="C44" s="327">
        <f>'Sources and Uses Budget'!C43</f>
        <v>50000</v>
      </c>
      <c r="D44" s="327">
        <f>'Sources and Uses Budget'!C43</f>
        <v>50000</v>
      </c>
      <c r="E44" s="329">
        <f>C44-B44</f>
        <v>0</v>
      </c>
      <c r="F44" s="328"/>
      <c r="G44" s="328"/>
    </row>
    <row r="45" spans="1:7" s="565" customFormat="1" ht="12.9">
      <c r="A45" s="233" t="s">
        <v>924</v>
      </c>
      <c r="B45" s="325"/>
      <c r="C45" s="325"/>
      <c r="D45" s="325"/>
      <c r="E45" s="325"/>
      <c r="F45" s="325"/>
      <c r="G45" s="325"/>
    </row>
    <row r="46" spans="1:7" s="565" customFormat="1" ht="12" customHeight="1">
      <c r="A46" s="237" t="s">
        <v>925</v>
      </c>
      <c r="B46" s="327">
        <f>'Sources and Uses Budget'!C45</f>
        <v>952500</v>
      </c>
      <c r="C46" s="327">
        <f>'Sources and Uses Budget'!C45</f>
        <v>952500</v>
      </c>
      <c r="D46" s="327">
        <f>'Sources and Uses Budget'!C45</f>
        <v>952500</v>
      </c>
      <c r="E46" s="329">
        <f t="shared" si="0"/>
        <v>0</v>
      </c>
      <c r="F46" s="328"/>
      <c r="G46" s="328"/>
    </row>
    <row r="47" spans="1:7" s="565" customFormat="1" ht="12.45">
      <c r="A47" s="237" t="s">
        <v>926</v>
      </c>
      <c r="B47" s="327">
        <f>'Sources and Uses Budget'!C46</f>
        <v>100000</v>
      </c>
      <c r="C47" s="327">
        <f>'Sources and Uses Budget'!C46</f>
        <v>100000</v>
      </c>
      <c r="D47" s="327">
        <f>'Sources and Uses Budget'!C46</f>
        <v>100000</v>
      </c>
      <c r="E47" s="329">
        <f t="shared" si="0"/>
        <v>0</v>
      </c>
      <c r="F47" s="328"/>
      <c r="G47" s="328"/>
    </row>
    <row r="48" spans="1:7" s="565" customFormat="1" ht="12.45">
      <c r="A48" s="237" t="s">
        <v>927</v>
      </c>
      <c r="B48" s="327">
        <f>'Sources and Uses Budget'!C47</f>
        <v>0</v>
      </c>
      <c r="C48" s="327">
        <f>'Sources and Uses Budget'!C47</f>
        <v>0</v>
      </c>
      <c r="D48" s="327">
        <f>'Sources and Uses Budget'!C47</f>
        <v>0</v>
      </c>
      <c r="E48" s="329">
        <f t="shared" si="0"/>
        <v>0</v>
      </c>
      <c r="F48" s="328"/>
      <c r="G48" s="328"/>
    </row>
    <row r="49" spans="1:7" s="565" customFormat="1" ht="12.45">
      <c r="A49" s="237" t="s">
        <v>928</v>
      </c>
      <c r="B49" s="327">
        <f>'Sources and Uses Budget'!C48</f>
        <v>100687</v>
      </c>
      <c r="C49" s="327">
        <f>'Sources and Uses Budget'!C48</f>
        <v>100687</v>
      </c>
      <c r="D49" s="327">
        <f>'Sources and Uses Budget'!C48</f>
        <v>100687</v>
      </c>
      <c r="E49" s="329">
        <f t="shared" si="0"/>
        <v>0</v>
      </c>
      <c r="F49" s="328"/>
      <c r="G49" s="328"/>
    </row>
    <row r="50" spans="1:7" s="565" customFormat="1" ht="12.45">
      <c r="A50" s="237" t="s">
        <v>931</v>
      </c>
      <c r="B50" s="327">
        <f>'Sources and Uses Budget'!C49</f>
        <v>40000</v>
      </c>
      <c r="C50" s="327">
        <f>'Sources and Uses Budget'!C49</f>
        <v>40000</v>
      </c>
      <c r="D50" s="327">
        <f>'Sources and Uses Budget'!C49</f>
        <v>40000</v>
      </c>
      <c r="E50" s="329">
        <f t="shared" si="0"/>
        <v>0</v>
      </c>
      <c r="F50" s="328"/>
      <c r="G50" s="328"/>
    </row>
    <row r="51" spans="1:7" s="565" customFormat="1" ht="12.45">
      <c r="A51" s="237" t="s">
        <v>929</v>
      </c>
      <c r="B51" s="327">
        <f>'Sources and Uses Budget'!C50</f>
        <v>0</v>
      </c>
      <c r="C51" s="327">
        <f>'Sources and Uses Budget'!C50</f>
        <v>0</v>
      </c>
      <c r="D51" s="327">
        <f>'Sources and Uses Budget'!C50</f>
        <v>0</v>
      </c>
      <c r="E51" s="329">
        <f t="shared" si="0"/>
        <v>0</v>
      </c>
      <c r="F51" s="328"/>
      <c r="G51" s="328"/>
    </row>
    <row r="52" spans="1:7" s="566" customFormat="1" ht="12.45">
      <c r="A52" s="237" t="s">
        <v>930</v>
      </c>
      <c r="B52" s="327">
        <f>'Sources and Uses Budget'!C51</f>
        <v>100000</v>
      </c>
      <c r="C52" s="327">
        <f>'Sources and Uses Budget'!C51</f>
        <v>100000</v>
      </c>
      <c r="D52" s="327">
        <f>'Sources and Uses Budget'!C51</f>
        <v>100000</v>
      </c>
      <c r="E52" s="329">
        <f t="shared" si="0"/>
        <v>0</v>
      </c>
      <c r="F52" s="328"/>
      <c r="G52" s="328"/>
    </row>
    <row r="53" spans="1:7" s="565" customFormat="1" ht="12.45">
      <c r="A53" s="244" t="s">
        <v>533</v>
      </c>
      <c r="B53" s="327">
        <f>'Sources and Uses Budget'!C52</f>
        <v>0</v>
      </c>
      <c r="C53" s="327">
        <f>'Sources and Uses Budget'!C52</f>
        <v>0</v>
      </c>
      <c r="D53" s="327">
        <f>'Sources and Uses Budget'!C52</f>
        <v>0</v>
      </c>
      <c r="E53" s="329">
        <f t="shared" si="0"/>
        <v>0</v>
      </c>
      <c r="F53" s="328"/>
      <c r="G53" s="328"/>
    </row>
    <row r="54" spans="1:7" s="565" customFormat="1" ht="12.45">
      <c r="A54" s="241" t="s">
        <v>932</v>
      </c>
      <c r="B54" s="891">
        <f>'Sources and Uses Budget'!C53</f>
        <v>1293187</v>
      </c>
      <c r="C54" s="891">
        <f>'Sources and Uses Budget'!C53</f>
        <v>1293187</v>
      </c>
      <c r="D54" s="891">
        <f>'Sources and Uses Budget'!C53</f>
        <v>1293187</v>
      </c>
      <c r="E54" s="329">
        <f t="shared" si="0"/>
        <v>0</v>
      </c>
      <c r="F54" s="328"/>
      <c r="G54" s="328"/>
    </row>
    <row r="55" spans="1:7" s="565" customFormat="1" ht="12" customHeight="1">
      <c r="A55" s="880" t="s">
        <v>682</v>
      </c>
      <c r="B55" s="325"/>
      <c r="C55" s="325"/>
      <c r="D55" s="325"/>
      <c r="E55" s="325"/>
      <c r="F55" s="325"/>
      <c r="G55" s="325"/>
    </row>
    <row r="56" spans="1:7" s="565" customFormat="1" ht="12.45">
      <c r="A56" s="885" t="s">
        <v>933</v>
      </c>
      <c r="B56" s="327">
        <f>'Sources and Uses Budget'!C55</f>
        <v>55500</v>
      </c>
      <c r="C56" s="327">
        <f>'Sources and Uses Budget'!C55</f>
        <v>55500</v>
      </c>
      <c r="D56" s="327">
        <f>'Sources and Uses Budget'!C55</f>
        <v>55500</v>
      </c>
      <c r="E56" s="329">
        <f t="shared" si="0"/>
        <v>0</v>
      </c>
      <c r="F56" s="328"/>
      <c r="G56" s="328"/>
    </row>
    <row r="57" spans="1:7" s="565" customFormat="1" ht="12.45">
      <c r="A57" s="885" t="s">
        <v>927</v>
      </c>
      <c r="B57" s="327">
        <f>'Sources and Uses Budget'!C56</f>
        <v>0</v>
      </c>
      <c r="C57" s="327">
        <f>'Sources and Uses Budget'!C56</f>
        <v>0</v>
      </c>
      <c r="D57" s="327">
        <f>'Sources and Uses Budget'!C56</f>
        <v>0</v>
      </c>
      <c r="E57" s="329">
        <f t="shared" si="0"/>
        <v>0</v>
      </c>
      <c r="F57" s="328"/>
      <c r="G57" s="328"/>
    </row>
    <row r="58" spans="1:7" s="565" customFormat="1" ht="12.45">
      <c r="A58" s="885" t="s">
        <v>931</v>
      </c>
      <c r="B58" s="327">
        <f>'Sources and Uses Budget'!C57</f>
        <v>10000</v>
      </c>
      <c r="C58" s="327">
        <f>'Sources and Uses Budget'!C57</f>
        <v>10000</v>
      </c>
      <c r="D58" s="327">
        <f>'Sources and Uses Budget'!C57</f>
        <v>10000</v>
      </c>
      <c r="E58" s="329">
        <f t="shared" si="0"/>
        <v>0</v>
      </c>
      <c r="F58" s="328"/>
      <c r="G58" s="328"/>
    </row>
    <row r="59" spans="1:7" s="565" customFormat="1" ht="12.45">
      <c r="A59" s="885" t="s">
        <v>929</v>
      </c>
      <c r="B59" s="327">
        <f>'Sources and Uses Budget'!C58</f>
        <v>0</v>
      </c>
      <c r="C59" s="327">
        <f>'Sources and Uses Budget'!C58</f>
        <v>0</v>
      </c>
      <c r="D59" s="327">
        <f>'Sources and Uses Budget'!C58</f>
        <v>0</v>
      </c>
      <c r="E59" s="329">
        <f t="shared" si="0"/>
        <v>0</v>
      </c>
      <c r="F59" s="328"/>
      <c r="G59" s="328"/>
    </row>
    <row r="60" spans="1:7" s="565" customFormat="1" ht="12.45">
      <c r="A60" s="885" t="s">
        <v>930</v>
      </c>
      <c r="B60" s="327">
        <f>'Sources and Uses Budget'!C59</f>
        <v>0</v>
      </c>
      <c r="C60" s="327">
        <f>'Sources and Uses Budget'!C59</f>
        <v>0</v>
      </c>
      <c r="D60" s="327">
        <f>'Sources and Uses Budget'!C59</f>
        <v>0</v>
      </c>
      <c r="E60" s="329">
        <f t="shared" si="0"/>
        <v>0</v>
      </c>
      <c r="F60" s="328"/>
      <c r="G60" s="328"/>
    </row>
    <row r="61" spans="1:7" s="565" customFormat="1" ht="13.95" customHeight="1">
      <c r="A61" s="886" t="s">
        <v>533</v>
      </c>
      <c r="B61" s="327">
        <f>'Sources and Uses Budget'!C60</f>
        <v>0</v>
      </c>
      <c r="C61" s="327">
        <f>'Sources and Uses Budget'!C60</f>
        <v>0</v>
      </c>
      <c r="D61" s="327">
        <f>'Sources and Uses Budget'!C60</f>
        <v>0</v>
      </c>
      <c r="E61" s="329">
        <f t="shared" si="0"/>
        <v>0</v>
      </c>
      <c r="F61" s="328"/>
      <c r="G61" s="328"/>
    </row>
    <row r="62" spans="1:7" s="565" customFormat="1" ht="12.45">
      <c r="A62" s="884" t="s">
        <v>500</v>
      </c>
      <c r="B62" s="891">
        <f>'Sources and Uses Budget'!C61</f>
        <v>65500</v>
      </c>
      <c r="C62" s="891">
        <f>'Sources and Uses Budget'!C61</f>
        <v>65500</v>
      </c>
      <c r="D62" s="891">
        <f>'Sources and Uses Budget'!C61</f>
        <v>65500</v>
      </c>
      <c r="E62" s="329">
        <f t="shared" si="0"/>
        <v>0</v>
      </c>
      <c r="F62" s="328"/>
      <c r="G62" s="328"/>
    </row>
    <row r="63" spans="1:7" s="565" customFormat="1" ht="12.45">
      <c r="A63" s="887" t="s">
        <v>501</v>
      </c>
      <c r="B63" s="891">
        <f>'Sources and Uses Budget'!C62</f>
        <v>14749243</v>
      </c>
      <c r="C63" s="891">
        <f>'Sources and Uses Budget'!C62</f>
        <v>14749243</v>
      </c>
      <c r="D63" s="891">
        <f>'Sources and Uses Budget'!C62</f>
        <v>14749243</v>
      </c>
      <c r="E63" s="329">
        <f t="shared" si="0"/>
        <v>0</v>
      </c>
      <c r="F63" s="328"/>
      <c r="G63" s="328"/>
    </row>
    <row r="64" spans="1:7" s="565" customFormat="1" ht="23.15">
      <c r="A64" s="233" t="s">
        <v>1940</v>
      </c>
      <c r="B64" s="325"/>
      <c r="C64" s="325"/>
      <c r="D64" s="325"/>
      <c r="E64" s="325"/>
      <c r="F64" s="325"/>
      <c r="G64" s="325"/>
    </row>
    <row r="65" spans="1:7" s="565" customFormat="1" ht="12.45">
      <c r="A65" s="237" t="s">
        <v>284</v>
      </c>
      <c r="B65" s="327">
        <f>'Sources and Uses Budget'!C64</f>
        <v>85000</v>
      </c>
      <c r="C65" s="327">
        <f>'Sources and Uses Budget'!C64</f>
        <v>85000</v>
      </c>
      <c r="D65" s="327">
        <f>'Sources and Uses Budget'!C64</f>
        <v>85000</v>
      </c>
      <c r="E65" s="329">
        <f t="shared" si="0"/>
        <v>0</v>
      </c>
      <c r="F65" s="328"/>
      <c r="G65" s="328"/>
    </row>
    <row r="66" spans="1:7" s="565" customFormat="1" ht="23.15">
      <c r="A66" s="237" t="s">
        <v>1941</v>
      </c>
      <c r="B66" s="327">
        <f>'Sources and Uses Budget'!C65</f>
        <v>0</v>
      </c>
      <c r="C66" s="327">
        <f>'Sources and Uses Budget'!C65</f>
        <v>0</v>
      </c>
      <c r="D66" s="327">
        <f>'Sources and Uses Budget'!C65</f>
        <v>0</v>
      </c>
      <c r="E66" s="329">
        <f t="shared" si="0"/>
        <v>0</v>
      </c>
      <c r="F66" s="328"/>
      <c r="G66" s="328"/>
    </row>
    <row r="67" spans="1:7" s="565" customFormat="1" ht="12.45">
      <c r="A67" s="237" t="s">
        <v>1942</v>
      </c>
      <c r="B67" s="327">
        <f>'Sources and Uses Budget'!C66</f>
        <v>0</v>
      </c>
      <c r="C67" s="327">
        <f>'Sources and Uses Budget'!C66</f>
        <v>0</v>
      </c>
      <c r="D67" s="327">
        <f>'Sources and Uses Budget'!C66</f>
        <v>0</v>
      </c>
      <c r="E67" s="329">
        <f t="shared" si="0"/>
        <v>0</v>
      </c>
      <c r="F67" s="328"/>
      <c r="G67" s="328"/>
    </row>
    <row r="68" spans="1:7" s="565" customFormat="1" ht="12.45">
      <c r="A68" s="237" t="s">
        <v>1943</v>
      </c>
      <c r="B68" s="327">
        <f>'Sources and Uses Budget'!C67</f>
        <v>0</v>
      </c>
      <c r="C68" s="327">
        <f>'Sources and Uses Budget'!C67</f>
        <v>0</v>
      </c>
      <c r="D68" s="327">
        <f>'Sources and Uses Budget'!C67</f>
        <v>0</v>
      </c>
      <c r="E68" s="329">
        <f t="shared" si="0"/>
        <v>0</v>
      </c>
      <c r="F68" s="328"/>
      <c r="G68" s="328"/>
    </row>
    <row r="69" spans="1:7" s="565" customFormat="1" ht="12.45">
      <c r="A69" s="248" t="s">
        <v>2001</v>
      </c>
      <c r="B69" s="327">
        <f>'Sources and Uses Budget'!C68</f>
        <v>80000</v>
      </c>
      <c r="C69" s="327">
        <f>'Sources and Uses Budget'!C68</f>
        <v>80000</v>
      </c>
      <c r="D69" s="327">
        <f>'Sources and Uses Budget'!C68</f>
        <v>80000</v>
      </c>
      <c r="E69" s="329">
        <f t="shared" si="0"/>
        <v>0</v>
      </c>
      <c r="F69" s="328"/>
      <c r="G69" s="328"/>
    </row>
    <row r="70" spans="1:7" s="565" customFormat="1" ht="12.45">
      <c r="A70" s="241" t="s">
        <v>1944</v>
      </c>
      <c r="B70" s="891">
        <f>'Sources and Uses Budget'!C69</f>
        <v>165000</v>
      </c>
      <c r="C70" s="891">
        <f>'Sources and Uses Budget'!C69</f>
        <v>165000</v>
      </c>
      <c r="D70" s="891">
        <f>'Sources and Uses Budget'!C69</f>
        <v>165000</v>
      </c>
      <c r="E70" s="329">
        <f t="shared" si="0"/>
        <v>0</v>
      </c>
      <c r="F70" s="328"/>
      <c r="G70" s="328"/>
    </row>
    <row r="71" spans="1:7" s="565" customFormat="1" ht="12.9">
      <c r="A71" s="880" t="s">
        <v>285</v>
      </c>
      <c r="B71" s="325"/>
      <c r="C71" s="325"/>
      <c r="D71" s="325"/>
      <c r="E71" s="325"/>
      <c r="F71" s="325"/>
      <c r="G71" s="325"/>
    </row>
    <row r="72" spans="1:7" s="565" customFormat="1" ht="12.45">
      <c r="A72" s="885" t="s">
        <v>286</v>
      </c>
      <c r="B72" s="327">
        <f>'Sources and Uses Budget'!C71</f>
        <v>0</v>
      </c>
      <c r="C72" s="327">
        <f>'Sources and Uses Budget'!C71</f>
        <v>0</v>
      </c>
      <c r="D72" s="327">
        <f>'Sources and Uses Budget'!C71</f>
        <v>0</v>
      </c>
      <c r="E72" s="329">
        <f t="shared" si="0"/>
        <v>0</v>
      </c>
      <c r="F72" s="328"/>
      <c r="G72" s="328"/>
    </row>
    <row r="73" spans="1:7" s="565" customFormat="1" ht="12.45">
      <c r="A73" s="885" t="s">
        <v>287</v>
      </c>
      <c r="B73" s="327">
        <f>'Sources and Uses Budget'!C72</f>
        <v>0</v>
      </c>
      <c r="C73" s="327">
        <f>'Sources and Uses Budget'!C72</f>
        <v>0</v>
      </c>
      <c r="D73" s="327">
        <f>'Sources and Uses Budget'!C72</f>
        <v>0</v>
      </c>
      <c r="E73" s="329">
        <f t="shared" si="0"/>
        <v>0</v>
      </c>
      <c r="F73" s="328"/>
      <c r="G73" s="328"/>
    </row>
    <row r="74" spans="1:7" s="565" customFormat="1" ht="12.45">
      <c r="A74" s="888" t="s">
        <v>1238</v>
      </c>
      <c r="B74" s="327">
        <f>'Sources and Uses Budget'!C73</f>
        <v>0</v>
      </c>
      <c r="C74" s="327">
        <f>'Sources and Uses Budget'!C73</f>
        <v>0</v>
      </c>
      <c r="D74" s="327">
        <f>'Sources and Uses Budget'!C73</f>
        <v>0</v>
      </c>
      <c r="E74" s="329">
        <f>C74-B74</f>
        <v>0</v>
      </c>
      <c r="F74" s="328"/>
      <c r="G74" s="328"/>
    </row>
    <row r="75" spans="1:7" s="565" customFormat="1" ht="12.45">
      <c r="A75" s="885" t="s">
        <v>288</v>
      </c>
      <c r="B75" s="327">
        <f>'Sources and Uses Budget'!C74</f>
        <v>594665</v>
      </c>
      <c r="C75" s="327">
        <f>'Sources and Uses Budget'!C74</f>
        <v>594665</v>
      </c>
      <c r="D75" s="327">
        <f>'Sources and Uses Budget'!C74</f>
        <v>594665</v>
      </c>
      <c r="E75" s="329">
        <f>C75-B75</f>
        <v>0</v>
      </c>
      <c r="F75" s="328"/>
      <c r="G75" s="328"/>
    </row>
    <row r="76" spans="1:7" s="565" customFormat="1" ht="12.45">
      <c r="A76" s="889" t="s">
        <v>533</v>
      </c>
      <c r="B76" s="327">
        <f>'Sources and Uses Budget'!C75</f>
        <v>75855</v>
      </c>
      <c r="C76" s="327">
        <f>'Sources and Uses Budget'!C75</f>
        <v>75855</v>
      </c>
      <c r="D76" s="327">
        <f>'Sources and Uses Budget'!C75</f>
        <v>75855</v>
      </c>
      <c r="E76" s="329">
        <f>C76-B76</f>
        <v>0</v>
      </c>
      <c r="F76" s="328"/>
      <c r="G76" s="328"/>
    </row>
    <row r="77" spans="1:7" s="565" customFormat="1" ht="12.45">
      <c r="A77" s="884" t="s">
        <v>289</v>
      </c>
      <c r="B77" s="891">
        <f>'Sources and Uses Budget'!C76</f>
        <v>670520</v>
      </c>
      <c r="C77" s="891">
        <f>'Sources and Uses Budget'!C76</f>
        <v>670520</v>
      </c>
      <c r="D77" s="891">
        <f>'Sources and Uses Budget'!C76</f>
        <v>670520</v>
      </c>
      <c r="E77" s="329">
        <f>C77-B77</f>
        <v>0</v>
      </c>
      <c r="F77" s="328"/>
      <c r="G77" s="328"/>
    </row>
    <row r="78" spans="1:7" s="565" customFormat="1" ht="12.9">
      <c r="A78" s="880" t="s">
        <v>1734</v>
      </c>
      <c r="B78" s="325"/>
      <c r="C78" s="325"/>
      <c r="D78" s="325"/>
      <c r="E78" s="325"/>
      <c r="F78" s="325"/>
      <c r="G78" s="325"/>
    </row>
    <row r="79" spans="1:7" s="565" customFormat="1" ht="13.95" customHeight="1">
      <c r="A79" s="885" t="s">
        <v>1732</v>
      </c>
      <c r="B79" s="327">
        <f>'Sources and Uses Budget'!C78</f>
        <v>585583</v>
      </c>
      <c r="C79" s="327">
        <f>'Sources and Uses Budget'!C78</f>
        <v>585583</v>
      </c>
      <c r="D79" s="327">
        <f>'Sources and Uses Budget'!C78</f>
        <v>585583</v>
      </c>
      <c r="E79" s="329">
        <f t="shared" ref="E79:E105" si="2">C79-B79</f>
        <v>0</v>
      </c>
      <c r="F79" s="328"/>
      <c r="G79" s="328"/>
    </row>
    <row r="80" spans="1:7" s="565" customFormat="1" ht="12.45">
      <c r="A80" s="885" t="s">
        <v>538</v>
      </c>
      <c r="B80" s="327">
        <f>'Sources and Uses Budget'!C79</f>
        <v>100000</v>
      </c>
      <c r="C80" s="327">
        <f>'Sources and Uses Budget'!C79</f>
        <v>100000</v>
      </c>
      <c r="D80" s="327">
        <f>'Sources and Uses Budget'!C79</f>
        <v>100000</v>
      </c>
      <c r="E80" s="329">
        <f t="shared" si="2"/>
        <v>0</v>
      </c>
      <c r="F80" s="328"/>
      <c r="G80" s="328"/>
    </row>
    <row r="81" spans="1:7" s="565" customFormat="1" ht="12.45">
      <c r="A81" s="884" t="s">
        <v>1733</v>
      </c>
      <c r="B81" s="891">
        <f>'Sources and Uses Budget'!C80</f>
        <v>685583</v>
      </c>
      <c r="C81" s="891">
        <f>'Sources and Uses Budget'!C80</f>
        <v>685583</v>
      </c>
      <c r="D81" s="891">
        <f>'Sources and Uses Budget'!C80</f>
        <v>685583</v>
      </c>
      <c r="E81" s="329">
        <f t="shared" si="2"/>
        <v>0</v>
      </c>
      <c r="F81" s="328"/>
      <c r="G81" s="328"/>
    </row>
    <row r="82" spans="1:7" s="565" customFormat="1" ht="12.9">
      <c r="A82" s="880" t="s">
        <v>515</v>
      </c>
      <c r="B82" s="325"/>
      <c r="C82" s="325"/>
      <c r="D82" s="325"/>
      <c r="E82" s="325"/>
      <c r="F82" s="325"/>
      <c r="G82" s="325"/>
    </row>
    <row r="83" spans="1:7" s="565" customFormat="1" ht="12.45">
      <c r="A83" s="237" t="s">
        <v>2098</v>
      </c>
      <c r="B83" s="327">
        <f>'Sources and Uses Budget'!C82</f>
        <v>85627</v>
      </c>
      <c r="C83" s="327">
        <f>'Sources and Uses Budget'!C82</f>
        <v>85627</v>
      </c>
      <c r="D83" s="327">
        <f>'Sources and Uses Budget'!C82</f>
        <v>85627</v>
      </c>
      <c r="E83" s="329">
        <f t="shared" si="2"/>
        <v>0</v>
      </c>
      <c r="F83" s="328"/>
      <c r="G83" s="328"/>
    </row>
    <row r="84" spans="1:7" s="565" customFormat="1" ht="12.45">
      <c r="A84" s="237" t="s">
        <v>516</v>
      </c>
      <c r="B84" s="327">
        <f>'Sources and Uses Budget'!C83</f>
        <v>60000</v>
      </c>
      <c r="C84" s="327">
        <f>'Sources and Uses Budget'!C83</f>
        <v>60000</v>
      </c>
      <c r="D84" s="327">
        <f>'Sources and Uses Budget'!C83</f>
        <v>60000</v>
      </c>
      <c r="E84" s="329">
        <f t="shared" si="2"/>
        <v>0</v>
      </c>
      <c r="F84" s="328"/>
      <c r="G84" s="328"/>
    </row>
    <row r="85" spans="1:7" s="565" customFormat="1" ht="12.45">
      <c r="A85" s="237" t="s">
        <v>517</v>
      </c>
      <c r="B85" s="327">
        <f>'Sources and Uses Budget'!C84</f>
        <v>0</v>
      </c>
      <c r="C85" s="327">
        <f>'Sources and Uses Budget'!C84</f>
        <v>0</v>
      </c>
      <c r="D85" s="327">
        <f>'Sources and Uses Budget'!C84</f>
        <v>0</v>
      </c>
      <c r="E85" s="329">
        <f t="shared" si="2"/>
        <v>0</v>
      </c>
      <c r="F85" s="328"/>
      <c r="G85" s="328"/>
    </row>
    <row r="86" spans="1:7" s="565" customFormat="1" ht="12.45">
      <c r="A86" s="237" t="s">
        <v>518</v>
      </c>
      <c r="B86" s="327">
        <f>'Sources and Uses Budget'!C85</f>
        <v>23217</v>
      </c>
      <c r="C86" s="327">
        <f>'Sources and Uses Budget'!C85</f>
        <v>23217</v>
      </c>
      <c r="D86" s="327">
        <f>'Sources and Uses Budget'!C85</f>
        <v>23217</v>
      </c>
      <c r="E86" s="329">
        <f t="shared" si="2"/>
        <v>0</v>
      </c>
      <c r="F86" s="328"/>
      <c r="G86" s="328"/>
    </row>
    <row r="87" spans="1:7" s="565" customFormat="1" ht="12.45">
      <c r="A87" s="237" t="s">
        <v>519</v>
      </c>
      <c r="B87" s="327">
        <f>'Sources and Uses Budget'!C86</f>
        <v>0</v>
      </c>
      <c r="C87" s="327">
        <f>'Sources and Uses Budget'!C86</f>
        <v>0</v>
      </c>
      <c r="D87" s="327">
        <f>'Sources and Uses Budget'!C86</f>
        <v>0</v>
      </c>
      <c r="E87" s="329">
        <f t="shared" si="2"/>
        <v>0</v>
      </c>
      <c r="F87" s="328"/>
      <c r="G87" s="328"/>
    </row>
    <row r="88" spans="1:7" s="565" customFormat="1" ht="12.45">
      <c r="A88" s="237" t="s">
        <v>520</v>
      </c>
      <c r="B88" s="327">
        <f>'Sources and Uses Budget'!C87</f>
        <v>10000</v>
      </c>
      <c r="C88" s="327">
        <f>'Sources and Uses Budget'!C87</f>
        <v>10000</v>
      </c>
      <c r="D88" s="327">
        <f>'Sources and Uses Budget'!C87</f>
        <v>10000</v>
      </c>
      <c r="E88" s="329">
        <f t="shared" si="2"/>
        <v>0</v>
      </c>
      <c r="F88" s="328"/>
      <c r="G88" s="328"/>
    </row>
    <row r="89" spans="1:7" s="565" customFormat="1" ht="12.45">
      <c r="A89" s="237" t="s">
        <v>521</v>
      </c>
      <c r="B89" s="327">
        <f>'Sources and Uses Budget'!C88</f>
        <v>50000</v>
      </c>
      <c r="C89" s="327">
        <f>'Sources and Uses Budget'!C88</f>
        <v>50000</v>
      </c>
      <c r="D89" s="327">
        <f>'Sources and Uses Budget'!C88</f>
        <v>50000</v>
      </c>
      <c r="E89" s="329">
        <f t="shared" si="2"/>
        <v>0</v>
      </c>
      <c r="F89" s="328"/>
      <c r="G89" s="328"/>
    </row>
    <row r="90" spans="1:7" s="565" customFormat="1" ht="12.45">
      <c r="A90" s="237" t="s">
        <v>522</v>
      </c>
      <c r="B90" s="327">
        <f>'Sources and Uses Budget'!C89</f>
        <v>10000</v>
      </c>
      <c r="C90" s="327">
        <f>'Sources and Uses Budget'!C89</f>
        <v>10000</v>
      </c>
      <c r="D90" s="327">
        <f>'Sources and Uses Budget'!C89</f>
        <v>10000</v>
      </c>
      <c r="E90" s="329">
        <f t="shared" si="2"/>
        <v>0</v>
      </c>
      <c r="F90" s="328"/>
      <c r="G90" s="328"/>
    </row>
    <row r="91" spans="1:7" s="565" customFormat="1" ht="12.45">
      <c r="A91" s="248" t="s">
        <v>1314</v>
      </c>
      <c r="B91" s="327">
        <f>'Sources and Uses Budget'!C90</f>
        <v>20670</v>
      </c>
      <c r="C91" s="327">
        <f>'Sources and Uses Budget'!C90</f>
        <v>20670</v>
      </c>
      <c r="D91" s="327">
        <f>'Sources and Uses Budget'!C90</f>
        <v>20670</v>
      </c>
      <c r="E91" s="329">
        <f t="shared" si="2"/>
        <v>0</v>
      </c>
      <c r="F91" s="328"/>
      <c r="G91" s="328"/>
    </row>
    <row r="92" spans="1:7" s="565" customFormat="1" ht="12.45">
      <c r="A92" s="248" t="s">
        <v>1731</v>
      </c>
      <c r="B92" s="327">
        <f>'Sources and Uses Budget'!C91</f>
        <v>10000</v>
      </c>
      <c r="C92" s="327">
        <f>'Sources and Uses Budget'!C91</f>
        <v>10000</v>
      </c>
      <c r="D92" s="327">
        <f>'Sources and Uses Budget'!C91</f>
        <v>10000</v>
      </c>
      <c r="E92" s="329">
        <f t="shared" si="2"/>
        <v>0</v>
      </c>
      <c r="F92" s="328"/>
      <c r="G92" s="328"/>
    </row>
    <row r="93" spans="1:7" s="565" customFormat="1" ht="12.45">
      <c r="A93" s="244" t="s">
        <v>533</v>
      </c>
      <c r="B93" s="327">
        <f>'Sources and Uses Budget'!C92</f>
        <v>10000</v>
      </c>
      <c r="C93" s="327">
        <f>'Sources and Uses Budget'!C92</f>
        <v>10000</v>
      </c>
      <c r="D93" s="327">
        <f>'Sources and Uses Budget'!C92</f>
        <v>10000</v>
      </c>
      <c r="E93" s="329">
        <f t="shared" si="2"/>
        <v>0</v>
      </c>
      <c r="F93" s="328"/>
      <c r="G93" s="328"/>
    </row>
    <row r="94" spans="1:7" s="565" customFormat="1" ht="12.45">
      <c r="A94" s="244" t="s">
        <v>533</v>
      </c>
      <c r="B94" s="327">
        <f>'Sources and Uses Budget'!C93</f>
        <v>60000</v>
      </c>
      <c r="C94" s="327">
        <f>'Sources and Uses Budget'!C93</f>
        <v>60000</v>
      </c>
      <c r="D94" s="327">
        <f>'Sources and Uses Budget'!C93</f>
        <v>60000</v>
      </c>
      <c r="E94" s="329">
        <f t="shared" si="2"/>
        <v>0</v>
      </c>
      <c r="F94" s="328"/>
      <c r="G94" s="328"/>
    </row>
    <row r="95" spans="1:7" s="565" customFormat="1" ht="12.45">
      <c r="A95" s="244" t="s">
        <v>533</v>
      </c>
      <c r="B95" s="327">
        <f>'Sources and Uses Budget'!C94</f>
        <v>0</v>
      </c>
      <c r="C95" s="327">
        <f>'Sources and Uses Budget'!C94</f>
        <v>0</v>
      </c>
      <c r="D95" s="327">
        <f>'Sources and Uses Budget'!C94</f>
        <v>0</v>
      </c>
      <c r="E95" s="329">
        <f t="shared" si="2"/>
        <v>0</v>
      </c>
      <c r="F95" s="328"/>
      <c r="G95" s="328"/>
    </row>
    <row r="96" spans="1:7" s="565" customFormat="1" ht="12.45">
      <c r="A96" s="241" t="s">
        <v>523</v>
      </c>
      <c r="B96" s="891">
        <f>'Sources and Uses Budget'!C95</f>
        <v>339514</v>
      </c>
      <c r="C96" s="891">
        <f>'Sources and Uses Budget'!C95</f>
        <v>339514</v>
      </c>
      <c r="D96" s="891">
        <f>'Sources and Uses Budget'!C95</f>
        <v>339514</v>
      </c>
      <c r="E96" s="329">
        <f t="shared" si="2"/>
        <v>0</v>
      </c>
      <c r="F96" s="328"/>
      <c r="G96" s="328"/>
    </row>
    <row r="97" spans="1:7" s="565" customFormat="1" ht="12.45">
      <c r="A97" s="241" t="s">
        <v>524</v>
      </c>
      <c r="B97" s="891">
        <f>'Sources and Uses Budget'!C96</f>
        <v>16609860</v>
      </c>
      <c r="C97" s="891">
        <f>'Sources and Uses Budget'!C96</f>
        <v>16609860</v>
      </c>
      <c r="D97" s="891">
        <f>'Sources and Uses Budget'!C96</f>
        <v>16609860</v>
      </c>
      <c r="E97" s="329">
        <f t="shared" si="2"/>
        <v>0</v>
      </c>
      <c r="F97" s="328"/>
      <c r="G97" s="328"/>
    </row>
    <row r="98" spans="1:7" s="565" customFormat="1" ht="12.9">
      <c r="A98" s="880" t="s">
        <v>525</v>
      </c>
      <c r="B98" s="325"/>
      <c r="C98" s="325"/>
      <c r="D98" s="325"/>
      <c r="E98" s="325"/>
      <c r="F98" s="325"/>
      <c r="G98" s="325"/>
    </row>
    <row r="99" spans="1:7" s="565" customFormat="1" ht="12.45">
      <c r="A99" s="237" t="s">
        <v>526</v>
      </c>
      <c r="B99" s="327">
        <f>'Sources and Uses Budget'!C98</f>
        <v>1427620</v>
      </c>
      <c r="C99" s="327">
        <f>'Sources and Uses Budget'!C98</f>
        <v>1427620</v>
      </c>
      <c r="D99" s="327">
        <f>'Sources and Uses Budget'!C98</f>
        <v>1427620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45">
      <c r="A101" s="237" t="s">
        <v>527</v>
      </c>
      <c r="B101" s="327">
        <f>'Sources and Uses Budget'!C100</f>
        <v>0</v>
      </c>
      <c r="C101" s="327">
        <f>'Sources and Uses Budget'!C100</f>
        <v>0</v>
      </c>
      <c r="D101" s="327">
        <f>'Sources and Uses Budget'!C100</f>
        <v>0</v>
      </c>
      <c r="E101" s="329">
        <f t="shared" si="2"/>
        <v>0</v>
      </c>
      <c r="F101" s="328"/>
      <c r="G101" s="328"/>
    </row>
    <row r="102" spans="1:7" s="565" customFormat="1" ht="12.45">
      <c r="A102" s="237" t="s">
        <v>2000</v>
      </c>
      <c r="B102" s="327">
        <f>'Sources and Uses Budget'!C101</f>
        <v>0</v>
      </c>
      <c r="C102" s="327">
        <f>'Sources and Uses Budget'!C101</f>
        <v>0</v>
      </c>
      <c r="D102" s="327">
        <f>'Sources and Uses Budget'!C101</f>
        <v>0</v>
      </c>
      <c r="E102" s="329">
        <f t="shared" si="2"/>
        <v>0</v>
      </c>
      <c r="F102" s="328"/>
      <c r="G102" s="328"/>
    </row>
    <row r="103" spans="1:7" s="565" customFormat="1" ht="12.45">
      <c r="A103" s="886" t="s">
        <v>533</v>
      </c>
      <c r="B103" s="327">
        <f>'Sources and Uses Budget'!C102</f>
        <v>0</v>
      </c>
      <c r="C103" s="327">
        <f>'Sources and Uses Budget'!C102</f>
        <v>0</v>
      </c>
      <c r="D103" s="327">
        <f>'Sources and Uses Budget'!C102</f>
        <v>0</v>
      </c>
      <c r="E103" s="329">
        <f t="shared" si="2"/>
        <v>0</v>
      </c>
      <c r="F103" s="328"/>
      <c r="G103" s="328"/>
    </row>
    <row r="104" spans="1:7" s="565" customFormat="1" ht="12.45">
      <c r="A104" s="884" t="s">
        <v>528</v>
      </c>
      <c r="B104" s="891">
        <f>'Sources and Uses Budget'!C103</f>
        <v>1427620</v>
      </c>
      <c r="C104" s="891">
        <f>'Sources and Uses Budget'!C103</f>
        <v>1427620</v>
      </c>
      <c r="D104" s="891">
        <f>'Sources and Uses Budget'!C103</f>
        <v>1427620</v>
      </c>
      <c r="E104" s="329">
        <f t="shared" si="2"/>
        <v>0</v>
      </c>
      <c r="F104" s="328"/>
      <c r="G104" s="328"/>
    </row>
    <row r="105" spans="1:7" s="565" customFormat="1" ht="12.45">
      <c r="A105" s="884" t="s">
        <v>529</v>
      </c>
      <c r="B105" s="891">
        <f>'Sources and Uses Budget'!C104</f>
        <v>18037480</v>
      </c>
      <c r="C105" s="891">
        <f>'Sources and Uses Budget'!C104</f>
        <v>18037480</v>
      </c>
      <c r="D105" s="891">
        <f>'Sources and Uses Budget'!C104</f>
        <v>18037480</v>
      </c>
      <c r="E105" s="329">
        <f t="shared" si="2"/>
        <v>0</v>
      </c>
      <c r="F105" s="328"/>
      <c r="G105" s="890"/>
    </row>
    <row r="106" spans="1:7" s="565" customFormat="1" ht="12.4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45" zeroHeight="1"/>
  <cols>
    <col min="1" max="10" width="9.07421875" customWidth="1"/>
    <col min="11" max="16384" width="8.84375" hidden="1"/>
  </cols>
  <sheetData>
    <row r="1" spans="1:10" ht="14.25" customHeight="1"/>
    <row r="2" spans="1:10" ht="15.45">
      <c r="A2" s="996" t="s">
        <v>300</v>
      </c>
      <c r="B2" s="997"/>
      <c r="C2" s="997"/>
      <c r="D2" s="997"/>
      <c r="E2" s="997"/>
      <c r="F2" s="997"/>
      <c r="G2" s="997"/>
      <c r="H2" s="997"/>
      <c r="I2" s="997"/>
      <c r="J2" s="997"/>
    </row>
    <row r="3" spans="1:10" ht="15">
      <c r="A3" s="998" t="s">
        <v>2315</v>
      </c>
      <c r="B3" s="997"/>
      <c r="C3" s="997"/>
      <c r="D3" s="997"/>
      <c r="E3" s="997"/>
      <c r="F3" s="997"/>
      <c r="G3" s="997"/>
      <c r="H3" s="997"/>
      <c r="I3" s="997"/>
      <c r="J3" s="997"/>
    </row>
    <row r="4" spans="1:10"/>
    <row r="5" spans="1:10" ht="12.75" customHeight="1">
      <c r="A5" s="984" t="s">
        <v>2151</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7" customFormat="1">
      <c r="A10" s="987" t="s">
        <v>2084</v>
      </c>
    </row>
    <row r="11" spans="1:10" s="987" customFormat="1" ht="12.75" customHeight="1"/>
    <row r="12" spans="1:10" s="987" customFormat="1" ht="12.75" customHeight="1"/>
    <row r="13" spans="1:10" s="987" customFormat="1" ht="12.75" customHeight="1"/>
    <row r="14" spans="1:10" s="987" customFormat="1" ht="12.75" customHeight="1"/>
    <row r="15" spans="1:10"/>
    <row r="16" spans="1:10" ht="12.75" customHeight="1">
      <c r="A16" s="999" t="s">
        <v>1856</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1033</v>
      </c>
      <c r="B22" s="300"/>
      <c r="C22" s="300"/>
      <c r="D22" s="300"/>
      <c r="E22" s="300"/>
      <c r="F22" s="300"/>
      <c r="G22" s="300"/>
      <c r="H22" s="300"/>
      <c r="I22" s="300"/>
      <c r="J22" s="300"/>
    </row>
    <row r="23" spans="1:10" ht="14.6">
      <c r="A23" s="351" t="s">
        <v>229</v>
      </c>
      <c r="B23" s="351"/>
      <c r="C23" s="351"/>
      <c r="D23" s="351"/>
      <c r="E23" s="351"/>
      <c r="F23" s="351"/>
      <c r="G23" s="351"/>
      <c r="H23" s="351"/>
      <c r="I23" s="351"/>
      <c r="J23" s="930"/>
    </row>
    <row r="24" spans="1:10">
      <c r="A24" s="1002" t="s">
        <v>1017</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1034</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1017</v>
      </c>
    </row>
    <row r="66" spans="1:9"/>
    <row r="67" spans="1:9"/>
    <row r="68" spans="1:9"/>
    <row r="69" spans="1:9"/>
    <row r="70" spans="1:9"/>
    <row r="71" spans="1:9"/>
    <row r="72" spans="1:9"/>
    <row r="73" spans="1:9"/>
    <row r="74" spans="1:9"/>
    <row r="75" spans="1:9"/>
    <row r="76" spans="1:9">
      <c r="A76" s="995" t="s">
        <v>1141</v>
      </c>
      <c r="B76" s="995"/>
      <c r="C76" s="995"/>
      <c r="D76" s="995"/>
      <c r="E76" s="995"/>
      <c r="F76" s="995"/>
      <c r="G76" s="995"/>
      <c r="H76" s="995"/>
      <c r="I76" s="995"/>
    </row>
    <row r="77" spans="1:9">
      <c r="A77" s="994" t="s">
        <v>1287</v>
      </c>
      <c r="B77" s="994"/>
      <c r="C77" s="994"/>
      <c r="D77" s="994"/>
      <c r="E77" s="994"/>
      <c r="F77" s="665"/>
    </row>
    <row r="78" spans="1:9">
      <c r="A78" s="994" t="s">
        <v>1286</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58" workbookViewId="0">
      <selection activeCell="B1268" sqref="B1268"/>
    </sheetView>
  </sheetViews>
  <sheetFormatPr defaultColWidth="0" defaultRowHeight="13.65" customHeight="1" zeroHeight="1"/>
  <cols>
    <col min="1" max="1" width="1.53515625" style="10" customWidth="1"/>
    <col min="2" max="2" width="13.53515625" style="10" customWidth="1"/>
    <col min="3" max="3" width="2.53515625" style="10" customWidth="1"/>
    <col min="4" max="5" width="3.53515625" style="5" customWidth="1"/>
    <col min="6" max="6" width="67" style="5" customWidth="1"/>
    <col min="7" max="7" width="3.3046875" style="5" customWidth="1"/>
    <col min="8" max="8" width="2.53515625" hidden="1" customWidth="1"/>
    <col min="9" max="9" width="14" hidden="1" customWidth="1"/>
    <col min="10" max="16383" width="8.84375" hidden="1"/>
    <col min="16384" max="16384" width="0.3046875" hidden="1" customWidth="1"/>
  </cols>
  <sheetData>
    <row r="1" spans="1:9" ht="13.65" customHeight="1"/>
    <row r="2" spans="1:9" ht="12.45">
      <c r="A2" s="1027" t="s">
        <v>2320</v>
      </c>
      <c r="B2" s="1027"/>
      <c r="C2" s="997"/>
      <c r="D2" s="997"/>
      <c r="E2" s="997"/>
      <c r="F2" s="997"/>
      <c r="G2" s="997"/>
      <c r="I2" t="s">
        <v>79</v>
      </c>
    </row>
    <row r="3" spans="1:9" ht="12.45">
      <c r="A3" s="188"/>
      <c r="B3" s="188"/>
      <c r="C3"/>
      <c r="D3"/>
      <c r="E3"/>
      <c r="F3"/>
      <c r="G3"/>
      <c r="I3" s="5" t="s">
        <v>1390</v>
      </c>
    </row>
    <row r="4" spans="1:9" ht="12.45">
      <c r="A4" s="1028" t="s">
        <v>2118</v>
      </c>
      <c r="B4" s="1028"/>
      <c r="C4" s="1029"/>
      <c r="D4" s="1029"/>
      <c r="E4" s="1029"/>
      <c r="F4" s="1029"/>
      <c r="G4" s="1029"/>
      <c r="I4" s="5" t="s">
        <v>1374</v>
      </c>
    </row>
    <row r="5" spans="1:9" ht="12.45">
      <c r="A5" s="1028" t="s">
        <v>1040</v>
      </c>
      <c r="B5" s="1028"/>
      <c r="C5" s="1029"/>
      <c r="D5" s="1029"/>
      <c r="E5" s="1029"/>
      <c r="F5" s="1029"/>
      <c r="G5" s="1029"/>
      <c r="I5" t="s">
        <v>124</v>
      </c>
    </row>
    <row r="6" spans="1:9" ht="13.65" customHeight="1"/>
    <row r="7" spans="1:9" ht="12.45">
      <c r="A7" s="1031" t="s">
        <v>2282</v>
      </c>
      <c r="B7" s="1031"/>
      <c r="C7" s="1031"/>
      <c r="D7" s="1031"/>
      <c r="E7" s="1031"/>
      <c r="F7" s="1031"/>
      <c r="G7" s="1031"/>
    </row>
    <row r="8" spans="1:9" ht="12.45">
      <c r="A8" s="1031"/>
      <c r="B8" s="1031"/>
      <c r="C8" s="1031"/>
      <c r="D8" s="1031"/>
      <c r="E8" s="1031"/>
      <c r="F8" s="1031"/>
      <c r="G8" s="1031"/>
    </row>
    <row r="9" spans="1:9" ht="12.45">
      <c r="A9" s="190"/>
      <c r="B9" s="190"/>
      <c r="C9" s="188"/>
      <c r="D9" s="188"/>
      <c r="E9" s="188"/>
      <c r="F9" s="188"/>
      <c r="G9" s="188"/>
    </row>
    <row r="10" spans="1:9" ht="12.45">
      <c r="A10" s="1013" t="s">
        <v>1539</v>
      </c>
      <c r="B10" s="1013"/>
      <c r="C10" s="1013"/>
      <c r="D10" s="1013"/>
      <c r="E10" s="1013"/>
      <c r="F10" s="1013"/>
      <c r="G10" s="1013"/>
    </row>
    <row r="11" spans="1:9" ht="12.45">
      <c r="A11" s="188"/>
      <c r="B11" s="188"/>
    </row>
    <row r="12" spans="1:9" ht="13.65" customHeight="1">
      <c r="C12" s="188"/>
      <c r="D12" s="1030" t="s">
        <v>1538</v>
      </c>
      <c r="E12" s="1030"/>
      <c r="F12" s="1030"/>
      <c r="G12" s="607"/>
    </row>
    <row r="13" spans="1:9" ht="12.45">
      <c r="C13" s="188"/>
      <c r="D13" s="1030"/>
      <c r="E13" s="1030"/>
      <c r="F13" s="1030"/>
      <c r="G13" s="607"/>
    </row>
    <row r="14" spans="1:9" ht="12.45">
      <c r="A14" s="189"/>
      <c r="B14" s="189"/>
      <c r="C14" s="189"/>
      <c r="D14" s="1008" t="s">
        <v>1412</v>
      </c>
      <c r="E14" s="1008"/>
      <c r="F14" s="1008"/>
    </row>
    <row r="15" spans="1:9" ht="12.45">
      <c r="A15" s="189"/>
      <c r="B15" s="189"/>
      <c r="C15" s="189"/>
    </row>
    <row r="16" spans="1:9" ht="14.4" customHeight="1">
      <c r="A16" s="269"/>
      <c r="B16" s="606" t="s">
        <v>124</v>
      </c>
      <c r="C16" s="189"/>
      <c r="D16" s="981" t="s">
        <v>2049</v>
      </c>
      <c r="E16" s="990"/>
      <c r="F16" s="990"/>
      <c r="G16" s="351"/>
    </row>
    <row r="17" spans="1:7" ht="14.4" customHeight="1">
      <c r="A17" s="269"/>
      <c r="C17" s="189"/>
      <c r="D17" s="990"/>
      <c r="E17" s="990"/>
      <c r="F17" s="990"/>
      <c r="G17" s="351"/>
    </row>
    <row r="18" spans="1:7" ht="12.45">
      <c r="A18" s="189"/>
      <c r="C18" s="189"/>
      <c r="D18" s="990"/>
      <c r="E18" s="990"/>
      <c r="F18" s="990"/>
      <c r="G18" s="351"/>
    </row>
    <row r="19" spans="1:7" ht="12.45">
      <c r="A19" s="189"/>
      <c r="C19" s="189"/>
      <c r="D19" s="24"/>
      <c r="E19" s="126" t="s">
        <v>2050</v>
      </c>
      <c r="F19" s="24"/>
      <c r="G19" s="351"/>
    </row>
    <row r="20" spans="1:7" ht="12.45">
      <c r="A20" s="189"/>
      <c r="B20" s="189"/>
      <c r="C20" s="189"/>
    </row>
    <row r="21" spans="1:7" ht="12.9">
      <c r="A21" s="269"/>
      <c r="B21" s="606" t="s">
        <v>1374</v>
      </c>
      <c r="D21" s="981" t="s">
        <v>2051</v>
      </c>
      <c r="E21" s="990"/>
      <c r="F21" s="990"/>
    </row>
    <row r="22" spans="1:7" ht="12.45">
      <c r="D22" s="990"/>
      <c r="E22" s="990"/>
      <c r="F22" s="990"/>
    </row>
    <row r="23" spans="1:7" ht="12.45">
      <c r="D23" s="100"/>
      <c r="E23" s="102" t="s">
        <v>2052</v>
      </c>
      <c r="F23" s="100"/>
    </row>
    <row r="24" spans="1:7" ht="12.9">
      <c r="A24" s="269"/>
      <c r="B24" s="269"/>
      <c r="D24" s="44"/>
    </row>
    <row r="25" spans="1:7" ht="12.9">
      <c r="A25" s="269"/>
      <c r="B25" s="606" t="s">
        <v>124</v>
      </c>
      <c r="D25" s="990" t="s">
        <v>1406</v>
      </c>
      <c r="E25" s="990"/>
      <c r="F25" s="990"/>
    </row>
    <row r="26" spans="1:7" ht="12.9">
      <c r="A26" s="269"/>
      <c r="B26" s="269"/>
      <c r="D26" s="990"/>
      <c r="E26" s="990"/>
      <c r="F26" s="990"/>
    </row>
    <row r="27" spans="1:7" ht="12.9">
      <c r="A27" s="269"/>
      <c r="B27" s="269"/>
      <c r="D27" s="44"/>
    </row>
    <row r="28" spans="1:7" ht="14.25" customHeight="1">
      <c r="A28" s="269"/>
      <c r="B28" s="606" t="s">
        <v>1374</v>
      </c>
      <c r="D28" s="981" t="s">
        <v>2119</v>
      </c>
      <c r="E28" s="981"/>
      <c r="F28" s="981"/>
    </row>
    <row r="29" spans="1:7" ht="12.9">
      <c r="A29" s="269"/>
      <c r="B29" s="269"/>
      <c r="D29" s="981"/>
      <c r="E29" s="981"/>
      <c r="F29" s="981"/>
    </row>
    <row r="30" spans="1:7" ht="12.9">
      <c r="A30" s="269"/>
      <c r="B30" s="269"/>
      <c r="D30" s="981"/>
      <c r="E30" s="981"/>
      <c r="F30" s="981"/>
    </row>
    <row r="31" spans="1:7" ht="12.9">
      <c r="A31" s="269"/>
      <c r="B31" s="269"/>
      <c r="D31" s="981"/>
      <c r="E31" s="981"/>
      <c r="F31" s="981"/>
    </row>
    <row r="32" spans="1:7" ht="12.9">
      <c r="A32" s="269"/>
      <c r="B32" s="269"/>
      <c r="D32" s="981"/>
      <c r="E32" s="981"/>
      <c r="F32" s="981"/>
    </row>
    <row r="33" spans="1:6" ht="12.9">
      <c r="A33" s="269"/>
      <c r="B33" s="269"/>
      <c r="D33" s="573"/>
      <c r="F33" s="609"/>
    </row>
    <row r="34" spans="1:6" ht="14.4" customHeight="1">
      <c r="A34" s="269"/>
      <c r="B34" s="606" t="s">
        <v>124</v>
      </c>
      <c r="D34" s="990" t="s">
        <v>2120</v>
      </c>
      <c r="E34" s="990"/>
      <c r="F34" s="990"/>
    </row>
    <row r="35" spans="1:6" ht="12.9">
      <c r="A35" s="269"/>
      <c r="B35" s="269"/>
      <c r="D35" s="990"/>
      <c r="E35" s="990"/>
      <c r="F35" s="990"/>
    </row>
    <row r="36" spans="1:6" ht="12.9">
      <c r="A36" s="269"/>
      <c r="B36" s="269"/>
      <c r="D36" s="207"/>
      <c r="E36" s="207"/>
      <c r="F36" s="207"/>
    </row>
    <row r="37" spans="1:6" ht="12.9">
      <c r="A37" s="269"/>
      <c r="B37" s="606" t="s">
        <v>1374</v>
      </c>
      <c r="D37" s="981" t="s">
        <v>1744</v>
      </c>
      <c r="E37" s="990"/>
      <c r="F37" s="990"/>
    </row>
    <row r="38" spans="1:6" ht="12.9">
      <c r="A38" s="269"/>
      <c r="B38" s="269"/>
      <c r="D38" s="990"/>
      <c r="E38" s="990"/>
      <c r="F38" s="990"/>
    </row>
    <row r="39" spans="1:6" ht="12.9">
      <c r="A39" s="269"/>
      <c r="B39" s="269"/>
      <c r="D39" s="990"/>
      <c r="E39" s="990"/>
      <c r="F39" s="990"/>
    </row>
    <row r="40" spans="1:6" ht="12.9">
      <c r="A40" s="269"/>
      <c r="B40" s="269"/>
      <c r="D40" s="990"/>
      <c r="E40" s="990"/>
      <c r="F40" s="990"/>
    </row>
    <row r="41" spans="1:6" ht="12.9">
      <c r="A41" s="269"/>
      <c r="B41" s="269"/>
      <c r="D41" s="990"/>
      <c r="E41" s="990"/>
      <c r="F41" s="990"/>
    </row>
    <row r="42" spans="1:6" ht="12.9">
      <c r="A42" s="269"/>
      <c r="B42" s="269"/>
      <c r="D42" s="990"/>
      <c r="E42" s="990"/>
      <c r="F42" s="990"/>
    </row>
    <row r="43" spans="1:6" ht="12.9">
      <c r="A43" s="269"/>
      <c r="B43" s="269"/>
      <c r="D43" s="990"/>
      <c r="E43" s="990"/>
      <c r="F43" s="990"/>
    </row>
    <row r="44" spans="1:6" ht="12.9">
      <c r="A44" s="269"/>
      <c r="B44" s="269"/>
      <c r="D44" s="990"/>
      <c r="E44" s="990"/>
      <c r="F44" s="990"/>
    </row>
    <row r="45" spans="1:6" ht="12.9">
      <c r="A45" s="269"/>
      <c r="B45" s="269"/>
      <c r="D45" s="24"/>
      <c r="E45" s="24"/>
      <c r="F45" s="24"/>
    </row>
    <row r="46" spans="1:6" ht="14.4" customHeight="1">
      <c r="A46" s="269"/>
      <c r="B46" s="606" t="s">
        <v>124</v>
      </c>
      <c r="D46" s="990" t="s">
        <v>1438</v>
      </c>
      <c r="E46" s="990"/>
      <c r="F46" s="990"/>
    </row>
    <row r="47" spans="1:6" ht="12.9">
      <c r="A47" s="269"/>
      <c r="B47" s="269"/>
      <c r="D47" s="990"/>
      <c r="E47" s="990"/>
      <c r="F47" s="990"/>
    </row>
    <row r="48" spans="1:6" ht="12.9">
      <c r="A48" s="269"/>
      <c r="B48" s="269"/>
      <c r="D48" s="990"/>
      <c r="E48" s="990"/>
      <c r="F48" s="990"/>
    </row>
    <row r="49" spans="1:6" ht="12.9">
      <c r="A49" s="269"/>
      <c r="B49" s="269"/>
      <c r="D49" s="990"/>
      <c r="E49" s="990"/>
      <c r="F49" s="990"/>
    </row>
    <row r="50" spans="1:6" ht="12.9">
      <c r="A50" s="269"/>
      <c r="B50" s="269"/>
      <c r="D50" s="990"/>
      <c r="E50" s="990"/>
      <c r="F50" s="990"/>
    </row>
    <row r="51" spans="1:6" ht="12.9">
      <c r="A51" s="269"/>
      <c r="B51" s="269"/>
      <c r="D51" s="44"/>
    </row>
    <row r="52" spans="1:6" ht="12.9">
      <c r="A52" s="269"/>
      <c r="B52" s="606" t="s">
        <v>124</v>
      </c>
      <c r="D52" s="981" t="s">
        <v>1872</v>
      </c>
      <c r="E52" s="990"/>
      <c r="F52" s="990"/>
    </row>
    <row r="53" spans="1:6" ht="12.9">
      <c r="A53" s="269"/>
      <c r="B53" s="269"/>
      <c r="D53" s="990"/>
      <c r="E53" s="990"/>
      <c r="F53" s="990"/>
    </row>
    <row r="54" spans="1:6" ht="12.9">
      <c r="A54" s="269"/>
      <c r="B54" s="269"/>
      <c r="D54" s="990"/>
      <c r="E54" s="990"/>
      <c r="F54" s="990"/>
    </row>
    <row r="55" spans="1:6" ht="12.9">
      <c r="A55" s="269"/>
      <c r="B55" s="269"/>
      <c r="D55" s="990"/>
      <c r="E55" s="990"/>
      <c r="F55" s="990"/>
    </row>
    <row r="56" spans="1:6" ht="12.9">
      <c r="A56" s="269"/>
      <c r="B56" s="269"/>
      <c r="D56" s="990"/>
      <c r="E56" s="990"/>
      <c r="F56" s="990"/>
    </row>
    <row r="57" spans="1:6" ht="15" customHeight="1">
      <c r="A57" s="269"/>
      <c r="B57" s="269"/>
      <c r="D57" s="990"/>
      <c r="E57" s="990"/>
      <c r="F57" s="990"/>
    </row>
    <row r="58" spans="1:6" ht="12.9">
      <c r="A58" s="269"/>
      <c r="B58" s="269"/>
      <c r="D58"/>
    </row>
    <row r="59" spans="1:6" ht="12.9">
      <c r="A59" s="269"/>
      <c r="B59" s="606" t="s">
        <v>1374</v>
      </c>
      <c r="D59" s="981" t="s">
        <v>1914</v>
      </c>
      <c r="E59" s="990"/>
      <c r="F59" s="990"/>
    </row>
    <row r="60" spans="1:6" ht="12.9">
      <c r="A60" s="269"/>
      <c r="B60" s="269"/>
      <c r="D60" s="990"/>
      <c r="E60" s="990"/>
      <c r="F60" s="990"/>
    </row>
    <row r="61" spans="1:6" ht="12.9">
      <c r="A61" s="269"/>
      <c r="B61" s="269"/>
      <c r="D61" s="990"/>
      <c r="E61" s="990"/>
      <c r="F61" s="990"/>
    </row>
    <row r="62" spans="1:6" ht="12.9">
      <c r="A62" s="269"/>
      <c r="B62" s="269"/>
      <c r="D62" s="990"/>
      <c r="E62" s="990"/>
      <c r="F62" s="990"/>
    </row>
    <row r="63" spans="1:6" ht="17.25" customHeight="1">
      <c r="A63" s="269"/>
      <c r="B63" s="269"/>
      <c r="D63" s="990"/>
      <c r="E63" s="990"/>
      <c r="F63" s="990"/>
    </row>
    <row r="64" spans="1:6" ht="14.25" customHeight="1">
      <c r="A64" s="269"/>
      <c r="B64" s="606" t="s">
        <v>124</v>
      </c>
      <c r="D64" s="990" t="s">
        <v>2121</v>
      </c>
      <c r="E64" s="990"/>
      <c r="F64" s="990"/>
    </row>
    <row r="65" spans="1:6" ht="15" customHeight="1">
      <c r="A65" s="269"/>
      <c r="B65" s="269"/>
      <c r="D65" s="990"/>
      <c r="E65" s="990"/>
      <c r="F65" s="990"/>
    </row>
    <row r="66" spans="1:6" ht="21.65" customHeight="1">
      <c r="A66" s="269"/>
      <c r="B66" s="269"/>
      <c r="D66" s="990"/>
      <c r="E66" s="990"/>
      <c r="F66" s="990"/>
    </row>
    <row r="67" spans="1:6" ht="12.9">
      <c r="A67" s="269"/>
      <c r="B67" s="269"/>
    </row>
    <row r="68" spans="1:6" ht="14.25" customHeight="1">
      <c r="A68" s="269"/>
      <c r="B68" s="606" t="s">
        <v>1374</v>
      </c>
      <c r="D68" s="981" t="s">
        <v>2053</v>
      </c>
      <c r="E68" s="990"/>
      <c r="F68" s="990"/>
    </row>
    <row r="69" spans="1:6" ht="12.45">
      <c r="D69" s="990"/>
      <c r="E69" s="990"/>
      <c r="F69" s="990"/>
    </row>
    <row r="70" spans="1:6" ht="12.45">
      <c r="D70" s="990"/>
      <c r="E70" s="990"/>
      <c r="F70" s="990"/>
    </row>
    <row r="71" spans="1:6" ht="12.9">
      <c r="A71" s="269"/>
      <c r="B71" s="269"/>
      <c r="D71" s="207"/>
      <c r="E71" s="126" t="s">
        <v>2050</v>
      </c>
      <c r="F71" s="207"/>
    </row>
    <row r="72" spans="1:6" ht="12.9">
      <c r="A72" s="269"/>
      <c r="B72" s="269"/>
    </row>
    <row r="73" spans="1:6" ht="12.9">
      <c r="A73" s="269"/>
      <c r="B73" s="606" t="s">
        <v>124</v>
      </c>
      <c r="D73" s="990" t="s">
        <v>1537</v>
      </c>
      <c r="E73" s="990"/>
      <c r="F73" s="990"/>
    </row>
    <row r="74" spans="1:6" ht="12.45">
      <c r="D74" s="990"/>
      <c r="E74" s="990"/>
      <c r="F74" s="990"/>
    </row>
    <row r="75" spans="1:6" ht="12.45">
      <c r="D75" s="990"/>
      <c r="E75" s="990"/>
      <c r="F75" s="990"/>
    </row>
    <row r="76" spans="1:6" ht="12.45"/>
    <row r="77" spans="1:6" ht="12.9">
      <c r="A77" s="269" t="s">
        <v>229</v>
      </c>
      <c r="B77" s="606" t="s">
        <v>124</v>
      </c>
      <c r="D77" s="990" t="s">
        <v>1441</v>
      </c>
      <c r="E77" s="990"/>
      <c r="F77" s="990"/>
    </row>
    <row r="78" spans="1:6" ht="12.45">
      <c r="D78" s="990"/>
      <c r="E78" s="990"/>
      <c r="F78" s="990"/>
    </row>
    <row r="79" spans="1:6" ht="12.45"/>
    <row r="80" spans="1:6" ht="12.9">
      <c r="A80" s="269" t="s">
        <v>229</v>
      </c>
      <c r="B80" s="606" t="s">
        <v>1374</v>
      </c>
      <c r="D80" s="990" t="s">
        <v>1442</v>
      </c>
      <c r="E80" s="990"/>
      <c r="F80" s="990"/>
    </row>
    <row r="81" spans="1:7" ht="12.45">
      <c r="D81" s="990"/>
      <c r="E81" s="990"/>
      <c r="F81" s="990"/>
    </row>
    <row r="82" spans="1:7" ht="12.45">
      <c r="D82" s="990"/>
      <c r="E82" s="990"/>
      <c r="F82" s="990"/>
    </row>
    <row r="83" spans="1:7" ht="12.45">
      <c r="D83" s="44"/>
    </row>
    <row r="84" spans="1:7" ht="12.9">
      <c r="A84" s="269" t="s">
        <v>229</v>
      </c>
      <c r="B84" s="606" t="s">
        <v>1374</v>
      </c>
      <c r="D84" s="990" t="s">
        <v>1443</v>
      </c>
      <c r="E84" s="990"/>
      <c r="F84" s="990"/>
    </row>
    <row r="85" spans="1:7" ht="12.45">
      <c r="D85" s="990"/>
      <c r="E85" s="990"/>
      <c r="F85" s="990"/>
    </row>
    <row r="86" spans="1:7" ht="12.45"/>
    <row r="87" spans="1:7" ht="12.45">
      <c r="A87" s="1013" t="s">
        <v>1378</v>
      </c>
      <c r="B87" s="1013"/>
      <c r="C87" s="1013"/>
      <c r="D87" s="1013"/>
      <c r="E87" s="1013"/>
      <c r="F87" s="1013"/>
      <c r="G87" s="1013"/>
    </row>
    <row r="88" spans="1:7" ht="12.45">
      <c r="E88"/>
      <c r="F88"/>
      <c r="G88"/>
    </row>
    <row r="89" spans="1:7" ht="13.65" customHeight="1">
      <c r="C89" s="587"/>
      <c r="D89" s="1015" t="s">
        <v>1379</v>
      </c>
      <c r="E89" s="1015"/>
      <c r="F89" s="1015"/>
      <c r="G89"/>
    </row>
    <row r="90" spans="1:7" ht="13.65" customHeight="1">
      <c r="A90" s="44"/>
      <c r="B90" s="44"/>
      <c r="D90" s="990" t="s">
        <v>1540</v>
      </c>
      <c r="E90" s="990"/>
      <c r="F90" s="990"/>
      <c r="G90"/>
    </row>
    <row r="91" spans="1:7" ht="12.45">
      <c r="A91" s="44"/>
      <c r="B91" s="44"/>
      <c r="E91"/>
      <c r="F91"/>
      <c r="G91"/>
    </row>
    <row r="92" spans="1:7" ht="14.25" customHeight="1">
      <c r="A92" s="269"/>
      <c r="B92" s="606" t="s">
        <v>1374</v>
      </c>
      <c r="D92" s="981" t="s">
        <v>1845</v>
      </c>
      <c r="E92" s="981"/>
      <c r="F92" s="981"/>
      <c r="G92"/>
    </row>
    <row r="93" spans="1:7" ht="14.4" customHeight="1">
      <c r="A93" s="269"/>
      <c r="D93" s="981"/>
      <c r="E93" s="981"/>
      <c r="F93" s="981"/>
      <c r="G93"/>
    </row>
    <row r="94" spans="1:7" ht="12.9">
      <c r="A94" s="269"/>
      <c r="B94" s="269"/>
      <c r="D94" s="981"/>
      <c r="E94" s="981"/>
      <c r="F94" s="981"/>
      <c r="G94"/>
    </row>
    <row r="95" spans="1:7" ht="12.9">
      <c r="A95" s="269"/>
      <c r="B95" s="269"/>
      <c r="D95" s="981"/>
      <c r="E95" s="981"/>
      <c r="F95" s="981"/>
      <c r="G95"/>
    </row>
    <row r="96" spans="1:7" ht="12.9">
      <c r="A96" s="269"/>
      <c r="B96" s="269"/>
      <c r="D96" s="981"/>
      <c r="E96" s="981"/>
      <c r="F96" s="981"/>
      <c r="G96"/>
    </row>
    <row r="97" spans="1:7" ht="12.9">
      <c r="A97" s="269"/>
      <c r="B97" s="269"/>
      <c r="D97" s="981"/>
      <c r="E97" s="981"/>
      <c r="F97" s="981"/>
      <c r="G97"/>
    </row>
    <row r="98" spans="1:7" ht="12.9">
      <c r="A98" s="269"/>
      <c r="B98" s="269"/>
      <c r="D98" s="981"/>
      <c r="E98" s="981"/>
      <c r="F98" s="981"/>
      <c r="G98"/>
    </row>
    <row r="99" spans="1:7" ht="12.9">
      <c r="A99" s="269"/>
      <c r="B99" s="269"/>
      <c r="D99" s="981"/>
      <c r="E99" s="981"/>
      <c r="F99" s="981"/>
      <c r="G99"/>
    </row>
    <row r="100" spans="1:7" ht="12.9">
      <c r="A100" s="269"/>
      <c r="B100" s="269"/>
      <c r="D100" s="981"/>
      <c r="E100" s="981"/>
      <c r="F100" s="981"/>
      <c r="G100"/>
    </row>
    <row r="101" spans="1:7" ht="14.4" customHeight="1">
      <c r="A101" s="269"/>
      <c r="B101" s="606" t="s">
        <v>124</v>
      </c>
      <c r="D101" s="1009" t="s">
        <v>1846</v>
      </c>
      <c r="E101" s="1009"/>
      <c r="F101" s="1009"/>
      <c r="G101"/>
    </row>
    <row r="102" spans="1:7" ht="12.9">
      <c r="A102" s="269"/>
      <c r="B102" s="269"/>
      <c r="D102" s="1009"/>
      <c r="E102" s="1009"/>
      <c r="F102" s="1009"/>
      <c r="G102"/>
    </row>
    <row r="103" spans="1:7" ht="12.9">
      <c r="A103" s="269"/>
      <c r="B103" s="269"/>
      <c r="D103" s="1009"/>
      <c r="E103" s="1009"/>
      <c r="F103" s="1009"/>
      <c r="G103"/>
    </row>
    <row r="104" spans="1:7" ht="12.9">
      <c r="A104" s="269"/>
      <c r="B104" s="269"/>
      <c r="D104" s="1009"/>
      <c r="E104" s="1009"/>
      <c r="F104" s="1009"/>
      <c r="G104"/>
    </row>
    <row r="105" spans="1:7" ht="12.9">
      <c r="A105" s="269"/>
      <c r="B105" s="269"/>
      <c r="D105" s="1009"/>
      <c r="E105" s="1009"/>
      <c r="F105" s="1009"/>
      <c r="G105"/>
    </row>
    <row r="106" spans="1:7" ht="12.9">
      <c r="A106" s="269"/>
      <c r="B106" s="269"/>
      <c r="D106" s="1009"/>
      <c r="E106" s="1009"/>
      <c r="F106" s="1009"/>
      <c r="G106"/>
    </row>
    <row r="107" spans="1:7" ht="12.9">
      <c r="A107" s="269"/>
      <c r="B107" s="269"/>
      <c r="D107" s="1009"/>
      <c r="E107" s="1009"/>
      <c r="F107" s="1009"/>
      <c r="G107"/>
    </row>
    <row r="108" spans="1:7" ht="12.9">
      <c r="A108" s="269"/>
      <c r="B108" s="269"/>
      <c r="D108" s="1009"/>
      <c r="E108" s="1009"/>
      <c r="F108" s="1009"/>
      <c r="G108"/>
    </row>
    <row r="109" spans="1:7" ht="12.9">
      <c r="A109" s="269"/>
      <c r="B109" s="269"/>
      <c r="D109" s="1009"/>
      <c r="E109" s="1009"/>
      <c r="F109" s="1009"/>
      <c r="G109"/>
    </row>
    <row r="110" spans="1:7" ht="12.9">
      <c r="A110" s="269"/>
      <c r="B110" s="269"/>
      <c r="D110" s="1009"/>
      <c r="E110" s="1009"/>
      <c r="F110" s="1009"/>
      <c r="G110"/>
    </row>
    <row r="111" spans="1:7" ht="12.9">
      <c r="A111" s="269"/>
      <c r="B111" s="269"/>
      <c r="D111" s="1009"/>
      <c r="E111" s="1009"/>
      <c r="F111" s="1009"/>
      <c r="G111"/>
    </row>
    <row r="112" spans="1:7" ht="12.9">
      <c r="A112" s="269"/>
      <c r="B112" s="269"/>
      <c r="D112" s="1009"/>
      <c r="E112" s="1009"/>
      <c r="F112" s="1009"/>
      <c r="G112"/>
    </row>
    <row r="113" spans="1:7" ht="12.9">
      <c r="A113" s="269"/>
      <c r="B113" s="269"/>
      <c r="D113" s="1009"/>
      <c r="E113" s="1009"/>
      <c r="F113" s="1009"/>
      <c r="G113"/>
    </row>
    <row r="114" spans="1:7" ht="12.9">
      <c r="A114" s="269"/>
      <c r="B114" s="606" t="s">
        <v>124</v>
      </c>
      <c r="D114" s="981" t="s">
        <v>1541</v>
      </c>
      <c r="E114" s="990"/>
      <c r="F114" s="990"/>
      <c r="G114"/>
    </row>
    <row r="115" spans="1:7" ht="12.9">
      <c r="A115" s="269"/>
      <c r="B115" s="269"/>
      <c r="D115" s="990"/>
      <c r="E115" s="990"/>
      <c r="F115" s="990"/>
      <c r="G115"/>
    </row>
    <row r="116" spans="1:7" ht="12.9">
      <c r="A116" s="269"/>
      <c r="B116" s="269"/>
      <c r="D116" s="990"/>
      <c r="E116" s="990"/>
      <c r="F116" s="990"/>
      <c r="G116"/>
    </row>
    <row r="117" spans="1:7" ht="12.9">
      <c r="A117" s="269"/>
      <c r="B117" s="269"/>
      <c r="D117" s="990"/>
      <c r="E117" s="990"/>
      <c r="F117" s="990"/>
      <c r="G117"/>
    </row>
    <row r="118" spans="1:7" ht="12.9">
      <c r="A118" s="269"/>
      <c r="B118" s="269"/>
      <c r="D118" s="990"/>
      <c r="E118" s="990"/>
      <c r="F118" s="990"/>
      <c r="G118"/>
    </row>
    <row r="119" spans="1:7" ht="12.9">
      <c r="A119" s="269"/>
      <c r="B119" s="269"/>
      <c r="D119" s="990"/>
      <c r="E119" s="990"/>
      <c r="F119" s="990"/>
      <c r="G119"/>
    </row>
    <row r="120" spans="1:7" ht="12.9">
      <c r="A120" s="269"/>
      <c r="B120" s="269"/>
      <c r="D120" s="990"/>
      <c r="E120" s="990"/>
      <c r="F120" s="990"/>
      <c r="G120"/>
    </row>
    <row r="121" spans="1:7" ht="12.9">
      <c r="A121" s="269"/>
      <c r="B121" s="269"/>
      <c r="D121" s="990"/>
      <c r="E121" s="990"/>
      <c r="F121" s="990"/>
      <c r="G121"/>
    </row>
    <row r="122" spans="1:7" ht="12.9">
      <c r="A122" s="269"/>
      <c r="B122" s="606" t="s">
        <v>124</v>
      </c>
      <c r="D122" s="981" t="s">
        <v>2296</v>
      </c>
      <c r="E122" s="981"/>
      <c r="F122" s="981"/>
      <c r="G122"/>
    </row>
    <row r="123" spans="1:7" ht="12.9">
      <c r="A123" s="269"/>
      <c r="B123" s="269"/>
      <c r="D123" s="981"/>
      <c r="E123" s="981"/>
      <c r="F123" s="981"/>
      <c r="G123"/>
    </row>
    <row r="124" spans="1:7" ht="12.9">
      <c r="A124" s="269"/>
      <c r="B124" s="269"/>
      <c r="D124" s="981"/>
      <c r="E124" s="981"/>
      <c r="F124" s="981"/>
      <c r="G124"/>
    </row>
    <row r="125" spans="1:7" ht="12.9">
      <c r="A125" s="269"/>
      <c r="B125" s="269"/>
      <c r="D125" s="981"/>
      <c r="E125" s="981"/>
      <c r="F125" s="981"/>
      <c r="G125"/>
    </row>
    <row r="126" spans="1:7" ht="12.9">
      <c r="A126" s="269"/>
      <c r="B126" s="269"/>
      <c r="D126" s="981"/>
      <c r="E126" s="981"/>
      <c r="F126" s="981"/>
      <c r="G126"/>
    </row>
    <row r="127" spans="1:7" ht="12.9">
      <c r="A127" s="269"/>
      <c r="B127" s="269"/>
      <c r="D127" s="981"/>
      <c r="E127" s="981"/>
      <c r="F127" s="981"/>
      <c r="G127"/>
    </row>
    <row r="128" spans="1:7" ht="17.25" customHeight="1">
      <c r="A128" s="269"/>
      <c r="B128" s="269"/>
      <c r="D128" s="981"/>
      <c r="E128" s="981"/>
      <c r="F128" s="981"/>
      <c r="G128"/>
    </row>
    <row r="129" spans="1:7" ht="12.9">
      <c r="A129" s="269"/>
      <c r="B129" s="269"/>
      <c r="D129" s="24"/>
      <c r="E129" s="24"/>
      <c r="F129" s="24"/>
      <c r="G129"/>
    </row>
    <row r="130" spans="1:7" ht="12.75" customHeight="1">
      <c r="A130" s="269"/>
      <c r="B130" s="606" t="s">
        <v>1374</v>
      </c>
      <c r="D130" s="981" t="s">
        <v>1542</v>
      </c>
      <c r="E130" s="990"/>
      <c r="F130" s="990"/>
    </row>
    <row r="131" spans="1:7" ht="12.45">
      <c r="D131" s="990"/>
      <c r="E131" s="990"/>
      <c r="F131" s="990"/>
    </row>
    <row r="132" spans="1:7" ht="12.45">
      <c r="D132" s="990"/>
      <c r="E132" s="990"/>
      <c r="F132" s="990"/>
    </row>
    <row r="133" spans="1:7" ht="12.45">
      <c r="D133" s="990"/>
      <c r="E133" s="990"/>
      <c r="F133" s="990"/>
    </row>
    <row r="134" spans="1:7" ht="26.9" customHeight="1">
      <c r="D134" s="990"/>
      <c r="E134" s="990"/>
      <c r="F134" s="990"/>
    </row>
    <row r="135" spans="1:7" ht="12.45"/>
    <row r="136" spans="1:7" ht="12.9">
      <c r="A136" s="269"/>
      <c r="B136" s="606" t="s">
        <v>1374</v>
      </c>
      <c r="D136" s="990" t="s">
        <v>1543</v>
      </c>
      <c r="E136" s="990"/>
      <c r="F136" s="990"/>
    </row>
    <row r="137" spans="1:7" s="321" customFormat="1" ht="13.95" customHeight="1">
      <c r="A137" s="314"/>
      <c r="B137" s="314"/>
      <c r="C137" s="314"/>
      <c r="D137" s="990"/>
      <c r="E137" s="990"/>
      <c r="F137" s="990"/>
      <c r="G137" s="354"/>
    </row>
    <row r="138" spans="1:7" ht="13.95" customHeight="1">
      <c r="D138" s="990"/>
      <c r="E138" s="990"/>
      <c r="F138" s="990"/>
    </row>
    <row r="139" spans="1:7" ht="13.95" customHeight="1">
      <c r="D139" s="990"/>
      <c r="E139" s="990"/>
      <c r="F139" s="990"/>
    </row>
    <row r="140" spans="1:7" ht="13.95" customHeight="1">
      <c r="D140" s="990"/>
      <c r="E140" s="990"/>
      <c r="F140" s="990"/>
    </row>
    <row r="141" spans="1:7" ht="13.95" customHeight="1">
      <c r="D141" s="990"/>
      <c r="E141" s="990"/>
      <c r="F141" s="990"/>
    </row>
    <row r="142" spans="1:7" ht="13.95" customHeight="1">
      <c r="D142" s="990"/>
      <c r="E142" s="990"/>
      <c r="F142" s="990"/>
      <c r="G142"/>
    </row>
    <row r="143" spans="1:7" ht="13.95" customHeight="1">
      <c r="D143" s="990"/>
      <c r="E143" s="990"/>
      <c r="F143" s="990"/>
      <c r="G143"/>
    </row>
    <row r="144" spans="1:7" ht="13.95" customHeight="1">
      <c r="D144" s="990"/>
      <c r="E144" s="990"/>
      <c r="F144" s="990"/>
      <c r="G144"/>
    </row>
    <row r="145" spans="1:7" ht="13.95" customHeight="1">
      <c r="D145" s="990"/>
      <c r="E145" s="990"/>
      <c r="F145" s="990"/>
      <c r="G145"/>
    </row>
    <row r="146" spans="1:7" ht="17.25" customHeight="1">
      <c r="D146" s="990"/>
      <c r="E146" s="990"/>
      <c r="F146" s="990"/>
      <c r="G146"/>
    </row>
    <row r="147" spans="1:7" ht="25.5" hidden="1" customHeight="1">
      <c r="D147" s="990"/>
      <c r="E147" s="990"/>
      <c r="F147" s="990"/>
      <c r="G147"/>
    </row>
    <row r="148" spans="1:7" ht="13.95" customHeight="1">
      <c r="G148"/>
    </row>
    <row r="149" spans="1:7" ht="13.95" customHeight="1">
      <c r="B149" s="606" t="s">
        <v>124</v>
      </c>
      <c r="D149" s="981" t="s">
        <v>2325</v>
      </c>
      <c r="E149" s="990"/>
      <c r="F149" s="990"/>
      <c r="G149"/>
    </row>
    <row r="150" spans="1:7" ht="13.95" customHeight="1">
      <c r="D150" s="990"/>
      <c r="E150" s="990"/>
      <c r="F150" s="990"/>
      <c r="G150"/>
    </row>
    <row r="151" spans="1:7" ht="13.95" customHeight="1">
      <c r="D151" s="990"/>
      <c r="E151" s="990"/>
      <c r="F151" s="990"/>
      <c r="G151"/>
    </row>
    <row r="152" spans="1:7" ht="13.95" customHeight="1">
      <c r="D152" s="990"/>
      <c r="E152" s="990"/>
      <c r="F152" s="990"/>
      <c r="G152"/>
    </row>
    <row r="153" spans="1:7" ht="13.95" customHeight="1">
      <c r="D153" s="990"/>
      <c r="E153" s="990"/>
      <c r="F153" s="990"/>
      <c r="G153"/>
    </row>
    <row r="154" spans="1:7" ht="13.95" hidden="1" customHeight="1">
      <c r="D154" s="990"/>
      <c r="E154" s="990"/>
      <c r="F154" s="990"/>
      <c r="G154"/>
    </row>
    <row r="155" spans="1:7" ht="13.95" hidden="1" customHeight="1">
      <c r="D155" s="990"/>
      <c r="E155" s="990"/>
      <c r="F155" s="990"/>
      <c r="G155"/>
    </row>
    <row r="156" spans="1:7" ht="13.95" customHeight="1">
      <c r="A156" s="18"/>
      <c r="B156" s="18"/>
      <c r="D156" s="990"/>
      <c r="E156" s="990"/>
      <c r="F156" s="990"/>
      <c r="G156"/>
    </row>
    <row r="157" spans="1:7" ht="13.95" customHeight="1">
      <c r="A157" s="18"/>
      <c r="B157" s="18"/>
      <c r="D157" s="990"/>
      <c r="E157" s="990"/>
      <c r="F157" s="990"/>
      <c r="G157"/>
    </row>
    <row r="158" spans="1:7" ht="13.95" customHeight="1">
      <c r="A158" s="18"/>
      <c r="B158" s="18"/>
      <c r="D158" s="990"/>
      <c r="E158" s="990"/>
      <c r="F158" s="990"/>
      <c r="G158"/>
    </row>
    <row r="159" spans="1:7" ht="13.95" customHeight="1">
      <c r="A159" s="18"/>
      <c r="B159" s="18"/>
      <c r="D159" s="990"/>
      <c r="E159" s="990"/>
      <c r="F159" s="990"/>
      <c r="G159"/>
    </row>
    <row r="160" spans="1:7" ht="13.95" customHeight="1">
      <c r="A160" s="18"/>
      <c r="B160" s="18"/>
      <c r="D160" s="990"/>
      <c r="E160" s="990"/>
      <c r="F160" s="990"/>
      <c r="G160"/>
    </row>
    <row r="161" spans="1:7" ht="13.95" customHeight="1">
      <c r="A161" s="18"/>
      <c r="B161" s="18"/>
      <c r="D161" s="990"/>
      <c r="E161" s="990"/>
      <c r="F161" s="990"/>
      <c r="G161"/>
    </row>
    <row r="162" spans="1:7" ht="13.95" customHeight="1">
      <c r="A162" s="18"/>
      <c r="B162" s="18"/>
      <c r="D162" s="990"/>
      <c r="E162" s="990"/>
      <c r="F162" s="990"/>
      <c r="G162"/>
    </row>
    <row r="163" spans="1:7" ht="13.95" customHeight="1">
      <c r="A163" s="18"/>
      <c r="B163" s="18"/>
      <c r="D163" s="990"/>
      <c r="E163" s="990"/>
      <c r="F163" s="990"/>
      <c r="G163"/>
    </row>
    <row r="164" spans="1:7" ht="13.95" customHeight="1">
      <c r="A164" s="18"/>
      <c r="B164" s="18"/>
      <c r="D164" s="1047" t="s">
        <v>1722</v>
      </c>
      <c r="E164" s="1047"/>
      <c r="F164" s="1047"/>
      <c r="G164"/>
    </row>
    <row r="165" spans="1:7" ht="13.95" customHeight="1">
      <c r="A165" s="18"/>
      <c r="B165" s="18"/>
      <c r="D165" s="44"/>
      <c r="G165"/>
    </row>
    <row r="166" spans="1:7" ht="13.95" customHeight="1">
      <c r="A166" s="269"/>
      <c r="B166" s="606" t="s">
        <v>124</v>
      </c>
      <c r="D166" s="1009" t="s">
        <v>2277</v>
      </c>
      <c r="E166" s="1049"/>
      <c r="F166" s="1049"/>
      <c r="G166"/>
    </row>
    <row r="167" spans="1:7" ht="13.95" customHeight="1">
      <c r="A167" s="269"/>
      <c r="B167" s="18"/>
      <c r="D167" s="1009"/>
      <c r="E167" s="1049"/>
      <c r="F167" s="1049"/>
      <c r="G167"/>
    </row>
    <row r="168" spans="1:7" ht="13.95" customHeight="1">
      <c r="A168" s="269"/>
      <c r="B168" s="18"/>
      <c r="D168" s="1049"/>
      <c r="E168" s="1049"/>
      <c r="F168" s="1049"/>
      <c r="G168"/>
    </row>
    <row r="169" spans="1:7" ht="13.95" customHeight="1">
      <c r="A169" s="269"/>
      <c r="B169" s="18"/>
      <c r="D169" s="1049"/>
      <c r="E169" s="1049"/>
      <c r="F169" s="1049"/>
      <c r="G169"/>
    </row>
    <row r="170" spans="1:7" ht="13.95" customHeight="1">
      <c r="A170" s="18"/>
      <c r="B170" s="18"/>
      <c r="D170" s="1049"/>
      <c r="E170" s="1049"/>
      <c r="F170" s="1049"/>
      <c r="G170"/>
    </row>
    <row r="171" spans="1:7" ht="13.95" customHeight="1">
      <c r="A171" s="18"/>
      <c r="B171" s="18"/>
      <c r="D171" s="44"/>
      <c r="G171"/>
    </row>
    <row r="172" spans="1:7" ht="13.95" customHeight="1">
      <c r="A172" s="269"/>
      <c r="B172" s="606" t="s">
        <v>124</v>
      </c>
      <c r="D172" s="1049" t="s">
        <v>1544</v>
      </c>
      <c r="E172" s="1049"/>
      <c r="F172" s="1049"/>
      <c r="G172"/>
    </row>
    <row r="173" spans="1:7" ht="13.95" customHeight="1">
      <c r="A173" s="18"/>
      <c r="B173" s="18"/>
      <c r="D173" s="1049"/>
      <c r="E173" s="1049"/>
      <c r="F173" s="1049"/>
    </row>
    <row r="174" spans="1:7" ht="13.95" customHeight="1">
      <c r="A174" s="18"/>
      <c r="B174" s="18"/>
      <c r="D174" s="1049"/>
      <c r="E174" s="1049"/>
      <c r="F174" s="1049"/>
    </row>
    <row r="175" spans="1:7" ht="13.95" customHeight="1">
      <c r="A175" s="18"/>
      <c r="B175" s="18"/>
      <c r="D175" s="1049"/>
      <c r="E175" s="1049"/>
      <c r="F175" s="1049"/>
    </row>
    <row r="176" spans="1:7" ht="13.95" customHeight="1">
      <c r="A176" s="18"/>
      <c r="B176" s="18"/>
      <c r="D176" s="44"/>
    </row>
    <row r="177" spans="1:7" ht="13.95" customHeight="1">
      <c r="A177" s="367"/>
      <c r="B177" s="606" t="s">
        <v>124</v>
      </c>
      <c r="C177" s="367"/>
      <c r="D177" s="1045" t="s">
        <v>2122</v>
      </c>
      <c r="E177" s="1045"/>
      <c r="F177" s="1045"/>
      <c r="G177" s="358"/>
    </row>
    <row r="178" spans="1:7" ht="13.95" customHeight="1">
      <c r="A178" s="367"/>
      <c r="B178" s="367"/>
      <c r="C178" s="367"/>
      <c r="D178" s="1045"/>
      <c r="E178" s="1045"/>
      <c r="F178" s="1045"/>
      <c r="G178" s="358"/>
    </row>
    <row r="179" spans="1:7" ht="13.95" customHeight="1">
      <c r="A179" s="367"/>
      <c r="B179" s="367"/>
      <c r="C179" s="367"/>
      <c r="D179" s="1045"/>
      <c r="E179" s="1045"/>
      <c r="F179" s="1045"/>
      <c r="G179" s="358"/>
    </row>
    <row r="180" spans="1:7" ht="12.45">
      <c r="A180" s="367"/>
      <c r="B180" s="367"/>
      <c r="C180" s="367"/>
      <c r="D180" s="369"/>
      <c r="E180" s="358"/>
      <c r="F180" s="358"/>
      <c r="G180" s="358"/>
    </row>
    <row r="181" spans="1:7" ht="12.45">
      <c r="A181" s="1013" t="s">
        <v>1381</v>
      </c>
      <c r="B181" s="1013"/>
      <c r="C181" s="1013"/>
      <c r="D181" s="1013"/>
      <c r="E181" s="1013"/>
      <c r="F181" s="1013"/>
      <c r="G181" s="1013"/>
    </row>
    <row r="182" spans="1:7" ht="12.45">
      <c r="D182" s="44"/>
    </row>
    <row r="183" spans="1:7" ht="12.45">
      <c r="C183" s="587"/>
      <c r="D183" s="1022" t="s">
        <v>1380</v>
      </c>
      <c r="E183" s="1022"/>
      <c r="F183" s="1022"/>
    </row>
    <row r="184" spans="1:7" ht="12.45">
      <c r="A184" s="188"/>
      <c r="B184" s="188"/>
      <c r="C184" s="188"/>
      <c r="D184" s="1046" t="s">
        <v>1413</v>
      </c>
      <c r="E184" s="1046"/>
      <c r="F184" s="1046"/>
    </row>
    <row r="185" spans="1:7" ht="12.45">
      <c r="A185" s="189"/>
      <c r="B185" s="189"/>
      <c r="C185" s="189"/>
    </row>
    <row r="186" spans="1:7" ht="12.9">
      <c r="A186" s="269"/>
      <c r="B186" s="606" t="s">
        <v>124</v>
      </c>
      <c r="D186" s="1011" t="s">
        <v>1724</v>
      </c>
      <c r="E186" s="1012"/>
      <c r="F186" s="1012"/>
    </row>
    <row r="187" spans="1:7" ht="12.9">
      <c r="A187" s="269"/>
      <c r="D187" s="310"/>
      <c r="E187" s="100"/>
      <c r="F187" s="100"/>
    </row>
    <row r="188" spans="1:7" ht="12.9">
      <c r="A188" s="269"/>
      <c r="B188" s="606" t="s">
        <v>124</v>
      </c>
      <c r="D188" s="1012" t="s">
        <v>1545</v>
      </c>
      <c r="E188" s="1012"/>
      <c r="F188" s="1012"/>
    </row>
    <row r="189" spans="1:7" ht="12.9">
      <c r="A189" s="269"/>
      <c r="D189" s="100"/>
      <c r="E189" s="100"/>
      <c r="F189" s="100"/>
    </row>
    <row r="190" spans="1:7" ht="12.9">
      <c r="A190" s="269"/>
      <c r="B190" s="606" t="s">
        <v>124</v>
      </c>
      <c r="D190" s="1048" t="s">
        <v>1798</v>
      </c>
      <c r="E190" s="1048"/>
      <c r="F190" s="1048"/>
    </row>
    <row r="191" spans="1:7" ht="13.65" customHeight="1">
      <c r="A191" s="269"/>
      <c r="D191" s="41" t="s">
        <v>899</v>
      </c>
      <c r="E191" s="981" t="s">
        <v>2117</v>
      </c>
      <c r="F191" s="981"/>
    </row>
    <row r="192" spans="1:7" ht="12.9">
      <c r="A192" s="269"/>
      <c r="D192" s="773"/>
      <c r="E192" s="981"/>
      <c r="F192" s="981"/>
    </row>
    <row r="193" spans="1:6" ht="12.9">
      <c r="A193" s="269"/>
      <c r="D193" s="773"/>
      <c r="E193" s="981"/>
      <c r="F193" s="981"/>
    </row>
    <row r="194" spans="1:6" ht="12.9">
      <c r="A194" s="269"/>
      <c r="D194"/>
      <c r="E194" s="981"/>
      <c r="F194" s="981"/>
    </row>
    <row r="195" spans="1:6" ht="13.65" customHeight="1">
      <c r="A195" s="269"/>
      <c r="D195" s="773" t="s">
        <v>900</v>
      </c>
      <c r="E195" s="981" t="s">
        <v>1799</v>
      </c>
      <c r="F195" s="981"/>
    </row>
    <row r="196" spans="1:6" ht="13.65" customHeight="1">
      <c r="A196" s="269"/>
      <c r="D196" s="773"/>
      <c r="E196" s="981"/>
      <c r="F196" s="981"/>
    </row>
    <row r="197" spans="1:6" ht="13.65" customHeight="1">
      <c r="A197" s="269"/>
      <c r="D197" s="773"/>
      <c r="E197" s="981"/>
      <c r="F197" s="981"/>
    </row>
    <row r="198" spans="1:6" ht="13.65" customHeight="1">
      <c r="A198" s="269"/>
      <c r="D198" s="773"/>
      <c r="E198" s="981"/>
      <c r="F198" s="981"/>
    </row>
    <row r="199" spans="1:6" ht="13.65" customHeight="1">
      <c r="A199" s="269"/>
      <c r="D199" s="773"/>
      <c r="E199" s="981"/>
      <c r="F199" s="981"/>
    </row>
    <row r="200" spans="1:6" ht="12.9">
      <c r="A200" s="269"/>
      <c r="D200"/>
      <c r="E200" s="981"/>
      <c r="F200" s="981"/>
    </row>
    <row r="201" spans="1:6" ht="12.9">
      <c r="A201" s="269"/>
      <c r="D201"/>
      <c r="E201" s="981"/>
      <c r="F201" s="981"/>
    </row>
    <row r="202" spans="1:6" ht="12.45"/>
    <row r="203" spans="1:6" ht="12.9">
      <c r="A203" s="269"/>
      <c r="B203" s="606" t="s">
        <v>1374</v>
      </c>
      <c r="D203" s="981" t="s">
        <v>2278</v>
      </c>
      <c r="E203" s="990"/>
      <c r="F203" s="990"/>
    </row>
    <row r="204" spans="1:6" ht="12.9">
      <c r="A204" s="269"/>
      <c r="B204" s="269"/>
      <c r="D204" s="990"/>
      <c r="E204" s="990"/>
      <c r="F204" s="990"/>
    </row>
    <row r="205" spans="1:6" ht="12.9">
      <c r="A205" s="269"/>
      <c r="B205" s="269"/>
      <c r="D205" s="990"/>
      <c r="E205" s="990"/>
      <c r="F205" s="990"/>
    </row>
    <row r="206" spans="1:6" ht="12.9">
      <c r="A206" s="269"/>
      <c r="B206" s="269"/>
      <c r="D206" s="990"/>
      <c r="E206" s="990"/>
      <c r="F206" s="990"/>
    </row>
    <row r="207" spans="1:6" ht="12.45">
      <c r="D207" s="1047" t="s">
        <v>2319</v>
      </c>
      <c r="E207" s="1047"/>
      <c r="F207" s="1047"/>
    </row>
    <row r="208" spans="1:6" ht="12.45">
      <c r="D208" s="622"/>
      <c r="E208" s="622"/>
      <c r="F208" s="622"/>
    </row>
    <row r="209" spans="1:7" ht="12.9">
      <c r="A209" s="269"/>
      <c r="B209" s="606" t="s">
        <v>124</v>
      </c>
      <c r="D209" s="1007" t="s">
        <v>2279</v>
      </c>
      <c r="E209" s="1008"/>
      <c r="F209" s="1008"/>
    </row>
    <row r="210" spans="1:7" ht="12.45"/>
    <row r="211" spans="1:7" ht="12.45">
      <c r="A211" s="1013" t="s">
        <v>1383</v>
      </c>
      <c r="B211" s="1013"/>
      <c r="C211" s="1013"/>
      <c r="D211" s="1013"/>
      <c r="E211" s="1013"/>
      <c r="F211" s="1013"/>
      <c r="G211" s="1013"/>
    </row>
    <row r="212" spans="1:7" ht="12.45"/>
    <row r="213" spans="1:7" ht="12.45">
      <c r="C213" s="588"/>
      <c r="D213" s="1022" t="s">
        <v>1382</v>
      </c>
      <c r="E213" s="1022"/>
      <c r="F213" s="1022"/>
    </row>
    <row r="214" spans="1:7" ht="12.45">
      <c r="A214" s="589"/>
      <c r="B214" s="589"/>
      <c r="C214" s="588"/>
      <c r="D214" s="1022" t="s">
        <v>696</v>
      </c>
      <c r="E214" s="1022"/>
      <c r="F214" s="1022"/>
    </row>
    <row r="215" spans="1:7" ht="12.45">
      <c r="A215" s="188"/>
      <c r="B215" s="188"/>
      <c r="C215" s="188"/>
      <c r="D215" s="1012" t="s">
        <v>1414</v>
      </c>
      <c r="E215" s="1012"/>
      <c r="F215" s="1012"/>
    </row>
    <row r="216" spans="1:7" ht="12.45">
      <c r="A216" s="188"/>
      <c r="B216" s="188"/>
      <c r="C216" s="188"/>
    </row>
    <row r="217" spans="1:7" ht="12.45">
      <c r="A217" s="188"/>
      <c r="B217" s="188"/>
      <c r="C217" s="188"/>
      <c r="D217" s="990" t="s">
        <v>1424</v>
      </c>
      <c r="E217" s="990"/>
      <c r="F217" s="990"/>
    </row>
    <row r="218" spans="1:7" ht="12.45">
      <c r="A218" s="188"/>
      <c r="B218" s="188"/>
      <c r="C218" s="188"/>
      <c r="D218" s="990"/>
      <c r="E218" s="990"/>
      <c r="F218" s="990"/>
    </row>
    <row r="219" spans="1:7" ht="12.45">
      <c r="A219" s="188"/>
      <c r="B219" s="188"/>
      <c r="C219" s="188"/>
      <c r="D219" s="990"/>
      <c r="E219" s="990"/>
      <c r="F219" s="990"/>
    </row>
    <row r="220" spans="1:7" ht="12.45">
      <c r="A220" s="188"/>
      <c r="B220" s="188"/>
      <c r="C220" s="188"/>
      <c r="D220" s="990"/>
      <c r="E220" s="990"/>
      <c r="F220" s="990"/>
    </row>
    <row r="221" spans="1:7" ht="12.45">
      <c r="A221" s="188"/>
      <c r="B221" s="188"/>
      <c r="C221" s="188"/>
    </row>
    <row r="222" spans="1:7" ht="12.45">
      <c r="A222" s="188"/>
      <c r="B222" s="188"/>
      <c r="C222" s="188"/>
      <c r="D222" s="981" t="s">
        <v>2123</v>
      </c>
      <c r="E222" s="990"/>
      <c r="F222" s="990"/>
    </row>
    <row r="223" spans="1:7" ht="12.45">
      <c r="A223" s="188"/>
      <c r="B223" s="188"/>
      <c r="C223" s="188"/>
      <c r="D223" s="990"/>
      <c r="E223" s="990"/>
      <c r="F223" s="990"/>
    </row>
    <row r="224" spans="1:7" ht="12.45">
      <c r="A224" s="188"/>
      <c r="B224" s="188"/>
      <c r="C224" s="188"/>
      <c r="D224" s="990"/>
      <c r="E224" s="990"/>
      <c r="F224" s="990"/>
    </row>
    <row r="225" spans="1:6" ht="12.45">
      <c r="A225" s="188"/>
      <c r="B225" s="188"/>
      <c r="C225" s="188"/>
      <c r="D225" s="990"/>
      <c r="E225" s="990"/>
      <c r="F225" s="990"/>
    </row>
    <row r="226" spans="1:6" ht="12.45">
      <c r="A226" s="188"/>
      <c r="B226" s="188"/>
      <c r="C226" s="188"/>
      <c r="D226" s="990"/>
      <c r="E226" s="990"/>
      <c r="F226" s="990"/>
    </row>
    <row r="227" spans="1:6" ht="12.45">
      <c r="A227" s="188"/>
      <c r="B227" s="188"/>
      <c r="C227" s="188"/>
      <c r="D227" s="990"/>
      <c r="E227" s="990"/>
      <c r="F227" s="990"/>
    </row>
    <row r="228" spans="1:6" ht="12.45">
      <c r="A228" s="189"/>
      <c r="B228" s="189"/>
      <c r="C228" s="189"/>
    </row>
    <row r="229" spans="1:6" ht="14.4" customHeight="1">
      <c r="A229" s="269"/>
      <c r="B229" s="606" t="s">
        <v>124</v>
      </c>
      <c r="C229" s="189"/>
      <c r="D229" s="1008" t="s">
        <v>292</v>
      </c>
      <c r="E229" s="1008"/>
      <c r="F229" s="1008"/>
    </row>
    <row r="230" spans="1:6" ht="12.9">
      <c r="A230" s="269"/>
      <c r="C230" s="189"/>
      <c r="D230" s="1012" t="s">
        <v>1110</v>
      </c>
      <c r="E230" s="1012"/>
      <c r="F230" s="1012"/>
    </row>
    <row r="231" spans="1:6" ht="12.9">
      <c r="A231" s="269"/>
      <c r="B231" s="269"/>
      <c r="C231" s="189"/>
      <c r="D231" s="102" t="s">
        <v>1428</v>
      </c>
      <c r="E231" s="1020" t="s">
        <v>2054</v>
      </c>
      <c r="F231" s="1020"/>
    </row>
    <row r="232" spans="1:6" ht="12.45">
      <c r="D232" s="1011" t="s">
        <v>1407</v>
      </c>
      <c r="E232" s="1012"/>
      <c r="F232" s="1012"/>
    </row>
    <row r="233" spans="1:6" ht="12.45"/>
    <row r="234" spans="1:6" ht="12.45">
      <c r="B234" s="606" t="s">
        <v>124</v>
      </c>
      <c r="D234" s="987" t="s">
        <v>2306</v>
      </c>
      <c r="E234" s="988"/>
      <c r="F234" s="988"/>
    </row>
    <row r="235" spans="1:6" ht="12.45">
      <c r="D235" s="988"/>
      <c r="E235" s="988"/>
      <c r="F235" s="988"/>
    </row>
    <row r="236" spans="1:6" ht="12.45">
      <c r="D236" s="988"/>
      <c r="E236" s="988"/>
      <c r="F236" s="988"/>
    </row>
    <row r="237" spans="1:6" ht="12.45">
      <c r="D237" s="988"/>
      <c r="E237" s="988"/>
      <c r="F237" s="988"/>
    </row>
    <row r="238" spans="1:6" ht="12.45"/>
    <row r="239" spans="1:6" ht="12.9">
      <c r="A239" s="269"/>
      <c r="B239" s="606" t="s">
        <v>124</v>
      </c>
      <c r="D239" s="1012" t="s">
        <v>293</v>
      </c>
      <c r="E239" s="1012"/>
      <c r="F239" s="1012"/>
    </row>
    <row r="240" spans="1:6" ht="12.9">
      <c r="A240" s="269"/>
      <c r="D240" s="1008" t="s">
        <v>1110</v>
      </c>
      <c r="E240" s="1008"/>
      <c r="F240" s="1008"/>
    </row>
    <row r="241" spans="1:6" ht="12.9">
      <c r="A241" s="269"/>
      <c r="B241" s="269"/>
      <c r="D241" s="63" t="s">
        <v>1429</v>
      </c>
      <c r="E241" s="1020" t="s">
        <v>2055</v>
      </c>
      <c r="F241" s="1020"/>
    </row>
    <row r="242" spans="1:6" ht="12.45">
      <c r="D242" s="1012" t="s">
        <v>1408</v>
      </c>
      <c r="E242" s="1012"/>
      <c r="F242" s="1012"/>
    </row>
    <row r="243" spans="1:6" ht="12.45"/>
    <row r="244" spans="1:6" ht="12.9">
      <c r="A244" s="269"/>
      <c r="B244" s="606" t="s">
        <v>124</v>
      </c>
      <c r="D244" s="1012" t="s">
        <v>640</v>
      </c>
      <c r="E244" s="1012"/>
      <c r="F244" s="1012"/>
    </row>
    <row r="245" spans="1:6" ht="12.9">
      <c r="A245" s="269"/>
      <c r="D245" s="44" t="s">
        <v>1110</v>
      </c>
    </row>
    <row r="246" spans="1:6" ht="12.9">
      <c r="A246" s="269"/>
      <c r="B246" s="269"/>
      <c r="D246" s="63" t="s">
        <v>1428</v>
      </c>
      <c r="E246" s="1020" t="s">
        <v>2056</v>
      </c>
      <c r="F246" s="1020"/>
    </row>
    <row r="247" spans="1:6" ht="12.9">
      <c r="A247" s="269"/>
      <c r="B247" s="269"/>
      <c r="D247" s="990" t="s">
        <v>1430</v>
      </c>
      <c r="E247" s="990"/>
      <c r="F247" s="990"/>
    </row>
    <row r="248" spans="1:6" ht="12.45">
      <c r="D248" s="990"/>
      <c r="E248" s="990"/>
      <c r="F248" s="990"/>
    </row>
    <row r="249" spans="1:6" ht="12.45">
      <c r="D249" s="990"/>
      <c r="E249" s="990"/>
      <c r="F249" s="990"/>
    </row>
    <row r="250" spans="1:6" ht="12.45">
      <c r="D250" s="990"/>
      <c r="E250" s="990"/>
      <c r="F250" s="990"/>
    </row>
    <row r="251" spans="1:6" ht="12.45">
      <c r="D251" s="990"/>
      <c r="E251" s="990"/>
      <c r="F251" s="990"/>
    </row>
    <row r="252" spans="1:6" ht="12.45">
      <c r="D252" s="990" t="s">
        <v>1409</v>
      </c>
      <c r="E252" s="990"/>
      <c r="F252" s="990"/>
    </row>
    <row r="253" spans="1:6" ht="12.45">
      <c r="D253" s="44"/>
    </row>
    <row r="254" spans="1:6" ht="12.9">
      <c r="A254" s="269"/>
      <c r="B254" s="606" t="s">
        <v>1374</v>
      </c>
      <c r="D254" s="1012" t="s">
        <v>641</v>
      </c>
      <c r="E254" s="1012"/>
      <c r="F254" s="1012"/>
    </row>
    <row r="255" spans="1:6" ht="12.9">
      <c r="A255" s="269"/>
      <c r="D255" s="1012" t="s">
        <v>1110</v>
      </c>
      <c r="E255" s="1012"/>
      <c r="F255" s="1012"/>
    </row>
    <row r="256" spans="1:6" ht="12.9">
      <c r="A256" s="269"/>
      <c r="B256" s="269"/>
      <c r="D256" s="63" t="s">
        <v>1428</v>
      </c>
      <c r="E256" s="1020" t="s">
        <v>2057</v>
      </c>
      <c r="F256" s="1020"/>
    </row>
    <row r="257" spans="1:7" ht="12.45">
      <c r="D257" s="1011" t="s">
        <v>1918</v>
      </c>
      <c r="E257" s="1012"/>
      <c r="F257" s="1012"/>
    </row>
    <row r="258" spans="1:7" ht="12.45">
      <c r="D258" s="100"/>
      <c r="E258" s="100"/>
      <c r="F258" s="100"/>
    </row>
    <row r="259" spans="1:7" ht="12.9">
      <c r="A259" s="269"/>
      <c r="B259" s="606" t="s">
        <v>124</v>
      </c>
      <c r="D259" s="1011" t="s">
        <v>1917</v>
      </c>
      <c r="E259" s="1012"/>
      <c r="F259" s="1012"/>
    </row>
    <row r="260" spans="1:7" ht="12.9">
      <c r="A260" s="269"/>
      <c r="D260" s="1012" t="s">
        <v>1110</v>
      </c>
      <c r="E260" s="1012"/>
      <c r="F260" s="1012"/>
    </row>
    <row r="261" spans="1:7" ht="12.9">
      <c r="A261" s="269"/>
      <c r="B261" s="269"/>
      <c r="D261" s="63" t="s">
        <v>1428</v>
      </c>
      <c r="E261" s="1020" t="s">
        <v>2058</v>
      </c>
      <c r="F261" s="1020"/>
    </row>
    <row r="262" spans="1:7" ht="12.45">
      <c r="D262" s="1011" t="s">
        <v>1919</v>
      </c>
      <c r="E262" s="1012"/>
      <c r="F262" s="1012"/>
    </row>
    <row r="263" spans="1:7" ht="12.45">
      <c r="D263" s="44"/>
    </row>
    <row r="264" spans="1:7" ht="12.9">
      <c r="A264" s="269"/>
      <c r="B264" s="606" t="s">
        <v>124</v>
      </c>
      <c r="D264" s="100" t="s">
        <v>1450</v>
      </c>
      <c r="E264" s="100"/>
      <c r="F264" s="100"/>
    </row>
    <row r="265" spans="1:7" ht="12.9">
      <c r="A265" s="269"/>
      <c r="B265"/>
      <c r="D265" s="981" t="s">
        <v>2302</v>
      </c>
      <c r="E265" s="990"/>
      <c r="F265" s="990"/>
    </row>
    <row r="266" spans="1:7" ht="12.9">
      <c r="A266" s="269"/>
      <c r="D266" s="990"/>
      <c r="E266" s="990"/>
      <c r="F266" s="990"/>
    </row>
    <row r="267" spans="1:7" ht="12.9">
      <c r="A267" s="269"/>
      <c r="D267" s="990"/>
      <c r="E267" s="990"/>
      <c r="F267" s="990"/>
    </row>
    <row r="268" spans="1:7" ht="12.9">
      <c r="A268" s="269"/>
      <c r="D268" s="24"/>
      <c r="E268" s="24"/>
      <c r="F268" s="24"/>
    </row>
    <row r="269" spans="1:7" ht="12.9">
      <c r="A269" s="269"/>
      <c r="B269" s="606" t="s">
        <v>124</v>
      </c>
      <c r="D269" s="1012" t="s">
        <v>1021</v>
      </c>
      <c r="E269" s="1012"/>
      <c r="F269" s="1012"/>
    </row>
    <row r="270" spans="1:7" ht="12.9">
      <c r="A270" s="269"/>
      <c r="D270" s="100"/>
      <c r="E270" s="100"/>
      <c r="F270" s="100"/>
    </row>
    <row r="271" spans="1:7" ht="12.45">
      <c r="A271" s="1013" t="s">
        <v>1385</v>
      </c>
      <c r="B271" s="1013"/>
      <c r="C271" s="1013"/>
      <c r="D271" s="1013"/>
      <c r="E271" s="1013"/>
      <c r="F271" s="1013"/>
      <c r="G271" s="1013"/>
    </row>
    <row r="272" spans="1:7" ht="12.45">
      <c r="D272" s="44"/>
    </row>
    <row r="273" spans="1:7" ht="12.45">
      <c r="C273" s="587"/>
      <c r="D273" s="1014" t="s">
        <v>1384</v>
      </c>
      <c r="E273" s="1014"/>
      <c r="F273" s="1014"/>
    </row>
    <row r="274" spans="1:7" ht="12.45">
      <c r="A274" s="188"/>
      <c r="B274" s="188"/>
      <c r="C274" s="188"/>
      <c r="D274" s="1008" t="s">
        <v>1415</v>
      </c>
      <c r="E274" s="1008"/>
      <c r="F274" s="1008"/>
    </row>
    <row r="275" spans="1:7" ht="12.45">
      <c r="A275" s="18"/>
      <c r="B275" s="18"/>
      <c r="C275" s="18"/>
      <c r="D275" s="3"/>
    </row>
    <row r="276" spans="1:7" ht="12.45">
      <c r="A276" s="18"/>
      <c r="C276" s="18"/>
      <c r="D276" s="1014" t="s">
        <v>209</v>
      </c>
      <c r="E276" s="1014"/>
      <c r="F276" s="1014"/>
      <c r="G276"/>
    </row>
    <row r="277" spans="1:7" ht="14.4" customHeight="1">
      <c r="A277" s="269"/>
      <c r="B277" s="606" t="s">
        <v>1374</v>
      </c>
      <c r="C277" s="877"/>
      <c r="D277" s="1023" t="s">
        <v>1994</v>
      </c>
      <c r="E277" s="1023"/>
      <c r="F277" s="1023"/>
      <c r="G277"/>
    </row>
    <row r="278" spans="1:7" ht="12.9">
      <c r="A278" s="269"/>
      <c r="B278" s="878"/>
      <c r="C278" s="877"/>
      <c r="D278" s="1023"/>
      <c r="E278" s="1023"/>
      <c r="F278" s="1023"/>
      <c r="G278"/>
    </row>
    <row r="279" spans="1:7" ht="12.9">
      <c r="A279" s="269"/>
      <c r="B279" s="878"/>
      <c r="C279" s="877"/>
      <c r="D279" s="1023"/>
      <c r="E279" s="1023"/>
      <c r="F279" s="1023"/>
      <c r="G279"/>
    </row>
    <row r="280" spans="1:7" ht="14.4" customHeight="1">
      <c r="A280" s="269"/>
      <c r="B280" s="878"/>
      <c r="C280" s="877"/>
      <c r="D280" s="1023"/>
      <c r="E280" s="1023"/>
      <c r="F280" s="1023"/>
      <c r="G280"/>
    </row>
    <row r="281" spans="1:7" ht="12.9">
      <c r="A281" s="269"/>
      <c r="B281" s="878"/>
      <c r="C281" s="877"/>
      <c r="D281" s="879"/>
      <c r="E281" s="879"/>
      <c r="F281" s="879"/>
      <c r="G281"/>
    </row>
    <row r="282" spans="1:7" ht="12.9">
      <c r="A282" s="269"/>
      <c r="B282" s="606" t="s">
        <v>1374</v>
      </c>
      <c r="C282" s="877"/>
      <c r="D282" s="1023" t="s">
        <v>1995</v>
      </c>
      <c r="E282" s="1023"/>
      <c r="F282" s="1023"/>
      <c r="G282"/>
    </row>
    <row r="283" spans="1:7" ht="12.9">
      <c r="A283" s="269"/>
      <c r="B283" s="878"/>
      <c r="C283" s="877"/>
      <c r="D283" s="1023"/>
      <c r="E283" s="1023"/>
      <c r="F283" s="1023"/>
      <c r="G283"/>
    </row>
    <row r="284" spans="1:7" ht="12.9">
      <c r="A284" s="269"/>
      <c r="B284" s="878"/>
      <c r="C284" s="877"/>
      <c r="D284" s="1023"/>
      <c r="E284" s="1023"/>
      <c r="F284" s="1023"/>
      <c r="G284"/>
    </row>
    <row r="285" spans="1:7" ht="12.9">
      <c r="A285" s="269"/>
      <c r="B285" s="878"/>
      <c r="C285" s="877"/>
      <c r="D285" s="1023"/>
      <c r="E285" s="1023"/>
      <c r="F285" s="1023"/>
      <c r="G285"/>
    </row>
    <row r="286" spans="1:7" ht="12.9">
      <c r="A286" s="269"/>
      <c r="B286" s="878"/>
      <c r="C286" s="877"/>
      <c r="D286" s="1023"/>
      <c r="E286" s="1023"/>
      <c r="F286" s="1023"/>
      <c r="G286"/>
    </row>
    <row r="287" spans="1:7" ht="12.9">
      <c r="A287" s="269"/>
      <c r="B287" s="878"/>
      <c r="C287" s="877"/>
      <c r="D287" s="879"/>
      <c r="E287" s="879"/>
      <c r="F287" s="879"/>
      <c r="G287"/>
    </row>
    <row r="288" spans="1:7" ht="12.9">
      <c r="A288" s="269"/>
      <c r="B288" s="878"/>
      <c r="C288" s="877"/>
      <c r="D288" s="1023" t="s">
        <v>1554</v>
      </c>
      <c r="E288" s="1023"/>
      <c r="F288" s="1023"/>
      <c r="G288"/>
    </row>
    <row r="289" spans="1:7" ht="12.9">
      <c r="A289" s="269"/>
      <c r="B289" s="878"/>
      <c r="C289" s="877"/>
      <c r="D289" s="1023"/>
      <c r="E289" s="1023"/>
      <c r="F289" s="1023"/>
      <c r="G289"/>
    </row>
    <row r="290" spans="1:7" ht="12.9">
      <c r="A290" s="269"/>
      <c r="B290" s="878"/>
      <c r="C290" s="877"/>
      <c r="D290" s="1023"/>
      <c r="E290" s="1023"/>
      <c r="F290" s="1023"/>
      <c r="G290"/>
    </row>
    <row r="291" spans="1:7" ht="12.9">
      <c r="A291" s="269"/>
      <c r="B291" s="878"/>
      <c r="C291" s="877"/>
      <c r="D291" s="1023"/>
      <c r="E291" s="1023"/>
      <c r="F291" s="1023"/>
      <c r="G291"/>
    </row>
    <row r="292" spans="1:7" ht="12.9">
      <c r="A292" s="269"/>
      <c r="B292" s="878"/>
      <c r="C292" s="877"/>
      <c r="D292" s="1023"/>
      <c r="E292" s="1023"/>
      <c r="F292" s="1023"/>
      <c r="G292"/>
    </row>
    <row r="293" spans="1:7" ht="12.9">
      <c r="A293" s="269"/>
      <c r="B293" s="269"/>
      <c r="D293" s="207"/>
      <c r="E293" s="207"/>
      <c r="F293" s="207"/>
      <c r="G293"/>
    </row>
    <row r="294" spans="1:7" s="445" customFormat="1" ht="14.4" customHeight="1">
      <c r="A294" s="287"/>
      <c r="B294" s="606" t="s">
        <v>124</v>
      </c>
      <c r="C294" s="795"/>
      <c r="D294" s="1021" t="s">
        <v>1912</v>
      </c>
      <c r="E294" s="1021"/>
      <c r="F294" s="1021"/>
      <c r="G294" s="796"/>
    </row>
    <row r="295" spans="1:7" s="445" customFormat="1" ht="12.9">
      <c r="A295" s="287"/>
      <c r="B295" s="795"/>
      <c r="C295" s="795"/>
      <c r="D295" s="1021"/>
      <c r="E295" s="1021"/>
      <c r="F295" s="1021"/>
      <c r="G295" s="796"/>
    </row>
    <row r="296" spans="1:7" s="445" customFormat="1" ht="12.9">
      <c r="A296" s="287"/>
      <c r="B296" s="795"/>
      <c r="C296" s="795"/>
      <c r="D296" s="1021"/>
      <c r="E296" s="1021"/>
      <c r="F296" s="1021"/>
      <c r="G296" s="796"/>
    </row>
    <row r="297" spans="1:7" s="445" customFormat="1" ht="12.45">
      <c r="A297" s="795"/>
      <c r="B297" s="795"/>
      <c r="C297" s="795"/>
      <c r="D297" s="922"/>
      <c r="E297" s="923" t="s">
        <v>2059</v>
      </c>
      <c r="F297" s="922"/>
      <c r="G297" s="796"/>
    </row>
    <row r="298" spans="1:7" ht="12.9">
      <c r="A298" s="269"/>
      <c r="B298" s="269"/>
      <c r="D298" s="44"/>
      <c r="E298"/>
      <c r="F298"/>
      <c r="G298"/>
    </row>
    <row r="299" spans="1:7" ht="12.9">
      <c r="A299" s="269"/>
      <c r="B299" s="606" t="s">
        <v>1374</v>
      </c>
      <c r="D299" s="1008" t="s">
        <v>1111</v>
      </c>
      <c r="E299" s="1008"/>
      <c r="F299" s="1008"/>
      <c r="G299"/>
    </row>
    <row r="300" spans="1:7" ht="12.9">
      <c r="A300" s="269"/>
      <c r="B300" s="269"/>
      <c r="D300" s="1008" t="s">
        <v>1555</v>
      </c>
      <c r="E300" s="1008"/>
      <c r="F300" s="1008"/>
      <c r="G300"/>
    </row>
    <row r="301" spans="1:7" ht="12.9">
      <c r="A301" s="269"/>
      <c r="B301" s="269"/>
      <c r="D301" s="3" t="s">
        <v>1041</v>
      </c>
      <c r="E301" s="923" t="s">
        <v>2060</v>
      </c>
      <c r="F301" s="3"/>
    </row>
    <row r="302" spans="1:7" ht="12.45">
      <c r="D302" s="28"/>
    </row>
    <row r="303" spans="1:7" ht="12.9">
      <c r="A303" s="269"/>
      <c r="B303" s="606" t="s">
        <v>1374</v>
      </c>
      <c r="D303" s="990" t="s">
        <v>1556</v>
      </c>
      <c r="E303" s="990"/>
      <c r="F303" s="990"/>
    </row>
    <row r="304" spans="1:7" ht="12.9">
      <c r="A304" s="269"/>
      <c r="B304" s="269"/>
      <c r="D304" s="990"/>
      <c r="E304" s="990"/>
      <c r="F304" s="990"/>
    </row>
    <row r="305" spans="1:7" ht="12.45">
      <c r="D305" s="28"/>
    </row>
    <row r="306" spans="1:7" ht="12.45">
      <c r="A306" s="1013" t="s">
        <v>1387</v>
      </c>
      <c r="B306" s="1013"/>
      <c r="C306" s="1013"/>
      <c r="D306" s="1013"/>
      <c r="E306" s="1013"/>
      <c r="F306" s="1013"/>
      <c r="G306" s="1013"/>
    </row>
    <row r="307" spans="1:7" ht="12.45">
      <c r="D307" s="28"/>
    </row>
    <row r="308" spans="1:7" ht="12.45">
      <c r="C308" s="587"/>
      <c r="D308" s="1014" t="s">
        <v>1386</v>
      </c>
      <c r="E308" s="1014"/>
      <c r="F308" s="1014"/>
    </row>
    <row r="309" spans="1:7" ht="12.45">
      <c r="A309" s="188"/>
      <c r="B309" s="188"/>
      <c r="C309" s="188"/>
      <c r="D309" s="44"/>
    </row>
    <row r="310" spans="1:7" ht="12.45">
      <c r="A310" s="189"/>
      <c r="B310" s="189"/>
      <c r="C310" s="189"/>
      <c r="D310" s="1014" t="s">
        <v>211</v>
      </c>
      <c r="E310" s="1014"/>
      <c r="F310" s="1014"/>
    </row>
    <row r="311" spans="1:7" ht="14.4" customHeight="1">
      <c r="A311" s="269"/>
      <c r="B311" s="606" t="s">
        <v>124</v>
      </c>
      <c r="D311" s="981" t="s">
        <v>1869</v>
      </c>
      <c r="E311" s="990"/>
      <c r="F311" s="990"/>
    </row>
    <row r="312" spans="1:7" ht="12.45">
      <c r="D312" s="990"/>
      <c r="E312" s="990"/>
      <c r="F312" s="990"/>
    </row>
    <row r="313" spans="1:7" ht="12.45">
      <c r="D313" s="990"/>
      <c r="E313" s="990"/>
      <c r="F313" s="990"/>
    </row>
    <row r="314" spans="1:7" ht="12.45">
      <c r="D314" s="24"/>
      <c r="E314" s="24"/>
      <c r="F314" s="24"/>
    </row>
    <row r="315" spans="1:7" s="445" customFormat="1" ht="14.4" customHeight="1">
      <c r="A315" s="287"/>
      <c r="B315" s="606" t="s">
        <v>124</v>
      </c>
      <c r="C315" s="795"/>
      <c r="D315" s="1021" t="s">
        <v>1913</v>
      </c>
      <c r="E315" s="1021"/>
      <c r="F315" s="1021"/>
      <c r="G315" s="796"/>
    </row>
    <row r="316" spans="1:7" s="445" customFormat="1" ht="12.45">
      <c r="A316" s="795"/>
      <c r="B316" s="795"/>
      <c r="C316" s="795"/>
      <c r="D316" s="1021"/>
      <c r="E316" s="1021"/>
      <c r="F316" s="1021"/>
      <c r="G316" s="796"/>
    </row>
    <row r="317" spans="1:7" s="445" customFormat="1" ht="12.45">
      <c r="A317" s="795"/>
      <c r="B317" s="795"/>
      <c r="C317" s="795"/>
      <c r="D317" s="1021"/>
      <c r="E317" s="1021"/>
      <c r="F317" s="1021"/>
      <c r="G317" s="796"/>
    </row>
    <row r="318" spans="1:7" s="445" customFormat="1" ht="12.45">
      <c r="A318" s="795"/>
      <c r="B318" s="795"/>
      <c r="C318" s="795"/>
      <c r="E318" s="370" t="s">
        <v>2061</v>
      </c>
      <c r="F318" s="370"/>
      <c r="G318" s="796"/>
    </row>
    <row r="319" spans="1:7" ht="12.45">
      <c r="D319" s="210"/>
    </row>
    <row r="320" spans="1:7" ht="12.45">
      <c r="A320" s="1013" t="s">
        <v>1388</v>
      </c>
      <c r="B320" s="1013"/>
      <c r="C320" s="1013"/>
      <c r="D320" s="1013"/>
      <c r="E320" s="1013"/>
      <c r="F320" s="1013"/>
      <c r="G320" s="1013"/>
    </row>
    <row r="321" spans="1:7" ht="12.45">
      <c r="D321" s="210"/>
    </row>
    <row r="322" spans="1:7" ht="12.45">
      <c r="C322" s="188"/>
      <c r="D322" s="1015" t="s">
        <v>1557</v>
      </c>
      <c r="E322" s="1015"/>
      <c r="F322" s="1015"/>
    </row>
    <row r="323" spans="1:7" ht="12.45">
      <c r="C323" s="188"/>
      <c r="D323" s="1015"/>
      <c r="E323" s="1015"/>
      <c r="F323" s="1015"/>
    </row>
    <row r="324" spans="1:7" ht="12.45">
      <c r="A324" s="189"/>
      <c r="B324" s="189"/>
      <c r="C324" s="189"/>
      <c r="D324" s="3"/>
    </row>
    <row r="325" spans="1:7" ht="12.45">
      <c r="C325" s="189"/>
      <c r="D325" s="1014" t="s">
        <v>162</v>
      </c>
      <c r="E325" s="1014"/>
      <c r="F325" s="1014"/>
    </row>
    <row r="326" spans="1:7" ht="12.9">
      <c r="A326" s="269"/>
      <c r="B326" s="269"/>
      <c r="D326" s="1025" t="s">
        <v>1558</v>
      </c>
      <c r="E326" s="1025"/>
      <c r="F326" s="1025"/>
    </row>
    <row r="327" spans="1:7" ht="12" customHeight="1"/>
    <row r="328" spans="1:7" ht="14.4" customHeight="1">
      <c r="A328" s="269"/>
      <c r="B328" s="606" t="s">
        <v>124</v>
      </c>
      <c r="D328" s="990" t="s">
        <v>1559</v>
      </c>
      <c r="E328" s="990"/>
      <c r="F328" s="990"/>
    </row>
    <row r="329" spans="1:7" ht="12.9">
      <c r="A329" s="269"/>
      <c r="B329" s="269"/>
      <c r="D329" s="990"/>
      <c r="E329" s="990"/>
      <c r="F329" s="990"/>
    </row>
    <row r="330" spans="1:7" ht="12.45"/>
    <row r="331" spans="1:7" ht="14.4" customHeight="1">
      <c r="A331" s="269"/>
      <c r="B331" s="606" t="s">
        <v>124</v>
      </c>
      <c r="D331" s="990" t="s">
        <v>1560</v>
      </c>
      <c r="E331" s="990"/>
      <c r="F331" s="990"/>
    </row>
    <row r="332" spans="1:7" ht="12.9">
      <c r="A332" s="269"/>
      <c r="B332" s="269"/>
      <c r="D332" s="990"/>
      <c r="E332" s="990"/>
      <c r="F332" s="990"/>
    </row>
    <row r="333" spans="1:7" ht="12.9">
      <c r="A333" s="269"/>
      <c r="B333" s="269"/>
      <c r="D333" s="990"/>
      <c r="E333" s="990"/>
      <c r="F333" s="990"/>
    </row>
    <row r="334" spans="1:7" ht="12.45">
      <c r="D334" s="44"/>
      <c r="E334"/>
      <c r="F334"/>
      <c r="G334"/>
    </row>
    <row r="335" spans="1:7" ht="12.9">
      <c r="A335" s="269"/>
      <c r="B335" s="606" t="s">
        <v>124</v>
      </c>
      <c r="D335" s="990" t="s">
        <v>1561</v>
      </c>
      <c r="E335" s="990"/>
      <c r="F335" s="990"/>
    </row>
    <row r="336" spans="1:7" ht="12.9">
      <c r="A336" s="269"/>
      <c r="B336" s="269"/>
      <c r="D336" s="990"/>
      <c r="E336" s="990"/>
      <c r="F336" s="990"/>
    </row>
    <row r="337" spans="1:7" ht="12.45">
      <c r="A337" s="18"/>
      <c r="B337" s="18"/>
      <c r="D337" s="44"/>
    </row>
    <row r="338" spans="1:7" ht="12.45">
      <c r="A338" s="1013" t="s">
        <v>1375</v>
      </c>
      <c r="B338" s="1013"/>
      <c r="C338" s="1013"/>
      <c r="D338" s="1013"/>
      <c r="E338" s="1013"/>
      <c r="F338" s="1013"/>
      <c r="G338" s="1013"/>
    </row>
    <row r="339" spans="1:7" ht="12.45">
      <c r="A339" s="18"/>
      <c r="B339" s="18"/>
      <c r="D339" s="44"/>
      <c r="G339"/>
    </row>
    <row r="340" spans="1:7" ht="12.45">
      <c r="C340" s="18"/>
      <c r="D340" s="1014" t="s">
        <v>163</v>
      </c>
      <c r="E340" s="1014"/>
      <c r="F340" s="1014"/>
      <c r="G340"/>
    </row>
    <row r="341" spans="1:7" ht="12.45">
      <c r="C341" s="18"/>
      <c r="D341" s="1008" t="s">
        <v>1416</v>
      </c>
      <c r="E341" s="1008"/>
      <c r="F341" s="1008"/>
      <c r="G341"/>
    </row>
    <row r="342" spans="1:7" ht="12.45">
      <c r="C342" s="18"/>
      <c r="D342" s="180"/>
      <c r="G342"/>
    </row>
    <row r="343" spans="1:7" ht="12.45">
      <c r="B343" s="606" t="s">
        <v>1374</v>
      </c>
      <c r="D343" s="1008" t="s">
        <v>1562</v>
      </c>
      <c r="E343" s="1008"/>
      <c r="F343" s="1008"/>
      <c r="G343"/>
    </row>
    <row r="344" spans="1:7" ht="12.9">
      <c r="A344" s="269"/>
      <c r="B344" s="269"/>
      <c r="D344" s="417"/>
      <c r="G344"/>
    </row>
    <row r="345" spans="1:7" ht="12.9">
      <c r="A345" s="269"/>
      <c r="B345" s="606" t="s">
        <v>124</v>
      </c>
      <c r="D345" s="1008" t="s">
        <v>1563</v>
      </c>
      <c r="E345" s="1008"/>
      <c r="F345" s="1008"/>
      <c r="G345"/>
    </row>
    <row r="346" spans="1:7" ht="12.45">
      <c r="G346"/>
    </row>
    <row r="347" spans="1:7" ht="14.4" customHeight="1">
      <c r="A347" s="269"/>
      <c r="B347" s="606" t="s">
        <v>1374</v>
      </c>
      <c r="D347" s="990" t="s">
        <v>1569</v>
      </c>
      <c r="E347" s="990"/>
      <c r="F347" s="990"/>
      <c r="G347"/>
    </row>
    <row r="348" spans="1:7" ht="12.9">
      <c r="A348" s="269"/>
      <c r="B348" s="269"/>
      <c r="D348" s="990"/>
      <c r="E348" s="990"/>
      <c r="F348" s="990"/>
      <c r="G348"/>
    </row>
    <row r="349" spans="1:7" ht="12.9">
      <c r="A349" s="269"/>
      <c r="B349" s="269"/>
      <c r="D349" s="990"/>
      <c r="E349" s="990"/>
      <c r="F349" s="990"/>
      <c r="G349"/>
    </row>
    <row r="350" spans="1:7" ht="12.9">
      <c r="A350" s="269"/>
      <c r="B350" s="269"/>
      <c r="D350" s="990"/>
      <c r="E350" s="990"/>
      <c r="F350" s="990"/>
      <c r="G350"/>
    </row>
    <row r="351" spans="1:7" ht="12.9">
      <c r="A351" s="269"/>
      <c r="B351" s="269"/>
      <c r="D351" s="990"/>
      <c r="E351" s="990"/>
      <c r="F351" s="990"/>
      <c r="G351"/>
    </row>
    <row r="352" spans="1:7" ht="12.9">
      <c r="A352" s="269"/>
      <c r="B352" s="269"/>
      <c r="D352" s="990"/>
      <c r="E352" s="990"/>
      <c r="F352" s="990"/>
      <c r="G352"/>
    </row>
    <row r="353" spans="1:7" ht="12.9">
      <c r="A353" s="269"/>
      <c r="B353" s="269"/>
      <c r="D353" s="990"/>
      <c r="E353" s="990"/>
      <c r="F353" s="990"/>
      <c r="G353"/>
    </row>
    <row r="354" spans="1:7" ht="12.9">
      <c r="A354" s="269"/>
      <c r="B354" s="269"/>
      <c r="D354" s="990"/>
      <c r="E354" s="990"/>
      <c r="F354" s="990"/>
      <c r="G354"/>
    </row>
    <row r="355" spans="1:7" ht="12.9">
      <c r="A355" s="269"/>
      <c r="B355" s="269"/>
      <c r="D355" s="990"/>
      <c r="E355" s="990"/>
      <c r="F355" s="990"/>
    </row>
    <row r="356" spans="1:7" ht="12.9">
      <c r="A356" s="269"/>
      <c r="B356" s="269"/>
      <c r="D356" s="990"/>
      <c r="E356" s="990"/>
      <c r="F356" s="990"/>
    </row>
    <row r="357" spans="1:7" ht="12.9">
      <c r="A357" s="269"/>
      <c r="B357" s="269"/>
      <c r="D357" s="990"/>
      <c r="E357" s="990"/>
      <c r="F357" s="990"/>
    </row>
    <row r="358" spans="1:7" ht="12.9">
      <c r="A358" s="269"/>
      <c r="B358" s="269"/>
      <c r="D358" s="990"/>
      <c r="E358" s="990"/>
      <c r="F358" s="990"/>
    </row>
    <row r="359" spans="1:7" ht="12.9">
      <c r="A359" s="269"/>
      <c r="B359" s="269"/>
      <c r="D359" s="990"/>
      <c r="E359" s="990"/>
      <c r="F359" s="990"/>
    </row>
    <row r="360" spans="1:7" ht="12.9">
      <c r="A360" s="269"/>
      <c r="B360" s="269"/>
      <c r="D360" s="990"/>
      <c r="E360" s="990"/>
      <c r="F360" s="990"/>
    </row>
    <row r="361" spans="1:7" ht="12.9">
      <c r="A361" s="269"/>
      <c r="B361" s="269"/>
      <c r="D361" s="990"/>
      <c r="E361" s="990"/>
      <c r="F361" s="990"/>
    </row>
    <row r="362" spans="1:7" ht="12.45"/>
    <row r="363" spans="1:7" ht="14.4" customHeight="1">
      <c r="A363" s="269"/>
      <c r="B363" s="606" t="s">
        <v>124</v>
      </c>
      <c r="D363" s="990" t="s">
        <v>1564</v>
      </c>
      <c r="E363" s="990"/>
      <c r="F363" s="990"/>
    </row>
    <row r="364" spans="1:7" ht="12.45">
      <c r="D364" s="990"/>
      <c r="E364" s="990"/>
      <c r="F364" s="990"/>
    </row>
    <row r="365" spans="1:7" ht="12.45">
      <c r="D365" s="990"/>
      <c r="E365" s="990"/>
      <c r="F365" s="990"/>
    </row>
    <row r="366" spans="1:7" ht="12.45">
      <c r="D366" s="990"/>
      <c r="E366" s="990"/>
      <c r="F366" s="990"/>
    </row>
    <row r="367" spans="1:7" ht="12.45">
      <c r="D367" s="990"/>
      <c r="E367" s="990"/>
      <c r="F367" s="990"/>
    </row>
    <row r="368" spans="1:7" ht="12.45">
      <c r="D368" s="990"/>
      <c r="E368" s="990"/>
      <c r="F368" s="990"/>
    </row>
    <row r="369" spans="1:6" ht="12.45">
      <c r="D369" s="990"/>
      <c r="E369" s="990"/>
      <c r="F369" s="990"/>
    </row>
    <row r="370" spans="1:6" ht="12.45">
      <c r="D370" s="990"/>
      <c r="E370" s="990"/>
      <c r="F370" s="990"/>
    </row>
    <row r="371" spans="1:6" ht="12.45">
      <c r="D371" s="990"/>
      <c r="E371" s="990"/>
      <c r="F371" s="990"/>
    </row>
    <row r="372" spans="1:6" ht="12.45">
      <c r="E372" s="44"/>
      <c r="F372" s="44"/>
    </row>
    <row r="373" spans="1:6" ht="14.25" customHeight="1">
      <c r="A373" s="269"/>
      <c r="B373" s="606" t="s">
        <v>1374</v>
      </c>
      <c r="D373" s="984" t="s">
        <v>2062</v>
      </c>
      <c r="E373" s="984"/>
      <c r="F373" s="984"/>
    </row>
    <row r="374" spans="1:6" ht="12.45">
      <c r="D374" s="984"/>
      <c r="E374" s="984"/>
      <c r="F374" s="984"/>
    </row>
    <row r="375" spans="1:6" ht="12.45">
      <c r="D375" s="984"/>
      <c r="E375" s="984"/>
      <c r="F375" s="984"/>
    </row>
    <row r="376" spans="1:6" ht="12.45">
      <c r="D376" s="984"/>
      <c r="E376" s="984"/>
      <c r="F376" s="984"/>
    </row>
    <row r="377" spans="1:6" ht="12.45">
      <c r="D377" s="984"/>
      <c r="E377" s="984"/>
      <c r="F377" s="984"/>
    </row>
    <row r="378" spans="1:6" ht="12.45">
      <c r="D378" s="207"/>
      <c r="E378" s="102" t="s">
        <v>2063</v>
      </c>
      <c r="F378" s="207"/>
    </row>
    <row r="379" spans="1:6" ht="12.9" thickBot="1">
      <c r="D379" s="774"/>
      <c r="E379" s="97"/>
      <c r="F379" s="97"/>
    </row>
    <row r="380" spans="1:6" ht="13.3" thickTop="1" thickBot="1">
      <c r="D380" s="1024" t="s">
        <v>1265</v>
      </c>
      <c r="E380" s="1024"/>
      <c r="F380" s="1024"/>
    </row>
    <row r="381" spans="1:6" ht="12.9" thickTop="1">
      <c r="D381" s="1026" t="s">
        <v>1565</v>
      </c>
      <c r="E381" s="1026"/>
      <c r="F381" s="1026"/>
    </row>
    <row r="382" spans="1:6" ht="12.45">
      <c r="D382" s="44"/>
    </row>
    <row r="383" spans="1:6" ht="12.9">
      <c r="A383" s="269"/>
      <c r="B383" s="606" t="s">
        <v>124</v>
      </c>
      <c r="C383" s="358"/>
      <c r="D383" s="1018" t="s">
        <v>2124</v>
      </c>
      <c r="E383" s="1018"/>
      <c r="F383" s="1018"/>
    </row>
    <row r="384" spans="1:6" ht="12.9">
      <c r="A384" s="269"/>
      <c r="B384" s="269"/>
      <c r="C384" s="358"/>
      <c r="D384" s="417"/>
    </row>
    <row r="385" spans="1:6" ht="12.9">
      <c r="A385" s="269"/>
      <c r="B385" s="606" t="s">
        <v>124</v>
      </c>
      <c r="C385" s="358"/>
      <c r="D385" s="982" t="s">
        <v>2125</v>
      </c>
      <c r="E385" s="1006"/>
      <c r="F385" s="1006"/>
    </row>
    <row r="386" spans="1:6" ht="12.9">
      <c r="A386" s="269"/>
      <c r="B386" s="269"/>
      <c r="C386" s="358"/>
      <c r="D386" s="1006"/>
      <c r="E386" s="1006"/>
      <c r="F386" s="1006"/>
    </row>
    <row r="387" spans="1:6" ht="12.9">
      <c r="A387" s="269"/>
      <c r="B387" s="269"/>
      <c r="C387" s="358"/>
      <c r="D387" s="1006"/>
      <c r="E387" s="1006"/>
      <c r="F387" s="1006"/>
    </row>
    <row r="388" spans="1:6" ht="12.9">
      <c r="A388" s="269"/>
      <c r="B388" s="269"/>
      <c r="C388" s="358"/>
      <c r="D388" s="1006"/>
      <c r="E388" s="1006"/>
      <c r="F388" s="1006"/>
    </row>
    <row r="389" spans="1:6" ht="12.9">
      <c r="A389" s="269"/>
      <c r="B389" s="269"/>
      <c r="C389" s="358"/>
      <c r="D389" s="1006"/>
      <c r="E389" s="1006"/>
      <c r="F389" s="1006"/>
    </row>
    <row r="390" spans="1:6" ht="12.9">
      <c r="A390" s="269"/>
      <c r="B390" s="269"/>
      <c r="C390" s="358"/>
      <c r="D390" s="1006"/>
      <c r="E390" s="1006"/>
      <c r="F390" s="1006"/>
    </row>
    <row r="391" spans="1:6" ht="12.9">
      <c r="A391" s="269"/>
      <c r="B391" s="269"/>
      <c r="C391" s="358"/>
      <c r="D391" s="1006"/>
      <c r="E391" s="1006"/>
      <c r="F391" s="1006"/>
    </row>
    <row r="392" spans="1:6" ht="12.9">
      <c r="A392" s="269"/>
      <c r="B392" s="269"/>
      <c r="C392" s="358"/>
      <c r="D392" s="1006"/>
      <c r="E392" s="1006"/>
      <c r="F392" s="1006"/>
    </row>
    <row r="393" spans="1:6" ht="12.9">
      <c r="A393" s="269"/>
      <c r="B393" s="269"/>
      <c r="C393" s="358"/>
      <c r="D393" s="1006"/>
      <c r="E393" s="1006"/>
      <c r="F393" s="1006"/>
    </row>
    <row r="394" spans="1:6" ht="12.9">
      <c r="A394" s="269"/>
      <c r="B394" s="269"/>
      <c r="C394" s="358"/>
      <c r="D394" s="1006"/>
      <c r="E394" s="1006"/>
      <c r="F394" s="1006"/>
    </row>
    <row r="395" spans="1:6" ht="12.9">
      <c r="A395" s="269"/>
      <c r="B395" s="269"/>
      <c r="C395" s="358"/>
      <c r="D395" s="624"/>
      <c r="E395" s="624"/>
      <c r="F395" s="624"/>
    </row>
    <row r="396" spans="1:6" ht="12.9">
      <c r="A396" s="269"/>
      <c r="B396" s="606" t="s">
        <v>124</v>
      </c>
      <c r="C396" s="358"/>
      <c r="D396" s="1006" t="s">
        <v>1566</v>
      </c>
      <c r="E396" s="1006"/>
      <c r="F396" s="1006"/>
    </row>
    <row r="397" spans="1:6" ht="12.45">
      <c r="A397" s="358"/>
      <c r="B397" s="358"/>
      <c r="C397" s="358"/>
      <c r="D397" s="1006"/>
      <c r="E397" s="1006"/>
      <c r="F397" s="1006"/>
    </row>
    <row r="398" spans="1:6" ht="12.45">
      <c r="A398" s="358"/>
      <c r="B398" s="358"/>
      <c r="C398" s="358"/>
      <c r="D398" s="1006"/>
      <c r="E398" s="1006"/>
      <c r="F398" s="1006"/>
    </row>
    <row r="399" spans="1:6" ht="12.45">
      <c r="A399" s="358"/>
      <c r="B399" s="358"/>
      <c r="C399" s="358"/>
      <c r="D399" s="1006"/>
      <c r="E399" s="1006"/>
      <c r="F399" s="1006"/>
    </row>
    <row r="400" spans="1:6" ht="12.45">
      <c r="A400" s="358"/>
      <c r="B400" s="358"/>
      <c r="C400" s="358"/>
      <c r="D400" s="624"/>
      <c r="E400" s="624"/>
      <c r="F400" s="624"/>
    </row>
    <row r="401" spans="1:6" ht="12.45">
      <c r="A401" s="358"/>
      <c r="B401" s="358"/>
      <c r="C401" s="358"/>
      <c r="D401" s="1006" t="s">
        <v>1567</v>
      </c>
      <c r="E401" s="1006"/>
      <c r="F401" s="1006"/>
    </row>
    <row r="402" spans="1:6" ht="12.45">
      <c r="A402" s="358"/>
      <c r="B402" s="358"/>
      <c r="C402" s="358"/>
      <c r="D402" s="1006"/>
      <c r="E402" s="1006"/>
      <c r="F402" s="1006"/>
    </row>
    <row r="403" spans="1:6" ht="12.45">
      <c r="A403" s="358"/>
      <c r="B403" s="358"/>
      <c r="C403" s="358"/>
      <c r="D403" s="1006"/>
      <c r="E403" s="1006"/>
      <c r="F403" s="1006"/>
    </row>
    <row r="404" spans="1:6" ht="12.45">
      <c r="A404" s="358"/>
      <c r="B404" s="358"/>
      <c r="C404" s="358"/>
      <c r="D404" s="1006"/>
      <c r="E404" s="1006"/>
      <c r="F404" s="1006"/>
    </row>
    <row r="405" spans="1:6" ht="12.45">
      <c r="A405" s="358"/>
      <c r="B405" s="358"/>
      <c r="C405" s="358"/>
      <c r="D405" s="1006"/>
      <c r="E405" s="1006"/>
      <c r="F405" s="1006"/>
    </row>
    <row r="406" spans="1:6" ht="12.45">
      <c r="A406" s="358"/>
      <c r="B406" s="358"/>
      <c r="C406" s="358"/>
      <c r="D406" s="1006"/>
      <c r="E406" s="1006"/>
      <c r="F406" s="1006"/>
    </row>
    <row r="407" spans="1:6" ht="12.45">
      <c r="A407" s="358"/>
      <c r="B407" s="358"/>
      <c r="C407" s="358"/>
      <c r="D407" s="1006"/>
      <c r="E407" s="1006"/>
      <c r="F407" s="1006"/>
    </row>
    <row r="408" spans="1:6" ht="12.45">
      <c r="A408" s="358"/>
      <c r="B408" s="358"/>
      <c r="C408" s="358"/>
      <c r="D408" s="1006"/>
      <c r="E408" s="1006"/>
      <c r="F408" s="1006"/>
    </row>
    <row r="409" spans="1:6" ht="12.45">
      <c r="A409" s="358"/>
      <c r="B409" s="358"/>
      <c r="C409" s="358"/>
      <c r="D409" s="1006"/>
      <c r="E409" s="1006"/>
      <c r="F409" s="1006"/>
    </row>
    <row r="410" spans="1:6" ht="13.65" customHeight="1">
      <c r="A410" s="358"/>
      <c r="B410" s="358"/>
      <c r="C410" s="358"/>
      <c r="D410" s="1006" t="s">
        <v>1570</v>
      </c>
      <c r="E410" s="1006"/>
      <c r="F410" s="1006"/>
    </row>
    <row r="411" spans="1:6" ht="13.65" customHeight="1">
      <c r="A411" s="358"/>
      <c r="B411" s="358"/>
      <c r="C411" s="358"/>
      <c r="D411" s="1006"/>
      <c r="E411" s="1006"/>
      <c r="F411" s="1006"/>
    </row>
    <row r="412" spans="1:6" ht="13.65" customHeight="1">
      <c r="A412" s="358"/>
      <c r="B412" s="358"/>
      <c r="C412" s="358"/>
      <c r="D412" s="1006"/>
      <c r="E412" s="1006"/>
      <c r="F412" s="1006"/>
    </row>
    <row r="413" spans="1:6" ht="13.65" customHeight="1">
      <c r="A413" s="358"/>
      <c r="B413" s="358"/>
      <c r="C413" s="358"/>
      <c r="D413" s="1006"/>
      <c r="E413" s="1006"/>
      <c r="F413" s="1006"/>
    </row>
    <row r="414" spans="1:6" ht="13.65" customHeight="1">
      <c r="A414" s="358"/>
      <c r="B414" s="358"/>
      <c r="C414" s="358"/>
      <c r="D414" s="1006"/>
      <c r="E414" s="1006"/>
      <c r="F414" s="1006"/>
    </row>
    <row r="415" spans="1:6" ht="13.65" customHeight="1">
      <c r="A415" s="358"/>
      <c r="B415" s="358"/>
      <c r="C415" s="358"/>
      <c r="D415" s="1006"/>
      <c r="E415" s="1006"/>
      <c r="F415" s="1006"/>
    </row>
    <row r="416" spans="1:6" ht="13.65" customHeight="1">
      <c r="A416" s="358"/>
      <c r="B416" s="358"/>
      <c r="C416" s="358"/>
      <c r="D416" s="1006"/>
      <c r="E416" s="1006"/>
      <c r="F416" s="1006"/>
    </row>
    <row r="417" spans="1:6" ht="13.65" customHeight="1">
      <c r="A417" s="358"/>
      <c r="B417" s="358"/>
      <c r="C417" s="358"/>
      <c r="D417" s="1006"/>
      <c r="E417" s="1006"/>
      <c r="F417" s="1006"/>
    </row>
    <row r="418" spans="1:6" ht="13.65" customHeight="1">
      <c r="A418" s="358"/>
      <c r="B418" s="358"/>
      <c r="C418" s="358"/>
      <c r="D418" s="1006"/>
      <c r="E418" s="1006"/>
      <c r="F418" s="1006"/>
    </row>
    <row r="419" spans="1:6" ht="13.65" customHeight="1">
      <c r="A419" s="358"/>
      <c r="B419" s="358"/>
      <c r="C419" s="358"/>
      <c r="D419" s="1006"/>
      <c r="E419" s="1006"/>
      <c r="F419" s="1006"/>
    </row>
    <row r="420" spans="1:6" ht="13.65" customHeight="1">
      <c r="A420" s="358"/>
      <c r="B420" s="358"/>
      <c r="C420" s="358"/>
      <c r="D420" s="1006"/>
      <c r="E420" s="1006"/>
      <c r="F420" s="1006"/>
    </row>
    <row r="421" spans="1:6" ht="13.65" customHeight="1">
      <c r="A421" s="358"/>
      <c r="B421" s="358"/>
      <c r="C421" s="358"/>
      <c r="D421" s="1006"/>
      <c r="E421" s="1006"/>
      <c r="F421" s="1006"/>
    </row>
    <row r="422" spans="1:6" ht="13.65" customHeight="1">
      <c r="A422" s="358"/>
      <c r="B422" s="358"/>
      <c r="C422" s="358"/>
      <c r="D422" s="1006"/>
      <c r="E422" s="1006"/>
      <c r="F422" s="1006"/>
    </row>
    <row r="423" spans="1:6" ht="13.65" customHeight="1">
      <c r="A423" s="358"/>
      <c r="B423" s="358"/>
      <c r="C423" s="358"/>
      <c r="D423" s="1006"/>
      <c r="E423" s="1006"/>
      <c r="F423" s="1006"/>
    </row>
    <row r="424" spans="1:6" ht="13.65" customHeight="1">
      <c r="A424" s="358"/>
      <c r="B424" s="358"/>
      <c r="C424" s="358"/>
      <c r="D424" s="1006"/>
      <c r="E424" s="1006"/>
      <c r="F424" s="1006"/>
    </row>
    <row r="425" spans="1:6" ht="13.65" customHeight="1">
      <c r="A425" s="358"/>
      <c r="B425" s="358"/>
      <c r="C425" s="358"/>
      <c r="D425" s="1006"/>
      <c r="E425" s="1006"/>
      <c r="F425" s="1006"/>
    </row>
    <row r="426" spans="1:6" ht="13.65" customHeight="1">
      <c r="A426" s="358"/>
      <c r="B426" s="358"/>
      <c r="C426" s="358"/>
      <c r="D426" s="1006"/>
      <c r="E426" s="1006"/>
      <c r="F426" s="1006"/>
    </row>
    <row r="427" spans="1:6" ht="13.65" customHeight="1">
      <c r="A427" s="358"/>
      <c r="B427" s="358"/>
      <c r="C427" s="358"/>
      <c r="D427" s="1006"/>
      <c r="E427" s="1006"/>
      <c r="F427" s="1006"/>
    </row>
    <row r="428" spans="1:6" ht="12.45">
      <c r="A428" s="358"/>
      <c r="B428" s="358"/>
      <c r="C428" s="358"/>
      <c r="D428" s="417"/>
    </row>
    <row r="429" spans="1:6" ht="13.65" customHeight="1">
      <c r="A429" s="358"/>
      <c r="B429" s="606" t="s">
        <v>124</v>
      </c>
      <c r="C429" s="358"/>
      <c r="D429" s="1006" t="s">
        <v>1568</v>
      </c>
      <c r="E429" s="1006"/>
      <c r="F429" s="1006"/>
    </row>
    <row r="430" spans="1:6" ht="12.45">
      <c r="A430" s="358"/>
      <c r="B430" s="358"/>
      <c r="C430" s="358"/>
      <c r="D430" s="1006"/>
      <c r="E430" s="1006"/>
      <c r="F430" s="1006"/>
    </row>
    <row r="431" spans="1:6" ht="12.45">
      <c r="A431" s="358"/>
      <c r="B431" s="358"/>
      <c r="C431" s="358"/>
      <c r="D431" s="624"/>
      <c r="E431" s="624"/>
      <c r="F431" s="624"/>
    </row>
    <row r="432" spans="1:6" ht="12.45">
      <c r="A432" s="358"/>
      <c r="B432" s="606" t="s">
        <v>124</v>
      </c>
      <c r="C432" s="358"/>
      <c r="D432" s="1009" t="s">
        <v>1866</v>
      </c>
      <c r="E432" s="1009"/>
      <c r="F432" s="1009"/>
    </row>
    <row r="433" spans="1:6" ht="12.45">
      <c r="A433" s="358"/>
      <c r="B433" s="358"/>
      <c r="C433" s="358"/>
      <c r="D433" s="1009"/>
      <c r="E433" s="1009"/>
      <c r="F433" s="1009"/>
    </row>
    <row r="434" spans="1:6" ht="12.45">
      <c r="A434" s="358"/>
      <c r="B434" s="358"/>
      <c r="C434" s="358"/>
      <c r="D434" s="1009"/>
      <c r="E434" s="1009"/>
      <c r="F434" s="1009"/>
    </row>
    <row r="435" spans="1:6" ht="12.45">
      <c r="A435" s="358"/>
      <c r="B435" s="358"/>
      <c r="C435" s="358"/>
      <c r="D435" s="1009"/>
      <c r="E435" s="1009"/>
      <c r="F435" s="1009"/>
    </row>
    <row r="436" spans="1:6" ht="12.45">
      <c r="A436" s="358"/>
      <c r="B436" s="358"/>
      <c r="C436" s="358"/>
      <c r="D436" s="1009"/>
      <c r="E436" s="1009"/>
      <c r="F436" s="1009"/>
    </row>
    <row r="437" spans="1:6" ht="12.45">
      <c r="A437" s="358"/>
      <c r="B437" s="358"/>
      <c r="C437" s="358"/>
      <c r="D437" s="1009"/>
      <c r="E437" s="1009"/>
      <c r="F437" s="1009"/>
    </row>
    <row r="438" spans="1:6" ht="14.4" customHeight="1">
      <c r="A438" s="269"/>
      <c r="B438" s="606" t="s">
        <v>124</v>
      </c>
      <c r="C438" s="358"/>
      <c r="D438" s="1009" t="s">
        <v>1847</v>
      </c>
      <c r="E438" s="1009"/>
      <c r="F438" s="1009"/>
    </row>
    <row r="439" spans="1:6" ht="12.9">
      <c r="A439" s="497"/>
      <c r="B439" s="497"/>
      <c r="C439" s="358"/>
      <c r="D439" s="1009"/>
      <c r="E439" s="1009"/>
      <c r="F439" s="1009"/>
    </row>
    <row r="440" spans="1:6" ht="12.9">
      <c r="A440" s="497"/>
      <c r="B440" s="497"/>
      <c r="C440" s="358"/>
      <c r="D440" s="1009"/>
      <c r="E440" s="1009"/>
      <c r="F440" s="1009"/>
    </row>
    <row r="441" spans="1:6" ht="12.9">
      <c r="A441" s="497"/>
      <c r="B441" s="497"/>
      <c r="C441" s="358"/>
      <c r="D441" s="1009"/>
      <c r="E441" s="1009"/>
      <c r="F441" s="1009"/>
    </row>
    <row r="442" spans="1:6" ht="14.25" customHeight="1">
      <c r="A442" s="497"/>
      <c r="B442" s="497"/>
      <c r="C442" s="358"/>
      <c r="D442" s="1010" t="s">
        <v>1862</v>
      </c>
      <c r="E442" s="1010"/>
      <c r="F442" s="1010"/>
    </row>
    <row r="443" spans="1:6" ht="12.45">
      <c r="D443" s="44"/>
    </row>
    <row r="444" spans="1:6" ht="14.4" customHeight="1">
      <c r="A444" s="269"/>
      <c r="B444" s="606" t="s">
        <v>124</v>
      </c>
      <c r="C444" s="205"/>
      <c r="D444" s="981" t="s">
        <v>2298</v>
      </c>
      <c r="E444" s="990"/>
      <c r="F444" s="990"/>
    </row>
    <row r="445" spans="1:6" ht="12.9">
      <c r="A445" s="269"/>
      <c r="B445" s="269"/>
      <c r="D445" s="990"/>
      <c r="E445" s="990"/>
      <c r="F445" s="990"/>
    </row>
    <row r="446" spans="1:6" ht="12.9">
      <c r="A446" s="269"/>
      <c r="B446" s="269"/>
      <c r="D446" s="990"/>
      <c r="E446" s="990"/>
      <c r="F446" s="990"/>
    </row>
    <row r="447" spans="1:6" ht="12.9">
      <c r="A447" s="269"/>
      <c r="B447" s="269"/>
      <c r="D447" s="990"/>
      <c r="E447" s="990"/>
      <c r="F447" s="990"/>
    </row>
    <row r="448" spans="1:6" ht="12.9">
      <c r="A448" s="269"/>
      <c r="B448" s="269"/>
      <c r="D448" s="990"/>
      <c r="E448" s="990"/>
      <c r="F448" s="990"/>
    </row>
    <row r="449" spans="1:6" ht="12.9">
      <c r="A449" s="269"/>
      <c r="B449" s="269"/>
      <c r="D449" s="990"/>
      <c r="E449" s="990"/>
      <c r="F449" s="990"/>
    </row>
    <row r="450" spans="1:6" ht="12.9">
      <c r="A450" s="269"/>
      <c r="B450" s="269"/>
      <c r="D450" s="990"/>
      <c r="E450" s="990"/>
      <c r="F450" s="990"/>
    </row>
    <row r="451" spans="1:6" ht="12.9">
      <c r="A451" s="269"/>
      <c r="B451" s="269"/>
      <c r="D451" s="990"/>
      <c r="E451" s="990"/>
      <c r="F451" s="990"/>
    </row>
    <row r="452" spans="1:6" ht="12.9">
      <c r="A452" s="269"/>
      <c r="B452" s="269"/>
      <c r="D452" s="990"/>
      <c r="E452" s="990"/>
      <c r="F452" s="990"/>
    </row>
    <row r="453" spans="1:6" ht="12.9">
      <c r="A453" s="269"/>
      <c r="B453" s="269"/>
      <c r="D453" s="990"/>
      <c r="E453" s="990"/>
      <c r="F453" s="990"/>
    </row>
    <row r="454" spans="1:6" ht="12.9">
      <c r="A454" s="269"/>
      <c r="B454" s="269"/>
      <c r="D454" s="990"/>
      <c r="E454" s="990"/>
      <c r="F454" s="990"/>
    </row>
    <row r="455" spans="1:6" ht="12.9">
      <c r="A455" s="269"/>
      <c r="B455" s="269"/>
      <c r="D455" s="990"/>
      <c r="E455" s="990"/>
      <c r="F455" s="990"/>
    </row>
    <row r="456" spans="1:6" ht="12.9">
      <c r="A456" s="269"/>
      <c r="B456" s="269"/>
      <c r="D456" s="990"/>
      <c r="E456" s="990"/>
      <c r="F456" s="990"/>
    </row>
    <row r="457" spans="1:6" ht="12.9">
      <c r="A457" s="269"/>
      <c r="B457" s="269"/>
      <c r="D457" s="990"/>
      <c r="E457" s="990"/>
      <c r="F457" s="990"/>
    </row>
    <row r="458" spans="1:6" ht="12.9">
      <c r="A458" s="269"/>
      <c r="B458" s="269"/>
      <c r="D458" s="990"/>
      <c r="E458" s="990"/>
      <c r="F458" s="990"/>
    </row>
    <row r="459" spans="1:6" ht="12.9">
      <c r="A459" s="269"/>
      <c r="B459" s="269"/>
      <c r="D459" s="990"/>
      <c r="E459" s="990"/>
      <c r="F459" s="990"/>
    </row>
    <row r="460" spans="1:6" ht="12.9">
      <c r="A460" s="269"/>
      <c r="B460" s="269"/>
      <c r="D460" s="990"/>
      <c r="E460" s="990"/>
      <c r="F460" s="990"/>
    </row>
    <row r="461" spans="1:6" ht="12.9">
      <c r="A461" s="269"/>
      <c r="B461" s="269"/>
      <c r="D461" s="990"/>
      <c r="E461" s="990"/>
      <c r="F461" s="990"/>
    </row>
    <row r="462" spans="1:6" ht="12.9">
      <c r="A462" s="269"/>
      <c r="B462" s="269"/>
      <c r="D462" s="990"/>
      <c r="E462" s="990"/>
      <c r="F462" s="990"/>
    </row>
    <row r="463" spans="1:6" ht="12.9">
      <c r="A463" s="269"/>
      <c r="B463" s="269"/>
      <c r="D463" s="990"/>
      <c r="E463" s="990"/>
      <c r="F463" s="990"/>
    </row>
    <row r="464" spans="1:6" ht="12.9">
      <c r="A464" s="269"/>
      <c r="B464" s="269"/>
      <c r="D464" s="990"/>
      <c r="E464" s="990"/>
      <c r="F464" s="990"/>
    </row>
    <row r="465" spans="1:6" ht="12.9">
      <c r="A465" s="269"/>
      <c r="B465" s="269"/>
      <c r="D465" s="990"/>
      <c r="E465" s="990"/>
      <c r="F465" s="990"/>
    </row>
    <row r="466" spans="1:6" ht="12.9">
      <c r="A466" s="269"/>
      <c r="B466" s="269"/>
      <c r="D466" s="990"/>
      <c r="E466" s="990"/>
      <c r="F466" s="990"/>
    </row>
    <row r="467" spans="1:6" ht="12.9">
      <c r="A467" s="269"/>
      <c r="B467" s="269"/>
      <c r="D467" s="990"/>
      <c r="E467" s="990"/>
      <c r="F467" s="990"/>
    </row>
    <row r="468" spans="1:6" ht="12.9">
      <c r="A468" s="269"/>
      <c r="B468" s="269"/>
      <c r="D468" s="990"/>
      <c r="E468" s="990"/>
      <c r="F468" s="990"/>
    </row>
    <row r="469" spans="1:6" ht="12.9">
      <c r="A469" s="269"/>
      <c r="B469" s="269"/>
      <c r="D469" s="990"/>
      <c r="E469" s="990"/>
      <c r="F469" s="990"/>
    </row>
    <row r="470" spans="1:6" ht="12.9">
      <c r="A470" s="269"/>
      <c r="B470" s="269"/>
      <c r="D470" s="990"/>
      <c r="E470" s="990"/>
      <c r="F470" s="990"/>
    </row>
    <row r="471" spans="1:6" ht="12.9">
      <c r="A471" s="269"/>
      <c r="B471" s="269"/>
      <c r="D471" s="990"/>
      <c r="E471" s="990"/>
      <c r="F471" s="990"/>
    </row>
    <row r="472" spans="1:6" ht="12.9">
      <c r="A472" s="269"/>
      <c r="B472" s="269"/>
      <c r="D472" s="990"/>
      <c r="E472" s="990"/>
      <c r="F472" s="990"/>
    </row>
    <row r="473" spans="1:6" ht="12.9">
      <c r="A473" s="269"/>
      <c r="B473" s="269"/>
      <c r="D473" s="990"/>
      <c r="E473" s="990"/>
      <c r="F473" s="990"/>
    </row>
    <row r="474" spans="1:6" ht="12.45" hidden="1">
      <c r="D474" s="990"/>
      <c r="E474" s="990"/>
      <c r="F474" s="990"/>
    </row>
    <row r="475" spans="1:6" ht="12.45" hidden="1">
      <c r="D475" s="44"/>
    </row>
    <row r="476" spans="1:6" ht="12.9">
      <c r="A476" s="269"/>
      <c r="B476" s="606" t="s">
        <v>124</v>
      </c>
      <c r="C476" s="205"/>
      <c r="D476" s="1007" t="s">
        <v>2065</v>
      </c>
      <c r="E476" s="1008"/>
      <c r="F476" s="1008"/>
    </row>
    <row r="477" spans="1:6" ht="12.45">
      <c r="D477"/>
      <c r="E477" s="924" t="s">
        <v>2064</v>
      </c>
      <c r="F477" s="924"/>
    </row>
    <row r="478" spans="1:6" ht="13.65" customHeight="1">
      <c r="D478" s="981" t="s">
        <v>1844</v>
      </c>
      <c r="E478" s="990"/>
      <c r="F478" s="990"/>
    </row>
    <row r="479" spans="1:6" ht="13.65" customHeight="1">
      <c r="D479" s="990"/>
      <c r="E479" s="990"/>
      <c r="F479" s="990"/>
    </row>
    <row r="480" spans="1:6" ht="12.45">
      <c r="D480" s="44"/>
    </row>
    <row r="481" spans="1:6" ht="14.4" customHeight="1">
      <c r="A481" s="269"/>
      <c r="B481" s="606" t="s">
        <v>124</v>
      </c>
      <c r="C481" s="205"/>
      <c r="D481" s="981" t="s">
        <v>2299</v>
      </c>
      <c r="E481" s="990"/>
      <c r="F481" s="990"/>
    </row>
    <row r="482" spans="1:6" ht="12.45">
      <c r="D482" s="990"/>
      <c r="E482" s="990"/>
      <c r="F482" s="990"/>
    </row>
    <row r="483" spans="1:6" ht="12.45">
      <c r="D483" s="990"/>
      <c r="E483" s="990"/>
      <c r="F483" s="990"/>
    </row>
    <row r="484" spans="1:6" ht="12.45">
      <c r="D484" s="24"/>
      <c r="E484" s="24"/>
      <c r="F484" s="24"/>
    </row>
    <row r="485" spans="1:6" ht="12.9">
      <c r="B485" s="606" t="s">
        <v>124</v>
      </c>
      <c r="C485" s="269"/>
      <c r="D485" s="981" t="s">
        <v>1711</v>
      </c>
      <c r="E485" s="990"/>
      <c r="F485" s="990"/>
    </row>
    <row r="486" spans="1:6" ht="12.45">
      <c r="D486" s="990"/>
      <c r="E486" s="990"/>
      <c r="F486" s="990"/>
    </row>
    <row r="487" spans="1:6" ht="12.45">
      <c r="D487" s="44"/>
      <c r="E487" s="44"/>
    </row>
    <row r="488" spans="1:6" ht="12.9">
      <c r="B488" s="606" t="s">
        <v>124</v>
      </c>
      <c r="C488" s="269"/>
      <c r="D488" s="990" t="s">
        <v>1571</v>
      </c>
      <c r="E488" s="990"/>
      <c r="F488" s="990"/>
    </row>
    <row r="489" spans="1:6" ht="12.45">
      <c r="D489" s="990"/>
      <c r="E489" s="990"/>
      <c r="F489" s="990"/>
    </row>
    <row r="490" spans="1:6" ht="12.45">
      <c r="D490" s="990"/>
      <c r="E490" s="990"/>
      <c r="F490" s="990"/>
    </row>
    <row r="491" spans="1:6" ht="12.45">
      <c r="D491" s="990"/>
      <c r="E491" s="990"/>
      <c r="F491" s="990"/>
    </row>
    <row r="492" spans="1:6" ht="12.45">
      <c r="B492" s="606" t="s">
        <v>124</v>
      </c>
      <c r="D492" s="990"/>
      <c r="E492" s="990"/>
      <c r="F492" s="990"/>
    </row>
    <row r="493" spans="1:6" ht="12.45">
      <c r="D493" s="990"/>
      <c r="E493" s="990"/>
      <c r="F493" s="990"/>
    </row>
    <row r="494" spans="1:6" ht="12.45">
      <c r="D494" s="990"/>
      <c r="E494" s="990"/>
      <c r="F494" s="990"/>
    </row>
    <row r="495" spans="1:6" ht="12.45">
      <c r="B495" s="606" t="s">
        <v>124</v>
      </c>
      <c r="D495" s="990"/>
      <c r="E495" s="990"/>
      <c r="F495" s="990"/>
    </row>
    <row r="496" spans="1:6" ht="12.45">
      <c r="D496" s="990"/>
      <c r="E496" s="990"/>
      <c r="F496" s="990"/>
    </row>
    <row r="497" spans="1:7" ht="12.45">
      <c r="D497" s="990"/>
      <c r="E497" s="990"/>
      <c r="F497" s="990"/>
    </row>
    <row r="498" spans="1:7" ht="12.45">
      <c r="D498" s="990"/>
      <c r="E498" s="990"/>
      <c r="F498" s="990"/>
    </row>
    <row r="499" spans="1:7" ht="12.45">
      <c r="B499" s="606" t="s">
        <v>124</v>
      </c>
      <c r="D499" s="990"/>
      <c r="E499" s="990"/>
      <c r="F499" s="990"/>
    </row>
    <row r="500" spans="1:7" ht="12.45">
      <c r="D500" s="990"/>
      <c r="E500" s="990"/>
      <c r="F500" s="990"/>
    </row>
    <row r="501" spans="1:7" ht="12.45">
      <c r="B501" s="606" t="s">
        <v>124</v>
      </c>
      <c r="D501" s="990"/>
      <c r="E501" s="990"/>
      <c r="F501" s="990"/>
    </row>
    <row r="502" spans="1:7" ht="12.45">
      <c r="D502" s="990"/>
      <c r="E502" s="990"/>
      <c r="F502" s="990"/>
    </row>
    <row r="503" spans="1:7" ht="13.65" customHeight="1">
      <c r="B503" s="606" t="s">
        <v>124</v>
      </c>
      <c r="D503" s="990" t="s">
        <v>1572</v>
      </c>
      <c r="E503" s="990"/>
      <c r="F503" s="990"/>
    </row>
    <row r="504" spans="1:7" ht="12.45">
      <c r="D504" s="990"/>
      <c r="E504" s="990"/>
      <c r="F504" s="990"/>
    </row>
    <row r="505" spans="1:7" ht="12.45">
      <c r="D505" s="990"/>
      <c r="E505" s="990"/>
      <c r="F505" s="990"/>
    </row>
    <row r="506" spans="1:7" ht="12.45">
      <c r="D506" s="990"/>
      <c r="E506" s="990"/>
      <c r="F506" s="990"/>
    </row>
    <row r="507" spans="1:7" ht="12.45">
      <c r="D507" s="990"/>
      <c r="E507" s="990"/>
      <c r="F507" s="990"/>
    </row>
    <row r="508" spans="1:7" ht="12.45">
      <c r="D508" s="44"/>
    </row>
    <row r="509" spans="1:7" ht="12.45">
      <c r="B509" s="606" t="s">
        <v>124</v>
      </c>
      <c r="D509" s="1008" t="s">
        <v>1417</v>
      </c>
      <c r="E509" s="1008"/>
      <c r="F509" s="1008"/>
    </row>
    <row r="510" spans="1:7" ht="12.45">
      <c r="A510" s="44"/>
      <c r="B510" s="44"/>
    </row>
    <row r="511" spans="1:7" ht="12.45">
      <c r="A511" s="1013" t="s">
        <v>1376</v>
      </c>
      <c r="B511" s="1013"/>
      <c r="C511" s="1013"/>
      <c r="D511" s="1013"/>
      <c r="E511" s="1013"/>
      <c r="F511" s="1013"/>
      <c r="G511" s="1013"/>
    </row>
    <row r="512" spans="1:7" ht="12.45">
      <c r="A512" s="44"/>
      <c r="B512" s="44"/>
    </row>
    <row r="513" spans="1:7" ht="12.45">
      <c r="D513" s="1017" t="s">
        <v>1117</v>
      </c>
      <c r="E513" s="1017"/>
      <c r="F513" s="1017"/>
    </row>
    <row r="514" spans="1:7" ht="12.45">
      <c r="D514" s="1018" t="s">
        <v>1410</v>
      </c>
      <c r="E514" s="1018"/>
      <c r="F514" s="1018"/>
    </row>
    <row r="515" spans="1:7" ht="12.9">
      <c r="A515" s="269"/>
      <c r="B515" s="269"/>
      <c r="D515" s="417"/>
    </row>
    <row r="516" spans="1:7" ht="12.9">
      <c r="A516" s="269"/>
      <c r="B516" s="606" t="s">
        <v>1374</v>
      </c>
      <c r="D516" s="1006" t="s">
        <v>1573</v>
      </c>
      <c r="E516" s="1006"/>
      <c r="F516" s="1006"/>
    </row>
    <row r="517" spans="1:7" ht="12.9">
      <c r="A517" s="269"/>
      <c r="B517" s="269"/>
      <c r="D517" s="1006"/>
      <c r="E517" s="1006"/>
      <c r="F517" s="1006"/>
    </row>
    <row r="518" spans="1:7" ht="12.9">
      <c r="A518" s="269"/>
      <c r="B518" s="269"/>
      <c r="D518" s="44"/>
    </row>
    <row r="519" spans="1:7" ht="12.9">
      <c r="A519" s="269"/>
      <c r="B519" s="606" t="s">
        <v>1374</v>
      </c>
      <c r="D519" s="1019" t="s">
        <v>1863</v>
      </c>
      <c r="E519" s="1016"/>
      <c r="F519" s="1016"/>
    </row>
    <row r="520" spans="1:7" ht="12.9">
      <c r="A520" s="269"/>
      <c r="B520" s="269"/>
      <c r="D520" s="1016"/>
      <c r="E520" s="1016"/>
      <c r="F520" s="1016"/>
    </row>
    <row r="521" spans="1:7" ht="12.9">
      <c r="A521" s="269"/>
      <c r="B521" s="269"/>
      <c r="D521" s="1016"/>
      <c r="E521" s="1016"/>
      <c r="F521" s="1016"/>
      <c r="G521"/>
    </row>
    <row r="522" spans="1:7" ht="12.9">
      <c r="A522" s="269"/>
      <c r="B522" s="269"/>
      <c r="D522" s="1016"/>
      <c r="E522" s="1016"/>
      <c r="F522" s="1016"/>
      <c r="G522"/>
    </row>
    <row r="523" spans="1:7" ht="12.45">
      <c r="G523"/>
    </row>
    <row r="524" spans="1:7" ht="12.9">
      <c r="A524" s="269"/>
      <c r="B524" s="606" t="s">
        <v>1374</v>
      </c>
      <c r="D524" s="1008" t="s">
        <v>1575</v>
      </c>
      <c r="E524" s="1008"/>
      <c r="F524" s="1008"/>
      <c r="G524"/>
    </row>
    <row r="525" spans="1:7" ht="12.45">
      <c r="D525" s="44"/>
      <c r="G525"/>
    </row>
    <row r="526" spans="1:7" ht="12.9">
      <c r="A526" s="269"/>
      <c r="B526" s="606" t="s">
        <v>1374</v>
      </c>
      <c r="D526" s="990" t="s">
        <v>1576</v>
      </c>
      <c r="E526" s="990"/>
      <c r="F526" s="990"/>
      <c r="G526"/>
    </row>
    <row r="527" spans="1:7" ht="12.45">
      <c r="D527" s="990"/>
      <c r="E527" s="990"/>
      <c r="F527" s="990"/>
      <c r="G527"/>
    </row>
    <row r="528" spans="1:7" ht="12.45">
      <c r="D528" s="417"/>
      <c r="G528"/>
    </row>
    <row r="529" spans="1:7" ht="12.9">
      <c r="A529" s="269"/>
      <c r="B529" s="606" t="s">
        <v>124</v>
      </c>
      <c r="D529" s="1008" t="s">
        <v>1574</v>
      </c>
      <c r="E529" s="1008"/>
      <c r="F529" s="1008"/>
    </row>
    <row r="530" spans="1:7" ht="12.9">
      <c r="A530" s="269"/>
      <c r="B530" s="269"/>
      <c r="D530" s="44"/>
    </row>
    <row r="531" spans="1:7" ht="12.45">
      <c r="A531" s="1013" t="s">
        <v>1377</v>
      </c>
      <c r="B531" s="1013"/>
      <c r="C531" s="1013"/>
      <c r="D531" s="1013"/>
      <c r="E531" s="1013"/>
      <c r="F531" s="1013"/>
      <c r="G531" s="1013"/>
    </row>
    <row r="532" spans="1:7" ht="12" customHeight="1">
      <c r="A532" s="269"/>
      <c r="B532" s="269"/>
      <c r="D532" s="44"/>
    </row>
    <row r="533" spans="1:7" ht="12.45">
      <c r="B533" s="606" t="s">
        <v>1374</v>
      </c>
      <c r="C533" s="188"/>
      <c r="D533" s="1037" t="s">
        <v>1520</v>
      </c>
      <c r="E533" s="1037"/>
      <c r="F533" s="1037"/>
    </row>
    <row r="534" spans="1:7" ht="12.45">
      <c r="C534" s="188"/>
      <c r="D534" s="1037"/>
      <c r="E534" s="1037"/>
      <c r="F534" s="1037"/>
    </row>
    <row r="535" spans="1:7" ht="12.45">
      <c r="A535" s="189"/>
      <c r="B535" s="189"/>
      <c r="C535" s="189"/>
      <c r="D535" s="1037"/>
      <c r="E535" s="1037"/>
      <c r="F535" s="1037"/>
    </row>
    <row r="536" spans="1:7" ht="12.45">
      <c r="A536" s="189"/>
      <c r="B536" s="189"/>
      <c r="C536" s="189"/>
      <c r="D536" s="1037"/>
      <c r="E536" s="1037"/>
      <c r="F536" s="1037"/>
    </row>
    <row r="537" spans="1:7" ht="12.45">
      <c r="A537" s="189"/>
      <c r="B537" s="189"/>
      <c r="C537" s="189"/>
    </row>
    <row r="538" spans="1:7" ht="12.9">
      <c r="A538" s="269"/>
      <c r="B538" s="606" t="s">
        <v>124</v>
      </c>
      <c r="C538" s="205"/>
      <c r="D538" s="990" t="s">
        <v>2126</v>
      </c>
      <c r="E538" s="990"/>
      <c r="F538" s="990"/>
      <c r="G538"/>
    </row>
    <row r="539" spans="1:7" ht="12.45">
      <c r="A539" s="205"/>
      <c r="B539" s="205"/>
      <c r="C539" s="205"/>
      <c r="D539" s="990"/>
      <c r="E539" s="990"/>
      <c r="F539" s="990"/>
      <c r="G539"/>
    </row>
    <row r="540" spans="1:7" ht="12.45">
      <c r="A540" s="189"/>
      <c r="B540" s="189"/>
      <c r="C540" s="189"/>
      <c r="D540" s="44"/>
      <c r="G540"/>
    </row>
    <row r="541" spans="1:7" ht="12.45">
      <c r="A541" s="189"/>
      <c r="B541" s="606" t="s">
        <v>124</v>
      </c>
      <c r="C541" s="189"/>
      <c r="D541" s="925" t="s">
        <v>2066</v>
      </c>
      <c r="E541" s="926"/>
      <c r="G541"/>
    </row>
    <row r="542" spans="1:7" ht="12.45">
      <c r="A542" s="189"/>
      <c r="B542" s="189"/>
      <c r="C542" s="189"/>
      <c r="D542" s="926"/>
      <c r="E542" s="102" t="s">
        <v>2067</v>
      </c>
      <c r="G542"/>
    </row>
    <row r="543" spans="1:7" ht="12.9">
      <c r="A543" s="269"/>
      <c r="B543"/>
      <c r="D543" s="1006" t="s">
        <v>2127</v>
      </c>
      <c r="E543" s="1006"/>
      <c r="F543" s="1006"/>
      <c r="G543"/>
    </row>
    <row r="544" spans="1:7" ht="12.9">
      <c r="A544" s="269"/>
      <c r="B544" s="269"/>
      <c r="D544" s="1006"/>
      <c r="E544" s="1006"/>
      <c r="F544" s="1006"/>
      <c r="G544"/>
    </row>
    <row r="545" spans="1:7" ht="12.45">
      <c r="D545" s="1006"/>
      <c r="E545" s="1006"/>
      <c r="F545" s="1006"/>
    </row>
    <row r="546" spans="1:7" ht="12" customHeight="1">
      <c r="A546" s="44"/>
      <c r="B546" s="44"/>
      <c r="C546" s="205"/>
      <c r="E546" s="44"/>
    </row>
    <row r="547" spans="1:7" ht="12.45">
      <c r="A547" s="1013" t="s">
        <v>1389</v>
      </c>
      <c r="B547" s="1013"/>
      <c r="C547" s="1013"/>
      <c r="D547" s="1013"/>
      <c r="E547" s="1013"/>
      <c r="F547" s="1013"/>
      <c r="G547" s="1013"/>
    </row>
    <row r="548" spans="1:7" ht="12" customHeight="1">
      <c r="A548" s="44"/>
      <c r="B548" s="44"/>
      <c r="C548" s="205"/>
      <c r="E548" s="44"/>
    </row>
    <row r="549" spans="1:7" ht="12.45">
      <c r="C549" s="205"/>
      <c r="D549" s="1014" t="s">
        <v>1418</v>
      </c>
      <c r="E549" s="1014"/>
      <c r="F549" s="1014"/>
    </row>
    <row r="550" spans="1:7" ht="12.45"/>
    <row r="551" spans="1:7" ht="12.45">
      <c r="B551" s="606" t="s">
        <v>124</v>
      </c>
      <c r="D551" s="990" t="s">
        <v>1546</v>
      </c>
      <c r="E551" s="990"/>
      <c r="F551" s="990"/>
    </row>
    <row r="552" spans="1:7" ht="12.45">
      <c r="D552" s="990"/>
      <c r="E552" s="990"/>
      <c r="F552" s="990"/>
    </row>
    <row r="553" spans="1:7" ht="12" customHeight="1">
      <c r="A553" s="205"/>
      <c r="B553" s="205"/>
      <c r="C553" s="205"/>
      <c r="D553" s="44"/>
    </row>
    <row r="554" spans="1:7" ht="12.9">
      <c r="A554" s="269"/>
      <c r="B554" s="606" t="s">
        <v>124</v>
      </c>
      <c r="C554" s="205"/>
      <c r="D554" s="990" t="s">
        <v>1547</v>
      </c>
      <c r="E554" s="990"/>
      <c r="F554" s="990"/>
    </row>
    <row r="555" spans="1:7" ht="12.45">
      <c r="A555" s="205"/>
      <c r="B555" s="205"/>
      <c r="C555" s="205"/>
      <c r="D555" s="990"/>
      <c r="E555" s="990"/>
      <c r="F555" s="990"/>
    </row>
    <row r="556" spans="1:7" ht="12" customHeight="1">
      <c r="A556" s="205"/>
      <c r="B556" s="205"/>
      <c r="C556" s="205"/>
      <c r="D556" s="44"/>
    </row>
    <row r="557" spans="1:7" ht="12.45">
      <c r="A557" s="1033" t="s">
        <v>1425</v>
      </c>
      <c r="B557" s="1033"/>
      <c r="C557" s="1033"/>
      <c r="D557" s="1033"/>
      <c r="E557" s="1033"/>
      <c r="F557" s="1033"/>
      <c r="G557" s="1033"/>
    </row>
    <row r="558" spans="1:7" ht="12" customHeight="1">
      <c r="A558" s="44"/>
      <c r="B558" s="44"/>
      <c r="C558" s="205"/>
      <c r="D558" s="44"/>
    </row>
    <row r="559" spans="1:7" ht="12.45">
      <c r="C559" s="205"/>
      <c r="D559" s="1014" t="s">
        <v>164</v>
      </c>
      <c r="E559" s="1014"/>
      <c r="F559" s="1014"/>
    </row>
    <row r="560" spans="1:7" ht="12.45">
      <c r="C560" s="205"/>
      <c r="D560" s="1008" t="s">
        <v>1529</v>
      </c>
      <c r="E560" s="1008"/>
      <c r="F560" s="1008"/>
    </row>
    <row r="561" spans="1:7" ht="12.45">
      <c r="C561" s="205"/>
      <c r="D561" s="44"/>
      <c r="E561" s="44"/>
      <c r="F561" s="44"/>
    </row>
    <row r="562" spans="1:7" ht="12.9">
      <c r="A562" s="269"/>
      <c r="B562" s="606" t="s">
        <v>1374</v>
      </c>
      <c r="C562" s="205"/>
      <c r="D562" s="1008" t="s">
        <v>1112</v>
      </c>
      <c r="E562" s="1008"/>
      <c r="F562" s="1008"/>
    </row>
    <row r="563" spans="1:7" ht="12" customHeight="1">
      <c r="A563" s="205"/>
      <c r="B563" s="205"/>
      <c r="C563" s="205"/>
      <c r="D563" s="44"/>
      <c r="E563"/>
      <c r="F563"/>
      <c r="G563"/>
    </row>
    <row r="564" spans="1:7" ht="14.4" customHeight="1">
      <c r="A564" s="269"/>
      <c r="B564" s="606" t="s">
        <v>1374</v>
      </c>
      <c r="C564" s="205"/>
      <c r="D564" s="990" t="s">
        <v>1528</v>
      </c>
      <c r="E564" s="990"/>
      <c r="F564" s="990"/>
      <c r="G564"/>
    </row>
    <row r="565" spans="1:7" ht="12.45">
      <c r="A565" s="205"/>
      <c r="B565" s="205"/>
      <c r="C565" s="205"/>
      <c r="D565" s="990"/>
      <c r="E565" s="990"/>
      <c r="F565" s="990"/>
      <c r="G565"/>
    </row>
    <row r="566" spans="1:7" ht="12" customHeight="1">
      <c r="A566" s="205"/>
      <c r="B566" s="205"/>
      <c r="C566" s="205"/>
      <c r="D566" s="44"/>
      <c r="E566"/>
      <c r="F566"/>
      <c r="G566"/>
    </row>
    <row r="567" spans="1:7" ht="12.9">
      <c r="A567" s="269"/>
      <c r="B567" s="606" t="s">
        <v>1374</v>
      </c>
      <c r="C567" s="205"/>
      <c r="D567" s="990" t="s">
        <v>1530</v>
      </c>
      <c r="E567" s="990"/>
      <c r="F567" s="990"/>
      <c r="G567"/>
    </row>
    <row r="568" spans="1:7" ht="12.45">
      <c r="A568" s="205"/>
      <c r="B568" s="205"/>
      <c r="C568" s="205"/>
      <c r="D568" s="990"/>
      <c r="E568" s="990"/>
      <c r="F568" s="990"/>
      <c r="G568"/>
    </row>
    <row r="569" spans="1:7" ht="12" customHeight="1">
      <c r="A569" s="205"/>
      <c r="B569" s="205"/>
      <c r="C569" s="205"/>
      <c r="D569" s="44"/>
      <c r="E569"/>
      <c r="F569"/>
      <c r="G569"/>
    </row>
    <row r="570" spans="1:7" ht="12.9">
      <c r="A570" s="269"/>
      <c r="B570" s="606" t="s">
        <v>1374</v>
      </c>
      <c r="C570" s="205"/>
      <c r="D570" s="990" t="s">
        <v>1531</v>
      </c>
      <c r="E570" s="990"/>
      <c r="F570" s="990"/>
      <c r="G570"/>
    </row>
    <row r="571" spans="1:7" ht="12.45">
      <c r="A571" s="205"/>
      <c r="B571" s="205"/>
      <c r="C571" s="205"/>
      <c r="D571" s="990"/>
      <c r="E571" s="990"/>
      <c r="F571" s="990"/>
      <c r="G571"/>
    </row>
    <row r="572" spans="1:7" ht="12" customHeight="1">
      <c r="A572" s="205"/>
      <c r="B572" s="205"/>
      <c r="C572" s="205"/>
      <c r="D572" s="44"/>
      <c r="E572"/>
      <c r="F572"/>
      <c r="G572"/>
    </row>
    <row r="573" spans="1:7" ht="14.4" customHeight="1">
      <c r="A573" s="269"/>
      <c r="B573" s="606" t="s">
        <v>1374</v>
      </c>
      <c r="C573" s="205"/>
      <c r="D573" s="990" t="s">
        <v>1532</v>
      </c>
      <c r="E573" s="990"/>
      <c r="F573" s="990"/>
      <c r="G573"/>
    </row>
    <row r="574" spans="1:7" ht="12.45">
      <c r="A574" s="205"/>
      <c r="B574" s="205"/>
      <c r="C574" s="205"/>
      <c r="D574" s="990"/>
      <c r="E574" s="990"/>
      <c r="F574" s="990"/>
      <c r="G574"/>
    </row>
    <row r="575" spans="1:7" ht="12.45">
      <c r="A575" s="205"/>
      <c r="B575" s="205"/>
      <c r="C575" s="205"/>
      <c r="D575" s="990"/>
      <c r="E575" s="990"/>
      <c r="F575" s="990"/>
      <c r="G575"/>
    </row>
    <row r="576" spans="1:7" ht="12.45">
      <c r="A576" s="205"/>
      <c r="B576" s="205"/>
      <c r="C576" s="205"/>
      <c r="D576" s="44"/>
      <c r="E576"/>
      <c r="F576"/>
      <c r="G576"/>
    </row>
    <row r="577" spans="1:7" ht="12.9">
      <c r="A577" s="269"/>
      <c r="B577" s="606" t="s">
        <v>124</v>
      </c>
      <c r="C577" s="205"/>
      <c r="D577" s="981" t="s">
        <v>1625</v>
      </c>
      <c r="E577" s="990"/>
      <c r="F577" s="990"/>
      <c r="G577"/>
    </row>
    <row r="578" spans="1:7" ht="12.45">
      <c r="A578" s="205"/>
      <c r="B578" s="205"/>
      <c r="C578" s="205"/>
      <c r="D578" s="990"/>
      <c r="E578" s="990"/>
      <c r="F578" s="990"/>
      <c r="G578"/>
    </row>
    <row r="579" spans="1:7" ht="12.45">
      <c r="A579" s="205"/>
      <c r="B579" s="205"/>
      <c r="C579" s="205"/>
      <c r="D579" s="44"/>
      <c r="G579"/>
    </row>
    <row r="580" spans="1:7" ht="12.9">
      <c r="A580" s="269"/>
      <c r="B580" s="606" t="s">
        <v>124</v>
      </c>
      <c r="C580" s="205"/>
      <c r="D580" s="990" t="s">
        <v>1533</v>
      </c>
      <c r="E580" s="990"/>
      <c r="F580" s="990"/>
      <c r="G580"/>
    </row>
    <row r="581" spans="1:7" ht="12.45">
      <c r="A581" s="205"/>
      <c r="B581" s="205"/>
      <c r="C581" s="205"/>
      <c r="D581" s="990"/>
      <c r="E581" s="990"/>
      <c r="F581" s="990"/>
      <c r="G581"/>
    </row>
    <row r="582" spans="1:7" ht="12" customHeight="1">
      <c r="A582" s="205"/>
      <c r="B582" s="205"/>
      <c r="C582" s="205"/>
      <c r="D582" s="44"/>
      <c r="G582"/>
    </row>
    <row r="583" spans="1:7" ht="12.9">
      <c r="A583" s="269"/>
      <c r="B583" s="606" t="s">
        <v>1374</v>
      </c>
      <c r="C583" s="205"/>
      <c r="D583" s="1008" t="s">
        <v>1534</v>
      </c>
      <c r="E583" s="1008"/>
      <c r="F583" s="1008"/>
      <c r="G583"/>
    </row>
    <row r="584" spans="1:7" ht="12.9">
      <c r="A584" s="269"/>
      <c r="B584" s="269"/>
      <c r="C584" s="205"/>
      <c r="D584" s="1036" t="s">
        <v>2068</v>
      </c>
      <c r="E584" s="1036"/>
      <c r="F584" s="1036"/>
      <c r="G584"/>
    </row>
    <row r="585" spans="1:7" ht="12.45">
      <c r="A585" s="18"/>
      <c r="B585" s="18"/>
      <c r="C585" s="205"/>
      <c r="D585" s="927"/>
      <c r="E585" s="102" t="s">
        <v>2069</v>
      </c>
      <c r="F585" s="928"/>
      <c r="G585"/>
    </row>
    <row r="586" spans="1:7" ht="15" customHeight="1">
      <c r="A586" s="18"/>
      <c r="B586" s="18"/>
      <c r="C586" s="205"/>
      <c r="D586" s="981" t="s">
        <v>1743</v>
      </c>
      <c r="E586" s="990"/>
      <c r="F586" s="990"/>
      <c r="G586"/>
    </row>
    <row r="587" spans="1:7" ht="12.45">
      <c r="A587" s="18"/>
      <c r="B587" s="18"/>
      <c r="C587" s="205"/>
      <c r="D587" s="990"/>
      <c r="E587" s="990"/>
      <c r="F587" s="990"/>
      <c r="G587"/>
    </row>
    <row r="588" spans="1:7" ht="12.45">
      <c r="A588" s="18"/>
      <c r="B588" s="18"/>
      <c r="C588" s="205"/>
      <c r="D588" s="990"/>
      <c r="E588" s="990"/>
      <c r="F588" s="990"/>
      <c r="G588"/>
    </row>
    <row r="589" spans="1:7" ht="12.45">
      <c r="A589" s="18"/>
      <c r="B589" s="18"/>
      <c r="C589" s="205"/>
      <c r="D589" s="990"/>
      <c r="E589" s="990"/>
      <c r="F589" s="990"/>
      <c r="G589"/>
    </row>
    <row r="590" spans="1:7" ht="12.45">
      <c r="A590" s="18"/>
      <c r="B590" s="18"/>
      <c r="C590" s="205"/>
      <c r="D590" s="990"/>
      <c r="E590" s="990"/>
      <c r="F590" s="990"/>
      <c r="G590"/>
    </row>
    <row r="591" spans="1:7" ht="12.45">
      <c r="A591" s="18"/>
      <c r="B591" s="18"/>
      <c r="C591" s="205"/>
      <c r="D591" s="990"/>
      <c r="E591" s="990"/>
      <c r="F591" s="990"/>
      <c r="G591"/>
    </row>
    <row r="592" spans="1:7" ht="12.45">
      <c r="A592" s="18"/>
      <c r="B592" s="18"/>
      <c r="C592" s="205"/>
      <c r="D592" s="990"/>
      <c r="E592" s="990"/>
      <c r="F592" s="990"/>
      <c r="G592"/>
    </row>
    <row r="593" spans="1:7" ht="12.45">
      <c r="A593" s="18"/>
      <c r="B593" s="18"/>
      <c r="C593" s="205"/>
      <c r="D593" s="990"/>
      <c r="E593" s="990"/>
      <c r="F593" s="990"/>
      <c r="G593"/>
    </row>
    <row r="594" spans="1:7" ht="12.45">
      <c r="A594" s="18"/>
      <c r="B594" s="18"/>
      <c r="C594" s="205"/>
      <c r="D594" s="990"/>
      <c r="E594" s="990"/>
      <c r="F594" s="990"/>
      <c r="G594"/>
    </row>
    <row r="595" spans="1:7" ht="12.45">
      <c r="A595" s="18"/>
      <c r="B595" s="18"/>
      <c r="C595" s="205"/>
      <c r="D595" s="207"/>
      <c r="E595" s="207"/>
      <c r="F595" s="207"/>
      <c r="G595"/>
    </row>
    <row r="596" spans="1:7" ht="12.9">
      <c r="A596" s="269"/>
      <c r="B596" s="606" t="s">
        <v>1374</v>
      </c>
      <c r="C596" s="205"/>
      <c r="D596" s="1008" t="s">
        <v>1535</v>
      </c>
      <c r="E596" s="1008"/>
      <c r="F596" s="1008"/>
      <c r="G596"/>
    </row>
    <row r="597" spans="1:7" ht="13.65" customHeight="1">
      <c r="C597" s="205"/>
      <c r="D597" s="990" t="s">
        <v>1536</v>
      </c>
      <c r="E597" s="990"/>
      <c r="F597" s="990"/>
      <c r="G597"/>
    </row>
    <row r="598" spans="1:7" ht="12.45">
      <c r="A598" s="205"/>
      <c r="B598" s="205"/>
      <c r="C598" s="205"/>
      <c r="D598" s="990"/>
      <c r="E598" s="990"/>
      <c r="F598" s="990"/>
      <c r="G598"/>
    </row>
    <row r="599" spans="1:7" ht="12.45">
      <c r="A599" s="205"/>
      <c r="B599" s="205"/>
      <c r="C599" s="205"/>
      <c r="D599" s="990"/>
      <c r="E599" s="990"/>
      <c r="F599" s="990"/>
      <c r="G599"/>
    </row>
    <row r="600" spans="1:7" ht="12.45">
      <c r="A600" s="205"/>
      <c r="B600" s="205"/>
      <c r="C600" s="205"/>
      <c r="D600" s="207"/>
      <c r="E600" s="207"/>
      <c r="F600" s="207"/>
      <c r="G600"/>
    </row>
    <row r="601" spans="1:7" ht="14.4" customHeight="1">
      <c r="A601" s="269"/>
      <c r="B601" s="606" t="s">
        <v>1374</v>
      </c>
      <c r="C601" s="205"/>
      <c r="D601" s="990" t="s">
        <v>2128</v>
      </c>
      <c r="E601" s="990"/>
      <c r="F601" s="990"/>
      <c r="G601"/>
    </row>
    <row r="602" spans="1:7" ht="12.9">
      <c r="A602" s="269"/>
      <c r="B602" s="269"/>
      <c r="C602" s="205"/>
      <c r="D602" s="990"/>
      <c r="E602" s="990"/>
      <c r="F602" s="990"/>
      <c r="G602"/>
    </row>
    <row r="603" spans="1:7" ht="12.9">
      <c r="A603" s="269"/>
      <c r="B603" s="269"/>
      <c r="C603" s="205"/>
      <c r="D603" s="990"/>
      <c r="E603" s="990"/>
      <c r="F603" s="990"/>
    </row>
    <row r="604" spans="1:7" ht="12.45">
      <c r="A604" s="205"/>
      <c r="B604" s="205"/>
      <c r="C604" s="205"/>
      <c r="D604" s="990"/>
      <c r="E604" s="990"/>
      <c r="F604" s="990"/>
    </row>
    <row r="605" spans="1:7" ht="12.45">
      <c r="A605" s="205"/>
      <c r="B605" s="205"/>
      <c r="C605" s="205"/>
      <c r="D605" s="44"/>
    </row>
    <row r="606" spans="1:7" ht="12.45">
      <c r="A606" s="189"/>
      <c r="B606" s="606" t="s">
        <v>124</v>
      </c>
      <c r="C606" s="189"/>
      <c r="D606" s="1011" t="s">
        <v>1801</v>
      </c>
      <c r="E606" s="1012"/>
      <c r="F606" s="1012"/>
    </row>
    <row r="607" spans="1:7" ht="12.45">
      <c r="A607" s="189"/>
      <c r="B607" s="189"/>
      <c r="C607" s="189"/>
    </row>
    <row r="608" spans="1:7" ht="12.45">
      <c r="A608" s="205"/>
      <c r="B608" s="205"/>
      <c r="C608" s="205"/>
      <c r="D608" s="24"/>
      <c r="E608" s="24"/>
      <c r="F608" s="24"/>
    </row>
    <row r="609" spans="1:7" ht="12.45">
      <c r="A609" s="1013" t="s">
        <v>1391</v>
      </c>
      <c r="B609" s="1013"/>
      <c r="C609" s="1013"/>
      <c r="D609" s="1013"/>
      <c r="E609" s="1013"/>
      <c r="F609" s="1013"/>
      <c r="G609" s="1013"/>
    </row>
    <row r="610" spans="1:7" ht="12.45">
      <c r="A610" s="205"/>
      <c r="B610" s="205"/>
      <c r="C610" s="205"/>
    </row>
    <row r="611" spans="1:7" ht="12.45">
      <c r="C611" s="188"/>
      <c r="D611" s="1015" t="s">
        <v>165</v>
      </c>
      <c r="E611" s="1015"/>
      <c r="F611" s="1015"/>
    </row>
    <row r="612" spans="1:7" ht="12.45">
      <c r="C612" s="188"/>
      <c r="D612" s="1016" t="s">
        <v>1439</v>
      </c>
      <c r="E612" s="1016"/>
      <c r="F612" s="1016"/>
    </row>
    <row r="613" spans="1:7" ht="12.45">
      <c r="C613" s="188"/>
      <c r="D613" s="368"/>
    </row>
    <row r="614" spans="1:7" ht="12.9">
      <c r="A614" s="269"/>
      <c r="B614" s="606" t="s">
        <v>1374</v>
      </c>
      <c r="D614" s="1016" t="s">
        <v>1113</v>
      </c>
      <c r="E614" s="1016"/>
      <c r="F614" s="1016"/>
    </row>
    <row r="615" spans="1:7" ht="12.45">
      <c r="A615" s="18"/>
      <c r="B615" s="18"/>
      <c r="D615" s="358"/>
    </row>
    <row r="616" spans="1:7" ht="14.4" customHeight="1">
      <c r="A616" s="269"/>
      <c r="B616" s="606" t="s">
        <v>1374</v>
      </c>
      <c r="D616" s="1016" t="s">
        <v>2129</v>
      </c>
      <c r="E616" s="1016"/>
      <c r="F616" s="1016"/>
    </row>
    <row r="617" spans="1:7" ht="14.4" customHeight="1">
      <c r="A617" s="269"/>
      <c r="B617" s="269"/>
      <c r="D617" s="1016"/>
      <c r="E617" s="1016"/>
      <c r="F617" s="1016"/>
    </row>
    <row r="618" spans="1:7" ht="12.9">
      <c r="A618" s="269"/>
      <c r="B618" s="269"/>
      <c r="D618" s="1016"/>
      <c r="E618" s="1016"/>
      <c r="F618" s="1016"/>
    </row>
    <row r="619" spans="1:7" ht="12.9">
      <c r="A619" s="269"/>
      <c r="B619" s="269"/>
      <c r="D619" s="610"/>
      <c r="E619" s="610"/>
      <c r="F619" s="610"/>
    </row>
    <row r="620" spans="1:7" ht="12.9">
      <c r="A620" s="269"/>
      <c r="B620" s="606" t="s">
        <v>124</v>
      </c>
      <c r="D620" s="1016" t="s">
        <v>1440</v>
      </c>
      <c r="E620" s="1016"/>
      <c r="F620" s="1016"/>
    </row>
    <row r="621" spans="1:7" ht="12.9">
      <c r="A621" s="269"/>
      <c r="B621" s="269"/>
      <c r="D621" s="1016"/>
      <c r="E621" s="1016"/>
      <c r="F621" s="1016"/>
    </row>
    <row r="622" spans="1:7" ht="12.9">
      <c r="A622" s="269"/>
      <c r="B622" s="269"/>
      <c r="D622" s="1016"/>
      <c r="E622" s="1016"/>
      <c r="F622" s="1016"/>
    </row>
    <row r="623" spans="1:7" ht="12.9">
      <c r="A623" s="269"/>
      <c r="B623" s="269"/>
      <c r="D623" s="1016"/>
      <c r="E623" s="1016"/>
      <c r="F623" s="1016"/>
    </row>
    <row r="624" spans="1:7" ht="12.9">
      <c r="A624" s="269"/>
      <c r="B624" s="269"/>
      <c r="D624" s="368"/>
    </row>
    <row r="625" spans="1:7" ht="12.9">
      <c r="A625" s="269"/>
      <c r="B625" s="606" t="s">
        <v>1374</v>
      </c>
      <c r="D625" s="1016" t="s">
        <v>2130</v>
      </c>
      <c r="E625" s="1016"/>
      <c r="F625" s="1016"/>
    </row>
    <row r="626" spans="1:7" ht="12.9">
      <c r="A626" s="269"/>
      <c r="B626" s="269"/>
      <c r="D626" s="1016"/>
      <c r="E626" s="1016"/>
      <c r="F626" s="1016"/>
    </row>
    <row r="627" spans="1:7" ht="12.9">
      <c r="A627" s="269"/>
      <c r="B627" s="269"/>
      <c r="D627" s="368"/>
    </row>
    <row r="628" spans="1:7" ht="14.4" customHeight="1">
      <c r="A628" s="269"/>
      <c r="B628" s="606" t="s">
        <v>124</v>
      </c>
      <c r="D628" s="1016" t="s">
        <v>1444</v>
      </c>
      <c r="E628" s="1016"/>
      <c r="F628" s="1016"/>
    </row>
    <row r="629" spans="1:7" ht="12.9">
      <c r="A629" s="269"/>
      <c r="B629" s="269"/>
      <c r="D629" s="1016"/>
      <c r="E629" s="1016"/>
      <c r="F629" s="1016"/>
    </row>
    <row r="630" spans="1:7" ht="12.9">
      <c r="A630" s="269"/>
      <c r="B630" s="269"/>
      <c r="D630" s="368"/>
    </row>
    <row r="631" spans="1:7" ht="12.9">
      <c r="A631" s="269"/>
      <c r="B631" s="606" t="s">
        <v>1374</v>
      </c>
      <c r="D631" s="1016" t="s">
        <v>1114</v>
      </c>
      <c r="E631" s="1016"/>
      <c r="F631" s="1016"/>
    </row>
    <row r="632" spans="1:7" ht="12.45">
      <c r="A632" s="18"/>
      <c r="B632" s="18"/>
    </row>
    <row r="633" spans="1:7" ht="12.45">
      <c r="A633" s="1013" t="s">
        <v>1393</v>
      </c>
      <c r="B633" s="1013"/>
      <c r="C633" s="1013"/>
      <c r="D633" s="1013"/>
      <c r="E633" s="1013"/>
      <c r="F633" s="1013"/>
      <c r="G633" s="1013"/>
    </row>
    <row r="634" spans="1:7" ht="12.45">
      <c r="A634" s="63"/>
      <c r="B634" s="63"/>
    </row>
    <row r="635" spans="1:7" ht="12.45">
      <c r="C635" s="189"/>
      <c r="D635" s="1022" t="s">
        <v>1392</v>
      </c>
      <c r="E635" s="1022"/>
      <c r="F635" s="1022"/>
    </row>
    <row r="636" spans="1:7" ht="12.45">
      <c r="C636" s="189"/>
      <c r="D636" s="1012" t="s">
        <v>1419</v>
      </c>
      <c r="E636" s="1012"/>
      <c r="F636" s="1012"/>
    </row>
    <row r="637" spans="1:7" ht="12.45">
      <c r="C637" s="189"/>
      <c r="D637" s="100"/>
      <c r="E637" s="100"/>
      <c r="F637" s="100"/>
    </row>
    <row r="638" spans="1:7" ht="14.25" customHeight="1">
      <c r="A638" s="269"/>
      <c r="B638" s="606" t="s">
        <v>1374</v>
      </c>
      <c r="D638" s="1003" t="s">
        <v>2071</v>
      </c>
      <c r="E638" s="1004"/>
      <c r="F638" s="1004"/>
    </row>
    <row r="639" spans="1:7" ht="12.45">
      <c r="D639" s="1004"/>
      <c r="E639" s="1004"/>
      <c r="F639" s="1004"/>
    </row>
    <row r="640" spans="1:7" ht="12.45">
      <c r="D640" s="929"/>
      <c r="E640" s="923" t="s">
        <v>2070</v>
      </c>
      <c r="F640" s="929"/>
    </row>
    <row r="641" spans="1:7" ht="12.45">
      <c r="D641" s="929"/>
      <c r="E641" s="923"/>
      <c r="F641" s="929"/>
    </row>
    <row r="642" spans="1:7" ht="12.45">
      <c r="B642" s="606" t="s">
        <v>124</v>
      </c>
      <c r="D642" s="1003" t="s">
        <v>2305</v>
      </c>
      <c r="E642" s="1003"/>
      <c r="F642" s="1003"/>
    </row>
    <row r="643" spans="1:7" ht="12.45">
      <c r="D643" s="1003"/>
      <c r="E643" s="1003"/>
      <c r="F643" s="1003"/>
    </row>
    <row r="644" spans="1:7" ht="12.45">
      <c r="D644" s="1003"/>
      <c r="E644" s="1003"/>
      <c r="F644" s="1003"/>
    </row>
    <row r="645" spans="1:7" ht="12.45">
      <c r="D645" s="1003"/>
      <c r="E645" s="1003"/>
      <c r="F645" s="1003"/>
    </row>
    <row r="646" spans="1:7" ht="12.45">
      <c r="D646" s="929"/>
      <c r="E646" s="923"/>
      <c r="F646" s="929"/>
    </row>
    <row r="647" spans="1:7" ht="12.45">
      <c r="A647" s="63"/>
      <c r="B647" s="63"/>
    </row>
    <row r="648" spans="1:7" ht="12" customHeight="1">
      <c r="A648" s="1013" t="s">
        <v>1395</v>
      </c>
      <c r="B648" s="1013"/>
      <c r="C648" s="1013"/>
      <c r="D648" s="1013"/>
      <c r="E648" s="1013"/>
      <c r="F648" s="1013"/>
      <c r="G648" s="1013"/>
    </row>
    <row r="649" spans="1:7" ht="12.45">
      <c r="A649" s="44"/>
      <c r="B649" s="44"/>
    </row>
    <row r="650" spans="1:7" ht="12.45">
      <c r="C650" s="188"/>
      <c r="D650" s="1014" t="s">
        <v>1394</v>
      </c>
      <c r="E650" s="1014"/>
      <c r="F650" s="1014"/>
    </row>
    <row r="651" spans="1:7" ht="12.45">
      <c r="A651" s="189"/>
      <c r="B651" s="189"/>
      <c r="C651" s="189"/>
      <c r="D651" s="1008" t="s">
        <v>1548</v>
      </c>
      <c r="E651" s="1008"/>
      <c r="F651" s="1008"/>
    </row>
    <row r="652" spans="1:7" ht="12.45">
      <c r="A652" s="189"/>
      <c r="B652" s="189"/>
      <c r="C652" s="189"/>
    </row>
    <row r="653" spans="1:7" ht="12.9">
      <c r="A653" s="269"/>
      <c r="B653" s="269"/>
      <c r="D653" s="1022" t="s">
        <v>869</v>
      </c>
      <c r="E653" s="1022"/>
      <c r="F653" s="1022"/>
    </row>
    <row r="654" spans="1:7" ht="12.9">
      <c r="A654" s="269"/>
      <c r="B654" s="606" t="s">
        <v>1374</v>
      </c>
      <c r="D654" s="1012" t="s">
        <v>1549</v>
      </c>
      <c r="E654" s="1012"/>
      <c r="F654" s="1012"/>
    </row>
    <row r="655" spans="1:7" ht="12.9">
      <c r="A655" s="269"/>
      <c r="B655" s="269"/>
      <c r="D655" s="44"/>
    </row>
    <row r="656" spans="1:7" ht="12.9">
      <c r="A656" s="269"/>
      <c r="B656" s="606" t="s">
        <v>124</v>
      </c>
      <c r="D656" s="990" t="s">
        <v>1550</v>
      </c>
      <c r="E656" s="990"/>
      <c r="F656" s="990"/>
    </row>
    <row r="657" spans="1:7" ht="12.9">
      <c r="A657" s="269"/>
      <c r="B657" s="269"/>
      <c r="D657" s="990"/>
      <c r="E657" s="990"/>
      <c r="F657" s="990"/>
    </row>
    <row r="658" spans="1:7" ht="12.9">
      <c r="A658" s="269"/>
      <c r="B658" s="269"/>
      <c r="D658" s="44"/>
    </row>
    <row r="659" spans="1:7" ht="12.9">
      <c r="A659" s="269"/>
      <c r="B659" s="606" t="s">
        <v>1374</v>
      </c>
      <c r="D659" s="981" t="s">
        <v>1909</v>
      </c>
      <c r="E659" s="981"/>
      <c r="F659" s="981"/>
    </row>
    <row r="660" spans="1:7" ht="13.65" customHeight="1">
      <c r="D660" s="981"/>
      <c r="E660" s="981"/>
      <c r="F660" s="981"/>
    </row>
    <row r="661" spans="1:7" ht="12.45"/>
    <row r="662" spans="1:7" ht="12.9">
      <c r="A662" s="269"/>
      <c r="B662" s="606" t="s">
        <v>124</v>
      </c>
      <c r="D662" s="1012" t="s">
        <v>1551</v>
      </c>
      <c r="E662" s="1012"/>
      <c r="F662" s="1012"/>
    </row>
    <row r="663" spans="1:7" ht="12.45">
      <c r="A663" s="188"/>
      <c r="B663" s="188"/>
      <c r="C663" s="188"/>
    </row>
    <row r="664" spans="1:7" ht="12.45">
      <c r="A664" s="1013" t="s">
        <v>1396</v>
      </c>
      <c r="B664" s="1013"/>
      <c r="C664" s="1013"/>
      <c r="D664" s="1013"/>
      <c r="E664" s="1013"/>
      <c r="F664" s="1013"/>
      <c r="G664" s="1013"/>
    </row>
    <row r="665" spans="1:7" ht="12.45">
      <c r="A665" s="188"/>
      <c r="B665" s="188"/>
      <c r="C665" s="188"/>
    </row>
    <row r="666" spans="1:7" ht="12.45">
      <c r="C666" s="18"/>
      <c r="D666" s="1052" t="s">
        <v>1420</v>
      </c>
      <c r="E666" s="1052"/>
      <c r="F666" s="1052"/>
    </row>
    <row r="667" spans="1:7" ht="12.45">
      <c r="A667" s="18"/>
      <c r="B667" s="18"/>
      <c r="D667" s="3"/>
    </row>
    <row r="668" spans="1:7" ht="14.25" customHeight="1">
      <c r="A668" s="269"/>
      <c r="B668" s="606" t="s">
        <v>1374</v>
      </c>
      <c r="D668" s="1003" t="s">
        <v>2131</v>
      </c>
      <c r="E668" s="1003"/>
      <c r="F668" s="1003"/>
    </row>
    <row r="669" spans="1:7" ht="12.9">
      <c r="A669" s="269"/>
      <c r="B669" s="269"/>
      <c r="D669" s="1003"/>
      <c r="E669" s="1003"/>
      <c r="F669" s="1003"/>
    </row>
    <row r="670" spans="1:7" ht="12.45">
      <c r="D670" s="929"/>
      <c r="E670" s="923" t="s">
        <v>2073</v>
      </c>
      <c r="F670" s="929"/>
    </row>
    <row r="671" spans="1:7" ht="12.45">
      <c r="D671" s="987" t="s">
        <v>2072</v>
      </c>
      <c r="E671" s="987"/>
      <c r="F671" s="987"/>
    </row>
    <row r="672" spans="1:7" ht="12.75" customHeight="1">
      <c r="D672" s="987"/>
      <c r="E672" s="987"/>
      <c r="F672" s="987"/>
    </row>
    <row r="673" spans="1:9" ht="12.45">
      <c r="B673"/>
      <c r="D673" s="987"/>
      <c r="E673" s="987"/>
      <c r="F673" s="987"/>
    </row>
    <row r="674" spans="1:9" ht="12.45"/>
    <row r="675" spans="1:9" ht="12.9">
      <c r="A675" s="301"/>
      <c r="B675" s="606" t="s">
        <v>124</v>
      </c>
      <c r="D675" s="1053" t="s">
        <v>1552</v>
      </c>
      <c r="E675" s="1053"/>
      <c r="F675" s="1053"/>
      <c r="G675" s="44"/>
    </row>
    <row r="676" spans="1:9" ht="12.9">
      <c r="A676" s="301"/>
      <c r="B676" s="301"/>
      <c r="D676" s="1053"/>
      <c r="E676" s="1053"/>
      <c r="F676" s="1053"/>
      <c r="G676" s="44"/>
    </row>
    <row r="677" spans="1:9" ht="12.9">
      <c r="A677" s="301"/>
      <c r="B677" s="301"/>
      <c r="D677" s="44"/>
      <c r="E677" s="44"/>
      <c r="F677" s="44"/>
      <c r="G677" s="44"/>
    </row>
    <row r="678" spans="1:9" ht="13.65" customHeight="1">
      <c r="A678" s="301"/>
      <c r="B678" s="606" t="s">
        <v>124</v>
      </c>
      <c r="D678" s="1023" t="s">
        <v>1802</v>
      </c>
      <c r="E678" s="1023"/>
      <c r="F678" s="1023"/>
      <c r="G678" s="44"/>
    </row>
    <row r="679" spans="1:9" ht="12.9">
      <c r="A679" s="301"/>
      <c r="B679" s="301"/>
      <c r="D679" s="1023"/>
      <c r="E679" s="1023"/>
      <c r="F679" s="1023"/>
      <c r="G679" s="44"/>
    </row>
    <row r="680" spans="1:9" ht="12.9">
      <c r="A680" s="269"/>
      <c r="B680" s="269"/>
      <c r="D680" s="623"/>
      <c r="E680" s="623"/>
      <c r="F680" s="623"/>
      <c r="G680" s="44"/>
    </row>
    <row r="681" spans="1:9" ht="12.9">
      <c r="A681" s="269"/>
      <c r="B681" s="606" t="s">
        <v>124</v>
      </c>
      <c r="C681" s="205"/>
      <c r="D681" s="1054" t="s">
        <v>1553</v>
      </c>
      <c r="E681" s="1054"/>
      <c r="F681" s="1054"/>
      <c r="G681" s="44"/>
    </row>
    <row r="682" spans="1:9" ht="12.45">
      <c r="A682" s="44"/>
      <c r="B682" s="44"/>
      <c r="C682" s="205"/>
      <c r="D682" s="44"/>
      <c r="E682" s="44"/>
      <c r="F682" s="44"/>
      <c r="G682" s="44"/>
      <c r="H682" s="265"/>
      <c r="I682" s="265"/>
    </row>
    <row r="683" spans="1:9" ht="12.45">
      <c r="A683" s="1013" t="s">
        <v>1398</v>
      </c>
      <c r="B683" s="1013"/>
      <c r="C683" s="1013"/>
      <c r="D683" s="1013"/>
      <c r="E683" s="1013"/>
      <c r="F683" s="1013"/>
      <c r="G683" s="1013"/>
    </row>
    <row r="684" spans="1:9" ht="12.45">
      <c r="A684" s="44"/>
      <c r="B684" s="44"/>
      <c r="C684" s="205"/>
      <c r="D684" s="44"/>
      <c r="E684" s="44"/>
      <c r="F684" s="44"/>
      <c r="G684" s="44"/>
    </row>
    <row r="685" spans="1:9" ht="12.45">
      <c r="C685" s="188"/>
      <c r="D685" s="1014" t="s">
        <v>1397</v>
      </c>
      <c r="E685" s="1014"/>
      <c r="F685" s="1014"/>
      <c r="G685" s="44"/>
    </row>
    <row r="686" spans="1:9" ht="12.45">
      <c r="A686" s="189"/>
      <c r="B686" s="189"/>
      <c r="C686" s="189"/>
      <c r="D686" s="1008" t="s">
        <v>1421</v>
      </c>
      <c r="E686" s="1008"/>
      <c r="F686" s="1008"/>
      <c r="G686" s="44"/>
    </row>
    <row r="687" spans="1:9" ht="12.45">
      <c r="A687" s="189"/>
      <c r="B687" s="189"/>
      <c r="C687" s="189"/>
      <c r="D687" s="44"/>
      <c r="E687" s="44"/>
      <c r="F687" s="44"/>
      <c r="G687" s="44"/>
    </row>
    <row r="688" spans="1:9" ht="14.4" customHeight="1">
      <c r="A688" s="269"/>
      <c r="B688" s="606" t="s">
        <v>1374</v>
      </c>
      <c r="C688" s="205"/>
      <c r="D688" s="981" t="s">
        <v>1865</v>
      </c>
      <c r="E688" s="981"/>
      <c r="F688" s="981"/>
      <c r="G688" s="44"/>
    </row>
    <row r="689" spans="1:7" ht="12.9">
      <c r="A689" s="269"/>
      <c r="B689" s="269"/>
      <c r="C689" s="205"/>
      <c r="D689" s="981"/>
      <c r="E689" s="981"/>
      <c r="F689" s="981"/>
      <c r="G689" s="44"/>
    </row>
    <row r="690" spans="1:7" ht="12.9">
      <c r="A690" s="269"/>
      <c r="B690" s="269"/>
      <c r="C690" s="205"/>
      <c r="D690" s="981"/>
      <c r="E690" s="981"/>
      <c r="F690" s="981"/>
      <c r="G690" s="44"/>
    </row>
    <row r="691" spans="1:7" ht="12.9">
      <c r="A691" s="269"/>
      <c r="B691" s="269"/>
      <c r="C691" s="205"/>
      <c r="D691" s="981"/>
      <c r="E691" s="981"/>
      <c r="F691" s="981"/>
      <c r="G691" s="44"/>
    </row>
    <row r="692" spans="1:7" ht="12.9">
      <c r="A692" s="269"/>
      <c r="B692" s="269"/>
      <c r="C692" s="205"/>
      <c r="D692" s="981"/>
      <c r="E692" s="981"/>
      <c r="F692" s="981"/>
      <c r="G692" s="44"/>
    </row>
    <row r="693" spans="1:7" ht="12.9">
      <c r="A693" s="269"/>
      <c r="B693" s="269"/>
      <c r="C693" s="205"/>
      <c r="D693" s="981"/>
      <c r="E693" s="981"/>
      <c r="F693" s="981"/>
      <c r="G693" s="44"/>
    </row>
    <row r="694" spans="1:7" ht="12.9" hidden="1">
      <c r="A694" s="269"/>
      <c r="B694" s="269"/>
      <c r="C694" s="205"/>
      <c r="D694" s="368"/>
      <c r="F694" s="44"/>
      <c r="G694" s="44"/>
    </row>
    <row r="695" spans="1:7" ht="12.9" hidden="1">
      <c r="A695" s="269"/>
      <c r="B695" s="606" t="s">
        <v>79</v>
      </c>
      <c r="C695" s="205"/>
      <c r="D695" s="1039" t="s">
        <v>1437</v>
      </c>
      <c r="E695" s="1039"/>
      <c r="F695" s="1039"/>
      <c r="G695" s="44"/>
    </row>
    <row r="696" spans="1:7" ht="12.9" hidden="1">
      <c r="A696" s="269"/>
      <c r="B696" s="269"/>
      <c r="C696" s="205"/>
      <c r="D696" s="1034" t="s">
        <v>2132</v>
      </c>
      <c r="E696" s="1034"/>
      <c r="F696" s="1034"/>
      <c r="G696" s="44"/>
    </row>
    <row r="697" spans="1:7" ht="12.9" hidden="1">
      <c r="A697" s="269"/>
      <c r="B697" s="269"/>
      <c r="C697" s="205"/>
      <c r="D697" s="1034"/>
      <c r="E697" s="1034"/>
      <c r="F697" s="1034"/>
      <c r="G697" s="44"/>
    </row>
    <row r="698" spans="1:7" ht="12.9" hidden="1">
      <c r="A698" s="269"/>
      <c r="B698" s="269"/>
      <c r="C698" s="205"/>
      <c r="D698" s="1034"/>
      <c r="E698" s="1034"/>
      <c r="F698" s="1034"/>
      <c r="G698" s="44"/>
    </row>
    <row r="699" spans="1:7" ht="12.9" hidden="1">
      <c r="A699" s="269"/>
      <c r="B699" s="269"/>
      <c r="C699" s="205"/>
      <c r="D699" s="1034"/>
      <c r="E699" s="1034"/>
      <c r="F699" s="1034"/>
      <c r="G699" s="44"/>
    </row>
    <row r="700" spans="1:7" ht="12.9" hidden="1">
      <c r="A700" s="269"/>
      <c r="B700" s="269"/>
      <c r="C700" s="205"/>
      <c r="D700" s="1034"/>
      <c r="E700" s="1034"/>
      <c r="F700" s="1034"/>
      <c r="G700" s="44"/>
    </row>
    <row r="701" spans="1:7" ht="12.9" hidden="1">
      <c r="A701" s="269"/>
      <c r="B701" s="269"/>
      <c r="C701" s="205"/>
      <c r="D701" s="1055" t="s">
        <v>1864</v>
      </c>
      <c r="E701" s="1055"/>
      <c r="F701" s="1055"/>
      <c r="G701" s="44"/>
    </row>
    <row r="702" spans="1:7" ht="12.45">
      <c r="A702" s="44"/>
      <c r="B702" s="44"/>
      <c r="C702" s="205"/>
      <c r="D702" s="44"/>
      <c r="E702" s="44"/>
      <c r="F702" s="44"/>
      <c r="G702" s="44"/>
    </row>
    <row r="703" spans="1:7" ht="12.45">
      <c r="A703" s="1013" t="s">
        <v>1399</v>
      </c>
      <c r="B703" s="1013"/>
      <c r="C703" s="1013"/>
      <c r="D703" s="1013"/>
      <c r="E703" s="1013"/>
      <c r="F703" s="1013"/>
      <c r="G703" s="1013"/>
    </row>
    <row r="704" spans="1:7" ht="12.45">
      <c r="A704" s="44"/>
      <c r="B704" s="44"/>
      <c r="C704" s="205"/>
      <c r="D704" s="44"/>
      <c r="E704" s="44"/>
      <c r="F704" s="44"/>
      <c r="G704" s="44"/>
    </row>
    <row r="705" spans="1:7" ht="12.45">
      <c r="C705" s="188"/>
      <c r="D705" s="1014" t="s">
        <v>782</v>
      </c>
      <c r="E705" s="1014"/>
      <c r="F705" s="1014"/>
      <c r="G705" s="44"/>
    </row>
    <row r="706" spans="1:7" ht="12.45">
      <c r="A706" s="188"/>
      <c r="B706" s="188"/>
      <c r="C706" s="188"/>
      <c r="D706" s="1014" t="s">
        <v>870</v>
      </c>
      <c r="E706" s="1014"/>
      <c r="F706" s="1014"/>
      <c r="G706" s="44"/>
    </row>
    <row r="707" spans="1:7" ht="12.45">
      <c r="A707" s="189"/>
      <c r="B707" s="189"/>
      <c r="C707" s="189"/>
      <c r="D707" s="1008" t="s">
        <v>1519</v>
      </c>
      <c r="E707" s="1008"/>
      <c r="F707" s="1008"/>
    </row>
    <row r="708" spans="1:7" ht="14.25" customHeight="1">
      <c r="A708" s="189"/>
      <c r="B708" s="189"/>
      <c r="C708" s="189"/>
    </row>
    <row r="709" spans="1:7" ht="12.9">
      <c r="A709" s="269"/>
      <c r="B709" s="606" t="s">
        <v>1374</v>
      </c>
      <c r="C709" s="189"/>
      <c r="D709" s="1008" t="s">
        <v>1115</v>
      </c>
      <c r="E709" s="1008"/>
      <c r="F709" s="1008"/>
    </row>
    <row r="710" spans="1:7" ht="12.45">
      <c r="A710" s="189"/>
      <c r="B710" s="189"/>
      <c r="C710" s="189"/>
      <c r="D710" s="1008" t="s">
        <v>1132</v>
      </c>
      <c r="E710" s="1008"/>
      <c r="F710" s="1008"/>
    </row>
    <row r="711" spans="1:7" ht="12.75" customHeight="1">
      <c r="A711" s="189"/>
      <c r="B711" s="189"/>
      <c r="C711" s="189"/>
      <c r="E711" s="923" t="s">
        <v>2075</v>
      </c>
      <c r="F711" s="15"/>
    </row>
    <row r="712" spans="1:7" ht="12.45">
      <c r="A712" s="189"/>
      <c r="B712" s="189"/>
      <c r="C712" s="189"/>
      <c r="E712" s="922" t="s">
        <v>2074</v>
      </c>
      <c r="F712" s="15"/>
    </row>
    <row r="713" spans="1:7" ht="12.45">
      <c r="A713" s="189"/>
      <c r="B713" s="189"/>
      <c r="C713" s="189"/>
      <c r="D713" s="210"/>
      <c r="E713" s="210"/>
      <c r="F713" s="210"/>
    </row>
    <row r="714" spans="1:7" ht="12.9">
      <c r="A714" s="269"/>
      <c r="B714" s="606" t="s">
        <v>124</v>
      </c>
      <c r="C714" s="189"/>
      <c r="D714" s="990" t="s">
        <v>2133</v>
      </c>
      <c r="E714" s="990"/>
      <c r="F714" s="990"/>
    </row>
    <row r="715" spans="1:7" ht="12.45">
      <c r="A715" s="18"/>
      <c r="B715" s="18"/>
      <c r="C715" s="189"/>
      <c r="D715" s="990"/>
      <c r="E715" s="990"/>
      <c r="F715" s="990"/>
    </row>
    <row r="716" spans="1:7" ht="12.45">
      <c r="A716" s="189"/>
      <c r="B716" s="189"/>
      <c r="C716" s="189"/>
      <c r="D716" s="990"/>
      <c r="E716" s="990"/>
      <c r="F716" s="990"/>
    </row>
    <row r="717" spans="1:7" ht="12.45">
      <c r="A717" s="189"/>
      <c r="B717" s="189"/>
      <c r="C717" s="189"/>
    </row>
    <row r="718" spans="1:7" ht="12.9">
      <c r="A718" s="269"/>
      <c r="B718" s="606" t="s">
        <v>124</v>
      </c>
      <c r="C718" s="189"/>
      <c r="D718" s="1008" t="s">
        <v>1173</v>
      </c>
      <c r="E718" s="1008"/>
      <c r="F718" s="1008"/>
    </row>
    <row r="719" spans="1:7" ht="12.9">
      <c r="A719" s="269"/>
      <c r="B719" s="269"/>
      <c r="C719" s="189"/>
      <c r="D719" s="1008" t="s">
        <v>1132</v>
      </c>
      <c r="E719" s="1008"/>
      <c r="F719" s="1008"/>
    </row>
    <row r="720" spans="1:7" ht="12.45">
      <c r="A720" s="189"/>
      <c r="B720" s="189"/>
      <c r="C720" s="189"/>
      <c r="E720" s="1025" t="s">
        <v>2076</v>
      </c>
      <c r="F720" s="1025"/>
    </row>
    <row r="721" spans="1:6" ht="12.45">
      <c r="A721" s="189"/>
      <c r="B721" s="189"/>
      <c r="C721" s="189"/>
      <c r="D721" s="3"/>
    </row>
    <row r="722" spans="1:6" ht="12.9">
      <c r="A722" s="269"/>
      <c r="B722" s="606" t="s">
        <v>124</v>
      </c>
      <c r="C722" s="189"/>
      <c r="D722" s="990" t="s">
        <v>1521</v>
      </c>
      <c r="E722" s="990"/>
      <c r="F722" s="990"/>
    </row>
    <row r="723" spans="1:6" ht="12.45">
      <c r="A723" s="189"/>
      <c r="B723" s="189"/>
      <c r="C723" s="189"/>
      <c r="D723" s="990"/>
      <c r="E723" s="990"/>
      <c r="F723" s="990"/>
    </row>
    <row r="724" spans="1:6" ht="12.45">
      <c r="A724" s="189"/>
      <c r="B724" s="189"/>
      <c r="C724" s="189"/>
      <c r="D724" s="990"/>
      <c r="E724" s="990"/>
      <c r="F724" s="990"/>
    </row>
    <row r="725" spans="1:6" ht="12.45">
      <c r="A725" s="189"/>
      <c r="B725" s="189"/>
      <c r="C725" s="189"/>
      <c r="D725" s="990"/>
      <c r="E725" s="990"/>
      <c r="F725" s="990"/>
    </row>
    <row r="726" spans="1:6" ht="12.45">
      <c r="A726" s="189"/>
      <c r="B726" s="189"/>
      <c r="C726" s="189"/>
      <c r="D726" s="990"/>
      <c r="E726" s="990"/>
      <c r="F726" s="990"/>
    </row>
    <row r="727" spans="1:6" ht="12.45">
      <c r="A727" s="189"/>
      <c r="B727" s="189"/>
      <c r="C727" s="189"/>
      <c r="D727" s="990"/>
      <c r="E727" s="990"/>
      <c r="F727" s="990"/>
    </row>
    <row r="728" spans="1:6" ht="12.45">
      <c r="A728" s="189"/>
      <c r="B728" s="189"/>
      <c r="C728" s="189"/>
      <c r="D728" s="990"/>
      <c r="E728" s="990"/>
      <c r="F728" s="990"/>
    </row>
    <row r="729" spans="1:6" ht="12.45">
      <c r="A729" s="189"/>
      <c r="B729" s="606" t="s">
        <v>124</v>
      </c>
      <c r="C729" s="189"/>
      <c r="D729" s="981" t="s">
        <v>1723</v>
      </c>
      <c r="E729" s="990"/>
      <c r="F729" s="990"/>
    </row>
    <row r="730" spans="1:6" ht="12.45">
      <c r="A730" s="189"/>
      <c r="B730" s="189"/>
      <c r="C730" s="189"/>
      <c r="D730" s="990"/>
      <c r="E730" s="990"/>
      <c r="F730" s="990"/>
    </row>
    <row r="731" spans="1:6" ht="12.45">
      <c r="A731" s="189"/>
      <c r="B731" s="189"/>
      <c r="C731" s="189"/>
    </row>
    <row r="732" spans="1:6" ht="14.4" customHeight="1">
      <c r="A732" s="269"/>
      <c r="B732" s="606" t="s">
        <v>124</v>
      </c>
      <c r="C732" s="189"/>
      <c r="D732" s="990" t="s">
        <v>1522</v>
      </c>
      <c r="E732" s="990"/>
      <c r="F732" s="990"/>
    </row>
    <row r="733" spans="1:6" ht="12.45">
      <c r="A733" s="189"/>
      <c r="B733" s="189"/>
      <c r="C733" s="189"/>
      <c r="D733" s="990"/>
      <c r="E733" s="990"/>
      <c r="F733" s="990"/>
    </row>
    <row r="734" spans="1:6" ht="12.45">
      <c r="A734" s="189"/>
      <c r="B734" s="189"/>
      <c r="C734" s="189"/>
      <c r="D734" s="990"/>
      <c r="E734" s="990"/>
      <c r="F734" s="990"/>
    </row>
    <row r="735" spans="1:6" ht="12.45">
      <c r="A735" s="189"/>
      <c r="B735" s="189"/>
      <c r="C735" s="189"/>
      <c r="D735" s="990"/>
      <c r="E735" s="990"/>
      <c r="F735" s="990"/>
    </row>
    <row r="736" spans="1:6" ht="12.45">
      <c r="A736" s="189"/>
      <c r="B736" s="189"/>
      <c r="C736" s="189"/>
      <c r="D736" s="990"/>
      <c r="E736" s="990"/>
      <c r="F736" s="990"/>
    </row>
    <row r="737" spans="1:9" ht="12.45">
      <c r="A737" s="189"/>
      <c r="B737" s="189"/>
      <c r="C737" s="189"/>
      <c r="D737" s="990"/>
      <c r="E737" s="990"/>
      <c r="F737" s="990"/>
    </row>
    <row r="738" spans="1:9" ht="12.45">
      <c r="A738" s="189"/>
      <c r="B738" s="189"/>
      <c r="C738" s="189"/>
      <c r="D738" s="990"/>
      <c r="E738" s="990"/>
      <c r="F738" s="990"/>
    </row>
    <row r="739" spans="1:9" ht="12.45">
      <c r="A739" s="189"/>
      <c r="B739" s="189"/>
      <c r="C739" s="189"/>
      <c r="D739" s="990"/>
      <c r="E739" s="990"/>
      <c r="F739" s="990"/>
    </row>
    <row r="740" spans="1:9" ht="12.45">
      <c r="A740" s="189"/>
      <c r="B740" s="189"/>
      <c r="C740" s="189"/>
      <c r="D740" s="990"/>
      <c r="E740" s="990"/>
      <c r="F740" s="990"/>
    </row>
    <row r="741" spans="1:9" ht="12.45">
      <c r="A741" s="189"/>
      <c r="B741" s="189"/>
      <c r="C741" s="189"/>
      <c r="D741" s="990"/>
      <c r="E741" s="990"/>
      <c r="F741" s="990"/>
    </row>
    <row r="742" spans="1:9" ht="12.45">
      <c r="A742" s="189"/>
      <c r="B742" s="189"/>
      <c r="C742" s="189"/>
      <c r="D742" s="990"/>
      <c r="E742" s="990"/>
      <c r="F742" s="990"/>
    </row>
    <row r="743" spans="1:9" ht="12.45">
      <c r="A743" s="189"/>
      <c r="B743" s="189"/>
      <c r="C743" s="189"/>
      <c r="D743" s="990"/>
      <c r="E743" s="990"/>
      <c r="F743" s="990"/>
    </row>
    <row r="744" spans="1:9" ht="12.45">
      <c r="A744" s="189"/>
      <c r="B744" s="189"/>
      <c r="C744" s="189"/>
      <c r="D744" s="990"/>
      <c r="E744" s="990"/>
      <c r="F744" s="990"/>
    </row>
    <row r="745" spans="1:9" ht="12.45">
      <c r="A745" s="189"/>
      <c r="B745" s="606" t="s">
        <v>124</v>
      </c>
      <c r="C745" s="189"/>
      <c r="D745" s="990" t="s">
        <v>1526</v>
      </c>
      <c r="E745" s="990"/>
      <c r="F745" s="990"/>
      <c r="H745" s="265"/>
      <c r="I745" s="265"/>
    </row>
    <row r="746" spans="1:9" ht="12.45">
      <c r="A746" s="189"/>
      <c r="B746" s="189"/>
      <c r="C746" s="189"/>
      <c r="D746" s="990"/>
      <c r="E746" s="990"/>
      <c r="F746" s="990"/>
      <c r="H746" s="265"/>
      <c r="I746" s="265"/>
    </row>
    <row r="747" spans="1:9" ht="12.45">
      <c r="A747" s="189"/>
      <c r="B747" s="189"/>
      <c r="C747" s="189"/>
      <c r="D747" s="24"/>
      <c r="E747" s="24"/>
      <c r="F747" s="24"/>
      <c r="H747" s="265"/>
      <c r="I747" s="265"/>
    </row>
    <row r="748" spans="1:9" ht="12.45">
      <c r="A748" s="189"/>
      <c r="B748" s="606" t="s">
        <v>124</v>
      </c>
      <c r="C748" s="189"/>
      <c r="D748" s="990" t="s">
        <v>1527</v>
      </c>
      <c r="E748" s="990"/>
      <c r="F748" s="990"/>
      <c r="H748" s="265"/>
      <c r="I748" s="265"/>
    </row>
    <row r="749" spans="1:9" ht="12.45">
      <c r="A749" s="189"/>
      <c r="B749" s="189"/>
      <c r="C749" s="189"/>
      <c r="D749" s="990"/>
      <c r="E749" s="990"/>
      <c r="F749" s="990"/>
      <c r="H749" s="265"/>
      <c r="I749" s="265"/>
    </row>
    <row r="750" spans="1:9" ht="12.45">
      <c r="A750" s="189"/>
      <c r="B750" s="189"/>
      <c r="C750" s="189"/>
      <c r="D750" s="990"/>
      <c r="E750" s="990"/>
      <c r="F750" s="990"/>
      <c r="H750" s="265"/>
      <c r="I750" s="265"/>
    </row>
    <row r="751" spans="1:9" ht="12.45">
      <c r="A751" s="189"/>
      <c r="B751" s="189"/>
      <c r="C751" s="189"/>
      <c r="D751" s="24"/>
      <c r="E751" s="24"/>
      <c r="F751" s="24"/>
      <c r="H751" s="265"/>
      <c r="I751" s="265"/>
    </row>
    <row r="752" spans="1:9" ht="14.4" customHeight="1">
      <c r="A752" s="269"/>
      <c r="B752" s="606" t="s">
        <v>124</v>
      </c>
      <c r="C752" s="189"/>
      <c r="D752" s="981" t="s">
        <v>1910</v>
      </c>
      <c r="E752" s="990"/>
      <c r="F752" s="990"/>
    </row>
    <row r="753" spans="1:9" ht="12.45">
      <c r="A753" s="189"/>
      <c r="B753" s="189"/>
      <c r="C753" s="189"/>
      <c r="D753" s="990"/>
      <c r="E753" s="990"/>
      <c r="F753" s="990"/>
    </row>
    <row r="754" spans="1:9" ht="12.45">
      <c r="A754" s="189"/>
      <c r="B754" s="189"/>
      <c r="C754" s="189"/>
      <c r="D754" s="990"/>
      <c r="E754" s="990"/>
      <c r="F754" s="990"/>
    </row>
    <row r="755" spans="1:9" ht="12.45">
      <c r="A755" s="189"/>
      <c r="B755" s="189"/>
      <c r="C755" s="189"/>
    </row>
    <row r="756" spans="1:9" ht="14.4" customHeight="1">
      <c r="A756" s="269"/>
      <c r="B756" s="606" t="s">
        <v>124</v>
      </c>
      <c r="C756" s="189"/>
      <c r="D756" s="990" t="s">
        <v>1523</v>
      </c>
      <c r="E756" s="990"/>
      <c r="F756" s="990"/>
    </row>
    <row r="757" spans="1:9" ht="12.45">
      <c r="A757" s="189"/>
      <c r="B757" s="189"/>
      <c r="C757" s="189"/>
      <c r="D757" s="990"/>
      <c r="E757" s="990"/>
      <c r="F757" s="990"/>
    </row>
    <row r="758" spans="1:9" ht="12.45">
      <c r="A758" s="189"/>
      <c r="B758" s="189"/>
      <c r="C758" s="189"/>
      <c r="D758" s="990"/>
      <c r="E758" s="990"/>
      <c r="F758" s="990"/>
    </row>
    <row r="759" spans="1:9" ht="12.45">
      <c r="A759" s="189"/>
      <c r="B759" s="189"/>
      <c r="C759" s="189"/>
      <c r="D759" s="210"/>
      <c r="H759" s="265"/>
      <c r="I759" s="265"/>
    </row>
    <row r="760" spans="1:9" ht="12.9">
      <c r="A760" s="269"/>
      <c r="B760" s="606" t="s">
        <v>124</v>
      </c>
      <c r="C760" s="189"/>
      <c r="D760" s="990" t="s">
        <v>1525</v>
      </c>
      <c r="E760" s="990"/>
      <c r="F760" s="990"/>
    </row>
    <row r="761" spans="1:9" ht="12.45">
      <c r="A761" s="189"/>
      <c r="B761" s="189"/>
      <c r="C761" s="189"/>
      <c r="D761" s="990"/>
      <c r="E761" s="990"/>
      <c r="F761" s="990"/>
    </row>
    <row r="762" spans="1:9" ht="12.45">
      <c r="A762" s="189"/>
      <c r="B762" s="189"/>
      <c r="C762" s="189"/>
      <c r="D762" s="990"/>
      <c r="E762" s="990"/>
      <c r="F762" s="990"/>
    </row>
    <row r="763" spans="1:9" ht="12.45">
      <c r="A763" s="189"/>
      <c r="B763" s="189"/>
      <c r="C763" s="189"/>
      <c r="D763" s="990"/>
      <c r="E763" s="990"/>
      <c r="F763" s="990"/>
    </row>
    <row r="764" spans="1:9" ht="12.45">
      <c r="A764" s="189"/>
      <c r="B764" s="189"/>
      <c r="C764" s="189"/>
      <c r="D764" s="24"/>
      <c r="E764" s="24"/>
      <c r="F764" s="24"/>
    </row>
    <row r="765" spans="1:9" ht="12.9">
      <c r="A765" s="269"/>
      <c r="B765" s="606" t="s">
        <v>124</v>
      </c>
      <c r="C765" s="189"/>
      <c r="D765" s="981" t="s">
        <v>2198</v>
      </c>
      <c r="E765" s="990"/>
      <c r="F765" s="990"/>
      <c r="H765" s="265"/>
      <c r="I765" s="265"/>
    </row>
    <row r="766" spans="1:9" ht="12.45">
      <c r="A766" s="189"/>
      <c r="B766" s="189"/>
      <c r="C766" s="189"/>
      <c r="D766" s="990"/>
      <c r="E766" s="990"/>
      <c r="F766" s="990"/>
      <c r="H766" s="265"/>
      <c r="I766" s="265"/>
    </row>
    <row r="767" spans="1:9" ht="12.45">
      <c r="A767" s="189"/>
      <c r="B767" s="189"/>
      <c r="C767" s="189"/>
      <c r="D767" s="990"/>
      <c r="E767" s="990"/>
      <c r="F767" s="990"/>
      <c r="H767" s="265"/>
      <c r="I767" s="265"/>
    </row>
    <row r="768" spans="1:9" ht="12.45">
      <c r="A768" s="189"/>
      <c r="B768" s="189"/>
      <c r="C768" s="189"/>
      <c r="D768" s="990"/>
      <c r="E768" s="990"/>
      <c r="F768" s="990"/>
      <c r="H768" s="265"/>
      <c r="I768" s="265"/>
    </row>
    <row r="769" spans="1:9" ht="12.45">
      <c r="A769" s="189"/>
      <c r="B769" s="189"/>
      <c r="C769" s="189"/>
      <c r="D769" s="990"/>
      <c r="E769" s="990"/>
      <c r="F769" s="990"/>
      <c r="H769" s="265"/>
      <c r="I769" s="265"/>
    </row>
    <row r="770" spans="1:9" ht="12.45">
      <c r="A770" s="189"/>
      <c r="B770" s="189"/>
      <c r="C770" s="189"/>
      <c r="D770" s="990"/>
      <c r="E770" s="990"/>
      <c r="F770" s="990"/>
      <c r="H770" s="265"/>
      <c r="I770" s="265"/>
    </row>
    <row r="771" spans="1:9" ht="12.45">
      <c r="A771" s="189"/>
      <c r="B771" s="189"/>
      <c r="C771" s="189"/>
      <c r="D771" s="990"/>
      <c r="E771" s="990"/>
      <c r="F771" s="990"/>
      <c r="H771" s="265"/>
      <c r="I771" s="265"/>
    </row>
    <row r="772" spans="1:9" ht="12.45">
      <c r="A772" s="189"/>
      <c r="B772" s="189"/>
      <c r="C772" s="189"/>
      <c r="D772" s="1050" t="s">
        <v>1524</v>
      </c>
      <c r="E772" s="1050"/>
      <c r="F772" s="1050"/>
      <c r="H772" s="265"/>
      <c r="I772" s="265"/>
    </row>
    <row r="773" spans="1:9" ht="12.45">
      <c r="A773" s="189"/>
      <c r="B773" s="189"/>
      <c r="C773" s="189"/>
      <c r="D773" s="557"/>
      <c r="H773" s="265"/>
      <c r="I773" s="265"/>
    </row>
    <row r="774" spans="1:9" ht="12.45">
      <c r="A774" s="1033" t="s">
        <v>1426</v>
      </c>
      <c r="B774" s="1033"/>
      <c r="C774" s="1033"/>
      <c r="D774" s="1033"/>
      <c r="E774" s="1033"/>
      <c r="F774" s="1033"/>
      <c r="G774" s="1033"/>
      <c r="H774" s="265"/>
      <c r="I774" s="265"/>
    </row>
    <row r="775" spans="1:9" ht="12.45">
      <c r="A775" s="189"/>
      <c r="B775" s="189"/>
      <c r="C775" s="189"/>
      <c r="D775" s="210"/>
      <c r="H775" s="265"/>
      <c r="I775" s="265"/>
    </row>
    <row r="776" spans="1:9" ht="12.45">
      <c r="C776" s="189"/>
      <c r="D776" s="1015" t="s">
        <v>1445</v>
      </c>
      <c r="E776" s="1015"/>
      <c r="F776" s="1015"/>
      <c r="H776" s="265"/>
      <c r="I776" s="265"/>
    </row>
    <row r="777" spans="1:9" ht="12.45">
      <c r="A777" s="188"/>
      <c r="B777" s="188"/>
      <c r="C777" s="188"/>
      <c r="D777" s="1012" t="s">
        <v>1448</v>
      </c>
      <c r="E777" s="1012"/>
      <c r="F777" s="1012"/>
      <c r="H777" s="265"/>
      <c r="I777" s="265"/>
    </row>
    <row r="778" spans="1:9" ht="12.45">
      <c r="A778" s="189"/>
      <c r="B778" s="189"/>
      <c r="C778" s="189"/>
      <c r="H778" s="265"/>
      <c r="I778" s="265"/>
    </row>
    <row r="779" spans="1:9" ht="14.25" customHeight="1">
      <c r="A779" s="269"/>
      <c r="B779" s="606" t="s">
        <v>1374</v>
      </c>
      <c r="D779" s="990" t="s">
        <v>1446</v>
      </c>
      <c r="E779" s="990"/>
      <c r="F779" s="990"/>
      <c r="H779" s="265"/>
      <c r="I779" s="265"/>
    </row>
    <row r="780" spans="1:9" ht="11.25" customHeight="1">
      <c r="D780" s="990"/>
      <c r="E780" s="990"/>
      <c r="F780" s="990"/>
      <c r="H780" s="265"/>
      <c r="I780" s="265"/>
    </row>
    <row r="781" spans="1:9" ht="12.45">
      <c r="D781" s="990"/>
      <c r="E781" s="990"/>
      <c r="F781" s="990"/>
      <c r="H781" s="265"/>
      <c r="I781" s="265"/>
    </row>
    <row r="782" spans="1:9" ht="12.45">
      <c r="D782" s="990"/>
      <c r="E782" s="990"/>
      <c r="F782" s="990"/>
      <c r="H782" s="265"/>
      <c r="I782" s="265"/>
    </row>
    <row r="783" spans="1:9" ht="12.45">
      <c r="D783" s="990"/>
      <c r="E783" s="990"/>
      <c r="F783" s="990"/>
      <c r="H783" s="265"/>
      <c r="I783" s="265"/>
    </row>
    <row r="784" spans="1:9" ht="17.25" customHeight="1">
      <c r="D784" s="990"/>
      <c r="E784" s="990"/>
      <c r="F784" s="990"/>
      <c r="H784" s="265"/>
      <c r="I784" s="265"/>
    </row>
    <row r="785" spans="1:9" ht="12.45">
      <c r="D785" s="44"/>
      <c r="E785" s="44"/>
      <c r="F785" s="44"/>
      <c r="H785" s="265"/>
      <c r="I785" s="265"/>
    </row>
    <row r="786" spans="1:9" ht="12.75" customHeight="1">
      <c r="B786" s="606" t="s">
        <v>1374</v>
      </c>
      <c r="D786" s="1023" t="s">
        <v>1851</v>
      </c>
      <c r="E786" s="1023"/>
      <c r="F786" s="1023"/>
      <c r="H786" s="265"/>
      <c r="I786" s="265"/>
    </row>
    <row r="787" spans="1:9" ht="12.45">
      <c r="D787" s="1023"/>
      <c r="E787" s="1023"/>
      <c r="F787" s="1023"/>
      <c r="H787" s="265"/>
      <c r="I787" s="265"/>
    </row>
    <row r="788" spans="1:9" ht="12.45">
      <c r="D788" s="1023"/>
      <c r="E788" s="1023"/>
      <c r="F788" s="1023"/>
      <c r="H788" s="265"/>
      <c r="I788" s="265"/>
    </row>
    <row r="789" spans="1:9" ht="12.45">
      <c r="D789" s="1023"/>
      <c r="E789" s="1023"/>
      <c r="F789" s="1023"/>
      <c r="H789" s="265"/>
      <c r="I789" s="265"/>
    </row>
    <row r="790" spans="1:9" ht="12.45">
      <c r="D790" s="44"/>
      <c r="H790" s="265"/>
      <c r="I790" s="265"/>
    </row>
    <row r="791" spans="1:9" ht="12.45">
      <c r="B791" s="606" t="s">
        <v>124</v>
      </c>
      <c r="C791" s="430"/>
      <c r="D791" s="1021" t="s">
        <v>1852</v>
      </c>
      <c r="E791" s="1034"/>
      <c r="F791" s="1034"/>
      <c r="G791" s="369"/>
      <c r="H791" s="265"/>
      <c r="I791" s="265"/>
    </row>
    <row r="792" spans="1:9" ht="12.45">
      <c r="A792" s="430"/>
      <c r="B792" s="430"/>
      <c r="C792" s="430"/>
      <c r="D792" s="1034"/>
      <c r="E792" s="1034"/>
      <c r="F792" s="1034"/>
      <c r="G792" s="369"/>
      <c r="H792" s="265"/>
      <c r="I792" s="265"/>
    </row>
    <row r="793" spans="1:9" ht="12.45">
      <c r="A793" s="430"/>
      <c r="B793" s="430"/>
      <c r="C793" s="430"/>
      <c r="D793" s="1034"/>
      <c r="E793" s="1034"/>
      <c r="F793" s="1034"/>
      <c r="G793" s="369"/>
      <c r="H793" s="265"/>
      <c r="I793" s="265"/>
    </row>
    <row r="794" spans="1:9" ht="12.45">
      <c r="D794" s="44"/>
      <c r="E794" s="44"/>
      <c r="F794" s="44"/>
      <c r="H794" s="265"/>
      <c r="I794" s="265"/>
    </row>
    <row r="795" spans="1:9" ht="12.45">
      <c r="B795" s="606" t="s">
        <v>1374</v>
      </c>
      <c r="D795" s="990" t="s">
        <v>1447</v>
      </c>
      <c r="E795" s="990"/>
      <c r="F795" s="990"/>
      <c r="H795" s="265"/>
      <c r="I795" s="265"/>
    </row>
    <row r="796" spans="1:9" ht="12.45">
      <c r="D796" s="990"/>
      <c r="E796" s="990"/>
      <c r="F796" s="990"/>
      <c r="H796" s="265"/>
      <c r="I796" s="265"/>
    </row>
    <row r="797" spans="1:9" ht="12.45">
      <c r="D797" s="24"/>
      <c r="E797" s="24"/>
      <c r="F797" s="24"/>
      <c r="H797" s="265"/>
      <c r="I797" s="265"/>
    </row>
    <row r="798" spans="1:9" ht="13.65" customHeight="1">
      <c r="B798" s="606" t="s">
        <v>124</v>
      </c>
      <c r="D798" s="981" t="s">
        <v>1745</v>
      </c>
      <c r="E798" s="990"/>
      <c r="F798" s="990"/>
      <c r="H798" s="265"/>
      <c r="I798" s="265"/>
    </row>
    <row r="799" spans="1:9" ht="12.45">
      <c r="D799" s="990"/>
      <c r="E799" s="990"/>
      <c r="F799" s="990"/>
      <c r="H799" s="265"/>
      <c r="I799" s="265"/>
    </row>
    <row r="800" spans="1:9" ht="12.45">
      <c r="D800" s="990"/>
      <c r="E800" s="990"/>
      <c r="F800" s="990"/>
      <c r="H800" s="265"/>
      <c r="I800" s="265"/>
    </row>
    <row r="801" spans="1:9" ht="12.45">
      <c r="D801" s="24"/>
      <c r="E801" s="24"/>
      <c r="F801" s="24"/>
      <c r="H801" s="265"/>
      <c r="I801" s="265"/>
    </row>
    <row r="802" spans="1:9" ht="12" customHeight="1">
      <c r="A802" s="1033" t="s">
        <v>1586</v>
      </c>
      <c r="B802" s="1033"/>
      <c r="C802" s="1033"/>
      <c r="D802" s="1033"/>
      <c r="E802" s="1033"/>
      <c r="F802" s="1033"/>
      <c r="G802" s="1033"/>
      <c r="H802" s="265"/>
      <c r="I802" s="265"/>
    </row>
    <row r="803" spans="1:9" ht="12.45">
      <c r="A803" s="63"/>
      <c r="B803" s="63"/>
      <c r="H803" s="265"/>
      <c r="I803" s="265"/>
    </row>
    <row r="804" spans="1:9" ht="13.65" customHeight="1">
      <c r="A804" s="63"/>
      <c r="B804" s="63"/>
      <c r="D804" s="1061" t="s">
        <v>1587</v>
      </c>
      <c r="E804" s="1061"/>
      <c r="F804" s="1061"/>
      <c r="H804" s="265"/>
      <c r="I804" s="265"/>
    </row>
    <row r="805" spans="1:9" ht="12.45">
      <c r="A805" s="63"/>
      <c r="B805" s="63"/>
      <c r="D805" s="1018" t="s">
        <v>1588</v>
      </c>
      <c r="E805" s="1018"/>
      <c r="F805" s="1018"/>
      <c r="H805" s="265"/>
      <c r="I805" s="265"/>
    </row>
    <row r="806" spans="1:9" ht="12.45">
      <c r="A806" s="63"/>
      <c r="B806" s="63"/>
      <c r="D806" s="417"/>
      <c r="E806" s="417"/>
      <c r="F806" s="417"/>
      <c r="H806" s="265"/>
      <c r="I806" s="265"/>
    </row>
    <row r="807" spans="1:9" ht="12.45">
      <c r="A807" s="63"/>
      <c r="B807" s="606" t="s">
        <v>1374</v>
      </c>
      <c r="D807" s="1034" t="s">
        <v>1589</v>
      </c>
      <c r="E807" s="1034"/>
      <c r="F807" s="1034"/>
      <c r="H807" s="265"/>
      <c r="I807" s="265"/>
    </row>
    <row r="808" spans="1:9" ht="12.45">
      <c r="A808" s="63"/>
      <c r="B808" s="63"/>
      <c r="D808" s="1034"/>
      <c r="E808" s="1034"/>
      <c r="F808" s="1034"/>
      <c r="H808" s="265"/>
      <c r="I808" s="265"/>
    </row>
    <row r="809" spans="1:9" ht="12.45">
      <c r="A809" s="189"/>
      <c r="B809" s="189"/>
      <c r="C809" s="189"/>
      <c r="D809" s="1034"/>
      <c r="E809" s="1034"/>
      <c r="F809" s="1034"/>
      <c r="G809" s="44"/>
      <c r="H809" s="265"/>
      <c r="I809" s="265"/>
    </row>
    <row r="810" spans="1:9" ht="12.45">
      <c r="D810" s="190"/>
      <c r="H810" s="265"/>
      <c r="I810" s="265"/>
    </row>
    <row r="811" spans="1:9" ht="12.45">
      <c r="A811" s="188"/>
      <c r="B811" s="606" t="s">
        <v>124</v>
      </c>
      <c r="C811" s="188"/>
      <c r="D811" s="1021" t="s">
        <v>2194</v>
      </c>
      <c r="E811" s="1034"/>
      <c r="F811" s="1034"/>
      <c r="H811" s="265"/>
      <c r="I811" s="265"/>
    </row>
    <row r="812" spans="1:9" ht="12.45">
      <c r="A812" s="188"/>
      <c r="B812" s="188"/>
      <c r="C812" s="188"/>
      <c r="D812" s="1034"/>
      <c r="E812" s="1034"/>
      <c r="F812" s="1034"/>
      <c r="H812" s="265"/>
      <c r="I812" s="265"/>
    </row>
    <row r="813" spans="1:9" ht="27.75" customHeight="1">
      <c r="A813" s="188"/>
      <c r="B813" s="188"/>
      <c r="C813" s="188"/>
      <c r="D813" s="1034"/>
      <c r="E813" s="1034"/>
      <c r="F813" s="1034"/>
      <c r="H813" s="265"/>
      <c r="I813" s="265"/>
    </row>
    <row r="814" spans="1:9" ht="12.45">
      <c r="A814" s="189"/>
      <c r="B814" s="189"/>
      <c r="C814" s="189"/>
      <c r="E814" s="186"/>
      <c r="F814" s="186"/>
      <c r="G814" s="186"/>
      <c r="H814" s="265"/>
      <c r="I814" s="265"/>
    </row>
    <row r="815" spans="1:9" ht="14.4" customHeight="1">
      <c r="A815" s="269"/>
      <c r="B815" s="606" t="s">
        <v>124</v>
      </c>
      <c r="C815" s="205"/>
      <c r="D815" s="1021" t="s">
        <v>1690</v>
      </c>
      <c r="E815" s="1021"/>
      <c r="F815" s="1021"/>
      <c r="G815" s="186"/>
      <c r="H815" s="265"/>
      <c r="I815" s="265"/>
    </row>
    <row r="816" spans="1:9" ht="12.9">
      <c r="A816" s="269"/>
      <c r="B816" s="269"/>
      <c r="C816" s="205"/>
      <c r="D816" s="1021"/>
      <c r="E816" s="1021"/>
      <c r="F816" s="1021"/>
      <c r="G816" s="186"/>
      <c r="H816" s="265"/>
      <c r="I816" s="265"/>
    </row>
    <row r="817" spans="1:9" ht="12.9">
      <c r="A817" s="269"/>
      <c r="B817" s="269"/>
      <c r="C817" s="205"/>
      <c r="D817" s="1021"/>
      <c r="E817" s="1021"/>
      <c r="F817" s="1021"/>
      <c r="G817" s="186"/>
      <c r="H817" s="265"/>
      <c r="I817" s="265"/>
    </row>
    <row r="818" spans="1:9" ht="12.9">
      <c r="A818" s="269"/>
      <c r="B818" s="269"/>
      <c r="C818" s="205"/>
      <c r="D818" s="44"/>
      <c r="G818" s="186"/>
      <c r="H818" s="265"/>
      <c r="I818" s="265"/>
    </row>
    <row r="819" spans="1:9" ht="14.25" customHeight="1">
      <c r="A819" s="269"/>
      <c r="B819" s="606" t="s">
        <v>1374</v>
      </c>
      <c r="C819" s="205"/>
      <c r="D819" s="1034" t="s">
        <v>1590</v>
      </c>
      <c r="E819" s="1034"/>
      <c r="F819" s="1034"/>
      <c r="G819" s="186"/>
      <c r="H819" s="265"/>
      <c r="I819" s="265"/>
    </row>
    <row r="820" spans="1:9" ht="12.9">
      <c r="A820" s="269"/>
      <c r="B820" s="269"/>
      <c r="C820" s="205"/>
      <c r="D820" s="1034"/>
      <c r="E820" s="1034"/>
      <c r="F820" s="1034"/>
      <c r="G820" s="186"/>
      <c r="H820" s="265"/>
      <c r="I820" s="265"/>
    </row>
    <row r="821" spans="1:9" ht="12.9">
      <c r="A821" s="269"/>
      <c r="B821" s="269"/>
      <c r="C821" s="205"/>
      <c r="D821" s="1034"/>
      <c r="E821" s="1034"/>
      <c r="F821" s="1034"/>
      <c r="G821" s="186"/>
      <c r="H821" s="265"/>
      <c r="I821" s="265"/>
    </row>
    <row r="822" spans="1:9" ht="12.9">
      <c r="A822" s="269"/>
      <c r="B822" s="269"/>
      <c r="C822" s="205"/>
      <c r="D822" s="1034"/>
      <c r="E822" s="1034"/>
      <c r="F822" s="1034"/>
      <c r="G822" s="186"/>
      <c r="H822" s="265"/>
      <c r="I822" s="265"/>
    </row>
    <row r="823" spans="1:9" ht="12.9">
      <c r="A823" s="269"/>
      <c r="B823" s="269"/>
      <c r="C823" s="205"/>
      <c r="D823" s="1034"/>
      <c r="E823" s="1034"/>
      <c r="F823" s="1034"/>
      <c r="G823" s="186"/>
      <c r="H823" s="265"/>
      <c r="I823" s="265"/>
    </row>
    <row r="824" spans="1:9" ht="12.9">
      <c r="A824" s="269"/>
      <c r="B824" s="269"/>
      <c r="C824" s="205"/>
      <c r="D824" s="1021" t="s">
        <v>1996</v>
      </c>
      <c r="E824" s="1021"/>
      <c r="F824" s="1021"/>
      <c r="G824" s="186"/>
      <c r="H824" s="265"/>
      <c r="I824" s="265"/>
    </row>
    <row r="825" spans="1:9" ht="12.9">
      <c r="A825" s="269"/>
      <c r="B825" s="269"/>
      <c r="C825" s="205"/>
      <c r="D825" s="1021"/>
      <c r="E825" s="1021"/>
      <c r="F825" s="1021"/>
      <c r="G825" s="186"/>
      <c r="H825" s="265"/>
      <c r="I825" s="265"/>
    </row>
    <row r="826" spans="1:9" ht="12.9">
      <c r="A826" s="269"/>
      <c r="B826" s="269"/>
      <c r="C826" s="205"/>
      <c r="D826" s="1021"/>
      <c r="E826" s="1021"/>
      <c r="F826" s="1021"/>
      <c r="G826" s="186"/>
      <c r="H826" s="265"/>
      <c r="I826" s="265"/>
    </row>
    <row r="827" spans="1:9" ht="12.9">
      <c r="A827" s="269"/>
      <c r="C827" s="205"/>
      <c r="D827" s="790"/>
      <c r="E827" s="790"/>
      <c r="F827" s="790"/>
      <c r="G827" s="186"/>
      <c r="H827" s="265"/>
      <c r="I827" s="265"/>
    </row>
    <row r="828" spans="1:9" ht="12.9">
      <c r="A828" s="269"/>
      <c r="B828" s="606" t="s">
        <v>124</v>
      </c>
      <c r="C828" s="205"/>
      <c r="D828" s="1034" t="s">
        <v>1592</v>
      </c>
      <c r="E828" s="1034"/>
      <c r="F828" s="1034"/>
      <c r="G828" s="186"/>
      <c r="H828" s="265"/>
      <c r="I828" s="265"/>
    </row>
    <row r="829" spans="1:9" ht="12.9">
      <c r="A829" s="269"/>
      <c r="B829" s="269"/>
      <c r="C829" s="205"/>
      <c r="D829" s="1034"/>
      <c r="E829" s="1034"/>
      <c r="F829" s="1034"/>
      <c r="G829" s="186"/>
      <c r="H829" s="265"/>
      <c r="I829" s="265"/>
    </row>
    <row r="830" spans="1:9" ht="12.9">
      <c r="A830" s="269"/>
      <c r="B830" s="269"/>
      <c r="C830" s="205"/>
      <c r="D830" s="1034"/>
      <c r="E830" s="1034"/>
      <c r="F830" s="1034"/>
      <c r="G830" s="186"/>
      <c r="H830" s="265"/>
      <c r="I830" s="265"/>
    </row>
    <row r="831" spans="1:9" ht="12.9">
      <c r="A831" s="269"/>
      <c r="B831" s="269"/>
      <c r="C831" s="205"/>
      <c r="D831" s="1034"/>
      <c r="E831" s="1034"/>
      <c r="F831" s="1034"/>
      <c r="G831" s="186"/>
      <c r="H831" s="265"/>
      <c r="I831" s="265"/>
    </row>
    <row r="832" spans="1:9" ht="12.9">
      <c r="A832" s="269"/>
      <c r="B832" s="269"/>
      <c r="C832" s="205"/>
      <c r="D832" s="1034"/>
      <c r="E832" s="1034"/>
      <c r="F832" s="1034"/>
      <c r="G832" s="186"/>
      <c r="H832" s="265"/>
      <c r="I832" s="265"/>
    </row>
    <row r="833" spans="1:9" ht="12.9">
      <c r="A833" s="269"/>
      <c r="B833" s="269"/>
      <c r="C833" s="205"/>
      <c r="D833" s="1034"/>
      <c r="E833" s="1034"/>
      <c r="F833" s="1034"/>
      <c r="G833" s="186"/>
      <c r="H833" s="265"/>
      <c r="I833" s="265"/>
    </row>
    <row r="834" spans="1:9" ht="12.9">
      <c r="A834" s="269"/>
      <c r="B834" s="269"/>
      <c r="C834" s="205"/>
      <c r="D834" s="651"/>
      <c r="E834" s="651"/>
      <c r="F834" s="651"/>
      <c r="G834" s="186"/>
      <c r="H834" s="265"/>
      <c r="I834" s="265"/>
    </row>
    <row r="835" spans="1:9" ht="12.9">
      <c r="A835" s="269"/>
      <c r="B835" s="606" t="s">
        <v>124</v>
      </c>
      <c r="C835" s="205"/>
      <c r="D835" s="1021" t="s">
        <v>1853</v>
      </c>
      <c r="E835" s="1034"/>
      <c r="F835" s="1034"/>
      <c r="G835" s="186"/>
      <c r="H835" s="265"/>
      <c r="I835" s="265"/>
    </row>
    <row r="836" spans="1:9" ht="12.9">
      <c r="A836" s="269"/>
      <c r="B836" s="269"/>
      <c r="C836" s="205"/>
      <c r="D836" s="1034"/>
      <c r="E836" s="1034"/>
      <c r="F836" s="1034"/>
      <c r="G836" s="186"/>
      <c r="H836" s="265"/>
      <c r="I836" s="265"/>
    </row>
    <row r="837" spans="1:9" ht="12.9">
      <c r="A837" s="269"/>
      <c r="B837" s="269"/>
      <c r="C837" s="205"/>
      <c r="D837" s="1034"/>
      <c r="E837" s="1034"/>
      <c r="F837" s="1034"/>
      <c r="G837" s="186"/>
      <c r="H837" s="265"/>
      <c r="I837" s="265"/>
    </row>
    <row r="838" spans="1:9" ht="12.9">
      <c r="A838" s="269"/>
      <c r="B838" s="269"/>
      <c r="C838" s="205"/>
      <c r="D838" s="1034"/>
      <c r="E838" s="1034"/>
      <c r="F838" s="1034"/>
      <c r="G838" s="186"/>
      <c r="H838" s="265"/>
      <c r="I838" s="265"/>
    </row>
    <row r="839" spans="1:9" ht="12.9">
      <c r="A839" s="269"/>
      <c r="B839" s="269"/>
      <c r="C839" s="205"/>
      <c r="D839" s="1034"/>
      <c r="E839" s="1034"/>
      <c r="F839" s="1034"/>
      <c r="G839" s="186"/>
      <c r="H839" s="265"/>
      <c r="I839" s="265"/>
    </row>
    <row r="840" spans="1:9" ht="12.9">
      <c r="A840" s="269"/>
      <c r="B840" s="269"/>
      <c r="C840" s="205"/>
      <c r="D840" s="651"/>
      <c r="E840" s="651"/>
      <c r="F840" s="651"/>
      <c r="G840" s="186"/>
      <c r="H840" s="265"/>
      <c r="I840" s="265"/>
    </row>
    <row r="841" spans="1:9" ht="12.9">
      <c r="A841" s="269"/>
      <c r="B841" s="606" t="s">
        <v>124</v>
      </c>
      <c r="C841" s="205"/>
      <c r="D841" s="1034" t="s">
        <v>1591</v>
      </c>
      <c r="E841" s="1034"/>
      <c r="F841" s="1034"/>
      <c r="G841" s="186"/>
      <c r="H841" s="265"/>
      <c r="I841" s="265"/>
    </row>
    <row r="842" spans="1:9" ht="12.9">
      <c r="A842" s="269"/>
      <c r="B842" s="269"/>
      <c r="C842" s="205"/>
      <c r="D842" s="1034"/>
      <c r="E842" s="1034"/>
      <c r="F842" s="1034"/>
      <c r="G842" s="186"/>
      <c r="H842" s="265"/>
      <c r="I842" s="265"/>
    </row>
    <row r="843" spans="1:9" ht="12.9">
      <c r="A843" s="269"/>
      <c r="B843" s="269"/>
      <c r="C843" s="205"/>
      <c r="D843" s="1034"/>
      <c r="E843" s="1034"/>
      <c r="F843" s="1034"/>
      <c r="G843" s="186"/>
      <c r="H843" s="265"/>
      <c r="I843" s="265"/>
    </row>
    <row r="844" spans="1:9" ht="12.9">
      <c r="A844" s="269"/>
      <c r="B844" s="269"/>
      <c r="C844" s="205"/>
      <c r="D844" s="1034"/>
      <c r="E844" s="1034"/>
      <c r="F844" s="1034"/>
      <c r="G844" s="186"/>
      <c r="H844" s="265"/>
      <c r="I844" s="265"/>
    </row>
    <row r="845" spans="1:9" ht="12.9">
      <c r="A845" s="269"/>
      <c r="B845" s="269"/>
      <c r="C845" s="205"/>
      <c r="D845" s="186"/>
      <c r="G845" s="186"/>
      <c r="H845" s="265"/>
      <c r="I845" s="265"/>
    </row>
    <row r="846" spans="1:9" ht="12.9">
      <c r="A846" s="269"/>
      <c r="B846" s="606" t="s">
        <v>124</v>
      </c>
      <c r="C846" s="205"/>
      <c r="D846" s="1042" t="s">
        <v>1594</v>
      </c>
      <c r="E846" s="1042"/>
      <c r="F846" s="1042"/>
      <c r="G846" s="186"/>
      <c r="H846" s="265"/>
      <c r="I846" s="265"/>
    </row>
    <row r="847" spans="1:9" ht="12.9">
      <c r="A847" s="269"/>
      <c r="B847" s="269"/>
      <c r="C847" s="205"/>
      <c r="D847" s="1042"/>
      <c r="E847" s="1042"/>
      <c r="F847" s="1042"/>
      <c r="G847" s="186"/>
      <c r="H847" s="265"/>
      <c r="I847" s="265"/>
    </row>
    <row r="848" spans="1:9" ht="12.45">
      <c r="A848" s="18"/>
      <c r="B848" s="18"/>
      <c r="C848" s="205"/>
      <c r="D848" s="1042"/>
      <c r="E848" s="1042"/>
      <c r="F848" s="1042"/>
      <c r="G848" s="186"/>
      <c r="H848" s="265"/>
      <c r="I848" s="265"/>
    </row>
    <row r="849" spans="1:9" ht="12.9">
      <c r="A849" s="269"/>
      <c r="B849" s="18"/>
      <c r="C849" s="205"/>
      <c r="D849" s="1042"/>
      <c r="E849" s="1042"/>
      <c r="F849" s="1042"/>
      <c r="G849" s="186"/>
      <c r="H849" s="265"/>
      <c r="I849" s="265"/>
    </row>
    <row r="850" spans="1:9" ht="12.9">
      <c r="A850" s="269"/>
      <c r="B850" s="18"/>
      <c r="C850" s="205"/>
      <c r="D850" s="1042"/>
      <c r="E850" s="1042"/>
      <c r="F850" s="1042"/>
      <c r="G850" s="186"/>
      <c r="H850" s="265"/>
      <c r="I850" s="265"/>
    </row>
    <row r="851" spans="1:9" ht="12.9">
      <c r="A851" s="269"/>
      <c r="B851" s="18"/>
      <c r="C851" s="205"/>
      <c r="D851" s="1042"/>
      <c r="E851" s="1042"/>
      <c r="F851" s="1042"/>
      <c r="G851" s="186"/>
      <c r="H851" s="265"/>
      <c r="I851" s="265"/>
    </row>
    <row r="852" spans="1:9" ht="12.9">
      <c r="A852" s="269"/>
      <c r="B852" s="18"/>
      <c r="C852" s="205"/>
      <c r="D852" s="650"/>
      <c r="E852" s="650"/>
      <c r="F852" s="650"/>
      <c r="G852" s="186"/>
      <c r="H852" s="265"/>
      <c r="I852" s="265"/>
    </row>
    <row r="853" spans="1:9" ht="12.9">
      <c r="A853" s="269"/>
      <c r="B853" s="606" t="s">
        <v>124</v>
      </c>
      <c r="C853" s="205"/>
      <c r="D853" s="1034" t="s">
        <v>1593</v>
      </c>
      <c r="E853" s="1034"/>
      <c r="F853" s="1034"/>
      <c r="G853" s="186"/>
      <c r="H853" s="265"/>
      <c r="I853" s="265"/>
    </row>
    <row r="854" spans="1:9" ht="12.9">
      <c r="A854" s="269"/>
      <c r="B854" s="269"/>
      <c r="C854" s="205"/>
      <c r="D854" s="1034"/>
      <c r="E854" s="1034"/>
      <c r="F854" s="1034"/>
      <c r="G854" s="186"/>
      <c r="H854" s="265"/>
      <c r="I854" s="265"/>
    </row>
    <row r="855" spans="1:9" ht="12.9">
      <c r="A855" s="269"/>
      <c r="B855" s="269"/>
      <c r="C855" s="205"/>
      <c r="D855" s="186"/>
      <c r="G855" s="186"/>
      <c r="H855" s="265"/>
      <c r="I855" s="265"/>
    </row>
    <row r="856" spans="1:9" ht="12.9">
      <c r="A856" s="269"/>
      <c r="B856" s="606" t="s">
        <v>124</v>
      </c>
      <c r="C856" s="205"/>
      <c r="D856" s="1042" t="s">
        <v>1595</v>
      </c>
      <c r="E856" s="1042"/>
      <c r="F856" s="1042"/>
      <c r="G856" s="186"/>
      <c r="H856" s="265"/>
      <c r="I856" s="265"/>
    </row>
    <row r="857" spans="1:9" ht="12.9">
      <c r="A857" s="269"/>
      <c r="B857" s="269"/>
      <c r="C857" s="205"/>
      <c r="D857" s="1042"/>
      <c r="E857" s="1042"/>
      <c r="F857" s="1042"/>
      <c r="G857" s="186"/>
      <c r="H857" s="265"/>
      <c r="I857" s="265"/>
    </row>
    <row r="858" spans="1:9" ht="12.45">
      <c r="A858" s="18"/>
      <c r="B858" s="18"/>
      <c r="C858" s="205"/>
      <c r="D858" s="186"/>
      <c r="G858" s="186"/>
      <c r="H858" s="265"/>
      <c r="I858" s="265"/>
    </row>
    <row r="859" spans="1:9" ht="12.45">
      <c r="A859" s="1013" t="s">
        <v>1870</v>
      </c>
      <c r="B859" s="1013"/>
      <c r="C859" s="1013"/>
      <c r="D859" s="1013"/>
      <c r="E859" s="1013"/>
      <c r="F859" s="1013"/>
      <c r="G859" s="1013"/>
      <c r="H859" s="265"/>
      <c r="I859" s="265"/>
    </row>
    <row r="860" spans="1:9" ht="12.45">
      <c r="A860" s="188"/>
      <c r="B860" s="188"/>
      <c r="C860" s="205"/>
      <c r="D860" s="186"/>
      <c r="E860" s="186"/>
      <c r="F860" s="186"/>
      <c r="G860" s="186"/>
      <c r="H860" s="265"/>
      <c r="I860" s="265"/>
    </row>
    <row r="861" spans="1:9" ht="12.9">
      <c r="A861" s="269"/>
      <c r="B861" s="269"/>
      <c r="D861" s="1015" t="s">
        <v>1514</v>
      </c>
      <c r="E861" s="1015"/>
      <c r="F861" s="1015"/>
      <c r="H861" s="265"/>
      <c r="I861" s="265"/>
    </row>
    <row r="862" spans="1:9" ht="12.9">
      <c r="A862" s="269"/>
      <c r="B862" s="269"/>
      <c r="D862" s="981" t="s">
        <v>1867</v>
      </c>
      <c r="E862" s="981"/>
      <c r="F862" s="981"/>
      <c r="H862" s="265"/>
      <c r="I862" s="265"/>
    </row>
    <row r="863" spans="1:9" ht="12.9">
      <c r="A863" s="269"/>
      <c r="B863" s="269"/>
      <c r="D863" s="24"/>
      <c r="E863" s="208"/>
      <c r="F863" s="208"/>
      <c r="H863" s="265"/>
      <c r="I863" s="265"/>
    </row>
    <row r="864" spans="1:9" ht="12.45">
      <c r="B864" s="606" t="s">
        <v>1374</v>
      </c>
      <c r="C864" s="205"/>
      <c r="D864" s="990" t="s">
        <v>1451</v>
      </c>
      <c r="E864" s="990"/>
      <c r="F864" s="990"/>
      <c r="H864" s="265"/>
      <c r="I864" s="265"/>
    </row>
    <row r="865" spans="1:9" ht="12.45">
      <c r="A865" s="18"/>
      <c r="B865" s="18"/>
      <c r="C865" s="205"/>
      <c r="D865" s="3" t="s">
        <v>1429</v>
      </c>
      <c r="E865" s="991" t="s">
        <v>2059</v>
      </c>
      <c r="F865" s="991"/>
      <c r="H865" s="265"/>
      <c r="I865" s="265"/>
    </row>
    <row r="866" spans="1:9" ht="12.45">
      <c r="A866" s="18"/>
      <c r="B866" s="18"/>
      <c r="C866" s="205"/>
      <c r="D866" s="211"/>
      <c r="H866" s="265"/>
      <c r="I866" s="265"/>
    </row>
    <row r="867" spans="1:9" ht="12.45">
      <c r="A867" s="18"/>
      <c r="B867" s="606" t="s">
        <v>124</v>
      </c>
      <c r="C867" s="205"/>
      <c r="D867" s="1051" t="s">
        <v>1671</v>
      </c>
      <c r="E867" s="1051"/>
      <c r="F867" s="1051"/>
      <c r="H867" s="265"/>
      <c r="I867" s="265"/>
    </row>
    <row r="868" spans="1:9" ht="12.45">
      <c r="A868" s="18"/>
      <c r="B868" s="18"/>
      <c r="C868" s="205"/>
      <c r="D868" s="1051"/>
      <c r="E868" s="1051"/>
      <c r="F868" s="1051"/>
      <c r="H868" s="265"/>
      <c r="I868" s="265"/>
    </row>
    <row r="869" spans="1:9" ht="12.45">
      <c r="A869" s="18"/>
      <c r="B869" s="18"/>
      <c r="C869" s="205"/>
      <c r="D869" s="1051"/>
      <c r="E869" s="1051"/>
      <c r="F869" s="1051"/>
      <c r="H869" s="265"/>
      <c r="I869" s="265"/>
    </row>
    <row r="870" spans="1:9" ht="12.45">
      <c r="A870" s="18"/>
      <c r="B870" s="18"/>
      <c r="C870" s="205"/>
      <c r="D870" s="1051"/>
      <c r="E870" s="1051"/>
      <c r="F870" s="1051"/>
      <c r="H870" s="265"/>
      <c r="I870" s="265"/>
    </row>
    <row r="871" spans="1:9" ht="12.45">
      <c r="A871" s="18"/>
      <c r="B871" s="18"/>
      <c r="C871" s="205"/>
      <c r="D871" s="1051"/>
      <c r="E871" s="1051"/>
      <c r="F871" s="1051"/>
      <c r="H871" s="265"/>
      <c r="I871" s="265"/>
    </row>
    <row r="872" spans="1:9" ht="12.45">
      <c r="A872" s="18"/>
      <c r="B872" s="18"/>
      <c r="C872" s="205"/>
      <c r="D872" s="1051"/>
      <c r="E872" s="1051"/>
      <c r="F872" s="1051"/>
      <c r="H872" s="265"/>
      <c r="I872" s="265"/>
    </row>
    <row r="873" spans="1:9" ht="12.45">
      <c r="A873" s="18"/>
      <c r="B873" s="18"/>
      <c r="C873" s="205"/>
      <c r="D873" s="1051"/>
      <c r="E873" s="1051"/>
      <c r="F873" s="1051"/>
      <c r="H873" s="265"/>
      <c r="I873" s="265"/>
    </row>
    <row r="874" spans="1:9" ht="12.45">
      <c r="A874" s="18"/>
      <c r="B874" s="18"/>
      <c r="C874" s="205"/>
      <c r="D874" s="1051"/>
      <c r="E874" s="1051"/>
      <c r="F874" s="1051"/>
      <c r="H874" s="265"/>
      <c r="I874" s="265"/>
    </row>
    <row r="875" spans="1:9" ht="12.45">
      <c r="A875" s="18"/>
      <c r="B875" s="18"/>
      <c r="C875" s="205"/>
      <c r="D875" s="1051"/>
      <c r="E875" s="1051"/>
      <c r="F875" s="1051"/>
      <c r="H875" s="265"/>
      <c r="I875" s="265"/>
    </row>
    <row r="876" spans="1:9" ht="12.45">
      <c r="A876" s="18"/>
      <c r="B876" s="18"/>
      <c r="C876" s="205"/>
      <c r="D876" s="211"/>
      <c r="H876" s="265"/>
      <c r="I876" s="265"/>
    </row>
    <row r="877" spans="1:9" ht="12.9">
      <c r="A877" s="269"/>
      <c r="B877" s="606" t="s">
        <v>1374</v>
      </c>
      <c r="C877" s="205"/>
      <c r="D877" s="990" t="s">
        <v>1452</v>
      </c>
      <c r="E877" s="990"/>
      <c r="F877" s="990"/>
      <c r="H877" s="265"/>
      <c r="I877" s="265"/>
    </row>
    <row r="878" spans="1:9" ht="12.9">
      <c r="A878" s="269"/>
      <c r="B878" s="269"/>
      <c r="C878" s="205"/>
      <c r="D878" s="990"/>
      <c r="E878" s="990"/>
      <c r="F878" s="990"/>
      <c r="H878" s="265"/>
      <c r="I878" s="265"/>
    </row>
    <row r="879" spans="1:9" ht="12.9">
      <c r="A879" s="269"/>
      <c r="B879" s="269"/>
      <c r="C879" s="205"/>
      <c r="D879" s="990"/>
      <c r="E879" s="990"/>
      <c r="F879" s="990"/>
      <c r="H879" s="265"/>
      <c r="I879" s="265"/>
    </row>
    <row r="880" spans="1:9" ht="12.9">
      <c r="A880" s="269"/>
      <c r="B880" s="269"/>
      <c r="C880" s="205"/>
      <c r="D880" s="44"/>
      <c r="H880" s="265"/>
      <c r="I880" s="265"/>
    </row>
    <row r="881" spans="1:9" ht="12.45">
      <c r="A881" s="416"/>
      <c r="B881" s="606" t="s">
        <v>124</v>
      </c>
      <c r="C881" s="205"/>
      <c r="D881" s="1015" t="s">
        <v>1453</v>
      </c>
      <c r="E881" s="1015"/>
      <c r="F881" s="1015"/>
      <c r="H881" s="265"/>
      <c r="I881" s="265"/>
    </row>
    <row r="882" spans="1:9" ht="12.45">
      <c r="B882" s="416"/>
      <c r="C882" s="205"/>
      <c r="D882" s="1015"/>
      <c r="E882" s="1015"/>
      <c r="F882" s="1015"/>
      <c r="H882" s="265"/>
      <c r="I882" s="265"/>
    </row>
    <row r="883" spans="1:9" ht="14.25" customHeight="1">
      <c r="A883" s="269"/>
      <c r="C883" s="205"/>
      <c r="D883" s="990" t="s">
        <v>2134</v>
      </c>
      <c r="E883" s="990"/>
      <c r="F883" s="990"/>
      <c r="H883" s="265"/>
      <c r="I883" s="265"/>
    </row>
    <row r="884" spans="1:9" ht="12.9">
      <c r="A884" s="269"/>
      <c r="B884" s="269"/>
      <c r="C884" s="205"/>
      <c r="D884" s="990"/>
      <c r="E884" s="990"/>
      <c r="F884" s="990"/>
      <c r="H884" s="265"/>
      <c r="I884" s="265"/>
    </row>
    <row r="885" spans="1:9" ht="12.9">
      <c r="A885" s="269"/>
      <c r="B885" s="269"/>
      <c r="C885" s="205"/>
      <c r="D885" s="990"/>
      <c r="E885" s="990"/>
      <c r="F885" s="990"/>
      <c r="H885" s="265"/>
      <c r="I885" s="265"/>
    </row>
    <row r="886" spans="1:9" ht="12.9">
      <c r="A886" s="269"/>
      <c r="B886" s="269"/>
      <c r="C886" s="205"/>
      <c r="D886" s="990"/>
      <c r="E886" s="990"/>
      <c r="F886" s="990"/>
      <c r="H886" s="265"/>
      <c r="I886" s="265"/>
    </row>
    <row r="887" spans="1:9" ht="12.9">
      <c r="A887" s="269"/>
      <c r="B887" s="269"/>
      <c r="C887" s="205"/>
      <c r="D887" s="990"/>
      <c r="E887" s="990"/>
      <c r="F887" s="990"/>
      <c r="H887" s="265"/>
      <c r="I887" s="265"/>
    </row>
    <row r="888" spans="1:9" ht="14.25" customHeight="1">
      <c r="A888" s="269"/>
      <c r="B888" s="269"/>
      <c r="C888" s="205"/>
      <c r="D888" s="990"/>
      <c r="E888" s="990"/>
      <c r="F888" s="990"/>
      <c r="H888" s="265"/>
      <c r="I888" s="265"/>
    </row>
    <row r="889" spans="1:9" ht="12.9">
      <c r="A889" s="269"/>
      <c r="B889" s="269"/>
      <c r="C889" s="205"/>
      <c r="D889" s="44"/>
      <c r="H889" s="265"/>
      <c r="I889" s="265"/>
    </row>
    <row r="890" spans="1:9" ht="12.9">
      <c r="A890" s="269"/>
      <c r="B890" s="606" t="s">
        <v>124</v>
      </c>
      <c r="C890" s="205"/>
      <c r="D890" s="990" t="s">
        <v>1174</v>
      </c>
      <c r="E890" s="990"/>
      <c r="F890" s="990"/>
      <c r="H890" s="265"/>
      <c r="I890" s="265"/>
    </row>
    <row r="891" spans="1:9" ht="12.9">
      <c r="A891" s="269"/>
      <c r="B891" s="269"/>
      <c r="C891" s="205"/>
      <c r="D891" s="990" t="s">
        <v>1175</v>
      </c>
      <c r="E891" s="990"/>
      <c r="F891" s="990"/>
      <c r="H891" s="265"/>
      <c r="I891" s="265"/>
    </row>
    <row r="892" spans="1:9" ht="12.9">
      <c r="A892" s="269"/>
      <c r="B892" s="269"/>
      <c r="C892" s="205"/>
      <c r="D892" s="3" t="s">
        <v>1428</v>
      </c>
      <c r="E892" s="991" t="s">
        <v>2061</v>
      </c>
      <c r="F892" s="991"/>
      <c r="H892" s="265"/>
      <c r="I892" s="265"/>
    </row>
    <row r="893" spans="1:9" ht="12.9">
      <c r="A893" s="269"/>
      <c r="B893" s="269"/>
      <c r="C893" s="205"/>
      <c r="D893" s="44"/>
      <c r="H893" s="265"/>
      <c r="I893" s="265"/>
    </row>
    <row r="894" spans="1:9" ht="12.9">
      <c r="A894" s="269"/>
      <c r="B894" s="606" t="s">
        <v>124</v>
      </c>
      <c r="C894" s="205"/>
      <c r="D894" s="990" t="s">
        <v>1454</v>
      </c>
      <c r="E894" s="990"/>
      <c r="F894" s="990"/>
      <c r="H894" s="265"/>
      <c r="I894" s="265"/>
    </row>
    <row r="895" spans="1:9" ht="12.9">
      <c r="A895" s="269"/>
      <c r="B895" s="269"/>
      <c r="C895" s="205"/>
      <c r="D895" s="990"/>
      <c r="E895" s="990"/>
      <c r="F895" s="990"/>
      <c r="H895" s="265"/>
      <c r="I895" s="265"/>
    </row>
    <row r="896" spans="1:9" ht="12.9">
      <c r="A896" s="269"/>
      <c r="B896" s="269"/>
      <c r="C896" s="205"/>
      <c r="D896" s="990"/>
      <c r="E896" s="990"/>
      <c r="F896" s="990"/>
      <c r="H896" s="265"/>
      <c r="I896" s="265"/>
    </row>
    <row r="897" spans="1:9" ht="12.9">
      <c r="A897" s="269"/>
      <c r="B897" s="269"/>
      <c r="C897" s="205"/>
      <c r="D897" s="990"/>
      <c r="E897" s="990"/>
      <c r="F897" s="990"/>
      <c r="H897" s="265"/>
      <c r="I897" s="265"/>
    </row>
    <row r="898" spans="1:9" ht="12.45">
      <c r="A898" s="188"/>
      <c r="B898" s="188"/>
      <c r="C898" s="188"/>
      <c r="D898" s="44"/>
      <c r="H898" s="265"/>
      <c r="I898" s="265"/>
    </row>
    <row r="899" spans="1:9" ht="12.45">
      <c r="A899" s="270" t="s">
        <v>1400</v>
      </c>
      <c r="B899" s="270"/>
      <c r="C899" s="608"/>
      <c r="D899" s="608"/>
      <c r="E899" s="608"/>
      <c r="F899" s="608"/>
      <c r="G899" s="608"/>
      <c r="H899" s="265"/>
      <c r="I899" s="265"/>
    </row>
    <row r="900" spans="1:9" ht="12.45">
      <c r="A900" s="188"/>
      <c r="B900" s="188"/>
      <c r="C900" s="188"/>
      <c r="D900" s="210"/>
      <c r="H900" s="265"/>
      <c r="I900" s="265"/>
    </row>
    <row r="901" spans="1:9" ht="12.45">
      <c r="C901" s="189"/>
      <c r="D901" s="1014" t="s">
        <v>1513</v>
      </c>
      <c r="E901" s="1014"/>
      <c r="F901" s="1014"/>
      <c r="G901" s="186"/>
      <c r="H901" s="265"/>
      <c r="I901" s="265"/>
    </row>
    <row r="902" spans="1:9" ht="12.45">
      <c r="C902" s="189"/>
      <c r="D902" s="1059" t="s">
        <v>1868</v>
      </c>
      <c r="E902" s="1060"/>
      <c r="F902" s="1060"/>
      <c r="G902" s="186"/>
      <c r="H902" s="265"/>
      <c r="I902" s="265"/>
    </row>
    <row r="903" spans="1:9" ht="12.45">
      <c r="C903" s="189"/>
      <c r="D903" s="637"/>
      <c r="E903" s="637"/>
      <c r="F903" s="637"/>
      <c r="G903" s="186"/>
      <c r="H903" s="265"/>
      <c r="I903" s="265"/>
    </row>
    <row r="904" spans="1:9" ht="12.9">
      <c r="A904" s="269"/>
      <c r="B904" s="606" t="s">
        <v>1374</v>
      </c>
      <c r="D904" s="1008" t="s">
        <v>1473</v>
      </c>
      <c r="E904" s="1008"/>
      <c r="F904" s="1008"/>
      <c r="G904" s="186"/>
      <c r="H904" s="265"/>
      <c r="I904" s="265"/>
    </row>
    <row r="905" spans="1:9" ht="12.45">
      <c r="D905" s="3" t="s">
        <v>1428</v>
      </c>
      <c r="E905" s="1058" t="s">
        <v>2061</v>
      </c>
      <c r="F905" s="1058"/>
      <c r="G905" s="186"/>
    </row>
    <row r="906" spans="1:9" ht="12.45">
      <c r="D906" s="44"/>
      <c r="E906" s="186"/>
      <c r="F906" s="186"/>
      <c r="G906" s="186"/>
      <c r="H906" s="265"/>
      <c r="I906" s="265"/>
    </row>
    <row r="907" spans="1:9" ht="12.9">
      <c r="A907" s="269"/>
      <c r="B907" s="606" t="s">
        <v>1374</v>
      </c>
      <c r="D907" s="981" t="s">
        <v>1871</v>
      </c>
      <c r="E907" s="1035"/>
      <c r="F907" s="1035"/>
    </row>
    <row r="908" spans="1:9" ht="12.65" customHeight="1">
      <c r="D908" s="1035"/>
      <c r="E908" s="1035"/>
      <c r="F908" s="1035"/>
    </row>
    <row r="909" spans="1:9" ht="12.9">
      <c r="A909" s="269"/>
      <c r="B909" s="269"/>
      <c r="D909" s="44"/>
      <c r="E909" s="186"/>
      <c r="F909" s="186"/>
      <c r="G909" s="186"/>
      <c r="H909" s="265"/>
      <c r="I909" s="265"/>
    </row>
    <row r="910" spans="1:9" ht="12.45">
      <c r="B910" s="606" t="s">
        <v>124</v>
      </c>
      <c r="D910" s="1056" t="s">
        <v>1673</v>
      </c>
      <c r="E910" s="1056"/>
      <c r="F910" s="1056"/>
      <c r="G910" s="186"/>
      <c r="H910" s="265"/>
      <c r="I910" s="265"/>
    </row>
    <row r="911" spans="1:9" ht="29.4" customHeight="1">
      <c r="B911" s="562"/>
      <c r="D911" s="1056"/>
      <c r="E911" s="1056"/>
      <c r="F911" s="1056"/>
      <c r="G911" s="186"/>
      <c r="H911" s="265"/>
      <c r="I911" s="265"/>
    </row>
    <row r="912" spans="1:9" ht="12.9">
      <c r="A912" s="269"/>
      <c r="B912"/>
      <c r="D912" s="990" t="s">
        <v>2134</v>
      </c>
      <c r="E912" s="990"/>
      <c r="F912" s="990"/>
      <c r="G912" s="186"/>
      <c r="H912" s="265"/>
      <c r="I912" s="265"/>
    </row>
    <row r="913" spans="1:9" ht="12.9">
      <c r="A913" s="269"/>
      <c r="B913" s="269"/>
      <c r="D913" s="990"/>
      <c r="E913" s="990"/>
      <c r="F913" s="990"/>
      <c r="G913" s="186"/>
      <c r="H913" s="265"/>
      <c r="I913" s="265"/>
    </row>
    <row r="914" spans="1:9" ht="12.9">
      <c r="A914" s="269"/>
      <c r="B914" s="269"/>
      <c r="D914" s="990"/>
      <c r="E914" s="990"/>
      <c r="F914" s="990"/>
      <c r="G914" s="186"/>
      <c r="H914" s="265"/>
      <c r="I914" s="265"/>
    </row>
    <row r="915" spans="1:9" ht="12.9">
      <c r="A915" s="269"/>
      <c r="B915" s="269"/>
      <c r="D915" s="990"/>
      <c r="E915" s="990"/>
      <c r="F915" s="990"/>
      <c r="G915" s="186"/>
      <c r="H915" s="265"/>
      <c r="I915" s="265"/>
    </row>
    <row r="916" spans="1:9" ht="12.9">
      <c r="A916" s="269"/>
      <c r="B916" s="269"/>
      <c r="D916" s="990"/>
      <c r="E916" s="990"/>
      <c r="F916" s="990"/>
      <c r="G916" s="186"/>
      <c r="H916" s="265"/>
      <c r="I916" s="265"/>
    </row>
    <row r="917" spans="1:9" ht="12.9">
      <c r="A917" s="269"/>
      <c r="B917" s="269"/>
      <c r="D917" s="990"/>
      <c r="E917" s="990"/>
      <c r="F917" s="990"/>
      <c r="G917" s="186"/>
      <c r="H917" s="265"/>
      <c r="I917" s="265"/>
    </row>
    <row r="918" spans="1:9" ht="12.9">
      <c r="A918" s="269"/>
      <c r="B918" s="269"/>
      <c r="D918" s="44"/>
      <c r="E918" s="186"/>
      <c r="F918" s="186"/>
      <c r="G918" s="186"/>
      <c r="H918" s="265"/>
      <c r="I918" s="265"/>
    </row>
    <row r="919" spans="1:9" ht="12.9">
      <c r="A919" s="269"/>
      <c r="B919" s="606" t="s">
        <v>124</v>
      </c>
      <c r="D919" s="1012" t="s">
        <v>1174</v>
      </c>
      <c r="E919" s="1012"/>
      <c r="F919" s="1012"/>
      <c r="G919" s="186"/>
      <c r="H919" s="265"/>
      <c r="I919" s="265"/>
    </row>
    <row r="920" spans="1:9" ht="12.9">
      <c r="A920" s="269"/>
      <c r="B920" s="269"/>
      <c r="D920" s="1012" t="s">
        <v>1175</v>
      </c>
      <c r="E920" s="1012"/>
      <c r="F920" s="1012"/>
      <c r="G920" s="186"/>
      <c r="H920" s="265"/>
      <c r="I920" s="265"/>
    </row>
    <row r="921" spans="1:9" ht="12.9">
      <c r="A921" s="269"/>
      <c r="B921" s="269"/>
      <c r="D921" s="3" t="s">
        <v>1474</v>
      </c>
      <c r="E921" s="1057" t="s">
        <v>2061</v>
      </c>
      <c r="F921" s="1057"/>
      <c r="G921" s="186"/>
      <c r="H921" s="265"/>
      <c r="I921" s="265"/>
    </row>
    <row r="922" spans="1:9" ht="12.9">
      <c r="A922" s="269"/>
      <c r="B922" s="269"/>
      <c r="D922" s="44"/>
      <c r="E922" s="186"/>
      <c r="F922" s="186"/>
      <c r="G922" s="186"/>
      <c r="H922" s="265"/>
      <c r="I922" s="265"/>
    </row>
    <row r="923" spans="1:9" ht="12.9">
      <c r="A923" s="269"/>
      <c r="B923" s="606" t="s">
        <v>124</v>
      </c>
      <c r="D923" s="990" t="s">
        <v>1454</v>
      </c>
      <c r="E923" s="990"/>
      <c r="F923" s="990"/>
      <c r="G923" s="186"/>
      <c r="H923" s="265"/>
      <c r="I923" s="265"/>
    </row>
    <row r="924" spans="1:9" ht="12.9">
      <c r="A924" s="269"/>
      <c r="B924" s="269"/>
      <c r="D924" s="990"/>
      <c r="E924" s="990"/>
      <c r="F924" s="990"/>
      <c r="G924" s="186"/>
      <c r="H924" s="265"/>
      <c r="I924" s="265"/>
    </row>
    <row r="925" spans="1:9" ht="12.9">
      <c r="A925" s="269"/>
      <c r="B925" s="269"/>
      <c r="D925" s="990"/>
      <c r="E925" s="990"/>
      <c r="F925" s="990"/>
      <c r="G925" s="186"/>
      <c r="H925" s="265"/>
      <c r="I925" s="265"/>
    </row>
    <row r="926" spans="1:9" ht="12.9">
      <c r="A926" s="269"/>
      <c r="B926" s="269"/>
      <c r="D926" s="990"/>
      <c r="E926" s="990"/>
      <c r="F926" s="990"/>
      <c r="G926" s="186"/>
      <c r="H926" s="265"/>
      <c r="I926" s="265"/>
    </row>
    <row r="927" spans="1:9" ht="12.45">
      <c r="A927" s="44"/>
      <c r="B927" s="44"/>
      <c r="C927" s="205"/>
      <c r="D927" s="186"/>
      <c r="E927" s="186"/>
      <c r="F927" s="186"/>
      <c r="G927" s="186"/>
      <c r="H927" s="265"/>
      <c r="I927" s="265"/>
    </row>
    <row r="928" spans="1:9" ht="12.45">
      <c r="A928" s="1013" t="s">
        <v>1401</v>
      </c>
      <c r="B928" s="1013"/>
      <c r="C928" s="1013"/>
      <c r="D928" s="1013"/>
      <c r="E928" s="1013"/>
      <c r="F928" s="1013"/>
      <c r="G928" s="1013"/>
      <c r="H928" s="265"/>
      <c r="I928" s="265"/>
    </row>
    <row r="929" spans="1:9" ht="12.45">
      <c r="A929" s="44"/>
      <c r="B929" s="44"/>
      <c r="C929" s="205"/>
      <c r="D929" s="186"/>
      <c r="E929" s="186"/>
      <c r="F929" s="186"/>
      <c r="G929" s="186"/>
      <c r="H929" s="265"/>
      <c r="I929" s="265"/>
    </row>
    <row r="930" spans="1:9" ht="12.45">
      <c r="C930" s="205"/>
      <c r="D930" s="1039" t="s">
        <v>1628</v>
      </c>
      <c r="E930" s="1039"/>
      <c r="F930" s="1039"/>
      <c r="G930" s="186"/>
      <c r="H930" s="265"/>
      <c r="I930" s="265"/>
    </row>
    <row r="931" spans="1:9" ht="12.45">
      <c r="A931" s="188"/>
      <c r="B931" s="188"/>
      <c r="C931" s="188"/>
      <c r="D931" s="1008" t="s">
        <v>1472</v>
      </c>
      <c r="E931" s="1008"/>
      <c r="F931" s="1008"/>
      <c r="G931" s="186"/>
      <c r="H931" s="265"/>
      <c r="I931" s="265"/>
    </row>
    <row r="932" spans="1:9" ht="12.45">
      <c r="A932" s="188"/>
      <c r="B932" s="188"/>
      <c r="C932" s="188"/>
      <c r="F932" s="186"/>
      <c r="G932" s="186"/>
      <c r="H932" s="265"/>
      <c r="I932" s="265"/>
    </row>
    <row r="933" spans="1:9" ht="13.65" customHeight="1">
      <c r="A933" s="188"/>
      <c r="B933" s="606" t="s">
        <v>124</v>
      </c>
      <c r="C933" s="188"/>
      <c r="D933" s="1015" t="s">
        <v>1637</v>
      </c>
      <c r="E933" s="1015"/>
      <c r="F933" s="1015"/>
      <c r="G933" s="186"/>
      <c r="H933" s="265"/>
      <c r="I933" s="265"/>
    </row>
    <row r="934" spans="1:9" ht="12.45">
      <c r="A934" s="188"/>
      <c r="B934" s="188"/>
      <c r="C934" s="188"/>
      <c r="D934" s="1015"/>
      <c r="E934" s="1015"/>
      <c r="F934" s="1015"/>
      <c r="G934" s="186"/>
      <c r="H934" s="265"/>
      <c r="I934" s="265"/>
    </row>
    <row r="935" spans="1:9" ht="12.45">
      <c r="A935" s="188"/>
      <c r="B935" s="188"/>
      <c r="C935" s="188"/>
      <c r="D935" s="1015"/>
      <c r="E935" s="1015"/>
      <c r="F935" s="1015"/>
      <c r="G935" s="186"/>
      <c r="H935" s="265"/>
      <c r="I935" s="265"/>
    </row>
    <row r="936" spans="1:9" ht="12.45">
      <c r="A936" s="188"/>
      <c r="B936" s="188"/>
      <c r="C936" s="188"/>
      <c r="D936" s="1015"/>
      <c r="E936" s="1015"/>
      <c r="F936" s="1015"/>
      <c r="G936" s="186"/>
      <c r="H936" s="265"/>
      <c r="I936" s="265"/>
    </row>
    <row r="937" spans="1:9" ht="12.45">
      <c r="A937" s="188"/>
      <c r="B937" s="188"/>
      <c r="C937" s="188"/>
      <c r="D937" s="1015"/>
      <c r="E937" s="1015"/>
      <c r="F937" s="1015"/>
      <c r="G937" s="186"/>
      <c r="H937" s="265"/>
      <c r="I937" s="265"/>
    </row>
    <row r="938" spans="1:9" ht="12.45">
      <c r="A938" s="189"/>
      <c r="B938" s="189"/>
      <c r="C938" s="189"/>
      <c r="F938" s="186"/>
      <c r="G938" s="186"/>
      <c r="H938" s="265"/>
      <c r="I938" s="265"/>
    </row>
    <row r="939" spans="1:9" ht="14.25" customHeight="1">
      <c r="A939" s="269"/>
      <c r="B939" s="606" t="s">
        <v>124</v>
      </c>
      <c r="C939" s="189"/>
      <c r="D939" s="991" t="s">
        <v>1720</v>
      </c>
      <c r="E939" s="991"/>
      <c r="F939" s="991"/>
      <c r="G939" s="186"/>
      <c r="H939" s="265"/>
      <c r="I939" s="265"/>
    </row>
    <row r="940" spans="1:9" ht="14.25" customHeight="1">
      <c r="A940" s="269"/>
      <c r="B940" s="269"/>
      <c r="C940" s="189"/>
      <c r="D940" s="991"/>
      <c r="E940" s="991"/>
      <c r="F940" s="991"/>
      <c r="G940" s="186"/>
      <c r="H940" s="265"/>
      <c r="I940" s="265"/>
    </row>
    <row r="941" spans="1:9" ht="14.25" customHeight="1">
      <c r="A941" s="269"/>
      <c r="B941" s="269"/>
      <c r="C941" s="189"/>
      <c r="D941" s="991"/>
      <c r="E941" s="991"/>
      <c r="F941" s="991"/>
      <c r="G941" s="186"/>
      <c r="H941" s="265"/>
      <c r="I941" s="265"/>
    </row>
    <row r="942" spans="1:9" ht="14.25" customHeight="1">
      <c r="A942" s="269"/>
      <c r="B942" s="26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991"/>
      <c r="E944" s="991"/>
      <c r="F944" s="991"/>
      <c r="G944" s="186"/>
      <c r="H944" s="265"/>
      <c r="I944" s="265"/>
    </row>
    <row r="945" spans="1:9" ht="14.25" customHeight="1">
      <c r="A945" s="189"/>
      <c r="B945" s="189"/>
      <c r="C945" s="189"/>
      <c r="D945" s="991"/>
      <c r="E945" s="991"/>
      <c r="F945" s="991"/>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1" t="s">
        <v>1721</v>
      </c>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ustomHeight="1">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2.9">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s="321" customFormat="1" ht="14.25" customHeight="1">
      <c r="A954" s="352"/>
      <c r="B954" s="352"/>
      <c r="C954" s="353"/>
      <c r="D954" s="991"/>
      <c r="E954" s="991"/>
      <c r="F954" s="991"/>
      <c r="G954" s="355"/>
      <c r="H954" s="356"/>
      <c r="I954" s="356"/>
    </row>
    <row r="955" spans="1:9" s="321" customFormat="1" ht="14.25" customHeight="1">
      <c r="A955" s="352"/>
      <c r="B955" s="352"/>
      <c r="C955" s="353"/>
      <c r="D955" s="991"/>
      <c r="E955" s="991"/>
      <c r="F955" s="991"/>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7" t="s">
        <v>1638</v>
      </c>
      <c r="E957" s="1037"/>
      <c r="F957" s="1037"/>
      <c r="G957" s="186"/>
      <c r="H957" s="265"/>
      <c r="I957" s="265"/>
    </row>
    <row r="958" spans="1:9" ht="14.25" customHeight="1">
      <c r="A958" s="269"/>
      <c r="B958" s="269"/>
      <c r="C958" s="189"/>
      <c r="D958" s="1037"/>
      <c r="E958" s="1037"/>
      <c r="F958" s="1037"/>
      <c r="G958" s="186"/>
      <c r="H958" s="265"/>
      <c r="I958" s="265"/>
    </row>
    <row r="959" spans="1:9" ht="14.25" customHeight="1">
      <c r="A959" s="269"/>
      <c r="B959" s="269"/>
      <c r="C959" s="189"/>
      <c r="D959" s="1037"/>
      <c r="E959" s="1037"/>
      <c r="F959" s="1037"/>
      <c r="G959" s="186"/>
      <c r="H959" s="265"/>
      <c r="I959" s="265"/>
    </row>
    <row r="960" spans="1:9" ht="14.25" customHeight="1">
      <c r="A960" s="269"/>
      <c r="B960" s="269"/>
      <c r="C960" s="189"/>
      <c r="D960" s="1037"/>
      <c r="E960" s="1037"/>
      <c r="F960" s="1037"/>
      <c r="G960" s="186"/>
      <c r="H960" s="265"/>
      <c r="I960" s="265"/>
    </row>
    <row r="961" spans="1:9" ht="14.25" customHeight="1">
      <c r="A961" s="269"/>
      <c r="B961" s="269"/>
      <c r="C961" s="189"/>
      <c r="D961" s="1037"/>
      <c r="E961" s="1037"/>
      <c r="F961" s="1037"/>
      <c r="G961" s="186"/>
      <c r="H961" s="265"/>
      <c r="I961" s="265"/>
    </row>
    <row r="962" spans="1:9" ht="14.25" customHeight="1">
      <c r="A962" s="269"/>
      <c r="B962" s="269"/>
      <c r="C962" s="189"/>
      <c r="D962" s="1037"/>
      <c r="E962" s="1037"/>
      <c r="F962" s="1037"/>
      <c r="G962" s="186"/>
      <c r="H962" s="265"/>
      <c r="I962" s="265"/>
    </row>
    <row r="963" spans="1:9" ht="14.25" customHeight="1">
      <c r="A963" s="269"/>
      <c r="B963" s="269"/>
      <c r="C963" s="189"/>
      <c r="D963" s="1037"/>
      <c r="E963" s="1037"/>
      <c r="F963" s="1037"/>
      <c r="G963" s="186"/>
      <c r="H963" s="265"/>
      <c r="I963" s="265"/>
    </row>
    <row r="964" spans="1:9" ht="14.25" customHeight="1">
      <c r="A964" s="269"/>
      <c r="B964" s="269"/>
      <c r="C964" s="189"/>
      <c r="D964" s="370"/>
      <c r="F964" s="186"/>
      <c r="G964" s="186"/>
      <c r="H964" s="265"/>
      <c r="I964" s="265"/>
    </row>
    <row r="965" spans="1:9" s="445" customFormat="1" ht="12.9">
      <c r="A965" s="269"/>
      <c r="B965" s="606" t="s">
        <v>1374</v>
      </c>
      <c r="C965" s="189"/>
      <c r="D965" s="991" t="s">
        <v>1639</v>
      </c>
      <c r="E965" s="991"/>
      <c r="F965" s="991"/>
      <c r="G965" s="186"/>
    </row>
    <row r="966" spans="1:9" s="445" customFormat="1" ht="12.9">
      <c r="A966" s="269"/>
      <c r="B966" s="269"/>
      <c r="C966" s="189"/>
      <c r="D966" s="991"/>
      <c r="E966" s="991"/>
      <c r="F966" s="991"/>
      <c r="G966" s="186"/>
    </row>
    <row r="967" spans="1:9" s="445" customFormat="1" ht="12.9">
      <c r="A967" s="269"/>
      <c r="B967" s="269"/>
      <c r="C967" s="189"/>
      <c r="D967" s="991"/>
      <c r="E967" s="991"/>
      <c r="F967" s="991"/>
      <c r="G967" s="186"/>
    </row>
    <row r="968" spans="1:9" s="445" customFormat="1" ht="12.9">
      <c r="A968" s="269"/>
      <c r="B968" s="269"/>
      <c r="C968" s="189"/>
      <c r="D968" s="991"/>
      <c r="E968" s="991"/>
      <c r="F968" s="991"/>
      <c r="G968" s="186"/>
    </row>
    <row r="969" spans="1:9" s="445" customFormat="1" ht="12.9">
      <c r="A969" s="269"/>
      <c r="B969" s="269"/>
      <c r="C969" s="189"/>
      <c r="D969" s="3"/>
      <c r="E969" s="5"/>
      <c r="F969" s="186"/>
      <c r="G969" s="186"/>
    </row>
    <row r="970" spans="1:9" ht="14.25" customHeight="1">
      <c r="A970" s="18"/>
      <c r="B970" s="18"/>
      <c r="C970" s="205"/>
      <c r="D970" s="990" t="s">
        <v>1640</v>
      </c>
      <c r="E970" s="990"/>
      <c r="F970" s="990"/>
      <c r="G970" s="186"/>
      <c r="H970" s="265"/>
      <c r="I970" s="265"/>
    </row>
    <row r="971" spans="1:9" ht="14.25" customHeight="1">
      <c r="A971" s="205"/>
      <c r="B971" s="205"/>
      <c r="C971" s="205"/>
      <c r="D971" s="990"/>
      <c r="E971" s="990"/>
      <c r="F971" s="990"/>
      <c r="G971" s="186"/>
      <c r="H971" s="265"/>
      <c r="I971" s="265"/>
    </row>
    <row r="972" spans="1:9" ht="14.25" customHeight="1">
      <c r="A972" s="205"/>
      <c r="B972" s="205"/>
      <c r="C972" s="205"/>
      <c r="D972" s="3"/>
      <c r="E972" s="186"/>
      <c r="F972" s="186"/>
      <c r="G972" s="186"/>
      <c r="H972" s="265"/>
      <c r="I972" s="265"/>
    </row>
    <row r="973" spans="1:9" ht="12.9">
      <c r="A973" s="269"/>
      <c r="B973" s="606" t="s">
        <v>1374</v>
      </c>
      <c r="D973" s="990" t="s">
        <v>1641</v>
      </c>
      <c r="E973" s="990"/>
      <c r="F973" s="990"/>
    </row>
    <row r="974" spans="1:9" ht="12.45">
      <c r="D974" s="990"/>
      <c r="E974" s="990"/>
      <c r="F974" s="990"/>
    </row>
    <row r="975" spans="1:9" ht="14.25" customHeight="1">
      <c r="A975" s="205"/>
      <c r="B975" s="205"/>
      <c r="C975" s="205"/>
      <c r="D975" s="3"/>
      <c r="E975" s="186"/>
      <c r="F975" s="186"/>
      <c r="G975" s="186"/>
      <c r="H975" s="265"/>
      <c r="I975" s="265"/>
    </row>
    <row r="976" spans="1:9" ht="14.25" customHeight="1">
      <c r="A976" s="189"/>
      <c r="B976" s="189"/>
      <c r="C976" s="189"/>
      <c r="D976" s="1039" t="s">
        <v>1631</v>
      </c>
      <c r="E976" s="1039"/>
      <c r="F976" s="1039"/>
      <c r="G976" s="186"/>
      <c r="H976" s="265"/>
      <c r="I976" s="265"/>
    </row>
    <row r="977" spans="1:9" ht="14.25" customHeight="1">
      <c r="A977" s="189"/>
      <c r="B977" s="189"/>
      <c r="C977" s="189"/>
      <c r="D977" s="190"/>
      <c r="F977" s="186"/>
      <c r="G977" s="186"/>
      <c r="H977" s="265"/>
      <c r="I977" s="265"/>
    </row>
    <row r="978" spans="1:9" ht="14.4" customHeight="1">
      <c r="A978" s="269"/>
      <c r="B978" s="606" t="s">
        <v>124</v>
      </c>
      <c r="C978" s="205"/>
      <c r="D978" s="1016" t="s">
        <v>1630</v>
      </c>
      <c r="E978" s="1016"/>
      <c r="F978" s="1016"/>
      <c r="G978" s="186"/>
      <c r="H978" s="265"/>
      <c r="I978" s="265"/>
    </row>
    <row r="979" spans="1:9" ht="12.45">
      <c r="A979" s="205"/>
      <c r="B979" s="205"/>
      <c r="C979" s="205"/>
      <c r="D979" s="1016"/>
      <c r="E979" s="1016"/>
      <c r="F979" s="1016"/>
      <c r="G979" s="186"/>
      <c r="H979" s="265"/>
      <c r="I979" s="265"/>
    </row>
    <row r="980" spans="1:9" ht="12.45">
      <c r="A980" s="205"/>
      <c r="B980" s="205"/>
      <c r="C980" s="205"/>
      <c r="D980" s="1016"/>
      <c r="E980" s="1016"/>
      <c r="F980" s="1016"/>
      <c r="G980" s="186"/>
      <c r="H980" s="265"/>
      <c r="I980" s="265"/>
    </row>
    <row r="981" spans="1:9" ht="12.45">
      <c r="A981" s="205"/>
      <c r="B981" s="205"/>
      <c r="C981" s="205"/>
      <c r="D981" s="1016"/>
      <c r="E981" s="1016"/>
      <c r="F981" s="1016"/>
      <c r="G981" s="186"/>
      <c r="H981" s="265"/>
      <c r="I981" s="265"/>
    </row>
    <row r="982" spans="1:9" ht="12.45">
      <c r="A982" s="205"/>
      <c r="B982" s="205"/>
      <c r="C982" s="205"/>
      <c r="D982" s="1016"/>
      <c r="E982" s="1016"/>
      <c r="F982" s="1016"/>
      <c r="G982" s="186"/>
      <c r="H982" s="265"/>
      <c r="I982" s="265"/>
    </row>
    <row r="983" spans="1:9" ht="12.45">
      <c r="A983" s="205"/>
      <c r="B983" s="205"/>
      <c r="C983" s="205"/>
      <c r="D983" s="1016"/>
      <c r="E983" s="1016"/>
      <c r="F983" s="1016"/>
      <c r="G983" s="186"/>
      <c r="H983" s="265"/>
      <c r="I983" s="265"/>
    </row>
    <row r="984" spans="1:9" ht="12.45">
      <c r="A984" s="205"/>
      <c r="B984" s="205"/>
      <c r="C984" s="205"/>
      <c r="D984" s="610"/>
      <c r="E984" s="610"/>
      <c r="F984" s="610"/>
      <c r="G984" s="186"/>
      <c r="H984" s="265"/>
      <c r="I984" s="265"/>
    </row>
    <row r="985" spans="1:9" ht="14.4" customHeight="1">
      <c r="A985" s="269"/>
      <c r="B985" s="606" t="s">
        <v>124</v>
      </c>
      <c r="C985" s="205"/>
      <c r="D985" s="1016" t="s">
        <v>1629</v>
      </c>
      <c r="E985" s="1016"/>
      <c r="F985" s="1016"/>
      <c r="G985" s="186"/>
      <c r="H985" s="265"/>
      <c r="I985" s="265"/>
    </row>
    <row r="986" spans="1:9" ht="12.45">
      <c r="A986" s="205"/>
      <c r="B986" s="205"/>
      <c r="C986" s="205"/>
      <c r="D986" s="1016"/>
      <c r="E986" s="1016"/>
      <c r="F986" s="1016"/>
      <c r="G986" s="186"/>
      <c r="H986" s="265"/>
      <c r="I986" s="265"/>
    </row>
    <row r="987" spans="1:9" ht="12.45">
      <c r="A987" s="205"/>
      <c r="B987" s="205"/>
      <c r="C987" s="205"/>
      <c r="D987" s="1016"/>
      <c r="E987" s="1016"/>
      <c r="F987" s="1016"/>
      <c r="G987" s="186"/>
      <c r="H987" s="265"/>
      <c r="I987" s="265"/>
    </row>
    <row r="988" spans="1:9" ht="12.45">
      <c r="A988" s="205"/>
      <c r="B988" s="205"/>
      <c r="C988" s="205"/>
      <c r="D988" s="1016"/>
      <c r="E988" s="1016"/>
      <c r="F988" s="1016"/>
      <c r="G988" s="186"/>
      <c r="H988" s="265"/>
      <c r="I988" s="265"/>
    </row>
    <row r="989" spans="1:9" ht="12.45">
      <c r="A989" s="205"/>
      <c r="B989" s="205"/>
      <c r="C989" s="205"/>
      <c r="D989" s="1016"/>
      <c r="E989" s="1016"/>
      <c r="F989" s="1016"/>
      <c r="G989" s="186"/>
      <c r="H989" s="265"/>
      <c r="I989" s="265"/>
    </row>
    <row r="990" spans="1:9" ht="12.45">
      <c r="A990" s="205"/>
      <c r="B990" s="205"/>
      <c r="C990" s="205"/>
      <c r="D990" s="368"/>
      <c r="E990" s="186"/>
      <c r="F990" s="186"/>
      <c r="G990" s="186"/>
      <c r="H990" s="265"/>
      <c r="I990" s="265"/>
    </row>
    <row r="991" spans="1:9" ht="12.9">
      <c r="A991" s="269"/>
      <c r="B991" s="606" t="s">
        <v>124</v>
      </c>
      <c r="C991" s="205"/>
      <c r="D991" s="1016" t="s">
        <v>1632</v>
      </c>
      <c r="E991" s="1016"/>
      <c r="F991" s="1016"/>
      <c r="G991" s="186"/>
      <c r="H991" s="265"/>
      <c r="I991" s="265"/>
    </row>
    <row r="992" spans="1:9" ht="12.45">
      <c r="A992" s="205"/>
      <c r="B992" s="205"/>
      <c r="C992" s="205"/>
      <c r="D992" s="1016"/>
      <c r="E992" s="1016"/>
      <c r="F992" s="1016"/>
      <c r="G992" s="186"/>
      <c r="H992" s="265"/>
      <c r="I992" s="265"/>
    </row>
    <row r="993" spans="1:9" ht="12.45">
      <c r="A993" s="205"/>
      <c r="B993" s="205"/>
      <c r="C993" s="205"/>
      <c r="D993" s="1016"/>
      <c r="E993" s="1016"/>
      <c r="F993" s="1016"/>
      <c r="G993" s="186"/>
      <c r="H993" s="265"/>
      <c r="I993" s="265"/>
    </row>
    <row r="994" spans="1:9" ht="12.45">
      <c r="A994" s="205"/>
      <c r="B994" s="205"/>
      <c r="C994" s="205"/>
      <c r="D994" s="1016"/>
      <c r="E994" s="1016"/>
      <c r="F994" s="1016"/>
      <c r="G994" s="186"/>
      <c r="H994" s="265"/>
      <c r="I994" s="265"/>
    </row>
    <row r="995" spans="1:9" ht="12.45">
      <c r="A995" s="205"/>
      <c r="B995" s="205"/>
      <c r="C995" s="205"/>
      <c r="D995" s="1016"/>
      <c r="E995" s="1016"/>
      <c r="F995" s="1016"/>
      <c r="G995" s="186"/>
      <c r="H995" s="265"/>
      <c r="I995" s="265"/>
    </row>
    <row r="996" spans="1:9" ht="12.45">
      <c r="A996" s="205"/>
      <c r="B996" s="205"/>
      <c r="C996" s="205"/>
      <c r="D996" s="368"/>
      <c r="E996" s="186"/>
      <c r="F996" s="186"/>
      <c r="G996" s="186"/>
      <c r="H996" s="265"/>
      <c r="I996" s="265"/>
    </row>
    <row r="997" spans="1:9" ht="14.4" customHeight="1">
      <c r="A997" s="269"/>
      <c r="B997" s="606" t="s">
        <v>124</v>
      </c>
      <c r="C997" s="205"/>
      <c r="D997" s="1016" t="s">
        <v>1633</v>
      </c>
      <c r="E997" s="1016"/>
      <c r="F997" s="1016"/>
      <c r="G997" s="186"/>
      <c r="H997" s="265"/>
      <c r="I997" s="265"/>
    </row>
    <row r="998" spans="1:9" ht="12.45">
      <c r="A998" s="205"/>
      <c r="B998" s="205"/>
      <c r="C998" s="205"/>
      <c r="D998" s="1016"/>
      <c r="E998" s="1016"/>
      <c r="F998" s="1016"/>
      <c r="G998" s="186"/>
      <c r="H998" s="265"/>
      <c r="I998" s="265"/>
    </row>
    <row r="999" spans="1:9" ht="12.45">
      <c r="A999" s="205"/>
      <c r="B999" s="205"/>
      <c r="C999" s="205"/>
      <c r="D999" s="1016"/>
      <c r="E999" s="1016"/>
      <c r="F999" s="1016"/>
      <c r="G999" s="186"/>
      <c r="H999" s="265"/>
      <c r="I999" s="265"/>
    </row>
    <row r="1000" spans="1:9" ht="12.45">
      <c r="A1000" s="205"/>
      <c r="B1000" s="205"/>
      <c r="C1000" s="205"/>
      <c r="D1000" s="610"/>
      <c r="E1000" s="610"/>
      <c r="F1000" s="610"/>
      <c r="G1000" s="186"/>
      <c r="H1000" s="265"/>
      <c r="I1000" s="265"/>
    </row>
    <row r="1001" spans="1:9" ht="12.9">
      <c r="A1001" s="269"/>
      <c r="B1001" s="606" t="s">
        <v>124</v>
      </c>
      <c r="C1001" s="205"/>
      <c r="D1001" s="1016" t="s">
        <v>1634</v>
      </c>
      <c r="E1001" s="1016"/>
      <c r="F1001" s="1016"/>
      <c r="G1001" s="186"/>
      <c r="H1001" s="265"/>
      <c r="I1001" s="265"/>
    </row>
    <row r="1002" spans="1:9" ht="12.45">
      <c r="A1002" s="205"/>
      <c r="B1002" s="205"/>
      <c r="C1002" s="205"/>
      <c r="D1002" s="1016"/>
      <c r="E1002" s="1016"/>
      <c r="F1002" s="1016"/>
      <c r="G1002" s="186"/>
      <c r="H1002" s="265"/>
      <c r="I1002" s="265"/>
    </row>
    <row r="1003" spans="1:9" ht="12.45">
      <c r="A1003" s="205"/>
      <c r="B1003" s="205"/>
      <c r="C1003" s="205"/>
      <c r="D1003" s="368"/>
      <c r="E1003" s="186"/>
      <c r="F1003" s="186"/>
      <c r="G1003" s="186"/>
      <c r="H1003" s="265"/>
      <c r="I1003" s="265"/>
    </row>
    <row r="1004" spans="1:9" ht="12.45">
      <c r="A1004" s="205"/>
      <c r="B1004" s="606" t="s">
        <v>124</v>
      </c>
      <c r="C1004" s="205"/>
      <c r="D1004" s="981" t="s">
        <v>2294</v>
      </c>
      <c r="E1004" s="990"/>
      <c r="F1004" s="990"/>
      <c r="G1004" s="186"/>
      <c r="H1004" s="265"/>
      <c r="I1004" s="265"/>
    </row>
    <row r="1005" spans="1:9" ht="12.45">
      <c r="A1005" s="205"/>
      <c r="B1005" s="205"/>
      <c r="C1005" s="205"/>
      <c r="D1005" s="990"/>
      <c r="E1005" s="990"/>
      <c r="F1005" s="990"/>
      <c r="G1005" s="186"/>
      <c r="H1005" s="265"/>
      <c r="I1005" s="265"/>
    </row>
    <row r="1006" spans="1:9" ht="12.45">
      <c r="A1006" s="205"/>
      <c r="B1006" s="205"/>
      <c r="C1006" s="205"/>
      <c r="D1006" s="186"/>
      <c r="E1006" s="186"/>
      <c r="F1006" s="186"/>
      <c r="G1006" s="186"/>
      <c r="H1006" s="265"/>
      <c r="I1006" s="265"/>
    </row>
    <row r="1007" spans="1:9" ht="12.45">
      <c r="A1007" s="205"/>
      <c r="B1007" s="606" t="s">
        <v>124</v>
      </c>
      <c r="C1007" s="205"/>
      <c r="D1007" s="1044" t="s">
        <v>1758</v>
      </c>
      <c r="E1007" s="1042"/>
      <c r="F1007" s="1042"/>
      <c r="G1007" s="186"/>
      <c r="H1007" s="265"/>
      <c r="I1007" s="265"/>
    </row>
    <row r="1008" spans="1:9" ht="12.45">
      <c r="A1008" s="205"/>
      <c r="B1008" s="205"/>
      <c r="C1008" s="205"/>
      <c r="D1008" s="1044"/>
      <c r="E1008" s="1042"/>
      <c r="F1008" s="1042"/>
      <c r="G1008" s="186"/>
      <c r="H1008" s="265"/>
      <c r="I1008" s="265"/>
    </row>
    <row r="1009" spans="1:9" ht="12.45">
      <c r="A1009" s="205"/>
      <c r="B1009" s="205"/>
      <c r="C1009" s="205"/>
      <c r="D1009" s="1044"/>
      <c r="E1009" s="1042"/>
      <c r="F1009" s="1042"/>
      <c r="G1009" s="186"/>
      <c r="H1009" s="265"/>
      <c r="I1009" s="265"/>
    </row>
    <row r="1010" spans="1:9" ht="12.45">
      <c r="A1010" s="205"/>
      <c r="B1010" s="205"/>
      <c r="C1010" s="205"/>
      <c r="D1010" s="1042"/>
      <c r="E1010" s="1042"/>
      <c r="F1010" s="1042"/>
      <c r="G1010" s="186"/>
      <c r="H1010" s="265"/>
      <c r="I1010" s="265"/>
    </row>
    <row r="1011" spans="1:9" ht="12.45">
      <c r="A1011" s="205"/>
      <c r="B1011" s="205"/>
      <c r="C1011" s="205"/>
      <c r="D1011" s="44"/>
      <c r="E1011" s="186"/>
      <c r="F1011" s="186"/>
      <c r="G1011" s="186"/>
      <c r="H1011" s="265"/>
      <c r="I1011" s="265"/>
    </row>
    <row r="1012" spans="1:9" ht="12.45">
      <c r="A1012" s="205"/>
      <c r="B1012" s="606" t="s">
        <v>124</v>
      </c>
      <c r="C1012" s="205"/>
      <c r="D1012" s="1008" t="s">
        <v>2135</v>
      </c>
      <c r="E1012" s="1008"/>
      <c r="F1012" s="1008"/>
      <c r="G1012" s="186"/>
      <c r="H1012" s="265"/>
      <c r="I1012" s="265"/>
    </row>
    <row r="1013" spans="1:9" ht="12.45">
      <c r="A1013" s="205"/>
      <c r="B1013" s="205"/>
      <c r="C1013" s="205"/>
      <c r="D1013" s="44"/>
      <c r="E1013" s="186"/>
      <c r="F1013" s="186"/>
      <c r="G1013" s="186"/>
      <c r="H1013" s="265"/>
      <c r="I1013" s="265"/>
    </row>
    <row r="1014" spans="1:9" ht="12.45">
      <c r="A1014" s="205"/>
      <c r="B1014" s="606" t="s">
        <v>124</v>
      </c>
      <c r="C1014" s="205"/>
      <c r="D1014" s="1008" t="s">
        <v>2136</v>
      </c>
      <c r="E1014" s="1008"/>
      <c r="F1014" s="1008"/>
      <c r="G1014" s="186"/>
      <c r="H1014" s="265"/>
      <c r="I1014" s="265"/>
    </row>
    <row r="1015" spans="1:9" ht="12.75" customHeight="1">
      <c r="A1015" s="205"/>
      <c r="B1015" s="205"/>
      <c r="C1015" s="205"/>
      <c r="D1015" s="186"/>
      <c r="E1015" s="186"/>
      <c r="F1015" s="186"/>
      <c r="G1015" s="186"/>
      <c r="H1015" s="265"/>
      <c r="I1015" s="265"/>
    </row>
    <row r="1016" spans="1:9" ht="12.45">
      <c r="A1016" s="205"/>
      <c r="C1016" s="205"/>
      <c r="D1016" s="1014" t="s">
        <v>1475</v>
      </c>
      <c r="E1016" s="1014"/>
      <c r="F1016" s="1014"/>
      <c r="G1016" s="186"/>
      <c r="H1016" s="265"/>
      <c r="I1016" s="265"/>
    </row>
    <row r="1017" spans="1:9" ht="12.45">
      <c r="A1017" s="205"/>
      <c r="C1017" s="205"/>
      <c r="D1017" s="190"/>
      <c r="E1017" s="186"/>
      <c r="F1017" s="186"/>
      <c r="G1017" s="186"/>
      <c r="H1017" s="265"/>
      <c r="I1017" s="265"/>
    </row>
    <row r="1018" spans="1:9" ht="12.9">
      <c r="A1018" s="269"/>
      <c r="B1018" s="606" t="s">
        <v>1374</v>
      </c>
      <c r="C1018" s="205"/>
      <c r="D1018" s="990" t="s">
        <v>1635</v>
      </c>
      <c r="E1018" s="990"/>
      <c r="F1018" s="990"/>
      <c r="G1018" s="186"/>
      <c r="H1018" s="265"/>
      <c r="I1018" s="265"/>
    </row>
    <row r="1019" spans="1:9" ht="12.45">
      <c r="A1019" s="205"/>
      <c r="B1019" s="205"/>
      <c r="C1019" s="205"/>
      <c r="D1019" s="990"/>
      <c r="E1019" s="990"/>
      <c r="F1019" s="990"/>
      <c r="G1019" s="186"/>
      <c r="H1019" s="265"/>
      <c r="I1019" s="265"/>
    </row>
    <row r="1020" spans="1:9" ht="12.45">
      <c r="A1020" s="205"/>
      <c r="B1020" s="205"/>
      <c r="C1020" s="205"/>
      <c r="D1020" s="990"/>
      <c r="E1020" s="990"/>
      <c r="F1020" s="990"/>
      <c r="G1020" s="186"/>
      <c r="H1020" s="265"/>
      <c r="I1020" s="265"/>
    </row>
    <row r="1021" spans="1:9" ht="12.45">
      <c r="A1021" s="205"/>
      <c r="B1021" s="205"/>
      <c r="C1021" s="205"/>
      <c r="D1021" s="990"/>
      <c r="E1021" s="990"/>
      <c r="F1021" s="990"/>
      <c r="G1021" s="186"/>
      <c r="H1021" s="265"/>
      <c r="I1021" s="265"/>
    </row>
    <row r="1022" spans="1:9" ht="12.45">
      <c r="A1022" s="205"/>
      <c r="B1022" s="205"/>
      <c r="C1022" s="205"/>
      <c r="D1022" s="990"/>
      <c r="E1022" s="990"/>
      <c r="F1022" s="990"/>
      <c r="G1022" s="186"/>
      <c r="H1022" s="265"/>
      <c r="I1022" s="265"/>
    </row>
    <row r="1023" spans="1:9" ht="12.45">
      <c r="A1023" s="205"/>
      <c r="B1023" s="205"/>
      <c r="C1023" s="205"/>
      <c r="G1023" s="186"/>
      <c r="H1023" s="265"/>
      <c r="I1023" s="265"/>
    </row>
    <row r="1024" spans="1:9" ht="12.9">
      <c r="A1024" s="269"/>
      <c r="B1024" s="606" t="s">
        <v>124</v>
      </c>
      <c r="C1024" s="205"/>
      <c r="D1024" s="990" t="s">
        <v>1636</v>
      </c>
      <c r="E1024" s="990"/>
      <c r="F1024" s="990"/>
      <c r="G1024" s="186"/>
      <c r="H1024" s="265"/>
      <c r="I1024" s="265"/>
    </row>
    <row r="1025" spans="1:9" ht="12.45">
      <c r="A1025" s="205"/>
      <c r="B1025" s="205"/>
      <c r="C1025" s="205"/>
      <c r="D1025" s="990"/>
      <c r="E1025" s="990"/>
      <c r="F1025" s="990"/>
      <c r="G1025" s="186"/>
      <c r="H1025" s="265"/>
      <c r="I1025" s="265"/>
    </row>
    <row r="1026" spans="1:9" ht="12.45">
      <c r="A1026" s="205"/>
      <c r="B1026" s="205"/>
      <c r="C1026" s="205"/>
      <c r="D1026" s="990"/>
      <c r="E1026" s="990"/>
      <c r="F1026" s="990"/>
      <c r="G1026" s="186"/>
      <c r="H1026" s="265"/>
      <c r="I1026" s="265"/>
    </row>
    <row r="1027" spans="1:9" ht="12.45">
      <c r="A1027" s="205"/>
      <c r="B1027" s="205"/>
      <c r="C1027" s="205"/>
      <c r="D1027" s="990"/>
      <c r="E1027" s="990"/>
      <c r="F1027" s="990"/>
      <c r="G1027" s="186"/>
      <c r="H1027" s="265"/>
      <c r="I1027" s="265"/>
    </row>
    <row r="1028" spans="1:9" ht="12.45">
      <c r="A1028" s="205"/>
      <c r="B1028" s="205"/>
      <c r="C1028" s="205"/>
      <c r="D1028" s="990"/>
      <c r="E1028" s="990"/>
      <c r="F1028" s="990"/>
      <c r="G1028" s="186"/>
      <c r="H1028" s="265"/>
      <c r="I1028" s="265"/>
    </row>
    <row r="1029" spans="1:9" ht="12.45">
      <c r="A1029" s="205"/>
      <c r="B1029" s="205"/>
      <c r="C1029" s="205"/>
      <c r="D1029" s="186"/>
      <c r="E1029" s="186"/>
      <c r="F1029" s="186"/>
      <c r="G1029" s="186"/>
      <c r="H1029" s="265"/>
      <c r="I1029" s="265"/>
    </row>
    <row r="1030" spans="1:9" ht="12.45">
      <c r="A1030" s="205"/>
      <c r="B1030" s="205"/>
      <c r="C1030" s="205"/>
      <c r="D1030" s="1014" t="s">
        <v>1476</v>
      </c>
      <c r="E1030" s="1014"/>
      <c r="F1030" s="1014"/>
      <c r="G1030" s="186"/>
      <c r="H1030" s="265"/>
      <c r="I1030" s="265"/>
    </row>
    <row r="1031" spans="1:9" ht="12.45">
      <c r="A1031" s="205"/>
      <c r="B1031" s="205"/>
      <c r="C1031" s="205"/>
      <c r="D1031" s="190"/>
      <c r="E1031" s="186"/>
      <c r="F1031" s="186"/>
      <c r="G1031" s="186"/>
      <c r="H1031" s="265"/>
      <c r="I1031" s="265"/>
    </row>
    <row r="1032" spans="1:9" ht="12.9">
      <c r="A1032" s="269"/>
      <c r="B1032" s="606" t="s">
        <v>1374</v>
      </c>
      <c r="C1032" s="205"/>
      <c r="D1032" s="990" t="s">
        <v>1642</v>
      </c>
      <c r="E1032" s="990"/>
      <c r="F1032" s="990"/>
      <c r="G1032" s="186"/>
      <c r="H1032" s="265"/>
      <c r="I1032" s="265"/>
    </row>
    <row r="1033" spans="1:9" ht="12.45">
      <c r="A1033" s="205"/>
      <c r="B1033" s="205"/>
      <c r="C1033" s="205"/>
      <c r="D1033" s="990"/>
      <c r="E1033" s="990"/>
      <c r="F1033" s="990"/>
      <c r="G1033" s="186"/>
      <c r="H1033" s="265"/>
      <c r="I1033" s="265"/>
    </row>
    <row r="1034" spans="1:9" ht="12.45">
      <c r="A1034" s="205"/>
      <c r="B1034" s="205"/>
      <c r="C1034" s="205"/>
      <c r="D1034" s="990"/>
      <c r="E1034" s="990"/>
      <c r="F1034" s="990"/>
      <c r="G1034" s="186"/>
      <c r="H1034" s="265"/>
      <c r="I1034" s="265"/>
    </row>
    <row r="1035" spans="1:9" ht="12.45">
      <c r="A1035" s="205"/>
      <c r="B1035" s="205"/>
      <c r="C1035" s="205"/>
      <c r="G1035" s="186"/>
      <c r="H1035" s="265"/>
      <c r="I1035" s="265"/>
    </row>
    <row r="1036" spans="1:9" ht="12.9">
      <c r="A1036" s="269"/>
      <c r="B1036" s="606" t="s">
        <v>124</v>
      </c>
      <c r="C1036" s="205"/>
      <c r="D1036" s="990" t="s">
        <v>1643</v>
      </c>
      <c r="E1036" s="990"/>
      <c r="F1036" s="990"/>
      <c r="G1036" s="186"/>
      <c r="H1036" s="265"/>
      <c r="I1036" s="265"/>
    </row>
    <row r="1037" spans="1:9" ht="12.45">
      <c r="A1037" s="205"/>
      <c r="B1037" s="205"/>
      <c r="C1037" s="205"/>
      <c r="D1037" s="990"/>
      <c r="E1037" s="990"/>
      <c r="F1037" s="990"/>
      <c r="G1037" s="186"/>
      <c r="H1037" s="265"/>
      <c r="I1037" s="265"/>
    </row>
    <row r="1038" spans="1:9" ht="12.45">
      <c r="A1038" s="205"/>
      <c r="B1038" s="205"/>
      <c r="C1038" s="205"/>
      <c r="D1038" s="990"/>
      <c r="E1038" s="990"/>
      <c r="F1038" s="990"/>
      <c r="G1038" s="186"/>
      <c r="H1038" s="265"/>
      <c r="I1038" s="265"/>
    </row>
    <row r="1039" spans="1:9" ht="12.45">
      <c r="A1039" s="205"/>
      <c r="B1039" s="205"/>
      <c r="C1039" s="205"/>
      <c r="D1039" s="44"/>
      <c r="E1039" s="186"/>
      <c r="F1039" s="186"/>
      <c r="G1039" s="186"/>
      <c r="H1039" s="265"/>
      <c r="I1039" s="265"/>
    </row>
    <row r="1040" spans="1:9" ht="12.45">
      <c r="A1040" s="205"/>
      <c r="B1040" s="205"/>
      <c r="C1040" s="205"/>
      <c r="D1040" s="1014" t="s">
        <v>1477</v>
      </c>
      <c r="E1040" s="1014"/>
      <c r="F1040" s="1014"/>
      <c r="G1040" s="186"/>
      <c r="H1040" s="265"/>
      <c r="I1040" s="265"/>
    </row>
    <row r="1041" spans="1:9" ht="12.45">
      <c r="A1041" s="205"/>
      <c r="B1041" s="205"/>
      <c r="C1041" s="205"/>
      <c r="D1041" s="190"/>
      <c r="E1041" s="186"/>
      <c r="F1041" s="186"/>
      <c r="G1041" s="186"/>
      <c r="H1041" s="265"/>
      <c r="I1041" s="265"/>
    </row>
    <row r="1042" spans="1:9" ht="14.25" customHeight="1">
      <c r="A1042" s="269"/>
      <c r="B1042" s="606" t="s">
        <v>1374</v>
      </c>
      <c r="C1042" s="205"/>
      <c r="D1042" s="990" t="s">
        <v>1645</v>
      </c>
      <c r="E1042" s="990"/>
      <c r="F1042" s="990"/>
      <c r="G1042" s="24"/>
      <c r="H1042" s="207"/>
      <c r="I1042" s="207"/>
    </row>
    <row r="1043" spans="1:9" ht="12.45">
      <c r="A1043" s="205"/>
      <c r="B1043" s="205"/>
      <c r="C1043" s="205"/>
      <c r="D1043" s="990"/>
      <c r="E1043" s="990"/>
      <c r="F1043" s="990"/>
      <c r="G1043" s="24"/>
      <c r="H1043" s="207"/>
      <c r="I1043" s="207"/>
    </row>
    <row r="1044" spans="1:9" ht="12.45">
      <c r="A1044" s="205"/>
      <c r="B1044" s="205"/>
      <c r="C1044" s="205"/>
      <c r="D1044" s="990"/>
      <c r="E1044" s="990"/>
      <c r="F1044" s="990"/>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0" t="s">
        <v>1644</v>
      </c>
      <c r="E1046" s="990"/>
      <c r="F1046" s="990"/>
      <c r="G1046" s="207"/>
      <c r="H1046" s="265"/>
      <c r="I1046" s="265"/>
    </row>
    <row r="1047" spans="1:9" ht="12.45">
      <c r="A1047" s="205"/>
      <c r="B1047" s="205"/>
      <c r="C1047" s="205"/>
      <c r="D1047" s="990"/>
      <c r="E1047" s="990"/>
      <c r="F1047" s="990"/>
      <c r="G1047" s="207"/>
      <c r="H1047" s="265"/>
      <c r="I1047" s="265"/>
    </row>
    <row r="1048" spans="1:9" ht="12.45">
      <c r="A1048" s="205"/>
      <c r="B1048" s="205"/>
      <c r="C1048" s="205"/>
      <c r="D1048" s="990"/>
      <c r="E1048" s="990"/>
      <c r="F1048" s="990"/>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8" t="s">
        <v>1646</v>
      </c>
      <c r="E1050" s="988"/>
      <c r="F1050" s="988"/>
      <c r="G1050" s="206"/>
      <c r="H1050" s="265"/>
      <c r="I1050" s="265"/>
    </row>
    <row r="1051" spans="1:9" ht="12.45">
      <c r="A1051" s="205"/>
      <c r="B1051" s="205"/>
      <c r="C1051" s="205"/>
      <c r="D1051" s="988"/>
      <c r="E1051" s="988"/>
      <c r="F1051" s="988"/>
      <c r="G1051" s="206"/>
      <c r="H1051" s="265"/>
      <c r="I1051" s="265"/>
    </row>
    <row r="1052" spans="1:9" ht="12.45">
      <c r="A1052" s="205"/>
      <c r="B1052" s="205"/>
      <c r="C1052" s="205"/>
      <c r="D1052" s="988"/>
      <c r="E1052" s="988"/>
      <c r="F1052" s="988"/>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0" t="s">
        <v>1647</v>
      </c>
      <c r="E1054" s="990"/>
      <c r="F1054" s="990"/>
      <c r="G1054" s="206"/>
      <c r="H1054" s="206"/>
      <c r="I1054" s="206"/>
    </row>
    <row r="1055" spans="1:9" ht="12.45">
      <c r="A1055" s="205"/>
      <c r="B1055" s="205"/>
      <c r="C1055" s="205"/>
      <c r="D1055" s="990"/>
      <c r="E1055" s="990"/>
      <c r="F1055" s="990"/>
      <c r="G1055" s="206"/>
      <c r="H1055" s="206"/>
      <c r="I1055" s="206"/>
    </row>
    <row r="1056" spans="1:9" ht="12.45">
      <c r="A1056" s="205"/>
      <c r="B1056" s="205"/>
      <c r="C1056" s="205"/>
      <c r="D1056" s="990"/>
      <c r="E1056" s="990"/>
      <c r="F1056" s="990"/>
      <c r="G1056" s="206"/>
      <c r="H1056" s="206"/>
      <c r="I1056" s="206"/>
    </row>
    <row r="1057" spans="1:9" ht="12.9">
      <c r="A1057" s="269"/>
      <c r="B1057" s="269"/>
      <c r="C1057" s="205"/>
      <c r="D1057" s="44"/>
      <c r="E1057" s="186"/>
      <c r="F1057" s="186"/>
      <c r="G1057" s="186"/>
      <c r="H1057" s="265"/>
      <c r="I1057" s="265"/>
    </row>
    <row r="1058" spans="1:9" ht="12.75" customHeight="1">
      <c r="A1058" s="205"/>
      <c r="B1058" s="606" t="s">
        <v>124</v>
      </c>
      <c r="C1058" s="205"/>
      <c r="D1058" s="990" t="s">
        <v>1648</v>
      </c>
      <c r="E1058" s="990"/>
      <c r="F1058" s="990"/>
      <c r="G1058" s="206"/>
      <c r="H1058" s="206"/>
      <c r="I1058" s="206"/>
    </row>
    <row r="1059" spans="1:9" ht="12.45">
      <c r="A1059" s="205"/>
      <c r="B1059" s="205"/>
      <c r="C1059" s="205"/>
      <c r="D1059" s="990"/>
      <c r="E1059" s="990"/>
      <c r="F1059" s="990"/>
      <c r="G1059" s="206"/>
      <c r="H1059" s="206"/>
      <c r="I1059" s="206"/>
    </row>
    <row r="1060" spans="1:9" ht="12.45">
      <c r="A1060" s="205"/>
      <c r="B1060" s="205"/>
      <c r="C1060" s="205"/>
      <c r="D1060" s="990"/>
      <c r="E1060" s="990"/>
      <c r="F1060" s="990"/>
      <c r="G1060" s="206"/>
      <c r="H1060" s="206"/>
      <c r="I1060" s="206"/>
    </row>
    <row r="1061" spans="1:9" ht="12.45">
      <c r="A1061" s="205"/>
      <c r="B1061" s="205"/>
      <c r="C1061" s="205"/>
      <c r="D1061" s="44"/>
      <c r="E1061" s="186"/>
      <c r="F1061" s="186"/>
      <c r="G1061" s="186"/>
      <c r="H1061" s="265"/>
      <c r="I1061" s="265"/>
    </row>
    <row r="1062" spans="1:9" ht="12.75" customHeight="1">
      <c r="A1062" s="205"/>
      <c r="B1062" s="606" t="s">
        <v>124</v>
      </c>
      <c r="C1062" s="205"/>
      <c r="D1062" s="990" t="s">
        <v>1478</v>
      </c>
      <c r="E1062" s="990"/>
      <c r="F1062" s="990"/>
      <c r="G1062" s="24"/>
      <c r="H1062" s="265"/>
      <c r="I1062" s="265"/>
    </row>
    <row r="1063" spans="1:9" ht="12.45">
      <c r="A1063" s="205"/>
      <c r="B1063" s="205"/>
      <c r="C1063" s="205"/>
      <c r="D1063" s="990"/>
      <c r="E1063" s="990"/>
      <c r="F1063" s="990"/>
      <c r="G1063" s="24"/>
      <c r="H1063" s="265"/>
      <c r="I1063" s="265"/>
    </row>
    <row r="1064" spans="1:9" ht="12.45">
      <c r="A1064" s="205"/>
      <c r="B1064" s="205"/>
      <c r="C1064" s="205"/>
      <c r="D1064" s="990"/>
      <c r="E1064" s="990"/>
      <c r="F1064" s="990"/>
      <c r="G1064" s="24"/>
      <c r="H1064" s="265"/>
      <c r="I1064" s="265"/>
    </row>
    <row r="1065" spans="1:9" ht="12.45">
      <c r="A1065" s="205"/>
      <c r="B1065" s="205"/>
      <c r="C1065" s="205"/>
      <c r="D1065" s="24"/>
      <c r="E1065" s="24"/>
      <c r="F1065" s="24"/>
      <c r="G1065" s="24"/>
      <c r="H1065" s="265"/>
      <c r="I1065" s="265"/>
    </row>
    <row r="1066" spans="1:9" ht="12.75" customHeight="1">
      <c r="A1066" s="205"/>
      <c r="B1066" s="606" t="s">
        <v>124</v>
      </c>
      <c r="C1066" s="205"/>
      <c r="D1066" s="990" t="s">
        <v>1479</v>
      </c>
      <c r="E1066" s="990"/>
      <c r="F1066" s="990"/>
      <c r="G1066" s="24"/>
      <c r="H1066" s="265"/>
      <c r="I1066" s="265"/>
    </row>
    <row r="1067" spans="1:9" ht="12.45">
      <c r="A1067" s="205"/>
      <c r="B1067" s="205"/>
      <c r="C1067" s="205"/>
      <c r="D1067" s="990"/>
      <c r="E1067" s="990"/>
      <c r="F1067" s="990"/>
      <c r="G1067" s="24"/>
      <c r="H1067" s="265"/>
      <c r="I1067" s="265"/>
    </row>
    <row r="1068" spans="1:9" ht="12.45">
      <c r="A1068" s="205"/>
      <c r="B1068" s="205"/>
      <c r="C1068" s="205"/>
      <c r="D1068" s="990"/>
      <c r="E1068" s="990"/>
      <c r="F1068" s="990"/>
      <c r="G1068" s="24"/>
      <c r="H1068" s="265"/>
      <c r="I1068" s="265"/>
    </row>
    <row r="1069" spans="1:9" ht="12.45">
      <c r="A1069" s="205"/>
      <c r="B1069" s="205"/>
      <c r="C1069" s="205"/>
      <c r="D1069" s="300"/>
      <c r="E1069" s="300"/>
      <c r="F1069" s="300"/>
      <c r="G1069" s="300"/>
      <c r="H1069" s="265"/>
      <c r="I1069" s="265"/>
    </row>
    <row r="1070" spans="1:9" ht="12.75" customHeight="1">
      <c r="A1070" s="205"/>
      <c r="B1070" s="606" t="s">
        <v>1374</v>
      </c>
      <c r="C1070" s="205"/>
      <c r="D1070" s="1032" t="s">
        <v>1124</v>
      </c>
      <c r="E1070" s="1032"/>
      <c r="F1070" s="1032"/>
      <c r="G1070" s="605"/>
      <c r="H1070" s="265"/>
      <c r="I1070" s="265"/>
    </row>
    <row r="1071" spans="1:9" ht="12.45">
      <c r="A1071" s="205"/>
      <c r="B1071" s="205"/>
      <c r="C1071" s="205"/>
      <c r="D1071" s="1032"/>
      <c r="E1071" s="1032"/>
      <c r="F1071" s="1032"/>
      <c r="G1071" s="605"/>
      <c r="H1071" s="265"/>
      <c r="I1071" s="265"/>
    </row>
    <row r="1072" spans="1:9" ht="12.45">
      <c r="A1072" s="205"/>
      <c r="B1072" s="205"/>
      <c r="C1072" s="205"/>
      <c r="D1072" s="1032"/>
      <c r="E1072" s="1032"/>
      <c r="F1072" s="1032"/>
      <c r="G1072" s="605"/>
      <c r="H1072" s="265"/>
      <c r="I1072" s="265"/>
    </row>
    <row r="1073" spans="1:9" ht="12.45">
      <c r="A1073" s="205"/>
      <c r="B1073" s="205"/>
      <c r="C1073" s="205"/>
      <c r="D1073" s="1032"/>
      <c r="E1073" s="1032"/>
      <c r="F1073" s="1032"/>
      <c r="G1073" s="605"/>
      <c r="H1073" s="265"/>
      <c r="I1073" s="265"/>
    </row>
    <row r="1074" spans="1:9" ht="12.45">
      <c r="A1074" s="205"/>
      <c r="B1074" s="205"/>
      <c r="C1074" s="205"/>
      <c r="D1074" s="1032"/>
      <c r="E1074" s="1032"/>
      <c r="F1074" s="1032"/>
      <c r="G1074" s="605"/>
      <c r="H1074" s="265"/>
      <c r="I1074" s="265"/>
    </row>
    <row r="1075" spans="1:9" ht="12.45">
      <c r="A1075" s="205"/>
      <c r="B1075" s="205"/>
      <c r="C1075" s="205"/>
      <c r="D1075" s="1032"/>
      <c r="E1075" s="1032"/>
      <c r="F1075" s="1032"/>
      <c r="G1075" s="605"/>
      <c r="H1075" s="265"/>
      <c r="I1075" s="265"/>
    </row>
    <row r="1076" spans="1:9" ht="12.45">
      <c r="A1076" s="205"/>
      <c r="B1076" s="205"/>
      <c r="C1076" s="205"/>
      <c r="D1076" s="1032"/>
      <c r="E1076" s="1032"/>
      <c r="F1076" s="1032"/>
      <c r="G1076" s="605"/>
      <c r="H1076" s="265"/>
      <c r="I1076" s="265"/>
    </row>
    <row r="1077" spans="1:9" ht="12.45">
      <c r="A1077" s="205"/>
      <c r="B1077" s="205"/>
      <c r="C1077" s="205"/>
      <c r="D1077" s="1032"/>
      <c r="E1077" s="1032"/>
      <c r="F1077" s="1032"/>
      <c r="G1077" s="605"/>
      <c r="H1077" s="265"/>
      <c r="I1077" s="265"/>
    </row>
    <row r="1078" spans="1:9" ht="12.45">
      <c r="A1078" s="205"/>
      <c r="B1078" s="205"/>
      <c r="C1078" s="205"/>
      <c r="D1078" s="1032"/>
      <c r="E1078" s="1032"/>
      <c r="F1078" s="1032"/>
      <c r="G1078" s="605"/>
      <c r="H1078" s="265"/>
      <c r="I1078" s="265"/>
    </row>
    <row r="1079" spans="1:9" ht="12.45">
      <c r="A1079" s="205"/>
      <c r="B1079" s="205"/>
      <c r="C1079" s="205"/>
      <c r="D1079" s="1032"/>
      <c r="E1079" s="1032"/>
      <c r="F1079" s="1032"/>
      <c r="G1079" s="605"/>
      <c r="H1079" s="265"/>
      <c r="I1079" s="265"/>
    </row>
    <row r="1080" spans="1:9" ht="27.65" customHeight="1">
      <c r="A1080" s="205"/>
      <c r="B1080" s="205"/>
      <c r="C1080" s="205"/>
      <c r="D1080" s="1032"/>
      <c r="E1080" s="1032"/>
      <c r="F1080" s="1032"/>
      <c r="G1080" s="605"/>
      <c r="H1080" s="265"/>
      <c r="I1080" s="265"/>
    </row>
    <row r="1081" spans="1:9" ht="12.45">
      <c r="A1081" s="205"/>
      <c r="B1081" s="205"/>
      <c r="C1081" s="205"/>
      <c r="D1081" s="415"/>
      <c r="E1081" s="415"/>
      <c r="F1081" s="415"/>
      <c r="G1081" s="415"/>
      <c r="H1081" s="265"/>
      <c r="I1081" s="265"/>
    </row>
    <row r="1082" spans="1:9" ht="12.75" customHeight="1">
      <c r="A1082" s="205"/>
      <c r="B1082" s="205"/>
      <c r="C1082" s="205"/>
      <c r="D1082" s="1014" t="s">
        <v>1480</v>
      </c>
      <c r="E1082" s="1014"/>
      <c r="F1082" s="1014"/>
      <c r="G1082" s="415"/>
      <c r="H1082" s="265"/>
      <c r="I1082" s="265"/>
    </row>
    <row r="1083" spans="1:9" ht="12.75" customHeight="1">
      <c r="A1083" s="205"/>
      <c r="B1083" s="205"/>
      <c r="C1083" s="205"/>
      <c r="D1083" s="190"/>
      <c r="E1083" s="415"/>
      <c r="F1083" s="415"/>
      <c r="G1083" s="415"/>
      <c r="H1083" s="265"/>
      <c r="I1083" s="265"/>
    </row>
    <row r="1084" spans="1:9" ht="12.9">
      <c r="A1084" s="269"/>
      <c r="B1084" s="606" t="s">
        <v>124</v>
      </c>
      <c r="C1084" s="205"/>
      <c r="D1084" s="981" t="s">
        <v>2186</v>
      </c>
      <c r="E1084" s="990"/>
      <c r="F1084" s="990"/>
      <c r="G1084" s="186"/>
      <c r="H1084" s="265"/>
      <c r="I1084" s="265"/>
    </row>
    <row r="1085" spans="1:9" ht="12.45">
      <c r="A1085" s="205"/>
      <c r="B1085" s="205"/>
      <c r="C1085" s="205"/>
      <c r="D1085" s="990"/>
      <c r="E1085" s="990"/>
      <c r="F1085" s="990"/>
      <c r="G1085" s="186"/>
      <c r="H1085" s="265"/>
      <c r="I1085" s="265"/>
    </row>
    <row r="1086" spans="1:9" ht="12.45">
      <c r="A1086" s="205"/>
      <c r="B1086" s="205"/>
      <c r="C1086" s="205"/>
      <c r="D1086" s="990"/>
      <c r="E1086" s="990"/>
      <c r="F1086" s="990"/>
      <c r="G1086" s="186"/>
      <c r="H1086" s="265"/>
      <c r="I1086" s="265"/>
    </row>
    <row r="1087" spans="1:9" ht="12.45">
      <c r="A1087" s="205"/>
      <c r="B1087" s="205"/>
      <c r="C1087" s="205"/>
      <c r="D1087" s="990"/>
      <c r="E1087" s="990"/>
      <c r="F1087" s="990"/>
      <c r="G1087" s="186"/>
      <c r="H1087" s="265"/>
      <c r="I1087" s="265"/>
    </row>
    <row r="1088" spans="1:9" ht="12.45">
      <c r="A1088" s="205"/>
      <c r="B1088" s="205"/>
      <c r="C1088" s="205"/>
      <c r="D1088" s="186"/>
      <c r="E1088" s="186"/>
      <c r="F1088" s="186"/>
      <c r="G1088" s="186"/>
      <c r="H1088" s="265"/>
      <c r="I1088" s="265"/>
    </row>
    <row r="1089" spans="1:9" ht="12.9">
      <c r="A1089" s="269"/>
      <c r="B1089" s="606" t="s">
        <v>124</v>
      </c>
      <c r="C1089" s="205"/>
      <c r="D1089" s="981" t="s">
        <v>2187</v>
      </c>
      <c r="E1089" s="990"/>
      <c r="F1089" s="990"/>
      <c r="G1089" s="186"/>
      <c r="H1089" s="265"/>
      <c r="I1089" s="265"/>
    </row>
    <row r="1090" spans="1:9" ht="12.45">
      <c r="A1090" s="205"/>
      <c r="B1090" s="205"/>
      <c r="C1090" s="205"/>
      <c r="D1090" s="990"/>
      <c r="E1090" s="990"/>
      <c r="F1090" s="990"/>
      <c r="G1090" s="186"/>
      <c r="H1090" s="265"/>
      <c r="I1090" s="265"/>
    </row>
    <row r="1091" spans="1:9" ht="12.45">
      <c r="A1091" s="205"/>
      <c r="B1091" s="205"/>
      <c r="C1091" s="205"/>
      <c r="D1091" s="990"/>
      <c r="E1091" s="990"/>
      <c r="F1091" s="990"/>
      <c r="G1091" s="186"/>
      <c r="H1091" s="265"/>
      <c r="I1091" s="265"/>
    </row>
    <row r="1092" spans="1:9" ht="12.45">
      <c r="A1092" s="205"/>
      <c r="B1092" s="205"/>
      <c r="C1092" s="205"/>
      <c r="D1092" s="990"/>
      <c r="E1092" s="990"/>
      <c r="F1092" s="990"/>
      <c r="G1092" s="186"/>
      <c r="H1092" s="265"/>
      <c r="I1092" s="265"/>
    </row>
    <row r="1093" spans="1:9" ht="12.45">
      <c r="A1093" s="205"/>
      <c r="B1093" s="205"/>
      <c r="C1093" s="205"/>
      <c r="D1093" s="186"/>
      <c r="E1093" s="186"/>
      <c r="F1093" s="186"/>
      <c r="G1093" s="186"/>
    </row>
    <row r="1094" spans="1:9" ht="12.45">
      <c r="A1094" s="205"/>
      <c r="B1094" s="606" t="s">
        <v>124</v>
      </c>
      <c r="C1094" s="205"/>
      <c r="D1094" s="1042" t="s">
        <v>1649</v>
      </c>
      <c r="E1094" s="1042"/>
      <c r="F1094" s="1042"/>
      <c r="G1094" s="186"/>
    </row>
    <row r="1095" spans="1:9" ht="12.45">
      <c r="A1095" s="205"/>
      <c r="B1095" s="205"/>
      <c r="C1095" s="205"/>
      <c r="D1095" s="1042"/>
      <c r="E1095" s="1042"/>
      <c r="F1095" s="1042"/>
      <c r="G1095" s="186"/>
    </row>
    <row r="1096" spans="1:9" ht="12.45">
      <c r="A1096" s="205"/>
      <c r="B1096" s="205"/>
      <c r="C1096" s="205"/>
      <c r="D1096" s="1042"/>
      <c r="E1096" s="1042"/>
      <c r="F1096" s="1042"/>
      <c r="G1096" s="186"/>
    </row>
    <row r="1097" spans="1:9" ht="12.45">
      <c r="A1097" s="205"/>
      <c r="B1097" s="205"/>
      <c r="C1097" s="205"/>
      <c r="D1097" s="186"/>
      <c r="E1097" s="186"/>
      <c r="F1097" s="186"/>
      <c r="G1097" s="186"/>
    </row>
    <row r="1098" spans="1:9" ht="12.9">
      <c r="A1098" s="269"/>
      <c r="B1098" s="606" t="s">
        <v>124</v>
      </c>
      <c r="C1098" s="426"/>
      <c r="D1098" s="1043" t="s">
        <v>2137</v>
      </c>
      <c r="E1098" s="1043"/>
      <c r="F1098" s="1043"/>
      <c r="G1098" s="446"/>
    </row>
    <row r="1099" spans="1:9" ht="12.45">
      <c r="A1099" s="426"/>
      <c r="B1099" s="426"/>
      <c r="C1099" s="426"/>
      <c r="D1099" s="1043"/>
      <c r="E1099" s="1043"/>
      <c r="F1099" s="1043"/>
      <c r="G1099" s="446"/>
    </row>
    <row r="1100" spans="1:9" ht="12.45">
      <c r="A1100" s="426"/>
      <c r="B1100" s="426"/>
      <c r="C1100" s="426"/>
      <c r="D1100" s="1043"/>
      <c r="E1100" s="1043"/>
      <c r="F1100" s="1043"/>
      <c r="G1100" s="446"/>
    </row>
    <row r="1101" spans="1:9" ht="12.45">
      <c r="A1101" s="205"/>
      <c r="B1101" s="205"/>
      <c r="C1101" s="205"/>
      <c r="D1101" s="186"/>
      <c r="E1101" s="186"/>
      <c r="F1101" s="186"/>
      <c r="G1101" s="186"/>
    </row>
    <row r="1102" spans="1:9" ht="12.45">
      <c r="C1102" s="205"/>
      <c r="D1102" s="1014" t="s">
        <v>1481</v>
      </c>
      <c r="E1102" s="1014"/>
      <c r="F1102" s="1014"/>
      <c r="G1102" s="186"/>
    </row>
    <row r="1103" spans="1:9" ht="12.45">
      <c r="C1103" s="205"/>
      <c r="D1103" s="190"/>
      <c r="E1103" s="186"/>
      <c r="F1103" s="186"/>
      <c r="G1103" s="186"/>
    </row>
    <row r="1104" spans="1:9" ht="12.45">
      <c r="A1104" s="205"/>
      <c r="B1104" s="606" t="s">
        <v>1374</v>
      </c>
      <c r="C1104" s="205"/>
      <c r="D1104" s="990" t="s">
        <v>1650</v>
      </c>
      <c r="E1104" s="990"/>
      <c r="F1104" s="990"/>
      <c r="G1104" s="186"/>
    </row>
    <row r="1105" spans="1:7" ht="12.45">
      <c r="A1105" s="205"/>
      <c r="B1105" s="205"/>
      <c r="C1105" s="205"/>
      <c r="D1105" s="990"/>
      <c r="E1105" s="990"/>
      <c r="F1105" s="990"/>
      <c r="G1105" s="186"/>
    </row>
    <row r="1106" spans="1:7" ht="12.45">
      <c r="A1106" s="205"/>
      <c r="B1106" s="205"/>
      <c r="C1106" s="205"/>
      <c r="D1106" s="990"/>
      <c r="E1106" s="990"/>
      <c r="F1106" s="990"/>
      <c r="G1106" s="186"/>
    </row>
    <row r="1107" spans="1:7" ht="12.45">
      <c r="A1107" s="205"/>
      <c r="B1107" s="205"/>
      <c r="C1107" s="205"/>
      <c r="D1107" s="186"/>
      <c r="E1107" s="186"/>
      <c r="F1107" s="186"/>
      <c r="G1107" s="186"/>
    </row>
    <row r="1108" spans="1:7" ht="12.9">
      <c r="A1108" s="269"/>
      <c r="B1108" s="606" t="s">
        <v>124</v>
      </c>
      <c r="C1108" s="205"/>
      <c r="D1108" s="990" t="s">
        <v>1651</v>
      </c>
      <c r="E1108" s="990"/>
      <c r="F1108" s="990"/>
      <c r="G1108" s="186"/>
    </row>
    <row r="1109" spans="1:7" ht="12.45">
      <c r="A1109" s="205"/>
      <c r="B1109" s="205"/>
      <c r="C1109" s="205"/>
      <c r="D1109" s="990"/>
      <c r="E1109" s="990"/>
      <c r="F1109" s="990"/>
      <c r="G1109" s="186"/>
    </row>
    <row r="1110" spans="1:7" ht="12.45">
      <c r="A1110" s="205"/>
      <c r="B1110" s="205"/>
      <c r="C1110" s="205"/>
      <c r="D1110" s="990"/>
      <c r="E1110" s="990"/>
      <c r="F1110" s="990"/>
      <c r="G1110" s="186"/>
    </row>
    <row r="1111" spans="1:7" ht="12.45">
      <c r="A1111" s="205"/>
      <c r="B1111" s="205"/>
      <c r="C1111" s="205"/>
      <c r="D1111" s="186"/>
      <c r="E1111" s="186"/>
      <c r="F1111" s="186"/>
      <c r="G1111" s="186"/>
    </row>
    <row r="1112" spans="1:7" ht="12.45">
      <c r="A1112" s="205"/>
      <c r="B1112" s="205"/>
      <c r="C1112" s="205"/>
      <c r="D1112" s="1014" t="s">
        <v>1116</v>
      </c>
      <c r="E1112" s="1014"/>
      <c r="F1112" s="1014"/>
      <c r="G1112" s="186"/>
    </row>
    <row r="1113" spans="1:7" ht="12.45">
      <c r="A1113" s="205"/>
      <c r="B1113" s="205"/>
      <c r="C1113" s="205"/>
      <c r="D1113" s="1008" t="s">
        <v>1482</v>
      </c>
      <c r="E1113" s="1008"/>
      <c r="F1113" s="1008"/>
      <c r="G1113" s="186"/>
    </row>
    <row r="1114" spans="1:7" ht="12.45">
      <c r="A1114" s="205"/>
      <c r="B1114" s="205"/>
      <c r="C1114" s="205"/>
      <c r="D1114" s="416"/>
      <c r="E1114" s="186"/>
      <c r="F1114" s="186"/>
      <c r="G1114" s="186"/>
    </row>
    <row r="1115" spans="1:7" ht="12.9">
      <c r="A1115" s="269"/>
      <c r="B1115" s="606" t="s">
        <v>124</v>
      </c>
      <c r="C1115" s="205"/>
      <c r="D1115" s="990" t="s">
        <v>1652</v>
      </c>
      <c r="E1115" s="990"/>
      <c r="F1115" s="990"/>
      <c r="G1115" s="186"/>
    </row>
    <row r="1116" spans="1:7" ht="12.45">
      <c r="A1116" s="205"/>
      <c r="B1116" s="205"/>
      <c r="C1116" s="205"/>
      <c r="D1116" s="990"/>
      <c r="E1116" s="990"/>
      <c r="F1116" s="990"/>
      <c r="G1116" s="186"/>
    </row>
    <row r="1117" spans="1:7" ht="12.45">
      <c r="A1117" s="205"/>
      <c r="B1117" s="205"/>
      <c r="C1117" s="205"/>
      <c r="D1117" s="186"/>
      <c r="E1117" s="186"/>
      <c r="F1117" s="186"/>
      <c r="G1117" s="186"/>
    </row>
    <row r="1118" spans="1:7" ht="12.9">
      <c r="A1118" s="269"/>
      <c r="B1118" s="606" t="s">
        <v>124</v>
      </c>
      <c r="C1118" s="205"/>
      <c r="D1118" s="990" t="s">
        <v>1653</v>
      </c>
      <c r="E1118" s="990"/>
      <c r="F1118" s="990"/>
      <c r="G1118" s="186"/>
    </row>
    <row r="1119" spans="1:7" ht="12.45">
      <c r="A1119" s="205"/>
      <c r="B1119" s="205"/>
      <c r="C1119" s="205"/>
      <c r="D1119" s="990"/>
      <c r="E1119" s="990"/>
      <c r="F1119" s="990"/>
      <c r="G1119" s="186"/>
    </row>
    <row r="1120" spans="1:7" ht="12.45">
      <c r="A1120" s="205"/>
      <c r="B1120" s="205"/>
      <c r="C1120" s="205"/>
      <c r="E1120" s="186"/>
      <c r="F1120" s="186"/>
      <c r="G1120" s="186"/>
    </row>
    <row r="1121" spans="1:7" ht="12.45">
      <c r="A1121" s="205"/>
      <c r="B1121" s="205"/>
      <c r="C1121" s="205"/>
      <c r="D1121" s="1014" t="s">
        <v>1483</v>
      </c>
      <c r="E1121" s="1014"/>
      <c r="F1121" s="1014"/>
      <c r="G1121" s="186"/>
    </row>
    <row r="1122" spans="1:7" ht="12.45">
      <c r="A1122" s="205"/>
      <c r="B1122" s="205"/>
      <c r="C1122" s="205"/>
      <c r="D1122" s="190"/>
      <c r="E1122" s="186"/>
      <c r="F1122" s="186"/>
      <c r="G1122" s="186"/>
    </row>
    <row r="1123" spans="1:7" ht="12.9">
      <c r="A1123" s="269"/>
      <c r="B1123" s="606" t="s">
        <v>1374</v>
      </c>
      <c r="C1123" s="205"/>
      <c r="D1123" s="990" t="s">
        <v>1654</v>
      </c>
      <c r="E1123" s="990"/>
      <c r="F1123" s="990"/>
      <c r="G1123" s="186"/>
    </row>
    <row r="1124" spans="1:7" ht="12.45">
      <c r="A1124" s="205"/>
      <c r="B1124" s="205"/>
      <c r="C1124" s="205"/>
      <c r="D1124" s="990"/>
      <c r="E1124" s="990"/>
      <c r="F1124" s="990"/>
      <c r="G1124" s="186"/>
    </row>
    <row r="1125" spans="1:7" ht="12.45">
      <c r="A1125" s="205"/>
      <c r="B1125" s="205"/>
      <c r="C1125" s="205"/>
      <c r="D1125" s="990"/>
      <c r="E1125" s="990"/>
      <c r="F1125" s="990"/>
      <c r="G1125" s="186"/>
    </row>
    <row r="1126" spans="1:7" ht="12.45">
      <c r="A1126" s="205"/>
      <c r="B1126" s="205"/>
      <c r="C1126" s="205"/>
      <c r="D1126" s="990"/>
      <c r="E1126" s="990"/>
      <c r="F1126" s="990"/>
      <c r="G1126" s="186"/>
    </row>
    <row r="1127" spans="1:7" ht="12.45">
      <c r="A1127" s="205"/>
      <c r="B1127" s="205"/>
      <c r="C1127" s="205"/>
      <c r="D1127" s="990"/>
      <c r="E1127" s="990"/>
      <c r="F1127" s="990"/>
      <c r="G1127" s="186"/>
    </row>
    <row r="1128" spans="1:7" ht="12.45">
      <c r="A1128" s="205"/>
      <c r="B1128" s="205"/>
      <c r="C1128" s="205"/>
      <c r="D1128" s="990"/>
      <c r="E1128" s="990"/>
      <c r="F1128" s="990"/>
      <c r="G1128" s="186"/>
    </row>
    <row r="1129" spans="1:7" ht="12.45">
      <c r="A1129" s="205"/>
      <c r="B1129" s="205"/>
      <c r="C1129" s="205"/>
      <c r="D1129" s="990"/>
      <c r="E1129" s="990"/>
      <c r="F1129" s="990"/>
      <c r="G1129" s="186"/>
    </row>
    <row r="1130" spans="1:7" ht="12.45">
      <c r="A1130" s="205"/>
      <c r="B1130" s="205"/>
      <c r="C1130" s="205"/>
      <c r="D1130" s="186"/>
      <c r="E1130" s="186"/>
      <c r="F1130" s="186"/>
      <c r="G1130" s="186"/>
    </row>
    <row r="1131" spans="1:7" ht="12.9">
      <c r="A1131" s="269"/>
      <c r="B1131" s="606" t="s">
        <v>124</v>
      </c>
      <c r="C1131" s="205"/>
      <c r="D1131" s="990" t="s">
        <v>1655</v>
      </c>
      <c r="E1131" s="990"/>
      <c r="F1131" s="990"/>
      <c r="G1131" s="186"/>
    </row>
    <row r="1132" spans="1:7" ht="12.45">
      <c r="A1132" s="205"/>
      <c r="B1132" s="205"/>
      <c r="C1132" s="205"/>
      <c r="D1132" s="990"/>
      <c r="E1132" s="990"/>
      <c r="F1132" s="990"/>
      <c r="G1132" s="186"/>
    </row>
    <row r="1133" spans="1:7" ht="12.45">
      <c r="A1133" s="205"/>
      <c r="B1133" s="205"/>
      <c r="C1133" s="205"/>
      <c r="D1133" s="990"/>
      <c r="E1133" s="990"/>
      <c r="F1133" s="990"/>
      <c r="G1133" s="186"/>
    </row>
    <row r="1134" spans="1:7" ht="12.45">
      <c r="A1134" s="205"/>
      <c r="B1134" s="205"/>
      <c r="C1134" s="205"/>
      <c r="D1134" s="990"/>
      <c r="E1134" s="990"/>
      <c r="F1134" s="990"/>
      <c r="G1134" s="186"/>
    </row>
    <row r="1135" spans="1:7" ht="12.45">
      <c r="A1135" s="205"/>
      <c r="B1135" s="205"/>
      <c r="C1135" s="205"/>
      <c r="D1135" s="990"/>
      <c r="E1135" s="990"/>
      <c r="F1135" s="990"/>
      <c r="G1135" s="186"/>
    </row>
    <row r="1136" spans="1:7" ht="12.45">
      <c r="A1136" s="205"/>
      <c r="B1136" s="205"/>
      <c r="C1136" s="205"/>
      <c r="D1136" s="990"/>
      <c r="E1136" s="990"/>
      <c r="F1136" s="990"/>
      <c r="G1136" s="186"/>
    </row>
    <row r="1137" spans="1:7" ht="12.45">
      <c r="A1137" s="205"/>
      <c r="B1137" s="205"/>
      <c r="C1137" s="205"/>
      <c r="D1137" s="990"/>
      <c r="E1137" s="990"/>
      <c r="F1137" s="990"/>
      <c r="G1137" s="186"/>
    </row>
    <row r="1138" spans="1:7" ht="12.45">
      <c r="A1138" s="205"/>
      <c r="B1138" s="205"/>
      <c r="C1138" s="205"/>
      <c r="D1138" s="24"/>
      <c r="E1138" s="24"/>
      <c r="F1138" s="24"/>
      <c r="G1138" s="186"/>
    </row>
    <row r="1139" spans="1:7" ht="12.45" customHeight="1">
      <c r="A1139" s="205"/>
      <c r="B1139" s="606" t="s">
        <v>124</v>
      </c>
      <c r="C1139" s="205"/>
      <c r="D1139" s="1044" t="s">
        <v>1759</v>
      </c>
      <c r="E1139" s="1042"/>
      <c r="F1139" s="1042"/>
      <c r="G1139" s="186"/>
    </row>
    <row r="1140" spans="1:7" ht="12.45" customHeight="1">
      <c r="A1140" s="205"/>
      <c r="B1140" s="205"/>
      <c r="C1140" s="205"/>
      <c r="D1140" s="1042"/>
      <c r="E1140" s="1042"/>
      <c r="F1140" s="1042"/>
      <c r="G1140" s="186"/>
    </row>
    <row r="1141" spans="1:7" ht="12.45">
      <c r="A1141" s="205"/>
      <c r="B1141" s="205"/>
      <c r="C1141" s="205"/>
      <c r="D1141" s="1042"/>
      <c r="E1141" s="1042"/>
      <c r="F1141" s="1042"/>
      <c r="G1141" s="186"/>
    </row>
    <row r="1142" spans="1:7" ht="12.45">
      <c r="A1142" s="205"/>
      <c r="B1142" s="205"/>
      <c r="C1142" s="205"/>
      <c r="D1142" s="650"/>
      <c r="E1142" s="650"/>
      <c r="F1142" s="650"/>
      <c r="G1142" s="186"/>
    </row>
    <row r="1143" spans="1:7" ht="12.45">
      <c r="D1143" s="1014" t="s">
        <v>1484</v>
      </c>
      <c r="E1143" s="1014"/>
      <c r="F1143" s="1014"/>
    </row>
    <row r="1144" spans="1:7" ht="12.45">
      <c r="D1144" s="190"/>
    </row>
    <row r="1145" spans="1:7" ht="12.9">
      <c r="A1145" s="269"/>
      <c r="B1145" s="606" t="s">
        <v>1374</v>
      </c>
      <c r="D1145" s="990" t="s">
        <v>1656</v>
      </c>
      <c r="E1145" s="990"/>
      <c r="F1145" s="990"/>
    </row>
    <row r="1146" spans="1:7" ht="12.45">
      <c r="D1146" s="990"/>
      <c r="E1146" s="990"/>
      <c r="F1146" s="990"/>
    </row>
    <row r="1147" spans="1:7" ht="12.45"/>
    <row r="1148" spans="1:7" ht="12.9">
      <c r="A1148" s="269"/>
      <c r="B1148" s="606" t="s">
        <v>124</v>
      </c>
      <c r="D1148" s="990" t="s">
        <v>1657</v>
      </c>
      <c r="E1148" s="990"/>
      <c r="F1148" s="990"/>
    </row>
    <row r="1149" spans="1:7" ht="12.45">
      <c r="D1149" s="990"/>
      <c r="E1149" s="990"/>
      <c r="F1149" s="990"/>
    </row>
    <row r="1150" spans="1:7" ht="12.45"/>
    <row r="1151" spans="1:7" ht="12.45">
      <c r="D1151" s="1014" t="s">
        <v>1485</v>
      </c>
      <c r="E1151" s="1014"/>
      <c r="F1151" s="1014"/>
    </row>
    <row r="1152" spans="1:7" ht="12.45">
      <c r="D1152" s="190"/>
    </row>
    <row r="1153" spans="1:7" ht="12.9">
      <c r="A1153" s="269"/>
      <c r="B1153" s="606" t="s">
        <v>124</v>
      </c>
      <c r="D1153" s="1008" t="s">
        <v>1658</v>
      </c>
      <c r="E1153" s="1008"/>
      <c r="F1153" s="1008"/>
    </row>
    <row r="1154" spans="1:7" ht="12.45"/>
    <row r="1155" spans="1:7" ht="12.9">
      <c r="A1155" s="269"/>
      <c r="B1155" s="606" t="s">
        <v>124</v>
      </c>
      <c r="D1155" s="990" t="s">
        <v>1659</v>
      </c>
      <c r="E1155" s="990"/>
      <c r="F1155" s="990"/>
    </row>
    <row r="1156" spans="1:7" ht="12.9">
      <c r="A1156" s="269"/>
      <c r="B1156" s="269"/>
      <c r="D1156" s="990"/>
      <c r="E1156" s="990"/>
      <c r="F1156" s="990"/>
    </row>
    <row r="1157" spans="1:7" ht="12.9">
      <c r="A1157" s="269"/>
      <c r="B1157" s="269"/>
      <c r="D1157" s="24"/>
      <c r="E1157" s="24"/>
      <c r="F1157" s="24"/>
      <c r="G1157"/>
    </row>
    <row r="1158" spans="1:7" ht="12.45">
      <c r="D1158" s="1014" t="s">
        <v>1669</v>
      </c>
      <c r="E1158" s="1014"/>
      <c r="F1158" s="1014"/>
      <c r="G1158"/>
    </row>
    <row r="1159" spans="1:7" ht="12.45">
      <c r="D1159" s="190"/>
      <c r="G1159"/>
    </row>
    <row r="1160" spans="1:7" ht="14.4" customHeight="1">
      <c r="A1160" s="269"/>
      <c r="B1160" s="606" t="s">
        <v>124</v>
      </c>
      <c r="D1160" s="981" t="s">
        <v>2188</v>
      </c>
      <c r="E1160" s="990"/>
      <c r="F1160" s="990"/>
      <c r="G1160"/>
    </row>
    <row r="1161" spans="1:7" ht="12.9">
      <c r="A1161" s="269"/>
      <c r="B1161" s="269"/>
      <c r="D1161" s="990"/>
      <c r="E1161" s="990"/>
      <c r="F1161" s="990"/>
      <c r="G1161"/>
    </row>
    <row r="1162" spans="1:7" ht="12.9">
      <c r="A1162" s="269"/>
      <c r="B1162" s="269"/>
      <c r="D1162" s="990"/>
      <c r="E1162" s="990"/>
      <c r="F1162" s="990"/>
      <c r="G1162"/>
    </row>
    <row r="1163" spans="1:7" ht="12.9">
      <c r="A1163" s="269"/>
      <c r="B1163" s="269"/>
      <c r="D1163" s="990"/>
      <c r="E1163" s="990"/>
      <c r="F1163" s="990"/>
      <c r="G1163"/>
    </row>
    <row r="1164" spans="1:7" ht="12.9">
      <c r="A1164" s="269"/>
      <c r="B1164" s="269"/>
      <c r="D1164" s="990"/>
      <c r="E1164" s="990"/>
      <c r="F1164" s="990"/>
      <c r="G1164"/>
    </row>
    <row r="1165" spans="1:7" ht="12.9">
      <c r="A1165" s="269"/>
      <c r="B1165" s="269"/>
      <c r="D1165" s="990"/>
      <c r="E1165" s="990"/>
      <c r="F1165" s="990"/>
      <c r="G1165"/>
    </row>
    <row r="1166" spans="1:7" ht="12.9">
      <c r="A1166" s="269"/>
      <c r="B1166" s="269"/>
      <c r="D1166" s="990"/>
      <c r="E1166" s="990"/>
      <c r="F1166" s="990"/>
      <c r="G1166"/>
    </row>
    <row r="1167" spans="1:7" ht="12.9">
      <c r="A1167" s="269"/>
      <c r="B1167" s="269"/>
      <c r="D1167" s="990"/>
      <c r="E1167" s="990"/>
      <c r="F1167" s="990"/>
      <c r="G1167"/>
    </row>
    <row r="1168" spans="1:7" ht="12.9">
      <c r="A1168" s="269"/>
      <c r="B1168" s="269"/>
      <c r="D1168" s="990"/>
      <c r="E1168" s="990"/>
      <c r="F1168" s="990"/>
      <c r="G1168"/>
    </row>
    <row r="1169" spans="1:7" ht="12.9">
      <c r="A1169" s="269"/>
      <c r="B1169" s="269"/>
      <c r="D1169" s="990"/>
      <c r="E1169" s="990"/>
      <c r="F1169" s="990"/>
      <c r="G1169"/>
    </row>
    <row r="1170" spans="1:7" ht="12.9">
      <c r="A1170" s="269"/>
      <c r="B1170" s="269"/>
      <c r="D1170" s="990"/>
      <c r="E1170" s="990"/>
      <c r="F1170" s="990"/>
      <c r="G1170"/>
    </row>
    <row r="1171" spans="1:7" ht="12.9">
      <c r="A1171" s="269"/>
      <c r="B1171" s="269"/>
      <c r="D1171" s="990"/>
      <c r="E1171" s="990"/>
      <c r="F1171" s="990"/>
      <c r="G1171"/>
    </row>
    <row r="1172" spans="1:7" ht="12.9">
      <c r="A1172" s="269"/>
      <c r="B1172" s="269"/>
      <c r="D1172" s="990"/>
      <c r="E1172" s="990"/>
      <c r="F1172" s="990"/>
      <c r="G1172"/>
    </row>
    <row r="1173" spans="1:7" ht="38.25" customHeight="1">
      <c r="A1173" s="269"/>
      <c r="B1173" s="269"/>
      <c r="D1173" s="990"/>
      <c r="E1173" s="990"/>
      <c r="F1173" s="990"/>
    </row>
    <row r="1174" spans="1:7" ht="12.45"/>
    <row r="1175" spans="1:7" ht="12.45">
      <c r="A1175" s="1013" t="s">
        <v>1402</v>
      </c>
      <c r="B1175" s="1013"/>
      <c r="C1175" s="1013"/>
      <c r="D1175" s="1013"/>
      <c r="E1175" s="1013"/>
      <c r="F1175" s="1013"/>
      <c r="G1175" s="1013"/>
    </row>
    <row r="1176" spans="1:7" ht="12.45">
      <c r="A1176" s="44"/>
      <c r="B1176" s="44"/>
    </row>
    <row r="1177" spans="1:7" ht="12.45">
      <c r="C1177" s="205"/>
      <c r="D1177" s="1014" t="s">
        <v>1660</v>
      </c>
      <c r="E1177" s="1014"/>
      <c r="F1177" s="1014"/>
    </row>
    <row r="1178" spans="1:7" ht="12.45">
      <c r="A1178" s="188"/>
      <c r="B1178" s="188"/>
      <c r="C1178" s="188"/>
      <c r="D1178" s="1007" t="s">
        <v>1489</v>
      </c>
      <c r="E1178" s="1008"/>
      <c r="F1178" s="1008"/>
    </row>
    <row r="1179" spans="1:7" ht="12.45">
      <c r="A1179" s="188"/>
      <c r="B1179" s="188"/>
      <c r="C1179" s="188"/>
      <c r="F1179" s="186"/>
      <c r="G1179"/>
    </row>
    <row r="1180" spans="1:7" ht="13.65" customHeight="1">
      <c r="B1180" s="606" t="s">
        <v>1374</v>
      </c>
      <c r="D1180" s="1005" t="s">
        <v>2078</v>
      </c>
      <c r="E1180" s="1005"/>
      <c r="F1180" s="1005"/>
      <c r="G1180"/>
    </row>
    <row r="1181" spans="1:7" ht="12.45">
      <c r="D1181" s="1005"/>
      <c r="E1181" s="1005"/>
      <c r="F1181" s="1005"/>
      <c r="G1181"/>
    </row>
    <row r="1182" spans="1:7" ht="12.45">
      <c r="D1182" s="15"/>
      <c r="E1182" s="923" t="s">
        <v>2079</v>
      </c>
      <c r="F1182" s="15"/>
      <c r="G1182"/>
    </row>
    <row r="1183" spans="1:7" ht="12.45">
      <c r="D1183" s="15"/>
      <c r="E1183" s="15"/>
      <c r="F1183" s="15"/>
      <c r="G1183"/>
    </row>
    <row r="1184" spans="1:7" ht="12.45">
      <c r="D1184" s="984" t="s">
        <v>2077</v>
      </c>
      <c r="E1184" s="984"/>
      <c r="F1184" s="984"/>
      <c r="G1184"/>
    </row>
    <row r="1185" spans="1:7" ht="12.45">
      <c r="A1185" s="189"/>
      <c r="B1185" s="189"/>
      <c r="C1185" s="189"/>
      <c r="D1185" s="984"/>
      <c r="E1185" s="984"/>
      <c r="F1185" s="984"/>
      <c r="G1185"/>
    </row>
    <row r="1186" spans="1:7" ht="14.4" customHeight="1">
      <c r="A1186" s="189"/>
      <c r="B1186" s="189"/>
      <c r="C1186" s="189"/>
      <c r="D1186" s="984"/>
      <c r="E1186" s="984"/>
      <c r="F1186" s="984"/>
      <c r="G1186"/>
    </row>
    <row r="1187" spans="1:7" ht="12.45">
      <c r="A1187" s="189"/>
      <c r="B1187" s="189"/>
      <c r="C1187" s="189"/>
      <c r="D1187" s="104"/>
      <c r="E1187" s="104"/>
      <c r="F1187" s="104"/>
      <c r="G1187"/>
    </row>
    <row r="1188" spans="1:7" ht="12.45">
      <c r="A1188" s="189"/>
      <c r="B1188" s="606" t="s">
        <v>124</v>
      </c>
      <c r="C1188" s="189"/>
      <c r="D1188" s="990" t="s">
        <v>1670</v>
      </c>
      <c r="E1188" s="990"/>
      <c r="F1188" s="990"/>
      <c r="G1188"/>
    </row>
    <row r="1189" spans="1:7" ht="12.45">
      <c r="A1189" s="189"/>
      <c r="B1189" s="189"/>
      <c r="C1189" s="189"/>
      <c r="D1189" s="990"/>
      <c r="E1189" s="990"/>
      <c r="F1189" s="990"/>
      <c r="G1189"/>
    </row>
    <row r="1190" spans="1:7" ht="12.45">
      <c r="A1190" s="189"/>
      <c r="B1190" s="189"/>
      <c r="C1190" s="189"/>
      <c r="D1190" s="990"/>
      <c r="E1190" s="990"/>
      <c r="F1190" s="990"/>
      <c r="G1190"/>
    </row>
    <row r="1191" spans="1:7" ht="12.45">
      <c r="A1191" s="189"/>
      <c r="B1191" s="189"/>
      <c r="C1191" s="189"/>
      <c r="D1191" s="990"/>
      <c r="E1191" s="990"/>
      <c r="F1191" s="990"/>
      <c r="G1191"/>
    </row>
    <row r="1192" spans="1:7" ht="12.45">
      <c r="A1192" s="189"/>
      <c r="B1192" s="189"/>
      <c r="C1192" s="189"/>
      <c r="D1192" s="24"/>
      <c r="E1192" s="24"/>
      <c r="F1192" s="24"/>
      <c r="G1192"/>
    </row>
    <row r="1193" spans="1:7" ht="12.45">
      <c r="A1193" s="189"/>
      <c r="B1193" s="606" t="s">
        <v>124</v>
      </c>
      <c r="C1193" s="189"/>
      <c r="D1193" s="981" t="s">
        <v>2295</v>
      </c>
      <c r="E1193" s="990"/>
      <c r="F1193" s="990"/>
      <c r="G1193"/>
    </row>
    <row r="1194" spans="1:7" ht="12.45">
      <c r="A1194" s="189"/>
      <c r="B1194" s="189"/>
      <c r="C1194" s="189"/>
      <c r="D1194" s="990"/>
      <c r="E1194" s="990"/>
      <c r="F1194" s="990"/>
      <c r="G1194"/>
    </row>
    <row r="1195" spans="1:7" ht="12.45">
      <c r="A1195" s="189"/>
      <c r="B1195" s="189"/>
      <c r="C1195" s="189"/>
      <c r="D1195" s="24"/>
      <c r="E1195" s="24"/>
      <c r="F1195" s="24"/>
      <c r="G1195"/>
    </row>
    <row r="1196" spans="1:7" ht="12.9">
      <c r="A1196" s="269"/>
      <c r="B1196" s="606" t="s">
        <v>124</v>
      </c>
      <c r="D1196" s="1008" t="s">
        <v>1661</v>
      </c>
      <c r="E1196" s="1008"/>
      <c r="F1196" s="1008"/>
      <c r="G1196"/>
    </row>
    <row r="1197" spans="1:7" ht="12.45">
      <c r="G1197"/>
    </row>
    <row r="1198" spans="1:7" ht="12.9">
      <c r="A1198" s="269"/>
      <c r="B1198" s="606" t="s">
        <v>124</v>
      </c>
      <c r="D1198" s="1008" t="s">
        <v>1662</v>
      </c>
      <c r="E1198" s="1008"/>
      <c r="F1198" s="1008"/>
      <c r="G1198"/>
    </row>
    <row r="1199" spans="1:7" ht="12.45">
      <c r="D1199" s="44"/>
      <c r="G1199"/>
    </row>
    <row r="1200" spans="1:7" ht="12.9">
      <c r="A1200" s="269"/>
      <c r="B1200" s="606" t="s">
        <v>1374</v>
      </c>
      <c r="D1200" s="1008" t="s">
        <v>1663</v>
      </c>
      <c r="E1200" s="1008"/>
      <c r="F1200" s="1008"/>
      <c r="G1200"/>
    </row>
    <row r="1201" spans="1:7" ht="12.45">
      <c r="D1201" s="44"/>
      <c r="G1201"/>
    </row>
    <row r="1202" spans="1:7" ht="12.9">
      <c r="A1202" s="269"/>
      <c r="B1202" s="606" t="s">
        <v>1374</v>
      </c>
      <c r="D1202" s="990" t="s">
        <v>1664</v>
      </c>
      <c r="E1202" s="990"/>
      <c r="F1202" s="990"/>
      <c r="G1202"/>
    </row>
    <row r="1203" spans="1:7" ht="12.9">
      <c r="A1203" s="269"/>
      <c r="B1203" s="269"/>
      <c r="D1203" s="990"/>
      <c r="E1203" s="990"/>
      <c r="F1203" s="990"/>
      <c r="G1203"/>
    </row>
    <row r="1204" spans="1:7" ht="12.9">
      <c r="A1204" s="269"/>
      <c r="B1204" s="269"/>
      <c r="D1204" s="44"/>
    </row>
    <row r="1205" spans="1:7" s="445" customFormat="1" ht="12.9">
      <c r="A1205" s="287"/>
      <c r="B1205" s="606" t="s">
        <v>124</v>
      </c>
      <c r="C1205" s="288"/>
      <c r="D1205" s="1034" t="s">
        <v>1665</v>
      </c>
      <c r="E1205" s="1034"/>
      <c r="F1205" s="1034"/>
      <c r="G1205" s="290"/>
    </row>
    <row r="1206" spans="1:7" s="445" customFormat="1" ht="12.45">
      <c r="A1206" s="288"/>
      <c r="B1206" s="288"/>
      <c r="C1206" s="288"/>
      <c r="D1206" s="1034"/>
      <c r="E1206" s="1034"/>
      <c r="F1206" s="1034"/>
      <c r="G1206" s="290"/>
    </row>
    <row r="1207" spans="1:7" s="445" customFormat="1" ht="12.45">
      <c r="A1207" s="288"/>
      <c r="B1207" s="288"/>
      <c r="C1207" s="288"/>
      <c r="D1207" s="289"/>
      <c r="E1207" s="290"/>
      <c r="F1207" s="290"/>
      <c r="G1207" s="290"/>
    </row>
    <row r="1208" spans="1:7" s="445" customFormat="1" ht="12.9">
      <c r="A1208" s="287"/>
      <c r="B1208" s="606" t="s">
        <v>124</v>
      </c>
      <c r="C1208" s="288"/>
      <c r="D1208" s="1041" t="s">
        <v>1666</v>
      </c>
      <c r="E1208" s="1041"/>
      <c r="F1208" s="1041"/>
      <c r="G1208" s="290"/>
    </row>
    <row r="1209" spans="1:7" s="445" customFormat="1" ht="12.45">
      <c r="A1209" s="288"/>
      <c r="B1209" s="288"/>
      <c r="C1209" s="288"/>
      <c r="D1209" s="289"/>
      <c r="E1209" s="290"/>
      <c r="F1209" s="290"/>
      <c r="G1209" s="290"/>
    </row>
    <row r="1210" spans="1:7" ht="12.9">
      <c r="A1210" s="269"/>
      <c r="B1210" s="606" t="s">
        <v>124</v>
      </c>
      <c r="D1210" s="1008" t="s">
        <v>1667</v>
      </c>
      <c r="E1210" s="1008"/>
      <c r="F1210" s="1008"/>
    </row>
    <row r="1211" spans="1:7" ht="12.9">
      <c r="A1211" s="269"/>
      <c r="B1211" s="269"/>
      <c r="D1211" s="44"/>
    </row>
    <row r="1212" spans="1:7" ht="12.9">
      <c r="A1212" s="269"/>
      <c r="B1212" s="606" t="s">
        <v>124</v>
      </c>
      <c r="D1212" s="990" t="s">
        <v>1668</v>
      </c>
      <c r="E1212" s="990"/>
      <c r="F1212" s="990"/>
    </row>
    <row r="1213" spans="1:7" ht="12.9">
      <c r="A1213" s="269"/>
      <c r="B1213" s="269"/>
      <c r="D1213" s="990"/>
      <c r="E1213" s="990"/>
      <c r="F1213" s="990"/>
    </row>
    <row r="1214" spans="1:7" ht="12.45"/>
    <row r="1215" spans="1:7" ht="12.45">
      <c r="A1215" s="1013" t="s">
        <v>1997</v>
      </c>
      <c r="B1215" s="1013"/>
      <c r="C1215" s="1013"/>
      <c r="D1215" s="1013"/>
      <c r="E1215" s="1013"/>
      <c r="F1215" s="1013"/>
      <c r="G1215" s="1013"/>
    </row>
    <row r="1216" spans="1:7" ht="12.45"/>
    <row r="1217" spans="1:7" ht="12.45">
      <c r="A1217" s="1013" t="s">
        <v>1403</v>
      </c>
      <c r="B1217" s="1013"/>
      <c r="C1217" s="1013"/>
      <c r="D1217" s="1013"/>
      <c r="E1217" s="1013"/>
      <c r="F1217" s="1013"/>
      <c r="G1217" s="1013"/>
    </row>
    <row r="1218" spans="1:7" ht="12.45"/>
    <row r="1219" spans="1:7" ht="12.45">
      <c r="D1219" s="1039" t="s">
        <v>1508</v>
      </c>
      <c r="E1219" s="1039"/>
      <c r="F1219" s="1039"/>
    </row>
    <row r="1220" spans="1:7" ht="12.45">
      <c r="D1220" s="1040" t="s">
        <v>1904</v>
      </c>
      <c r="E1220" s="1040"/>
      <c r="F1220" s="1040"/>
    </row>
    <row r="1221" spans="1:7" ht="12.45">
      <c r="A1221" s="188"/>
      <c r="B1221" s="188"/>
      <c r="C1221" s="188"/>
    </row>
    <row r="1222" spans="1:7" ht="12.9">
      <c r="A1222" s="269"/>
      <c r="B1222" s="269"/>
      <c r="C1222" s="189"/>
      <c r="D1222" s="1039" t="s">
        <v>1509</v>
      </c>
      <c r="E1222" s="1039"/>
      <c r="F1222" s="1039"/>
    </row>
    <row r="1223" spans="1:7" ht="12.45">
      <c r="B1223" s="606" t="s">
        <v>1374</v>
      </c>
      <c r="D1223" s="1041" t="s">
        <v>1510</v>
      </c>
      <c r="E1223" s="1041"/>
      <c r="F1223" s="1041"/>
    </row>
    <row r="1224" spans="1:7" ht="12.45">
      <c r="D1224" s="1040" t="s">
        <v>1905</v>
      </c>
      <c r="E1224" s="1040"/>
      <c r="F1224" s="1040"/>
    </row>
    <row r="1225" spans="1:7" ht="12.45">
      <c r="G1225"/>
    </row>
    <row r="1226" spans="1:7" ht="12.75" customHeight="1">
      <c r="B1226" s="606" t="s">
        <v>124</v>
      </c>
      <c r="D1226" s="1021" t="s">
        <v>1822</v>
      </c>
      <c r="E1226" s="1021"/>
      <c r="F1226" s="1021"/>
      <c r="G1226"/>
    </row>
    <row r="1227" spans="1:7" ht="12.45">
      <c r="D1227" s="1021"/>
      <c r="E1227" s="1021"/>
      <c r="F1227" s="1021"/>
      <c r="G1227"/>
    </row>
    <row r="1228" spans="1:7" ht="12.45">
      <c r="G1228"/>
    </row>
    <row r="1229" spans="1:7" ht="12.75" customHeight="1"/>
    <row r="1230" spans="1:7" ht="12.45">
      <c r="A1230" s="1013" t="s">
        <v>1405</v>
      </c>
      <c r="B1230" s="1013"/>
      <c r="C1230" s="1013"/>
      <c r="D1230" s="1013"/>
      <c r="E1230" s="1013"/>
      <c r="F1230" s="1013"/>
      <c r="G1230" s="1013"/>
    </row>
    <row r="1231" spans="1:7" ht="12.45">
      <c r="A1231" s="44"/>
      <c r="B1231" s="44"/>
    </row>
    <row r="1232" spans="1:7" ht="12.75" customHeight="1">
      <c r="A1232" s="44"/>
      <c r="B1232" s="44"/>
      <c r="D1232" s="1014" t="s">
        <v>1404</v>
      </c>
      <c r="E1232" s="1014"/>
      <c r="F1232" s="1014"/>
    </row>
    <row r="1233" spans="1:7" ht="12.75" customHeight="1">
      <c r="A1233" s="44"/>
      <c r="B1233" s="44"/>
      <c r="D1233" s="1008" t="s">
        <v>1411</v>
      </c>
      <c r="E1233" s="1008"/>
      <c r="F1233" s="1008"/>
    </row>
    <row r="1234" spans="1:7" ht="12.75" customHeight="1">
      <c r="A1234" s="44"/>
      <c r="B1234" s="44"/>
    </row>
    <row r="1235" spans="1:7" ht="12.9">
      <c r="A1235" s="269"/>
      <c r="B1235" s="606" t="s">
        <v>124</v>
      </c>
      <c r="D1235" s="1012" t="s">
        <v>1012</v>
      </c>
      <c r="E1235" s="1012"/>
      <c r="F1235" s="1012"/>
    </row>
    <row r="1236" spans="1:7" ht="12.45">
      <c r="D1236" s="1008" t="s">
        <v>1132</v>
      </c>
      <c r="E1236" s="1008"/>
      <c r="F1236" s="1008"/>
    </row>
    <row r="1237" spans="1:7" ht="12.45">
      <c r="E1237" s="1025" t="s">
        <v>2080</v>
      </c>
      <c r="F1237" s="1025"/>
    </row>
    <row r="1238" spans="1:7" ht="12.45">
      <c r="D1238" s="3"/>
    </row>
    <row r="1239" spans="1:7" ht="12.45">
      <c r="D1239" s="1038" t="s">
        <v>1272</v>
      </c>
      <c r="E1239" s="1038"/>
      <c r="F1239" s="1038"/>
    </row>
    <row r="1240" spans="1:7" ht="12.45">
      <c r="B1240" s="606" t="s">
        <v>124</v>
      </c>
      <c r="D1240" s="981" t="s">
        <v>2081</v>
      </c>
      <c r="E1240" s="990"/>
      <c r="F1240" s="990"/>
      <c r="G1240"/>
    </row>
    <row r="1241" spans="1:7" ht="12.45">
      <c r="D1241" s="990"/>
      <c r="E1241" s="990"/>
      <c r="F1241" s="990"/>
      <c r="G1241"/>
    </row>
    <row r="1242" spans="1:7" ht="12.45">
      <c r="D1242" s="498" t="s">
        <v>1275</v>
      </c>
      <c r="E1242"/>
      <c r="F1242"/>
      <c r="G1242"/>
    </row>
    <row r="1243" spans="1:7" ht="13.65" customHeight="1">
      <c r="D1243" s="981" t="s">
        <v>2082</v>
      </c>
      <c r="E1243" s="990"/>
      <c r="F1243" s="990"/>
      <c r="G1243"/>
    </row>
    <row r="1244" spans="1:7" ht="12.45">
      <c r="D1244" s="990"/>
      <c r="E1244" s="990"/>
      <c r="F1244" s="990"/>
      <c r="G1244"/>
    </row>
    <row r="1245" spans="1:7" ht="12.45">
      <c r="D1245" s="990"/>
      <c r="E1245" s="990"/>
      <c r="F1245" s="990"/>
      <c r="G1245"/>
    </row>
    <row r="1246" spans="1:7" ht="12.45">
      <c r="D1246" s="990"/>
      <c r="E1246" s="990"/>
      <c r="F1246" s="990"/>
      <c r="G1246"/>
    </row>
    <row r="1247" spans="1:7" ht="12.45">
      <c r="D1247" s="1025" t="s">
        <v>1015</v>
      </c>
      <c r="E1247" s="1025"/>
      <c r="F1247" s="1025"/>
      <c r="G1247"/>
    </row>
    <row r="1248" spans="1:7" ht="12.45">
      <c r="B1248" s="606" t="s">
        <v>124</v>
      </c>
      <c r="D1248" s="1012" t="s">
        <v>1273</v>
      </c>
      <c r="E1248" s="1012"/>
      <c r="F1248" s="1012"/>
      <c r="G1248"/>
    </row>
    <row r="1249" spans="1:7" ht="12.45">
      <c r="E1249"/>
      <c r="F1249"/>
      <c r="G1249"/>
    </row>
    <row r="1250" spans="1:7" ht="12.45">
      <c r="D1250" s="1020" t="s">
        <v>1274</v>
      </c>
      <c r="E1250" s="1020"/>
      <c r="F1250" s="1020"/>
      <c r="G1250"/>
    </row>
    <row r="1251" spans="1:7" ht="12.45">
      <c r="D1251" s="3" t="s">
        <v>1013</v>
      </c>
      <c r="E1251"/>
      <c r="F1251"/>
      <c r="G1251"/>
    </row>
    <row r="1252" spans="1:7" ht="14.4" customHeight="1">
      <c r="A1252" s="269"/>
      <c r="B1252" s="606" t="s">
        <v>124</v>
      </c>
      <c r="D1252" s="990" t="s">
        <v>1511</v>
      </c>
      <c r="E1252" s="990"/>
      <c r="F1252" s="990"/>
      <c r="G1252"/>
    </row>
    <row r="1253" spans="1:7" ht="12.9">
      <c r="A1253" s="269"/>
      <c r="B1253" s="269"/>
      <c r="D1253" s="990"/>
      <c r="E1253" s="990"/>
      <c r="F1253" s="990"/>
      <c r="G1253"/>
    </row>
    <row r="1254" spans="1:7" ht="12.9">
      <c r="A1254" s="269"/>
      <c r="B1254" s="269"/>
      <c r="D1254" s="990"/>
      <c r="E1254" s="990"/>
      <c r="F1254" s="990"/>
      <c r="G1254"/>
    </row>
    <row r="1255" spans="1:7" ht="12.9">
      <c r="A1255" s="269"/>
      <c r="B1255" s="269"/>
      <c r="E1255"/>
      <c r="F1255"/>
      <c r="G1255"/>
    </row>
    <row r="1256" spans="1:7" ht="12.9">
      <c r="A1256" s="269"/>
      <c r="B1256" s="269"/>
      <c r="D1256" s="416" t="s">
        <v>1131</v>
      </c>
      <c r="E1256" s="416"/>
      <c r="F1256" s="416"/>
    </row>
    <row r="1257" spans="1:7" ht="12.9">
      <c r="A1257" s="269"/>
      <c r="B1257" s="606" t="s">
        <v>124</v>
      </c>
      <c r="D1257" s="990" t="s">
        <v>1512</v>
      </c>
      <c r="E1257" s="990"/>
      <c r="F1257" s="990"/>
    </row>
    <row r="1258" spans="1:7" ht="12.9">
      <c r="A1258" s="269"/>
      <c r="B1258" s="269"/>
      <c r="D1258" s="990"/>
      <c r="E1258" s="990"/>
      <c r="F1258" s="990"/>
    </row>
    <row r="1259" spans="1:7" ht="12.9">
      <c r="A1259" s="269"/>
      <c r="B1259" s="269"/>
      <c r="D1259" s="990"/>
      <c r="E1259" s="990"/>
      <c r="F1259" s="990"/>
    </row>
    <row r="1260" spans="1:7" ht="12.9">
      <c r="A1260" s="269"/>
      <c r="B1260" s="269"/>
      <c r="D1260" s="990"/>
      <c r="E1260" s="990"/>
      <c r="F1260" s="990"/>
    </row>
    <row r="1261" spans="1:7" ht="12.9">
      <c r="A1261" s="269"/>
      <c r="B1261" s="269"/>
      <c r="D1261" s="990"/>
      <c r="E1261" s="990"/>
      <c r="F1261" s="990"/>
    </row>
    <row r="1262" spans="1:7" ht="12.75" customHeight="1">
      <c r="A1262" s="44"/>
      <c r="B1262" s="44"/>
    </row>
    <row r="1263" spans="1:7" ht="12.45">
      <c r="A1263" s="1013" t="s">
        <v>1435</v>
      </c>
      <c r="B1263" s="1013"/>
      <c r="C1263" s="1013"/>
      <c r="D1263" s="1013"/>
      <c r="E1263" s="1013"/>
      <c r="F1263" s="1013"/>
      <c r="G1263" s="1013"/>
    </row>
    <row r="1264" spans="1:7" ht="12.45">
      <c r="A1264" s="44"/>
      <c r="B1264" s="44"/>
    </row>
    <row r="1265" spans="1:7" ht="12.45">
      <c r="A1265" s="44"/>
      <c r="B1265" s="44"/>
      <c r="D1265" s="1022" t="s">
        <v>1436</v>
      </c>
      <c r="E1265" s="1022"/>
      <c r="F1265" s="1022"/>
    </row>
    <row r="1266" spans="1:7" ht="12.45">
      <c r="A1266" s="266"/>
      <c r="B1266" s="266"/>
      <c r="C1266" s="266"/>
      <c r="D1266" s="1012" t="s">
        <v>1449</v>
      </c>
      <c r="E1266" s="1012"/>
      <c r="F1266" s="1012"/>
      <c r="G1266" s="267"/>
    </row>
    <row r="1267" spans="1:7" ht="10.5" customHeight="1"/>
    <row r="1268" spans="1:7" ht="12.9">
      <c r="A1268" s="269"/>
      <c r="B1268" s="606" t="s">
        <v>124</v>
      </c>
      <c r="D1268" s="1012" t="s">
        <v>1133</v>
      </c>
      <c r="E1268" s="1012"/>
      <c r="F1268" s="1012"/>
    </row>
    <row r="1269" spans="1:7" ht="12.45">
      <c r="E1269" s="1025" t="s">
        <v>2083</v>
      </c>
      <c r="F1269" s="1025"/>
    </row>
    <row r="1270" spans="1:7" ht="12.45">
      <c r="D1270" s="102"/>
      <c r="E1270" s="102"/>
      <c r="F1270" s="102"/>
    </row>
    <row r="1271" spans="1:7" ht="13.65" customHeight="1"/>
    <row r="1272" spans="1:7" ht="13.65" customHeight="1"/>
    <row r="1273" spans="1:7" ht="13.65" customHeight="1"/>
    <row r="1274" spans="1:7" ht="13.65" customHeight="1"/>
    <row r="1275" spans="1:7" ht="13.65" customHeight="1"/>
    <row r="1276" spans="1:7" ht="13.65" customHeight="1"/>
    <row r="1277" spans="1:7" ht="13.65" customHeight="1"/>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c r="A1299"/>
      <c r="B1299"/>
      <c r="C1299"/>
      <c r="D1299"/>
      <c r="E1299"/>
      <c r="F1299"/>
      <c r="G1299"/>
    </row>
    <row r="1300" spans="1:7" ht="13.65" customHeight="1">
      <c r="A1300"/>
      <c r="B1300"/>
      <c r="C1300"/>
      <c r="D1300"/>
      <c r="E1300"/>
      <c r="F1300"/>
      <c r="G1300"/>
    </row>
    <row r="1301" spans="1:7" ht="13.65" customHeight="1">
      <c r="A1301"/>
      <c r="B1301"/>
      <c r="C1301"/>
      <c r="D1301"/>
      <c r="E1301"/>
      <c r="F1301"/>
      <c r="G1301"/>
    </row>
    <row r="1302" spans="1:7" ht="13.65" customHeight="1">
      <c r="A1302"/>
      <c r="B1302"/>
      <c r="C1302"/>
      <c r="D1302"/>
      <c r="E1302"/>
      <c r="F1302"/>
      <c r="G1302"/>
    </row>
    <row r="1303" spans="1:7" ht="13.65" customHeight="1">
      <c r="A1303"/>
      <c r="B1303"/>
      <c r="C1303"/>
      <c r="D1303"/>
      <c r="E1303"/>
      <c r="F1303"/>
      <c r="G1303"/>
    </row>
    <row r="1304" spans="1:7" ht="13.65" customHeight="1">
      <c r="A1304"/>
      <c r="B1304"/>
      <c r="C1304"/>
      <c r="D1304"/>
      <c r="E1304"/>
      <c r="F1304"/>
      <c r="G1304"/>
    </row>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view="pageBreakPreview" zoomScale="110" zoomScaleNormal="100" zoomScaleSheetLayoutView="70" workbookViewId="0">
      <selection activeCell="Q391" sqref="Q391:U391"/>
    </sheetView>
  </sheetViews>
  <sheetFormatPr defaultColWidth="0" defaultRowHeight="0" customHeight="1" zeroHeight="1"/>
  <cols>
    <col min="1" max="2" width="2.53515625" customWidth="1"/>
    <col min="3" max="3" width="3.07421875" style="1" customWidth="1"/>
    <col min="4" max="32" width="2.53515625" customWidth="1"/>
    <col min="33" max="33" width="3.07421875" customWidth="1"/>
    <col min="34" max="34" width="2.53515625" customWidth="1"/>
    <col min="35" max="35" width="3" customWidth="1"/>
    <col min="36" max="38" width="2.53515625" customWidth="1"/>
    <col min="39" max="39" width="2.69140625" customWidth="1"/>
    <col min="40" max="40" width="3" customWidth="1"/>
    <col min="41" max="41" width="2.69140625" customWidth="1"/>
    <col min="42" max="45" width="2.4609375" customWidth="1"/>
    <col min="46" max="46" width="5.69140625" customWidth="1"/>
    <col min="47" max="782" width="8.84375" hidden="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074" t="s">
        <v>791</v>
      </c>
      <c r="B9" s="1074"/>
      <c r="C9" s="1074"/>
      <c r="D9" s="1074"/>
      <c r="E9" s="1074"/>
      <c r="F9" s="1074"/>
      <c r="G9" s="1074"/>
      <c r="H9" s="1074"/>
      <c r="I9" s="1074"/>
      <c r="J9" s="1074"/>
      <c r="K9" s="1074"/>
      <c r="L9" s="1074"/>
      <c r="M9" s="1074"/>
      <c r="N9" s="1074"/>
      <c r="O9" s="1074"/>
      <c r="P9" s="1074"/>
      <c r="Q9" s="1074"/>
      <c r="R9" s="1074"/>
      <c r="S9" s="1074"/>
      <c r="T9" s="1074"/>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c r="AT9" s="1074"/>
    </row>
    <row r="10" spans="1:46" s="656" customFormat="1" ht="12.9" customHeight="1">
      <c r="A10" s="1075" t="s">
        <v>2316</v>
      </c>
      <c r="B10" s="1075"/>
      <c r="C10" s="1075"/>
      <c r="D10" s="1075"/>
      <c r="E10" s="1075"/>
      <c r="F10" s="1075"/>
      <c r="G10" s="1075"/>
      <c r="H10" s="1075"/>
      <c r="I10" s="1075"/>
      <c r="J10" s="1075"/>
      <c r="K10" s="1075"/>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row>
    <row r="11" spans="1:46" s="41" customFormat="1" ht="12.9" customHeight="1">
      <c r="A11" s="1076" t="s">
        <v>2328</v>
      </c>
      <c r="B11" s="1076"/>
      <c r="C11" s="1076"/>
      <c r="D11" s="1076"/>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6"/>
      <c r="AC11" s="1076"/>
      <c r="AD11" s="1076"/>
      <c r="AE11" s="1076"/>
      <c r="AF11" s="1076"/>
      <c r="AG11" s="1076"/>
      <c r="AH11" s="1076"/>
      <c r="AI11" s="1076"/>
      <c r="AJ11" s="1076"/>
      <c r="AK11" s="1076"/>
      <c r="AL11" s="1076"/>
      <c r="AM11" s="1076"/>
      <c r="AN11" s="1076"/>
      <c r="AO11" s="1076"/>
      <c r="AP11" s="1076"/>
      <c r="AQ11" s="1076"/>
      <c r="AR11" s="1076"/>
      <c r="AS11" s="1076"/>
      <c r="AT11" s="1076"/>
    </row>
    <row r="12" spans="1:46" ht="12.9" customHeight="1">
      <c r="A12" s="977" t="s">
        <v>1861</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555</v>
      </c>
      <c r="C15" s="5"/>
      <c r="D15" s="5"/>
      <c r="E15" s="5"/>
      <c r="F15" s="5"/>
      <c r="G15" s="5"/>
      <c r="H15" s="1344" t="s">
        <v>2330</v>
      </c>
      <c r="I15" s="1344"/>
      <c r="J15" s="1344"/>
      <c r="K15" s="1344"/>
      <c r="L15" s="1344"/>
      <c r="M15" s="1344"/>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row>
    <row r="16" spans="1:46" ht="12.9" customHeight="1">
      <c r="C16"/>
    </row>
    <row r="17" spans="1:46" ht="12.9" customHeight="1">
      <c r="A17" s="63" t="s">
        <v>792</v>
      </c>
      <c r="C17" s="5"/>
      <c r="D17" s="5"/>
      <c r="E17" s="5"/>
      <c r="F17" s="5"/>
      <c r="G17" s="5"/>
      <c r="H17" s="1341" t="s">
        <v>2331</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2.9" customHeight="1">
      <c r="C18"/>
    </row>
    <row r="19" spans="1:46" ht="12.9" customHeight="1">
      <c r="A19" s="998" t="s">
        <v>1100</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 customHeight="1">
      <c r="A20" s="1422" t="s">
        <v>1350</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4" t="s">
        <v>2233</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3">
        <f>ROUND('Basis &amp; Credits'!AB55,0)</f>
        <v>985350</v>
      </c>
      <c r="N25" s="1423"/>
      <c r="O25" s="1423"/>
      <c r="P25" s="1423"/>
      <c r="Q25" s="1423"/>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3">
        <f>'Basis &amp; Credits'!AB76</f>
        <v>3284500</v>
      </c>
      <c r="N27" s="1423"/>
      <c r="O27" s="1423"/>
      <c r="P27" s="1423"/>
      <c r="Q27" s="1423"/>
      <c r="R27" s="5" t="s">
        <v>1349</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4" t="s">
        <v>2234</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customHeight="1">
      <c r="A33" s="310" t="s">
        <v>2232</v>
      </c>
      <c r="B33"/>
      <c r="C33" s="100"/>
      <c r="D33" s="100"/>
      <c r="E33" s="100"/>
      <c r="F33" s="100"/>
      <c r="G33" s="100"/>
      <c r="H33" s="100"/>
      <c r="I33" s="100"/>
      <c r="J33" s="100"/>
      <c r="K33" s="100"/>
      <c r="L33" s="100"/>
      <c r="M33" s="100"/>
      <c r="N33" s="100"/>
      <c r="O33" s="1130" t="s">
        <v>482</v>
      </c>
      <c r="P33" s="1130"/>
      <c r="Q33" s="1077" t="s">
        <v>2235</v>
      </c>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77"/>
      <c r="AO33" s="1077"/>
      <c r="AP33" s="1077"/>
      <c r="AQ33" s="1077"/>
      <c r="AR33" s="1077"/>
      <c r="AS33" s="1077"/>
      <c r="AT33" s="1077"/>
    </row>
    <row r="34" spans="1:46" ht="12.9" customHeight="1">
      <c r="A34" s="999" t="s">
        <v>2236</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 customHeight="1">
      <c r="C38"/>
      <c r="AM38" s="19"/>
    </row>
    <row r="39" spans="1:46" s="773" customFormat="1" ht="12.9" customHeight="1">
      <c r="A39" s="984" t="s">
        <v>2237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4" t="s">
        <v>2238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81" t="s">
        <v>2239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81" t="s">
        <v>2241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399999999999999"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81" t="s">
        <v>2243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4" t="s">
        <v>2245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81" t="s">
        <v>2246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81" t="s">
        <v>2247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4" t="s">
        <v>2248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 customHeight="1">
      <c r="C87"/>
      <c r="AM87" s="19"/>
    </row>
    <row r="88" spans="1:16384" s="208" customFormat="1" ht="12.9" customHeight="1">
      <c r="A88" s="984" t="s">
        <v>2249</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065" t="s">
        <v>2250</v>
      </c>
      <c r="B91" s="1065"/>
      <c r="C91" s="1065"/>
      <c r="D91" s="1065"/>
      <c r="E91" s="1065"/>
      <c r="F91" s="1065"/>
      <c r="G91" s="1065"/>
      <c r="H91" s="1065"/>
      <c r="I91" s="1065"/>
      <c r="J91" s="1065"/>
      <c r="K91" s="1065"/>
      <c r="L91" s="1065"/>
      <c r="M91" s="1065"/>
      <c r="N91" s="1065"/>
      <c r="O91" s="1065"/>
      <c r="P91" s="1065"/>
      <c r="Q91" s="1065"/>
      <c r="R91" s="1065"/>
      <c r="S91" s="1065"/>
      <c r="T91" s="1065"/>
      <c r="U91" s="1065"/>
      <c r="V91" s="1065"/>
      <c r="W91" s="1065"/>
      <c r="X91" s="1065"/>
      <c r="Y91" s="1065"/>
      <c r="Z91" s="1065"/>
      <c r="AA91" s="1065"/>
      <c r="AB91" s="1065"/>
      <c r="AC91" s="1065"/>
      <c r="AD91" s="1065"/>
      <c r="AE91" s="1065"/>
      <c r="AF91" s="1065"/>
      <c r="AG91" s="1065"/>
      <c r="AH91" s="1065"/>
      <c r="AI91" s="1065"/>
      <c r="AJ91" s="1065"/>
      <c r="AK91" s="1065"/>
      <c r="AL91" s="1065"/>
      <c r="AM91" s="1065"/>
      <c r="AN91" s="1065"/>
      <c r="AO91" s="1065"/>
      <c r="AP91" s="1065"/>
      <c r="AQ91" s="1065"/>
      <c r="AR91" s="1065"/>
      <c r="AS91" s="1065"/>
      <c r="AT91" s="1065"/>
    </row>
    <row r="92" spans="1:16384" ht="12.9" customHeight="1">
      <c r="A92" s="1065"/>
      <c r="B92" s="1065"/>
      <c r="C92" s="1065"/>
      <c r="D92" s="1065"/>
      <c r="E92" s="1065"/>
      <c r="F92" s="1065"/>
      <c r="G92" s="1065"/>
      <c r="H92" s="1065"/>
      <c r="I92" s="1065"/>
      <c r="J92" s="1065"/>
      <c r="K92" s="1065"/>
      <c r="L92" s="1065"/>
      <c r="M92" s="1065"/>
      <c r="N92" s="1065"/>
      <c r="O92" s="1065"/>
      <c r="P92" s="1065"/>
      <c r="Q92" s="1065"/>
      <c r="R92" s="1065"/>
      <c r="S92" s="1065"/>
      <c r="T92" s="1065"/>
      <c r="U92" s="1065"/>
      <c r="V92" s="1065"/>
      <c r="W92" s="1065"/>
      <c r="X92" s="1065"/>
      <c r="Y92" s="1065"/>
      <c r="Z92" s="1065"/>
      <c r="AA92" s="1065"/>
      <c r="AB92" s="1065"/>
      <c r="AC92" s="1065"/>
      <c r="AD92" s="1065"/>
      <c r="AE92" s="1065"/>
      <c r="AF92" s="1065"/>
      <c r="AG92" s="1065"/>
      <c r="AH92" s="1065"/>
      <c r="AI92" s="1065"/>
      <c r="AJ92" s="1065"/>
      <c r="AK92" s="1065"/>
      <c r="AL92" s="1065"/>
      <c r="AM92" s="1065"/>
      <c r="AN92" s="1065"/>
      <c r="AO92" s="1065"/>
      <c r="AP92" s="1065"/>
      <c r="AQ92" s="1065"/>
      <c r="AR92" s="1065"/>
      <c r="AS92" s="1065"/>
      <c r="AT92" s="1065"/>
    </row>
    <row r="93" spans="1:16384" ht="12.9" customHeight="1">
      <c r="A93" s="1065"/>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row>
    <row r="94" spans="1:16384" ht="12.9" customHeight="1">
      <c r="A94" s="1065"/>
      <c r="B94" s="1065"/>
      <c r="C94" s="1065"/>
      <c r="D94" s="1065"/>
      <c r="E94" s="1065"/>
      <c r="F94" s="1065"/>
      <c r="G94" s="1065"/>
      <c r="H94" s="1065"/>
      <c r="I94" s="1065"/>
      <c r="J94" s="1065"/>
      <c r="K94" s="1065"/>
      <c r="L94" s="1065"/>
      <c r="M94" s="1065"/>
      <c r="N94" s="1065"/>
      <c r="O94" s="1065"/>
      <c r="P94" s="1065"/>
      <c r="Q94" s="1065"/>
      <c r="R94" s="1065"/>
      <c r="S94" s="1065"/>
      <c r="T94" s="1065"/>
      <c r="U94" s="1065"/>
      <c r="V94" s="1065"/>
      <c r="W94" s="1065"/>
      <c r="X94" s="1065"/>
      <c r="Y94" s="1065"/>
      <c r="Z94" s="1065"/>
      <c r="AA94" s="1065"/>
      <c r="AB94" s="1065"/>
      <c r="AC94" s="1065"/>
      <c r="AD94" s="1065"/>
      <c r="AE94" s="1065"/>
      <c r="AF94" s="1065"/>
      <c r="AG94" s="1065"/>
      <c r="AH94" s="1065"/>
      <c r="AI94" s="1065"/>
      <c r="AJ94" s="1065"/>
      <c r="AK94" s="1065"/>
      <c r="AL94" s="1065"/>
      <c r="AM94" s="1065"/>
      <c r="AN94" s="1065"/>
      <c r="AO94" s="1065"/>
      <c r="AP94" s="1065"/>
      <c r="AQ94" s="1065"/>
      <c r="AR94" s="1065"/>
      <c r="AS94" s="1065"/>
      <c r="AT94" s="1065"/>
    </row>
    <row r="95" spans="1:16384" ht="12.9" customHeight="1">
      <c r="A95" s="1065"/>
      <c r="B95" s="1065"/>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5"/>
      <c r="Y95" s="1065"/>
      <c r="Z95" s="1065"/>
      <c r="AA95" s="1065"/>
      <c r="AB95" s="1065"/>
      <c r="AC95" s="1065"/>
      <c r="AD95" s="1065"/>
      <c r="AE95" s="1065"/>
      <c r="AF95" s="1065"/>
      <c r="AG95" s="1065"/>
      <c r="AH95" s="1065"/>
      <c r="AI95" s="1065"/>
      <c r="AJ95" s="1065"/>
      <c r="AK95" s="1065"/>
      <c r="AL95" s="1065"/>
      <c r="AM95" s="1065"/>
      <c r="AN95" s="1065"/>
      <c r="AO95" s="1065"/>
      <c r="AP95" s="1065"/>
      <c r="AQ95" s="1065"/>
      <c r="AR95" s="1065"/>
      <c r="AS95" s="1065"/>
      <c r="AT95" s="1065"/>
    </row>
    <row r="96" spans="1:16384" ht="12.9" customHeight="1">
      <c r="A96" s="1065"/>
      <c r="B96" s="1065"/>
      <c r="C96" s="1065"/>
      <c r="D96" s="1065"/>
      <c r="E96" s="1065"/>
      <c r="F96" s="1065"/>
      <c r="G96" s="1065"/>
      <c r="H96" s="1065"/>
      <c r="I96" s="1065"/>
      <c r="J96" s="1065"/>
      <c r="K96" s="1065"/>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row>
    <row r="97" spans="1:46" ht="12.9" customHeight="1">
      <c r="A97" s="1065"/>
      <c r="B97" s="1065"/>
      <c r="C97" s="1065"/>
      <c r="D97" s="1065"/>
      <c r="E97" s="1065"/>
      <c r="F97" s="1065"/>
      <c r="G97" s="1065"/>
      <c r="H97" s="1065"/>
      <c r="I97" s="1065"/>
      <c r="J97" s="1065"/>
      <c r="K97" s="1065"/>
      <c r="L97" s="1065"/>
      <c r="M97" s="1065"/>
      <c r="N97" s="1065"/>
      <c r="O97" s="1065"/>
      <c r="P97" s="1065"/>
      <c r="Q97" s="1065"/>
      <c r="R97" s="1065"/>
      <c r="S97" s="1065"/>
      <c r="T97" s="1065"/>
      <c r="U97" s="1065"/>
      <c r="V97" s="1065"/>
      <c r="W97" s="1065"/>
      <c r="X97" s="1065"/>
      <c r="Y97" s="1065"/>
      <c r="Z97" s="1065"/>
      <c r="AA97" s="1065"/>
      <c r="AB97" s="1065"/>
      <c r="AC97" s="1065"/>
      <c r="AD97" s="1065"/>
      <c r="AE97" s="1065"/>
      <c r="AF97" s="1065"/>
      <c r="AG97" s="1065"/>
      <c r="AH97" s="1065"/>
      <c r="AI97" s="1065"/>
      <c r="AJ97" s="1065"/>
      <c r="AK97" s="1065"/>
      <c r="AL97" s="1065"/>
      <c r="AM97" s="1065"/>
      <c r="AN97" s="1065"/>
      <c r="AO97" s="1065"/>
      <c r="AP97" s="1065"/>
      <c r="AQ97" s="1065"/>
      <c r="AR97" s="1065"/>
      <c r="AS97" s="1065"/>
      <c r="AT97" s="1065"/>
    </row>
    <row r="98" spans="1:46" ht="12.9" customHeight="1">
      <c r="A98" s="1065"/>
      <c r="B98" s="1065"/>
      <c r="C98" s="1065"/>
      <c r="D98" s="1065"/>
      <c r="E98" s="1065"/>
      <c r="F98" s="1065"/>
      <c r="G98" s="1065"/>
      <c r="H98" s="1065"/>
      <c r="I98" s="1065"/>
      <c r="J98" s="1065"/>
      <c r="K98" s="1065"/>
      <c r="L98" s="1065"/>
      <c r="M98" s="1065"/>
      <c r="N98" s="1065"/>
      <c r="O98" s="1065"/>
      <c r="P98" s="1065"/>
      <c r="Q98" s="1065"/>
      <c r="R98" s="1065"/>
      <c r="S98" s="1065"/>
      <c r="T98" s="1065"/>
      <c r="U98" s="1065"/>
      <c r="V98" s="1065"/>
      <c r="W98" s="1065"/>
      <c r="X98" s="1065"/>
      <c r="Y98" s="1065"/>
      <c r="Z98" s="1065"/>
      <c r="AA98" s="1065"/>
      <c r="AB98" s="1065"/>
      <c r="AC98" s="1065"/>
      <c r="AD98" s="1065"/>
      <c r="AE98" s="1065"/>
      <c r="AF98" s="1065"/>
      <c r="AG98" s="1065"/>
      <c r="AH98" s="1065"/>
      <c r="AI98" s="1065"/>
      <c r="AJ98" s="1065"/>
      <c r="AK98" s="1065"/>
      <c r="AL98" s="1065"/>
      <c r="AM98" s="1065"/>
      <c r="AN98" s="1065"/>
      <c r="AO98" s="1065"/>
      <c r="AP98" s="1065"/>
      <c r="AQ98" s="1065"/>
      <c r="AR98" s="1065"/>
      <c r="AS98" s="1065"/>
      <c r="AT98" s="1065"/>
    </row>
    <row r="99" spans="1:46" ht="12.9" customHeight="1">
      <c r="A99" s="1065"/>
      <c r="B99" s="1065"/>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1065"/>
      <c r="AH99" s="1065"/>
      <c r="AI99" s="1065"/>
      <c r="AJ99" s="1065"/>
      <c r="AK99" s="1065"/>
      <c r="AL99" s="1065"/>
      <c r="AM99" s="1065"/>
      <c r="AN99" s="1065"/>
      <c r="AO99" s="1065"/>
      <c r="AP99" s="1065"/>
      <c r="AQ99" s="1065"/>
      <c r="AR99" s="1065"/>
      <c r="AS99" s="1065"/>
      <c r="AT99" s="1065"/>
    </row>
    <row r="100" spans="1:46" ht="19.95" customHeight="1">
      <c r="A100" s="1065"/>
      <c r="B100" s="1065"/>
      <c r="C100" s="1065"/>
      <c r="D100" s="1065"/>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c r="AF100" s="1065"/>
      <c r="AG100" s="1065"/>
      <c r="AH100" s="1065"/>
      <c r="AI100" s="1065"/>
      <c r="AJ100" s="1065"/>
      <c r="AK100" s="1065"/>
      <c r="AL100" s="1065"/>
      <c r="AM100" s="1065"/>
      <c r="AN100" s="1065"/>
      <c r="AO100" s="1065"/>
      <c r="AP100" s="1065"/>
      <c r="AQ100" s="1065"/>
      <c r="AR100" s="1065"/>
      <c r="AS100" s="1065"/>
      <c r="AT100" s="1065"/>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81" t="s">
        <v>2251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065" t="s">
        <v>2252</v>
      </c>
      <c r="B107" s="1065"/>
      <c r="C107" s="1065"/>
      <c r="D107" s="1065"/>
      <c r="E107" s="1065"/>
      <c r="F107" s="1065"/>
      <c r="G107" s="1065"/>
      <c r="H107" s="1065"/>
      <c r="I107" s="1065"/>
      <c r="J107" s="1065"/>
      <c r="K107" s="1065"/>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c r="AF107" s="1065"/>
      <c r="AG107" s="1065"/>
      <c r="AH107" s="1065"/>
      <c r="AI107" s="1065"/>
      <c r="AJ107" s="1065"/>
      <c r="AK107" s="1065"/>
      <c r="AL107" s="1065"/>
      <c r="AM107" s="1065"/>
      <c r="AN107" s="1065"/>
      <c r="AO107" s="1065"/>
      <c r="AP107" s="1065"/>
      <c r="AQ107" s="1065"/>
      <c r="AR107" s="1065"/>
      <c r="AS107" s="1065"/>
      <c r="AT107" s="1065"/>
    </row>
    <row r="108" spans="1:46" ht="12.9" customHeight="1">
      <c r="A108" s="1065"/>
      <c r="B108" s="1065"/>
      <c r="C108" s="1065"/>
      <c r="D108" s="1065"/>
      <c r="E108" s="1065"/>
      <c r="F108" s="1065"/>
      <c r="G108" s="1065"/>
      <c r="H108" s="1065"/>
      <c r="I108" s="1065"/>
      <c r="J108" s="1065"/>
      <c r="K108" s="1065"/>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c r="AF108" s="1065"/>
      <c r="AG108" s="1065"/>
      <c r="AH108" s="1065"/>
      <c r="AI108" s="1065"/>
      <c r="AJ108" s="1065"/>
      <c r="AK108" s="1065"/>
      <c r="AL108" s="1065"/>
      <c r="AM108" s="1065"/>
      <c r="AN108" s="1065"/>
      <c r="AO108" s="1065"/>
      <c r="AP108" s="1065"/>
      <c r="AQ108" s="1065"/>
      <c r="AR108" s="1065"/>
      <c r="AS108" s="1065"/>
      <c r="AT108" s="1065"/>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81" t="s">
        <v>2253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343" t="s">
        <v>2528</v>
      </c>
      <c r="H115" s="1111"/>
      <c r="I115" s="41" t="s">
        <v>412</v>
      </c>
      <c r="J115" s="41"/>
      <c r="L115" s="1346" t="s">
        <v>2332</v>
      </c>
      <c r="M115" s="1347"/>
      <c r="N115" s="1347"/>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0"/>
      <c r="C117" s="1346" t="s">
        <v>2333</v>
      </c>
      <c r="D117" s="1347"/>
      <c r="E117" s="1347"/>
      <c r="F117" s="1347"/>
      <c r="G117" s="1347"/>
      <c r="H117" s="1347"/>
      <c r="I117" s="1347"/>
      <c r="J117" s="1347"/>
      <c r="K117" s="1347"/>
      <c r="L117" s="307" t="s">
        <v>413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41" t="s">
        <v>2334</v>
      </c>
      <c r="Z118" s="1066"/>
      <c r="AA118" s="1066"/>
      <c r="AB118" s="1066"/>
      <c r="AC118" s="1066"/>
      <c r="AD118" s="1066"/>
      <c r="AE118" s="1066"/>
      <c r="AF118" s="1066"/>
      <c r="AG118" s="1066"/>
      <c r="AH118" s="1066"/>
      <c r="AI118" s="1066"/>
      <c r="AJ118" s="1066"/>
      <c r="AK118" s="1066"/>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41" t="s">
        <v>2335</v>
      </c>
      <c r="Z121" s="1066"/>
      <c r="AA121" s="1066"/>
      <c r="AB121" s="1066"/>
      <c r="AC121" s="1066"/>
      <c r="AD121" s="1066"/>
      <c r="AE121" s="1066"/>
      <c r="AF121" s="1066"/>
      <c r="AG121" s="1066"/>
      <c r="AH121" s="1066"/>
      <c r="AI121" s="1066"/>
      <c r="AJ121" s="1066"/>
      <c r="AK121" s="1066"/>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655</v>
      </c>
      <c r="O156" s="1066" t="s">
        <v>2336</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79</v>
      </c>
    </row>
    <row r="157" spans="1:72" ht="12.9" customHeight="1">
      <c r="C157"/>
      <c r="D157" s="337" t="s">
        <v>543</v>
      </c>
      <c r="O157" s="1332" t="s">
        <v>2337</v>
      </c>
      <c r="P157" s="1332"/>
      <c r="Q157" s="1332"/>
      <c r="R157" s="1332"/>
      <c r="S157" s="1332"/>
      <c r="T157" s="1332"/>
      <c r="U157" s="1332"/>
      <c r="V157" s="1332"/>
      <c r="W157" s="1332"/>
      <c r="X157" s="1332"/>
      <c r="Y157" s="1332"/>
      <c r="Z157" s="1332"/>
      <c r="AA157" s="1332"/>
      <c r="AB157" s="1332"/>
      <c r="AC157" s="1332"/>
      <c r="AD157" s="1332"/>
      <c r="AE157" s="1332"/>
      <c r="AF157" s="1332"/>
      <c r="AG157" s="1332"/>
      <c r="AH157" s="1332"/>
      <c r="AI157" t="s">
        <v>708</v>
      </c>
      <c r="BN157" s="30" t="s">
        <v>422</v>
      </c>
      <c r="BT157" t="s">
        <v>28</v>
      </c>
    </row>
    <row r="158" spans="1:72" ht="12.9" customHeight="1">
      <c r="C158"/>
      <c r="D158" s="12" t="s">
        <v>544</v>
      </c>
      <c r="F158" s="12"/>
      <c r="G158" s="12"/>
      <c r="H158" s="12"/>
      <c r="I158" s="12"/>
      <c r="J158" s="12"/>
      <c r="K158" s="12"/>
      <c r="L158" s="12"/>
      <c r="M158" s="12"/>
      <c r="N158" s="12"/>
      <c r="O158" s="1424" t="s">
        <v>2529</v>
      </c>
      <c r="P158" s="1425"/>
      <c r="Q158" s="1425"/>
      <c r="R158" s="1425"/>
      <c r="S158" s="1425"/>
      <c r="T158" s="1425"/>
      <c r="U158" s="1425"/>
      <c r="V158" s="1425"/>
      <c r="W158" s="1425"/>
      <c r="X158" s="1425"/>
      <c r="Y158" s="1425"/>
      <c r="Z158" s="1425"/>
      <c r="AA158" s="1425"/>
      <c r="AB158" s="1425"/>
      <c r="AC158" s="1425"/>
      <c r="AD158" s="1425"/>
      <c r="AE158" s="1425"/>
      <c r="AF158" s="1425"/>
      <c r="AG158" s="1425"/>
      <c r="AH158" s="1425"/>
      <c r="BN158" s="30" t="s">
        <v>423</v>
      </c>
      <c r="BT158" t="s">
        <v>29</v>
      </c>
    </row>
    <row r="159" spans="1:72" ht="12.9" customHeight="1">
      <c r="C159"/>
      <c r="D159" t="s">
        <v>646</v>
      </c>
      <c r="O159" s="1069" t="s">
        <v>2338</v>
      </c>
      <c r="P159" s="1069"/>
      <c r="Q159" s="1069"/>
      <c r="R159" s="1069"/>
      <c r="S159" s="1069"/>
      <c r="T159" s="1069"/>
      <c r="U159" s="1069"/>
      <c r="V159" s="1069"/>
      <c r="W159" s="1069"/>
      <c r="X159" s="1069"/>
      <c r="Y159" s="1069"/>
      <c r="Z159" s="1069"/>
      <c r="AA159" s="1069"/>
      <c r="AB159" s="1069"/>
      <c r="AC159" s="1069"/>
      <c r="AD159" s="1069"/>
      <c r="AE159" s="1069"/>
      <c r="AF159" s="1069"/>
      <c r="AG159" s="1069"/>
      <c r="AH159" s="1069"/>
      <c r="BN159" s="30" t="s">
        <v>73</v>
      </c>
      <c r="BT159" t="s">
        <v>384</v>
      </c>
    </row>
    <row r="160" spans="1:72" ht="12.9" customHeight="1">
      <c r="C160"/>
      <c r="D160" t="s">
        <v>647</v>
      </c>
      <c r="O160" s="1066" t="s">
        <v>2339</v>
      </c>
      <c r="P160" s="1066"/>
      <c r="Q160" s="1066"/>
      <c r="R160" s="1066"/>
      <c r="S160" s="1066"/>
      <c r="T160" s="1066"/>
      <c r="U160" s="1066"/>
      <c r="V160" s="1066"/>
      <c r="W160" s="1066"/>
      <c r="X160" s="1066"/>
      <c r="Y160" s="12"/>
      <c r="Z160" s="12"/>
      <c r="AA160" s="12"/>
      <c r="AB160" s="12"/>
      <c r="AC160" s="12"/>
      <c r="AD160" s="12"/>
      <c r="AE160" s="12"/>
      <c r="AF160" s="12"/>
      <c r="BN160" s="30" t="s">
        <v>75</v>
      </c>
      <c r="BT160" t="s">
        <v>385</v>
      </c>
    </row>
    <row r="161" spans="1:72" ht="12.9" customHeight="1">
      <c r="C161"/>
      <c r="D161" t="s">
        <v>648</v>
      </c>
      <c r="O161" s="1349">
        <v>93631</v>
      </c>
      <c r="P161" s="1349"/>
      <c r="Q161" s="1349"/>
      <c r="R161" s="134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C162"/>
      <c r="D162" t="s">
        <v>649</v>
      </c>
      <c r="O162" s="1351" t="s">
        <v>2340</v>
      </c>
      <c r="P162" s="1351"/>
      <c r="Q162" s="1351"/>
      <c r="R162" s="1351"/>
      <c r="S162" s="1351"/>
      <c r="T162" s="1351"/>
      <c r="V162" s="177" t="s">
        <v>12</v>
      </c>
      <c r="W162" s="1350"/>
      <c r="X162" s="1350"/>
      <c r="Y162" s="14"/>
      <c r="Z162" s="14"/>
      <c r="AA162" s="14"/>
      <c r="AB162" s="14"/>
      <c r="AC162" s="14"/>
      <c r="AD162" s="14"/>
      <c r="AE162" s="14"/>
      <c r="AF162" s="14"/>
      <c r="BJ162" t="s">
        <v>108</v>
      </c>
      <c r="BN162" s="30" t="s">
        <v>77</v>
      </c>
      <c r="BT162" t="s">
        <v>387</v>
      </c>
    </row>
    <row r="163" spans="1:72" ht="12.9" customHeight="1">
      <c r="C163"/>
      <c r="D163" t="s">
        <v>650</v>
      </c>
      <c r="O163" s="1351" t="s">
        <v>2341</v>
      </c>
      <c r="P163" s="1351"/>
      <c r="Q163" s="1351"/>
      <c r="R163" s="1351"/>
      <c r="S163" s="1351"/>
      <c r="T163" s="1351"/>
      <c r="U163" s="14"/>
      <c r="V163" s="14"/>
      <c r="W163" s="14"/>
      <c r="X163" s="14"/>
      <c r="Y163" s="14"/>
      <c r="Z163" s="14"/>
      <c r="AA163" s="14"/>
      <c r="AB163" s="14"/>
      <c r="AC163" s="14"/>
      <c r="AD163" s="14"/>
      <c r="AE163" s="14"/>
      <c r="AF163" s="14"/>
      <c r="BN163" s="30" t="s">
        <v>476</v>
      </c>
      <c r="BT163" t="s">
        <v>388</v>
      </c>
    </row>
    <row r="164" spans="1:72" ht="12.9" customHeight="1">
      <c r="C164"/>
      <c r="D164" t="s">
        <v>651</v>
      </c>
      <c r="O164" s="1073" t="s">
        <v>2342</v>
      </c>
      <c r="P164" s="1073"/>
      <c r="Q164" s="1073"/>
      <c r="R164" s="1073"/>
      <c r="S164" s="1073"/>
      <c r="T164" s="1073"/>
      <c r="U164" s="1073"/>
      <c r="V164" s="1073"/>
      <c r="W164" s="1073"/>
      <c r="X164" s="1073"/>
      <c r="Y164" s="1073"/>
      <c r="Z164" s="1073"/>
      <c r="AA164" s="1073"/>
      <c r="AB164" s="1073"/>
      <c r="AC164" s="1073"/>
      <c r="AD164" s="1073"/>
      <c r="AE164" s="1073"/>
      <c r="AF164" s="1073"/>
      <c r="AG164" s="1073"/>
      <c r="AH164" s="1073"/>
      <c r="BN164" s="30" t="s">
        <v>477</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 customHeight="1">
      <c r="C167" s="34"/>
      <c r="D167" s="1334" t="s">
        <v>2280</v>
      </c>
      <c r="E167" s="1334"/>
      <c r="F167" s="1334"/>
      <c r="G167" s="1334"/>
      <c r="H167" s="1334"/>
      <c r="I167" s="1334"/>
      <c r="J167" s="1334"/>
      <c r="K167" s="1334"/>
      <c r="L167" s="1334"/>
      <c r="M167" s="1334"/>
      <c r="N167" s="1334"/>
      <c r="O167" s="1334"/>
      <c r="P167" s="1334"/>
      <c r="Q167" s="1334"/>
      <c r="R167" s="1334"/>
      <c r="S167" s="1334"/>
      <c r="T167" s="1334"/>
      <c r="U167" s="1334"/>
      <c r="V167" s="1334"/>
      <c r="W167" s="1334"/>
      <c r="X167" s="1334"/>
      <c r="Y167" s="1334"/>
      <c r="Z167" s="261"/>
      <c r="AA167" s="259"/>
      <c r="AB167" s="259"/>
      <c r="AC167" s="259"/>
      <c r="AD167" s="259"/>
      <c r="AE167" s="259"/>
      <c r="AF167" s="259"/>
      <c r="AG167" s="259"/>
      <c r="AH167" s="259"/>
      <c r="BN167" s="30" t="s">
        <v>483</v>
      </c>
      <c r="BT167" t="s">
        <v>392</v>
      </c>
    </row>
    <row r="168" spans="1:72" ht="12.9" customHeight="1">
      <c r="C168"/>
      <c r="BN168" s="30" t="s">
        <v>484</v>
      </c>
      <c r="BT168" t="s">
        <v>393</v>
      </c>
    </row>
    <row r="169" spans="1:72" s="956" customFormat="1" ht="12.9" customHeight="1">
      <c r="A169" s="1068" t="s">
        <v>379</v>
      </c>
      <c r="B169" s="1068"/>
      <c r="C169" s="1068"/>
      <c r="D169" s="1068"/>
      <c r="E169" s="1068"/>
      <c r="F169" s="1068"/>
      <c r="G169" s="1068"/>
      <c r="H169" s="1068"/>
      <c r="I169" s="1068"/>
      <c r="J169" s="1068"/>
      <c r="K169" s="1068"/>
      <c r="L169" s="1068"/>
      <c r="M169" s="1068"/>
      <c r="N169" s="1068"/>
      <c r="O169" s="1068"/>
      <c r="P169" s="1068"/>
      <c r="Q169" s="1068"/>
      <c r="R169" s="1068"/>
      <c r="S169" s="1068"/>
      <c r="T169" s="1068"/>
      <c r="U169" s="1068"/>
      <c r="V169" s="1068"/>
      <c r="W169" s="1068"/>
      <c r="X169" s="1068"/>
      <c r="Y169" s="1068"/>
      <c r="Z169" s="1068"/>
      <c r="AA169" s="1068"/>
      <c r="AB169" s="1068"/>
      <c r="AC169" s="1068"/>
      <c r="AD169" s="1068"/>
      <c r="AE169" s="1068"/>
      <c r="AF169" s="1068"/>
      <c r="AG169" s="1068"/>
      <c r="AH169" s="1068"/>
      <c r="AI169" s="1068"/>
      <c r="AJ169" s="1068"/>
      <c r="AK169" s="1068"/>
      <c r="AL169" s="1068"/>
      <c r="AM169" s="1068"/>
      <c r="AN169" s="1068"/>
      <c r="AO169" s="1068"/>
      <c r="AP169" s="1068"/>
      <c r="AQ169" s="1068"/>
      <c r="AR169" s="1068"/>
      <c r="AS169" s="1068"/>
      <c r="AT169" s="1068"/>
      <c r="AU169"/>
      <c r="BN169" s="264" t="s">
        <v>486</v>
      </c>
      <c r="BT169" t="s">
        <v>394</v>
      </c>
    </row>
    <row r="170" spans="1:72" s="956" customFormat="1" ht="12.9" customHeight="1">
      <c r="A170" s="1068"/>
      <c r="B170" s="1068"/>
      <c r="C170" s="1068"/>
      <c r="D170" s="1068"/>
      <c r="E170" s="1068"/>
      <c r="F170" s="1068"/>
      <c r="G170" s="1068"/>
      <c r="H170" s="1068"/>
      <c r="I170" s="1068"/>
      <c r="J170" s="1068"/>
      <c r="K170" s="1068"/>
      <c r="L170" s="1068"/>
      <c r="M170" s="1068"/>
      <c r="N170" s="1068"/>
      <c r="O170" s="1068"/>
      <c r="P170" s="1068"/>
      <c r="Q170" s="1068"/>
      <c r="R170" s="1068"/>
      <c r="S170" s="1068"/>
      <c r="T170" s="1068"/>
      <c r="U170" s="1068"/>
      <c r="V170" s="1068"/>
      <c r="W170" s="1068"/>
      <c r="X170" s="1068"/>
      <c r="Y170" s="1068"/>
      <c r="Z170" s="1068"/>
      <c r="AA170" s="1068"/>
      <c r="AB170" s="1068"/>
      <c r="AC170" s="1068"/>
      <c r="AD170" s="1068"/>
      <c r="AE170" s="1068"/>
      <c r="AF170" s="1068"/>
      <c r="AG170" s="1068"/>
      <c r="AH170" s="1068"/>
      <c r="AI170" s="1068"/>
      <c r="AJ170" s="1068"/>
      <c r="AK170" s="1068"/>
      <c r="AL170" s="1068"/>
      <c r="AM170" s="1068"/>
      <c r="AN170" s="1068"/>
      <c r="AO170" s="1068"/>
      <c r="AP170" s="1068"/>
      <c r="AQ170" s="1068"/>
      <c r="AR170" s="1068"/>
      <c r="AS170" s="1068"/>
      <c r="AT170" s="1068"/>
      <c r="AU170"/>
      <c r="BN170" s="264" t="s">
        <v>487</v>
      </c>
      <c r="BT170" t="s">
        <v>395</v>
      </c>
    </row>
    <row r="171" spans="1:72" ht="12.9" customHeight="1">
      <c r="C171"/>
      <c r="BN171" s="30" t="s">
        <v>488</v>
      </c>
      <c r="BT171" t="s">
        <v>396</v>
      </c>
    </row>
    <row r="172" spans="1:72" ht="12.9" customHeight="1">
      <c r="A172" s="3" t="s">
        <v>652</v>
      </c>
      <c r="C172" s="3" t="s">
        <v>653</v>
      </c>
      <c r="BN172" s="30" t="s">
        <v>490</v>
      </c>
      <c r="BT172" t="s">
        <v>397</v>
      </c>
    </row>
    <row r="173" spans="1:72" ht="12.9" customHeight="1">
      <c r="C173" s="31"/>
      <c r="D173" t="s">
        <v>437</v>
      </c>
      <c r="J173" s="1345" t="s">
        <v>505</v>
      </c>
      <c r="K173" s="1345"/>
      <c r="L173" s="1345"/>
      <c r="M173" s="1345"/>
      <c r="N173" s="1345"/>
      <c r="O173" s="1345"/>
      <c r="P173" s="1345"/>
      <c r="Q173" s="1345"/>
      <c r="R173" s="1345"/>
      <c r="S173" s="1345"/>
      <c r="U173" s="32"/>
      <c r="X173" s="32"/>
      <c r="BN173" s="30" t="s">
        <v>491</v>
      </c>
      <c r="BT173" t="s">
        <v>398</v>
      </c>
    </row>
    <row r="174" spans="1:72" ht="12.9" customHeight="1">
      <c r="C174" s="31"/>
      <c r="D174" t="s">
        <v>438</v>
      </c>
      <c r="U174" s="1130" t="s">
        <v>108</v>
      </c>
      <c r="V174" s="1130"/>
      <c r="BN174" s="30" t="s">
        <v>593</v>
      </c>
      <c r="BT174" t="s">
        <v>399</v>
      </c>
    </row>
    <row r="175" spans="1:72" ht="12.9" customHeight="1">
      <c r="C175" s="12"/>
      <c r="D175" s="33"/>
      <c r="E175" t="s">
        <v>230</v>
      </c>
      <c r="O175" s="34"/>
      <c r="P175" t="s">
        <v>2090</v>
      </c>
      <c r="T175" s="34" t="s">
        <v>231</v>
      </c>
      <c r="U175" s="1116">
        <v>24</v>
      </c>
      <c r="V175" s="1116"/>
      <c r="W175" s="1" t="s">
        <v>232</v>
      </c>
      <c r="X175" s="1348">
        <v>163</v>
      </c>
      <c r="Y175" s="1348"/>
      <c r="BN175" s="30" t="s">
        <v>594</v>
      </c>
      <c r="BT175" t="s">
        <v>400</v>
      </c>
    </row>
    <row r="176" spans="1:72" ht="12.9" customHeight="1">
      <c r="C176" s="31"/>
      <c r="D176" t="s">
        <v>279</v>
      </c>
      <c r="U176" s="1130" t="s">
        <v>482</v>
      </c>
      <c r="V176" s="1130"/>
      <c r="BN176" s="30" t="s">
        <v>596</v>
      </c>
      <c r="BT176" t="s">
        <v>401</v>
      </c>
    </row>
    <row r="177" spans="1:72" ht="12.9" customHeight="1">
      <c r="C177" s="31"/>
      <c r="D177" s="358" t="s">
        <v>1231</v>
      </c>
      <c r="BN177" s="30" t="s">
        <v>597</v>
      </c>
      <c r="BT177" t="s">
        <v>402</v>
      </c>
    </row>
    <row r="178" spans="1:72" ht="12.9" customHeight="1">
      <c r="C178" s="31"/>
      <c r="E178" s="358" t="s">
        <v>2090</v>
      </c>
      <c r="F178" s="358"/>
      <c r="G178" s="358"/>
      <c r="I178" s="936" t="s">
        <v>231</v>
      </c>
      <c r="J178" s="1336"/>
      <c r="K178" s="1336"/>
      <c r="L178" s="367" t="s">
        <v>232</v>
      </c>
      <c r="M178" s="1112"/>
      <c r="N178" s="1112"/>
      <c r="O178" s="358"/>
      <c r="P178" s="358"/>
      <c r="Q178" s="358"/>
      <c r="R178" s="358"/>
      <c r="U178" s="358" t="s">
        <v>1232</v>
      </c>
      <c r="V178" s="358"/>
      <c r="W178" s="358"/>
      <c r="X178" s="358"/>
      <c r="Y178" s="358"/>
      <c r="Z178" s="358"/>
      <c r="AA178" s="358"/>
      <c r="AB178" s="358"/>
      <c r="AD178" s="1337"/>
      <c r="AE178" s="1337"/>
      <c r="AF178" s="1337"/>
      <c r="AG178" s="1337"/>
      <c r="AH178" s="1337"/>
      <c r="BN178" s="30" t="s">
        <v>598</v>
      </c>
      <c r="BT178" t="s">
        <v>403</v>
      </c>
    </row>
    <row r="179" spans="1:72" ht="12.9" customHeight="1">
      <c r="C179" s="31"/>
      <c r="BN179" s="30" t="s">
        <v>599</v>
      </c>
      <c r="BT179" t="s">
        <v>404</v>
      </c>
    </row>
    <row r="180" spans="1:72" ht="12.9" customHeight="1">
      <c r="C180" s="12"/>
      <c r="D180" t="s">
        <v>2091</v>
      </c>
      <c r="O180" s="358"/>
      <c r="P180" s="358"/>
      <c r="Q180" s="358"/>
      <c r="R180" s="358"/>
      <c r="Y180" s="1130" t="s">
        <v>482</v>
      </c>
      <c r="Z180" s="1342"/>
      <c r="BN180" s="30" t="s">
        <v>601</v>
      </c>
      <c r="BT180" t="s">
        <v>405</v>
      </c>
    </row>
    <row r="181" spans="1:72" ht="12.9" customHeight="1">
      <c r="C181" s="12"/>
      <c r="D181" s="35"/>
      <c r="E181" s="358" t="s">
        <v>1230</v>
      </c>
      <c r="R181" s="358"/>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247" t="str">
        <f>H17</f>
        <v>Park Kingsburg Apartments</v>
      </c>
      <c r="J184" s="1247"/>
      <c r="K184" s="1247"/>
      <c r="L184" s="1247"/>
      <c r="M184" s="1247"/>
      <c r="N184" s="1247"/>
      <c r="O184" s="1247"/>
      <c r="P184" s="1247"/>
      <c r="Q184" s="1247"/>
      <c r="R184" s="1247"/>
      <c r="S184" s="1247"/>
      <c r="T184" s="1247"/>
      <c r="U184" s="1247"/>
      <c r="V184" s="1247"/>
      <c r="W184" s="1247"/>
      <c r="X184" s="1247"/>
      <c r="Y184" s="1247"/>
      <c r="Z184" s="1247"/>
      <c r="AA184" s="1247"/>
      <c r="AB184" s="1247"/>
      <c r="AC184" s="1247"/>
      <c r="AD184" s="1247"/>
      <c r="AE184" s="1247"/>
      <c r="BC184" t="s">
        <v>120</v>
      </c>
      <c r="BN184" s="30" t="s">
        <v>573</v>
      </c>
      <c r="BT184" t="s">
        <v>409</v>
      </c>
    </row>
    <row r="185" spans="1:72" ht="12.9" customHeight="1">
      <c r="C185" s="29"/>
      <c r="D185" t="s">
        <v>429</v>
      </c>
      <c r="I185" s="1067" t="s">
        <v>2343</v>
      </c>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BC185" s="41" t="s">
        <v>121</v>
      </c>
      <c r="BN185" s="30" t="s">
        <v>574</v>
      </c>
      <c r="BT185" t="s">
        <v>838</v>
      </c>
    </row>
    <row r="186" spans="1:72" ht="12.9" customHeight="1">
      <c r="C186" s="29"/>
      <c r="E186" t="s">
        <v>62</v>
      </c>
      <c r="BN186" s="30" t="s">
        <v>575</v>
      </c>
      <c r="BT186" t="s">
        <v>839</v>
      </c>
    </row>
    <row r="187" spans="1:72" ht="12.9" customHeight="1">
      <c r="C187" s="29"/>
      <c r="E187" s="1338" t="s">
        <v>124</v>
      </c>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576</v>
      </c>
      <c r="BT187" t="s">
        <v>840</v>
      </c>
    </row>
    <row r="188" spans="1:72" ht="12.9"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578</v>
      </c>
      <c r="BT188" t="s">
        <v>841</v>
      </c>
    </row>
    <row r="189" spans="1:72" ht="12.9" customHeight="1">
      <c r="C189" s="29"/>
      <c r="D189" t="s">
        <v>430</v>
      </c>
      <c r="I189" s="1069" t="s">
        <v>2339</v>
      </c>
      <c r="J189" s="1069"/>
      <c r="K189" s="1069"/>
      <c r="L189" s="1069"/>
      <c r="M189" s="1069"/>
      <c r="N189" s="1069"/>
      <c r="O189" s="1069"/>
      <c r="P189" s="1069"/>
      <c r="Q189" t="s">
        <v>432</v>
      </c>
      <c r="T189" s="1069" t="s">
        <v>391</v>
      </c>
      <c r="U189" s="1069"/>
      <c r="V189" s="1069"/>
      <c r="W189" s="1069"/>
      <c r="X189" s="1069"/>
      <c r="Y189" s="1069"/>
      <c r="Z189" s="1069"/>
      <c r="AA189" s="1069"/>
      <c r="AB189" s="1069"/>
      <c r="AC189" s="1069"/>
      <c r="AD189" s="1069"/>
      <c r="AE189" s="1069"/>
      <c r="BC189" t="s">
        <v>79</v>
      </c>
      <c r="BH189" s="41" t="s">
        <v>124</v>
      </c>
      <c r="BN189" s="30" t="s">
        <v>579</v>
      </c>
      <c r="BT189" t="s">
        <v>109</v>
      </c>
    </row>
    <row r="190" spans="1:72" ht="12.9" customHeight="1">
      <c r="C190" s="29"/>
      <c r="D190" t="s">
        <v>433</v>
      </c>
      <c r="I190" s="1067">
        <v>93631</v>
      </c>
      <c r="J190" s="1067"/>
      <c r="K190" s="1067"/>
      <c r="L190" s="1067"/>
      <c r="M190" s="1067"/>
      <c r="N190" s="1067"/>
      <c r="O190" t="s">
        <v>435</v>
      </c>
      <c r="T190" s="1353">
        <v>72.02</v>
      </c>
      <c r="U190" s="1353"/>
      <c r="V190" s="1353"/>
      <c r="W190" s="1353"/>
      <c r="X190" s="1353"/>
      <c r="Y190" s="1353"/>
      <c r="Z190" s="1353"/>
      <c r="AA190" s="1353"/>
      <c r="AB190" s="1353"/>
      <c r="AC190" s="1353"/>
      <c r="AD190" s="1353"/>
      <c r="AE190" s="1353"/>
      <c r="BC190" t="s">
        <v>662</v>
      </c>
      <c r="BH190" t="s">
        <v>662</v>
      </c>
      <c r="BN190" s="30" t="s">
        <v>421</v>
      </c>
      <c r="BT190" t="s">
        <v>110</v>
      </c>
    </row>
    <row r="191" spans="1:72" ht="12.9" customHeight="1">
      <c r="C191" s="29"/>
      <c r="D191" t="s">
        <v>81</v>
      </c>
      <c r="N191" s="1338" t="s">
        <v>2344</v>
      </c>
      <c r="O191" s="1338"/>
      <c r="P191" s="1338"/>
      <c r="Q191" s="1338"/>
      <c r="R191" s="1338"/>
      <c r="S191" s="1338"/>
      <c r="T191" s="1338"/>
      <c r="U191" s="1338"/>
      <c r="V191" s="1338"/>
      <c r="W191" s="1338"/>
      <c r="X191" s="1338"/>
      <c r="Y191" s="1338"/>
      <c r="Z191" s="1338"/>
      <c r="AA191" s="1338"/>
      <c r="AB191" s="1338"/>
      <c r="AC191" s="1338"/>
      <c r="AD191" s="1338"/>
      <c r="AE191" s="1338"/>
      <c r="BC191" t="s">
        <v>1422</v>
      </c>
      <c r="BH191" t="s">
        <v>1422</v>
      </c>
      <c r="BN191" s="30" t="s">
        <v>581</v>
      </c>
      <c r="BT191" t="s">
        <v>111</v>
      </c>
    </row>
    <row r="192" spans="1:72" ht="12.9"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663</v>
      </c>
      <c r="BH192" t="s">
        <v>614</v>
      </c>
      <c r="BN192" s="30" t="s">
        <v>582</v>
      </c>
      <c r="BT192" t="s">
        <v>112</v>
      </c>
    </row>
    <row r="193" spans="1:73" ht="12.9" customHeight="1">
      <c r="C193" s="29"/>
      <c r="D193" t="s">
        <v>436</v>
      </c>
      <c r="T193" s="1130" t="s">
        <v>482</v>
      </c>
      <c r="U193" s="1130"/>
      <c r="W193" s="41" t="s">
        <v>1874</v>
      </c>
      <c r="AA193" s="1330"/>
      <c r="AB193" s="1330"/>
      <c r="AC193" s="1330"/>
      <c r="BC193" t="s">
        <v>563</v>
      </c>
      <c r="BH193" s="5" t="s">
        <v>1427</v>
      </c>
      <c r="BN193" s="30" t="s">
        <v>583</v>
      </c>
      <c r="BT193" t="s">
        <v>113</v>
      </c>
    </row>
    <row r="194" spans="1:73" ht="12.9" customHeight="1">
      <c r="C194" s="29"/>
      <c r="D194" t="s">
        <v>118</v>
      </c>
      <c r="T194" s="1140" t="s">
        <v>482</v>
      </c>
      <c r="U194" s="1140"/>
      <c r="W194" t="s">
        <v>63</v>
      </c>
      <c r="AI194" s="1130" t="s">
        <v>482</v>
      </c>
      <c r="AJ194" s="1130"/>
      <c r="AX194" s="5" t="s">
        <v>124</v>
      </c>
      <c r="BC194" t="s">
        <v>614</v>
      </c>
      <c r="BN194" s="30" t="s">
        <v>752</v>
      </c>
      <c r="BT194" t="s">
        <v>114</v>
      </c>
    </row>
    <row r="195" spans="1:73" ht="12.9" customHeight="1">
      <c r="C195" s="29"/>
      <c r="D195" s="41" t="s">
        <v>1725</v>
      </c>
      <c r="T195" s="1140" t="s">
        <v>482</v>
      </c>
      <c r="U195" s="1140"/>
      <c r="X195" s="794" t="s">
        <v>2092</v>
      </c>
      <c r="AX195" s="5" t="s">
        <v>1149</v>
      </c>
      <c r="BN195" s="30" t="s">
        <v>753</v>
      </c>
      <c r="BT195" t="s">
        <v>115</v>
      </c>
    </row>
    <row r="196" spans="1:73" ht="12.9" customHeight="1">
      <c r="C196" s="29"/>
      <c r="D196" s="5" t="s">
        <v>1154</v>
      </c>
      <c r="T196" s="1140" t="s">
        <v>482</v>
      </c>
      <c r="U196" s="1140"/>
      <c r="AK196" s="1329"/>
      <c r="AL196" s="1329"/>
      <c r="AX196" s="41" t="s">
        <v>2183</v>
      </c>
      <c r="BN196" s="30" t="s">
        <v>754</v>
      </c>
      <c r="BT196" t="s">
        <v>116</v>
      </c>
    </row>
    <row r="197" spans="1:73" ht="12.9" customHeight="1">
      <c r="C197" s="29"/>
      <c r="D197" s="41" t="s">
        <v>1875</v>
      </c>
      <c r="T197" s="1130" t="s">
        <v>482</v>
      </c>
      <c r="U197" s="1130"/>
      <c r="AX197" s="5" t="s">
        <v>1150</v>
      </c>
      <c r="BC197" t="s">
        <v>79</v>
      </c>
      <c r="BN197" s="30" t="s">
        <v>755</v>
      </c>
      <c r="BT197" t="s">
        <v>117</v>
      </c>
    </row>
    <row r="198" spans="1:73" ht="12.9" customHeight="1">
      <c r="C198" s="29"/>
      <c r="D198" s="41" t="s">
        <v>1903</v>
      </c>
      <c r="W198" s="1343" t="s">
        <v>482</v>
      </c>
      <c r="X198" s="1130"/>
      <c r="AX198" s="5" t="s">
        <v>1151</v>
      </c>
      <c r="BC198" t="s">
        <v>1102</v>
      </c>
      <c r="BN198" s="30" t="s">
        <v>756</v>
      </c>
      <c r="BT198" t="s">
        <v>802</v>
      </c>
    </row>
    <row r="199" spans="1:73" ht="12.9" customHeight="1">
      <c r="C199" s="29"/>
      <c r="L199" s="307"/>
      <c r="M199" s="307"/>
      <c r="N199" s="307"/>
      <c r="O199" s="307"/>
      <c r="P199" s="307"/>
      <c r="Q199" s="918" t="s">
        <v>2093</v>
      </c>
      <c r="R199" s="1341" t="s">
        <v>2005</v>
      </c>
      <c r="S199" s="1341"/>
      <c r="T199" s="1341"/>
      <c r="U199" s="1341"/>
      <c r="V199" s="1341"/>
      <c r="W199" s="1341"/>
      <c r="X199" s="1341"/>
      <c r="Y199" s="1341"/>
      <c r="Z199" s="1341"/>
      <c r="AA199" s="1341"/>
      <c r="AB199" s="1341"/>
      <c r="AH199" s="1"/>
      <c r="AI199" s="1"/>
      <c r="AX199" s="5" t="s">
        <v>1152</v>
      </c>
      <c r="BC199" s="5" t="s">
        <v>1103</v>
      </c>
      <c r="BN199" s="30" t="s">
        <v>757</v>
      </c>
      <c r="BO199" s="39"/>
      <c r="BP199" s="40"/>
      <c r="BQ199" s="40"/>
      <c r="BR199" s="40"/>
      <c r="BS199" s="40"/>
      <c r="BT199" s="40" t="s">
        <v>803</v>
      </c>
    </row>
    <row r="200" spans="1:73" ht="12.9"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 customHeight="1">
      <c r="C201" s="29"/>
      <c r="AX201" s="41" t="s">
        <v>2042</v>
      </c>
      <c r="BC201" t="s">
        <v>860</v>
      </c>
      <c r="BN201" s="30" t="s">
        <v>658</v>
      </c>
      <c r="BO201" s="21"/>
      <c r="BP201" s="40"/>
      <c r="BQ201" s="40"/>
      <c r="BR201" s="40"/>
      <c r="BS201" s="40"/>
      <c r="BT201" s="40" t="s">
        <v>805</v>
      </c>
    </row>
    <row r="202" spans="1:73" ht="12.9" customHeight="1">
      <c r="A202" s="3" t="s">
        <v>119</v>
      </c>
      <c r="C202" s="3" t="s">
        <v>1148</v>
      </c>
      <c r="AX202" s="5" t="s">
        <v>1153</v>
      </c>
      <c r="BC202" t="s">
        <v>1433</v>
      </c>
      <c r="BN202" s="30" t="s">
        <v>659</v>
      </c>
      <c r="BT202" s="40" t="s">
        <v>806</v>
      </c>
      <c r="BU202" s="21"/>
    </row>
    <row r="203" spans="1:73" ht="12.9" customHeight="1">
      <c r="C203"/>
      <c r="D203" s="1247" t="str">
        <f>IF(AND(M25&gt;0,M27&gt;0),"Federal and State","Federal Only")</f>
        <v>Federal and State</v>
      </c>
      <c r="E203" s="1247"/>
      <c r="F203" s="1247"/>
      <c r="G203" s="1247"/>
      <c r="H203" s="1247"/>
      <c r="I203" s="1247"/>
      <c r="J203" s="1247"/>
      <c r="K203" s="1247"/>
      <c r="L203" s="1247"/>
      <c r="M203" s="1247"/>
      <c r="P203" s="1335">
        <f>M25</f>
        <v>985350</v>
      </c>
      <c r="Q203" s="1335"/>
      <c r="R203" s="1335"/>
      <c r="S203" s="1335"/>
      <c r="T203" s="1335"/>
      <c r="U203" s="1335"/>
      <c r="W203" s="1335">
        <f>M27</f>
        <v>3284500</v>
      </c>
      <c r="X203" s="1335"/>
      <c r="Y203" s="1335"/>
      <c r="Z203" s="1335"/>
      <c r="AA203" s="1335"/>
      <c r="AB203" s="1335"/>
      <c r="AV203" t="s">
        <v>124</v>
      </c>
      <c r="AX203" s="5" t="s">
        <v>563</v>
      </c>
      <c r="BC203" t="s">
        <v>1431</v>
      </c>
      <c r="BN203" s="30" t="s">
        <v>660</v>
      </c>
      <c r="BT203" s="40" t="s">
        <v>807</v>
      </c>
      <c r="BU203" s="21"/>
    </row>
    <row r="204" spans="1:73" ht="12.9" customHeight="1">
      <c r="C204" s="29"/>
      <c r="P204" s="1355" t="s">
        <v>175</v>
      </c>
      <c r="Q204" s="1355"/>
      <c r="R204" s="1355"/>
      <c r="S204" s="1355"/>
      <c r="T204" s="1355"/>
      <c r="U204" s="1355"/>
      <c r="V204" s="36"/>
      <c r="W204" s="1355" t="s">
        <v>176</v>
      </c>
      <c r="X204" s="1355"/>
      <c r="Y204" s="1355"/>
      <c r="Z204" s="1355"/>
      <c r="AA204" s="1355"/>
      <c r="AB204" s="1355"/>
      <c r="AV204" t="s">
        <v>108</v>
      </c>
      <c r="AX204" s="5" t="s">
        <v>663</v>
      </c>
      <c r="BC204" t="s">
        <v>859</v>
      </c>
      <c r="BN204" s="30" t="s">
        <v>661</v>
      </c>
      <c r="BT204" s="40" t="s">
        <v>808</v>
      </c>
      <c r="BU204" s="21"/>
    </row>
    <row r="205" spans="1:73" ht="12.9"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2.9"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 customHeight="1">
      <c r="A207" s="3" t="s">
        <v>122</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 customHeight="1">
      <c r="C208" s="29"/>
      <c r="D208" s="1066" t="s">
        <v>2345</v>
      </c>
      <c r="E208" s="1066"/>
      <c r="F208" s="1066"/>
      <c r="G208" s="1066"/>
      <c r="H208" s="1066"/>
      <c r="I208" s="1066"/>
      <c r="J208" s="1066"/>
      <c r="K208" s="1066"/>
      <c r="L208" s="1066"/>
      <c r="M208" s="1066"/>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2.9"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 customHeight="1">
      <c r="C211" s="29"/>
      <c r="D211" s="1341" t="s">
        <v>1150</v>
      </c>
      <c r="E211" s="1066"/>
      <c r="F211" s="1066"/>
      <c r="G211" s="1066"/>
      <c r="H211" s="1066"/>
      <c r="I211" s="1066"/>
      <c r="J211" s="1066"/>
      <c r="K211" s="1066"/>
      <c r="L211" s="1066"/>
      <c r="M211" s="1066"/>
      <c r="N211" s="1066"/>
      <c r="O211" s="1066"/>
      <c r="P211" s="1066"/>
      <c r="X211" s="800"/>
      <c r="Y211" s="1354" t="s">
        <v>482</v>
      </c>
      <c r="Z211" s="1354"/>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 customHeight="1">
      <c r="A213" s="3" t="s">
        <v>125</v>
      </c>
      <c r="C213" s="3" t="s">
        <v>1423</v>
      </c>
      <c r="AX213" t="s">
        <v>2005</v>
      </c>
      <c r="BC213" t="s">
        <v>625</v>
      </c>
      <c r="BN213" s="30" t="s">
        <v>6</v>
      </c>
      <c r="BT213" s="40" t="s">
        <v>815</v>
      </c>
    </row>
    <row r="214" spans="1:72" ht="12.9" customHeight="1">
      <c r="C214" s="29"/>
      <c r="D214" s="1352" t="s">
        <v>563</v>
      </c>
      <c r="E214" s="1352"/>
      <c r="F214" s="1352"/>
      <c r="G214" s="1352"/>
      <c r="H214" s="1352"/>
      <c r="I214" s="1352"/>
      <c r="J214" s="1352"/>
      <c r="AX214" t="s">
        <v>2006</v>
      </c>
      <c r="BC214" t="s">
        <v>629</v>
      </c>
      <c r="BN214" s="30" t="s">
        <v>443</v>
      </c>
      <c r="BT214" s="40" t="s">
        <v>816</v>
      </c>
    </row>
    <row r="215" spans="1:72" ht="12.9" customHeight="1">
      <c r="C215"/>
      <c r="D215" s="35"/>
      <c r="E215" s="41" t="s">
        <v>2297</v>
      </c>
      <c r="S215" s="1333"/>
      <c r="T215" s="1333"/>
      <c r="V215" s="1340">
        <f>IFERROR(S215/AG441,"")</f>
        <v>0</v>
      </c>
      <c r="W215" s="1340"/>
      <c r="AX215" t="s">
        <v>2007</v>
      </c>
      <c r="BC215" t="s">
        <v>626</v>
      </c>
    </row>
    <row r="216" spans="1:72" ht="12.9" customHeight="1">
      <c r="C216"/>
      <c r="D216" s="35"/>
      <c r="E216" s="934" t="s">
        <v>2292</v>
      </c>
      <c r="AX216" t="s">
        <v>2008</v>
      </c>
      <c r="BC216" t="s">
        <v>743</v>
      </c>
    </row>
    <row r="217" spans="1:72" ht="12.9" customHeight="1">
      <c r="C217"/>
      <c r="E217" s="1356" t="s">
        <v>124</v>
      </c>
      <c r="F217" s="1356"/>
      <c r="G217" s="1356"/>
      <c r="H217" s="1356"/>
      <c r="I217" s="1356"/>
      <c r="J217" s="1356"/>
      <c r="K217" s="1356"/>
      <c r="L217" s="1356"/>
      <c r="M217" s="1356"/>
      <c r="N217" s="1356"/>
      <c r="O217" s="1356"/>
      <c r="P217" s="1356"/>
      <c r="Q217" s="1356"/>
      <c r="R217" s="1356"/>
      <c r="S217" s="1356"/>
      <c r="T217" s="1356"/>
      <c r="U217" s="1356"/>
      <c r="V217" s="1356"/>
      <c r="W217" s="1356"/>
      <c r="X217" s="1356"/>
      <c r="Y217" s="1356"/>
      <c r="Z217" s="1356"/>
      <c r="AA217" s="49"/>
      <c r="AB217" s="49"/>
      <c r="AC217" s="49"/>
      <c r="AD217" s="49"/>
      <c r="AE217" s="49"/>
      <c r="AF217" s="49"/>
      <c r="AX217" s="41" t="s">
        <v>2010</v>
      </c>
      <c r="BC217" t="s">
        <v>627</v>
      </c>
    </row>
    <row r="218" spans="1:72" ht="12.9" customHeight="1">
      <c r="C218"/>
      <c r="E218" s="41" t="s">
        <v>1946</v>
      </c>
      <c r="AA218" s="49"/>
      <c r="AC218" s="1146"/>
      <c r="AD218" s="1146"/>
      <c r="AE218" s="1146"/>
      <c r="AF218" s="1146"/>
      <c r="AG218" s="1146"/>
      <c r="AH218" s="1146"/>
      <c r="AI218" s="1146"/>
      <c r="AJ218" s="1146"/>
      <c r="AK218" s="1146"/>
      <c r="AL218" s="1146"/>
      <c r="AM218" s="1146"/>
      <c r="BC218" t="s">
        <v>628</v>
      </c>
      <c r="BI218" s="39"/>
    </row>
    <row r="219" spans="1:72" ht="12.9" customHeight="1">
      <c r="C219"/>
      <c r="E219" s="41" t="s">
        <v>1947</v>
      </c>
      <c r="AA219" s="49"/>
      <c r="AC219" s="1146" t="s">
        <v>2346</v>
      </c>
      <c r="AD219" s="1146"/>
      <c r="AE219" s="1146"/>
      <c r="AF219" s="1146"/>
      <c r="AG219" s="1146"/>
      <c r="AH219" s="1146"/>
      <c r="AI219" s="1146"/>
      <c r="AJ219" s="1146"/>
      <c r="AK219" s="1146"/>
      <c r="AL219" s="1146"/>
      <c r="AM219" s="1146"/>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341" t="s">
        <v>2043</v>
      </c>
      <c r="E223" s="1341"/>
      <c r="F223" s="1341"/>
      <c r="G223" s="1341"/>
      <c r="H223" s="1341"/>
      <c r="I223" s="1341"/>
      <c r="J223" s="1341"/>
      <c r="K223" s="1341"/>
      <c r="L223" s="1341"/>
      <c r="M223" s="1341"/>
      <c r="N223" s="1341"/>
      <c r="O223" s="1341"/>
      <c r="P223" s="1341"/>
      <c r="Q223" s="1341"/>
      <c r="R223" s="1341"/>
      <c r="S223" s="1341"/>
      <c r="T223" s="1341"/>
      <c r="U223" s="1341"/>
      <c r="V223" s="1341"/>
      <c r="W223" s="1341"/>
      <c r="X223" s="1341"/>
      <c r="Y223" s="1341"/>
      <c r="Z223" s="1341"/>
      <c r="AA223" s="1341"/>
      <c r="AB223" s="1341"/>
      <c r="AC223" s="1341"/>
      <c r="AD223" s="1341"/>
      <c r="AE223" s="1341"/>
      <c r="AF223" s="1341"/>
      <c r="AG223" s="1341"/>
      <c r="AH223" s="1341"/>
      <c r="AI223" s="1341"/>
      <c r="AJ223" s="21"/>
      <c r="AK223" s="21"/>
      <c r="AL223" s="21"/>
    </row>
    <row r="224" spans="1:72" ht="12.9" customHeight="1">
      <c r="C224"/>
      <c r="AJ224" s="5"/>
    </row>
    <row r="225" spans="1:59" ht="12.9" customHeight="1">
      <c r="C225"/>
      <c r="D225" t="s">
        <v>556</v>
      </c>
      <c r="O225" s="1130">
        <v>21</v>
      </c>
      <c r="P225" s="1130"/>
    </row>
    <row r="226" spans="1:59" ht="12.9" customHeight="1">
      <c r="C226"/>
      <c r="D226" t="s">
        <v>557</v>
      </c>
      <c r="O226" s="1130">
        <v>33</v>
      </c>
      <c r="P226" s="1130"/>
      <c r="BB226" s="5" t="s">
        <v>637</v>
      </c>
      <c r="BG226" s="407">
        <f>IF(AND(AND($M$251="for profit",$M$259="for profit",$M$267="nonprofit")),2,0)</f>
        <v>2</v>
      </c>
    </row>
    <row r="227" spans="1:59" ht="12.9" customHeight="1">
      <c r="C227"/>
      <c r="D227" t="s">
        <v>558</v>
      </c>
      <c r="O227" s="1130">
        <v>16</v>
      </c>
      <c r="P227" s="1130"/>
      <c r="BB227" s="5" t="s">
        <v>637</v>
      </c>
      <c r="BG227" s="407">
        <f>IF(AND(AND($M$251="for profit",$M$259="nonprofit",$M$267="for profit")),2,0)</f>
        <v>0</v>
      </c>
    </row>
    <row r="228" spans="1:59" ht="12.9" customHeight="1">
      <c r="C228"/>
      <c r="D228" t="s">
        <v>559</v>
      </c>
      <c r="BB228" t="s">
        <v>637</v>
      </c>
      <c r="BG228" s="407">
        <f>IF(AND(AND($M$251="nonprofit",$M$259="for profit",$M$267="for profit")),2,0)</f>
        <v>0</v>
      </c>
    </row>
    <row r="229" spans="1:59" ht="12.9" customHeight="1">
      <c r="C229"/>
      <c r="D229" s="357" t="s">
        <v>1177</v>
      </c>
      <c r="U229" s="357" t="s">
        <v>1178</v>
      </c>
      <c r="BB229" t="s">
        <v>637</v>
      </c>
      <c r="BG229" s="407">
        <f>IF(AND(AND($M$251="for profit",$M$259="nonprofit",$M$267="(select one)")),2,0)</f>
        <v>0</v>
      </c>
    </row>
    <row r="230" spans="1:59" ht="12.9" customHeight="1">
      <c r="C230"/>
      <c r="BB230" t="s">
        <v>637</v>
      </c>
      <c r="BG230" s="408">
        <f>IF(AND(AND($M$251="nonprofit",$M$259="for profit",$M$267="(select one)")),2,0)</f>
        <v>0</v>
      </c>
    </row>
    <row r="231" spans="1:59" ht="12.9" customHeight="1">
      <c r="A231" s="1068" t="s">
        <v>495</v>
      </c>
      <c r="B231" s="1068"/>
      <c r="C231" s="1068"/>
      <c r="D231" s="1068"/>
      <c r="E231" s="1068"/>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8"/>
      <c r="AK231" s="1068"/>
      <c r="AL231" s="1068"/>
      <c r="AM231" s="1068"/>
      <c r="AN231" s="1068"/>
      <c r="AO231" s="1068"/>
      <c r="AP231" s="1068"/>
      <c r="AQ231" s="1068"/>
      <c r="AR231" s="1068"/>
      <c r="AS231" s="1068"/>
      <c r="AT231" s="1068"/>
    </row>
    <row r="232" spans="1:59" ht="12.9" customHeight="1">
      <c r="A232" s="1068"/>
      <c r="B232" s="1068"/>
      <c r="C232" s="1068"/>
      <c r="D232" s="1068"/>
      <c r="E232" s="1068"/>
      <c r="F232" s="1068"/>
      <c r="G232" s="1068"/>
      <c r="H232" s="1068"/>
      <c r="I232" s="1068"/>
      <c r="J232" s="1068"/>
      <c r="K232" s="1068"/>
      <c r="L232" s="1068"/>
      <c r="M232" s="1068"/>
      <c r="N232" s="1068"/>
      <c r="O232" s="1068"/>
      <c r="P232" s="1068"/>
      <c r="Q232" s="1068"/>
      <c r="R232" s="1068"/>
      <c r="S232" s="1068"/>
      <c r="T232" s="1068"/>
      <c r="U232" s="1068"/>
      <c r="V232" s="1068"/>
      <c r="W232" s="1068"/>
      <c r="X232" s="1068"/>
      <c r="Y232" s="1068"/>
      <c r="Z232" s="1068"/>
      <c r="AA232" s="1068"/>
      <c r="AB232" s="1068"/>
      <c r="AC232" s="1068"/>
      <c r="AD232" s="1068"/>
      <c r="AE232" s="1068"/>
      <c r="AF232" s="1068"/>
      <c r="AG232" s="1068"/>
      <c r="AH232" s="1068"/>
      <c r="AI232" s="1068"/>
      <c r="AJ232" s="1068"/>
      <c r="AK232" s="1068"/>
      <c r="AL232" s="1068"/>
      <c r="AM232" s="1068"/>
      <c r="AN232" s="1068"/>
      <c r="AO232" s="1068"/>
      <c r="AP232" s="1068"/>
      <c r="AQ232" s="1068"/>
      <c r="AR232" s="1068"/>
      <c r="AS232" s="1068"/>
      <c r="AT232" s="1068"/>
      <c r="BB232" s="3" t="s">
        <v>637</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36" t="str">
        <f>H15</f>
        <v>Horizon ELOM Holdings, LLC</v>
      </c>
      <c r="N235" s="1436"/>
      <c r="O235" s="1436"/>
      <c r="P235" s="1436"/>
      <c r="Q235" s="1436"/>
      <c r="R235" s="1436"/>
      <c r="S235" s="1436"/>
      <c r="T235" s="1436"/>
      <c r="U235" s="1436"/>
      <c r="V235" s="1436"/>
      <c r="W235" s="1436"/>
      <c r="X235" s="1436"/>
      <c r="Y235" s="1436"/>
      <c r="Z235" s="1436"/>
      <c r="AA235" s="1436"/>
      <c r="AB235" s="1436"/>
      <c r="AC235" s="1436"/>
      <c r="AD235" s="1436"/>
      <c r="AE235" s="1436"/>
      <c r="AF235" s="1436"/>
      <c r="AG235" s="1436"/>
      <c r="AH235" s="1436"/>
      <c r="AI235" s="1436"/>
      <c r="AJ235" s="1436"/>
      <c r="AK235" s="1436"/>
      <c r="BB235" s="3"/>
      <c r="BG235" s="5"/>
    </row>
    <row r="236" spans="1:59" ht="12.9" customHeight="1">
      <c r="C236"/>
      <c r="D236" s="5" t="s">
        <v>372</v>
      </c>
      <c r="E236" s="5"/>
      <c r="F236" s="5"/>
      <c r="G236" s="5"/>
      <c r="H236" s="5"/>
      <c r="I236" s="5"/>
      <c r="J236" s="5"/>
      <c r="K236" s="5"/>
      <c r="M236" s="1066" t="s">
        <v>2347</v>
      </c>
      <c r="N236" s="1066"/>
      <c r="O236" s="1066"/>
      <c r="P236" s="1066"/>
      <c r="Q236" s="1066"/>
      <c r="R236" s="1066"/>
      <c r="S236" s="1066"/>
      <c r="T236" s="1066"/>
      <c r="U236" s="1066"/>
      <c r="V236" s="1066"/>
      <c r="W236" s="1066"/>
      <c r="X236" s="1066"/>
      <c r="Y236" s="1066"/>
      <c r="Z236" s="1066"/>
      <c r="AA236" s="1066"/>
      <c r="AB236" s="1066"/>
      <c r="AC236" s="1066"/>
      <c r="AD236" s="1066"/>
      <c r="AE236" s="1066"/>
      <c r="AM236" s="41"/>
      <c r="AN236" s="41"/>
      <c r="BB236" t="s">
        <v>636</v>
      </c>
      <c r="BG236" s="407">
        <f>IF(AND(AND($M$251="nonprofit",$M$259="nonprofit",$M$267="nonprofit")),1,0)</f>
        <v>0</v>
      </c>
    </row>
    <row r="237" spans="1:59" ht="12.9" customHeight="1">
      <c r="C237"/>
      <c r="D237" s="5" t="s">
        <v>430</v>
      </c>
      <c r="E237" s="5"/>
      <c r="M237" s="1066" t="s">
        <v>2333</v>
      </c>
      <c r="N237" s="1066"/>
      <c r="O237" s="1066"/>
      <c r="P237" s="1066"/>
      <c r="Q237" s="1066"/>
      <c r="R237" s="1066"/>
      <c r="S237" s="1066"/>
      <c r="T237" s="1066"/>
      <c r="V237" s="42" t="s">
        <v>373</v>
      </c>
      <c r="W237" s="1332" t="s">
        <v>2348</v>
      </c>
      <c r="X237" s="1332"/>
      <c r="Y237" s="5" t="s">
        <v>433</v>
      </c>
      <c r="AC237" s="1066">
        <v>91302</v>
      </c>
      <c r="AD237" s="1066"/>
      <c r="AE237" s="1066"/>
      <c r="AN237" s="41"/>
      <c r="BB237" t="s">
        <v>636</v>
      </c>
      <c r="BG237" s="407">
        <f>IF(AND(AND($M$251="nonprofit",$M$259="nonprofit",$M$267="(select one)")),1,0)</f>
        <v>0</v>
      </c>
    </row>
    <row r="238" spans="1:59" ht="12.9" customHeight="1">
      <c r="C238"/>
      <c r="D238" s="5" t="s">
        <v>374</v>
      </c>
      <c r="E238" s="5"/>
      <c r="F238" s="5"/>
      <c r="G238" s="5"/>
      <c r="H238" s="5"/>
      <c r="I238" s="5"/>
      <c r="J238" s="5"/>
      <c r="K238" s="28"/>
      <c r="M238" s="1066" t="s">
        <v>2334</v>
      </c>
      <c r="N238" s="1066"/>
      <c r="O238" s="1066"/>
      <c r="P238" s="1066"/>
      <c r="Q238" s="1066"/>
      <c r="R238" s="1066"/>
      <c r="S238" s="1066"/>
      <c r="T238" s="1066"/>
      <c r="U238" s="1066"/>
      <c r="V238" s="1066"/>
      <c r="W238" s="1066"/>
      <c r="X238" s="1066"/>
      <c r="Y238" s="1066"/>
      <c r="Z238" s="1066"/>
      <c r="AA238" s="1066"/>
      <c r="AB238" s="1066"/>
      <c r="AC238" s="1066"/>
      <c r="AD238" s="1066"/>
      <c r="AE238" s="1066"/>
      <c r="AI238" s="5"/>
      <c r="AJ238" s="5"/>
      <c r="AK238" s="5"/>
      <c r="AL238" s="5"/>
      <c r="AN238" s="41"/>
      <c r="BB238" t="s">
        <v>636</v>
      </c>
      <c r="BG238" s="407">
        <f>IF(AND(AND($M$251="nonprofit",$M$259="(select one)",$M$267="(select one)")),1,0)</f>
        <v>0</v>
      </c>
    </row>
    <row r="239" spans="1:59" ht="12.9" customHeight="1">
      <c r="C239"/>
      <c r="D239" s="5" t="s">
        <v>375</v>
      </c>
      <c r="E239" s="5"/>
      <c r="F239" s="5"/>
      <c r="M239" s="1071"/>
      <c r="N239" s="1071"/>
      <c r="O239" s="1071"/>
      <c r="P239" s="1071"/>
      <c r="Q239" s="1071"/>
      <c r="R239" s="1071"/>
      <c r="S239" s="5" t="s">
        <v>817</v>
      </c>
      <c r="T239" s="5"/>
      <c r="U239" s="1332"/>
      <c r="V239" s="1332"/>
      <c r="W239" s="1332"/>
      <c r="X239" s="5" t="s">
        <v>376</v>
      </c>
      <c r="Z239" s="1071"/>
      <c r="AA239" s="1071"/>
      <c r="AB239" s="1071"/>
      <c r="AC239" s="1071"/>
      <c r="AD239" s="1071"/>
      <c r="AE239" s="1071"/>
      <c r="AM239" s="41"/>
      <c r="AN239" s="41"/>
      <c r="BB239" t="s">
        <v>1008</v>
      </c>
      <c r="BG239" s="407">
        <f>IF(AND(AND($M$251="for profit",$M$259="for profit",$M$267="for profit")),3,0)</f>
        <v>0</v>
      </c>
    </row>
    <row r="240" spans="1:59" ht="12.9" customHeight="1">
      <c r="C240"/>
      <c r="D240" s="5" t="s">
        <v>377</v>
      </c>
      <c r="E240" s="5"/>
      <c r="F240" s="5"/>
      <c r="M240" s="1073" t="s">
        <v>2349</v>
      </c>
      <c r="N240" s="1073"/>
      <c r="O240" s="1073"/>
      <c r="P240" s="1073"/>
      <c r="Q240" s="1073"/>
      <c r="R240" s="1073"/>
      <c r="S240" s="1073"/>
      <c r="T240" s="1073"/>
      <c r="U240" s="1073"/>
      <c r="V240" s="1073"/>
      <c r="W240" s="1073"/>
      <c r="X240" s="1073"/>
      <c r="Y240" s="1073"/>
      <c r="Z240" s="1073"/>
      <c r="AA240" s="1073"/>
      <c r="AB240" s="1073"/>
      <c r="AC240" s="1073"/>
      <c r="AD240" s="1073"/>
      <c r="AE240" s="1073"/>
      <c r="AF240" s="5"/>
      <c r="AG240" s="5"/>
      <c r="AH240" s="5"/>
      <c r="AI240" s="5"/>
      <c r="AJ240" s="5"/>
      <c r="AK240" s="5"/>
      <c r="AL240" s="5"/>
      <c r="AN240" s="41"/>
      <c r="AO240" s="41"/>
      <c r="BB240" t="s">
        <v>1008</v>
      </c>
      <c r="BG240" s="408">
        <f>IF(AND(AND($M$251="for profit",$M$259="for profit",$M$267="(select one)")),3,0)</f>
        <v>0</v>
      </c>
    </row>
    <row r="241" spans="1:67" ht="12.9" customHeight="1">
      <c r="A241" s="3" t="s">
        <v>8</v>
      </c>
      <c r="C241" s="3" t="s">
        <v>624</v>
      </c>
      <c r="M241" s="1067" t="s">
        <v>499</v>
      </c>
      <c r="N241" s="1067"/>
      <c r="O241" s="1067"/>
      <c r="P241" s="1067"/>
      <c r="Q241" s="1067"/>
      <c r="R241" s="1067"/>
      <c r="S241" s="1067"/>
      <c r="T241" s="1067"/>
      <c r="U241" s="5" t="s">
        <v>1143</v>
      </c>
      <c r="AA241" s="1177" t="s">
        <v>2371</v>
      </c>
      <c r="AB241" s="1070"/>
      <c r="AC241" s="1070"/>
      <c r="AD241" s="1070"/>
      <c r="AE241" s="1070"/>
      <c r="AF241" s="1070"/>
      <c r="AG241" s="1070"/>
      <c r="AH241" s="1070"/>
      <c r="AI241" s="1070"/>
      <c r="AJ241" s="1070"/>
      <c r="AK241" s="1070"/>
      <c r="AL241" s="41"/>
      <c r="AM241" s="5"/>
      <c r="AN241" s="41"/>
      <c r="AO241" s="41"/>
      <c r="BB241" t="s">
        <v>1008</v>
      </c>
      <c r="BG241" s="408">
        <f>IF(AND(AND($M$251="for profit",$M$259="(select one)",$M$267="(select one)")),3,0)</f>
        <v>0</v>
      </c>
    </row>
    <row r="242" spans="1:67" ht="12.9" customHeight="1">
      <c r="C242"/>
      <c r="D242" t="s">
        <v>630</v>
      </c>
      <c r="M242" s="1341" t="s">
        <v>2350</v>
      </c>
      <c r="N242" s="1069"/>
      <c r="O242" s="1069"/>
      <c r="P242" s="1069"/>
      <c r="Q242" s="1069"/>
      <c r="R242" s="1069"/>
      <c r="S242" s="1069"/>
      <c r="T242" s="1069"/>
      <c r="U242" s="1069"/>
      <c r="V242" s="1069"/>
      <c r="W242" s="1069"/>
      <c r="X242" s="1069"/>
      <c r="Y242" s="1069"/>
      <c r="Z242" s="1069"/>
      <c r="AA242" s="1069"/>
      <c r="AB242" s="1069"/>
      <c r="AC242" s="1069"/>
      <c r="AD242" s="1069"/>
      <c r="AE242" s="1069"/>
      <c r="AF242" s="935" t="str">
        <f>IF(AND(M241="other",M242=""),"!","")</f>
        <v/>
      </c>
      <c r="AG242" s="935"/>
      <c r="AH242" s="5"/>
      <c r="AI242" s="5"/>
      <c r="AJ242" s="5"/>
      <c r="AK242" s="41"/>
      <c r="AL242" s="41"/>
    </row>
    <row r="243" spans="1:67" ht="12.9" customHeight="1">
      <c r="C243"/>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1465</v>
      </c>
      <c r="D245" s="5" t="s">
        <v>631</v>
      </c>
      <c r="E245" s="5"/>
      <c r="F245" s="5"/>
      <c r="G245" s="5"/>
      <c r="H245" s="5"/>
      <c r="I245" s="5"/>
      <c r="J245" s="5"/>
      <c r="K245" s="5"/>
      <c r="L245" s="5"/>
      <c r="M245" s="1344" t="s">
        <v>2351</v>
      </c>
      <c r="N245" s="1344"/>
      <c r="O245" s="1344"/>
      <c r="P245" s="1344"/>
      <c r="Q245" s="1344"/>
      <c r="R245" s="1344"/>
      <c r="S245" s="1344"/>
      <c r="T245" s="1344"/>
      <c r="U245" s="1344"/>
      <c r="V245" s="1344"/>
      <c r="W245" s="1344"/>
      <c r="X245" s="1344"/>
      <c r="Y245" s="1344"/>
      <c r="Z245" s="1344"/>
      <c r="AA245" s="1344"/>
      <c r="AB245" s="1344"/>
      <c r="AC245" s="1344"/>
      <c r="AD245" s="1344"/>
      <c r="AE245" s="1344"/>
      <c r="AF245" s="1331" t="s">
        <v>2352</v>
      </c>
      <c r="AG245" s="1331"/>
      <c r="AH245" s="1331"/>
      <c r="AI245" s="1331"/>
      <c r="AJ245" s="1331"/>
      <c r="AK245" s="1331"/>
      <c r="AM245" s="5"/>
      <c r="AN245" s="41"/>
      <c r="BB245" s="5" t="s">
        <v>891</v>
      </c>
      <c r="BH245">
        <v>2</v>
      </c>
      <c r="BI245" t="s">
        <v>743</v>
      </c>
      <c r="BO245" s="409" t="str">
        <f>IFERROR(VLOOKUP(AZ260,BH244:BI246,2,FALSE),"")</f>
        <v>Joint Venture</v>
      </c>
    </row>
    <row r="246" spans="1:67" ht="12.9" customHeight="1">
      <c r="A246" s="28"/>
      <c r="B246" s="5"/>
      <c r="C246" s="5"/>
      <c r="D246" s="5" t="s">
        <v>372</v>
      </c>
      <c r="E246" s="5"/>
      <c r="F246" s="5"/>
      <c r="G246" s="5"/>
      <c r="H246" s="5"/>
      <c r="I246" s="5"/>
      <c r="J246" s="5"/>
      <c r="K246" s="5"/>
      <c r="L246" s="5"/>
      <c r="M246" s="1066" t="s">
        <v>2347</v>
      </c>
      <c r="N246" s="1066"/>
      <c r="O246" s="1066"/>
      <c r="P246" s="1066"/>
      <c r="Q246" s="1066"/>
      <c r="R246" s="1066"/>
      <c r="S246" s="1066"/>
      <c r="T246" s="1066"/>
      <c r="U246" s="1066"/>
      <c r="V246" s="1066"/>
      <c r="W246" s="1066"/>
      <c r="X246" s="1066"/>
      <c r="Y246" s="1066"/>
      <c r="Z246" s="1066"/>
      <c r="AA246" s="1066"/>
      <c r="AB246" s="1066"/>
      <c r="AC246" s="1066"/>
      <c r="AD246" s="1066"/>
      <c r="AE246" s="1066"/>
      <c r="AL246" s="5"/>
      <c r="AN246" s="41"/>
      <c r="BB246" s="5" t="s">
        <v>454</v>
      </c>
      <c r="BH246">
        <v>3</v>
      </c>
      <c r="BI246" t="s">
        <v>635</v>
      </c>
    </row>
    <row r="247" spans="1:67" ht="12.9" customHeight="1">
      <c r="A247" s="28"/>
      <c r="B247" s="5"/>
      <c r="C247" s="5"/>
      <c r="D247" s="5" t="s">
        <v>430</v>
      </c>
      <c r="E247" s="5"/>
      <c r="M247" s="1066" t="s">
        <v>2333</v>
      </c>
      <c r="N247" s="1066"/>
      <c r="O247" s="1066"/>
      <c r="P247" s="1066"/>
      <c r="Q247" s="1066"/>
      <c r="R247" s="1066"/>
      <c r="S247" s="1066"/>
      <c r="T247" s="1066"/>
      <c r="V247" s="42" t="s">
        <v>373</v>
      </c>
      <c r="W247" s="1332" t="s">
        <v>2348</v>
      </c>
      <c r="X247" s="1332"/>
      <c r="Y247" s="5" t="s">
        <v>433</v>
      </c>
      <c r="AC247" s="1066">
        <v>91302</v>
      </c>
      <c r="AD247" s="1066"/>
      <c r="AE247" s="1066"/>
      <c r="AN247" s="41"/>
    </row>
    <row r="248" spans="1:67" ht="12.9" customHeight="1">
      <c r="A248" s="28"/>
      <c r="B248" s="5"/>
      <c r="C248" s="5"/>
      <c r="D248" s="5" t="s">
        <v>374</v>
      </c>
      <c r="E248" s="5"/>
      <c r="F248" s="5"/>
      <c r="G248" s="5"/>
      <c r="H248" s="5"/>
      <c r="I248" s="5"/>
      <c r="J248" s="5"/>
      <c r="K248" s="5"/>
      <c r="L248" s="28"/>
      <c r="M248" s="1066" t="s">
        <v>2334</v>
      </c>
      <c r="N248" s="1066"/>
      <c r="O248" s="1066"/>
      <c r="P248" s="1066"/>
      <c r="Q248" s="1066"/>
      <c r="R248" s="1066"/>
      <c r="S248" s="1066"/>
      <c r="T248" s="1066"/>
      <c r="U248" s="1066"/>
      <c r="V248" s="1066"/>
      <c r="W248" s="1066"/>
      <c r="X248" s="1066"/>
      <c r="Y248" s="1066"/>
      <c r="Z248" s="1066"/>
      <c r="AA248" s="1066"/>
      <c r="AB248" s="1066"/>
      <c r="AC248" s="1066"/>
      <c r="AD248" s="1066"/>
      <c r="AE248" s="1066"/>
      <c r="AJ248" s="5"/>
      <c r="AK248" s="5"/>
      <c r="AL248" s="5"/>
      <c r="AN248" s="41"/>
    </row>
    <row r="249" spans="1:67" ht="12.9" customHeight="1">
      <c r="A249" s="28"/>
      <c r="B249" s="5"/>
      <c r="C249" s="5"/>
      <c r="D249" s="5" t="s">
        <v>375</v>
      </c>
      <c r="E249" s="5"/>
      <c r="F249" s="5"/>
      <c r="M249" s="1071" t="s">
        <v>2353</v>
      </c>
      <c r="N249" s="1071"/>
      <c r="O249" s="1071"/>
      <c r="P249" s="1071"/>
      <c r="Q249" s="1071"/>
      <c r="R249" s="1071"/>
      <c r="S249" s="5" t="s">
        <v>817</v>
      </c>
      <c r="T249" s="5"/>
      <c r="U249" s="1332"/>
      <c r="V249" s="1332"/>
      <c r="W249" s="1332"/>
      <c r="X249" s="5" t="s">
        <v>376</v>
      </c>
      <c r="Z249" s="1071"/>
      <c r="AA249" s="1071"/>
      <c r="AB249" s="1071"/>
      <c r="AC249" s="1071"/>
      <c r="AD249" s="1071"/>
      <c r="AE249" s="1071"/>
      <c r="AM249" s="5"/>
      <c r="AN249" s="41"/>
    </row>
    <row r="250" spans="1:67" ht="12.9" customHeight="1">
      <c r="A250" s="28"/>
      <c r="B250" s="5"/>
      <c r="C250" s="5"/>
      <c r="D250" s="5" t="s">
        <v>377</v>
      </c>
      <c r="E250" s="5"/>
      <c r="F250" s="5"/>
      <c r="M250" s="1073" t="s">
        <v>2349</v>
      </c>
      <c r="N250" s="1073"/>
      <c r="O250" s="1073"/>
      <c r="P250" s="1073"/>
      <c r="Q250" s="1073"/>
      <c r="R250" s="1073"/>
      <c r="S250" s="1073"/>
      <c r="T250" s="1073"/>
      <c r="U250" s="1073"/>
      <c r="V250" s="1073"/>
      <c r="W250" s="1073"/>
      <c r="X250" s="1073"/>
      <c r="Y250" s="1073"/>
      <c r="Z250" s="1073"/>
      <c r="AA250" s="1073"/>
      <c r="AB250" s="1073"/>
      <c r="AC250" s="1073"/>
      <c r="AD250" s="1073"/>
      <c r="AE250" s="1073"/>
      <c r="AG250" s="5"/>
      <c r="AH250" s="5"/>
      <c r="AI250" s="5"/>
      <c r="AJ250" s="5"/>
      <c r="AK250" s="5"/>
      <c r="AL250" s="5"/>
    </row>
    <row r="251" spans="1:67" ht="12.9" customHeight="1">
      <c r="A251" s="18"/>
      <c r="B251" s="5"/>
      <c r="C251" s="62"/>
      <c r="D251" s="5" t="s">
        <v>634</v>
      </c>
      <c r="E251" s="5"/>
      <c r="F251" s="5"/>
      <c r="G251" s="5"/>
      <c r="H251" s="5"/>
      <c r="I251" s="5"/>
      <c r="J251" s="5"/>
      <c r="K251" s="5"/>
      <c r="L251" s="5"/>
      <c r="M251" s="1067" t="s">
        <v>635</v>
      </c>
      <c r="N251" s="1067"/>
      <c r="O251" s="1067"/>
      <c r="P251" s="1067"/>
      <c r="Q251" s="1067"/>
      <c r="R251" s="1067"/>
      <c r="S251" s="1067"/>
      <c r="T251" s="1067"/>
      <c r="U251" s="5" t="s">
        <v>1143</v>
      </c>
      <c r="AA251" s="1070" t="s">
        <v>2334</v>
      </c>
      <c r="AB251" s="1070"/>
      <c r="AC251" s="1070"/>
      <c r="AD251" s="1070"/>
      <c r="AE251" s="1070"/>
      <c r="AF251" s="1070"/>
      <c r="AG251" s="1070"/>
      <c r="AH251" s="1070"/>
      <c r="AI251" s="1070"/>
      <c r="AJ251" s="1070"/>
      <c r="AK251" s="107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1466</v>
      </c>
      <c r="D253" s="5" t="s">
        <v>1211</v>
      </c>
      <c r="E253" s="5"/>
      <c r="F253" s="5"/>
      <c r="G253" s="5"/>
      <c r="H253" s="5"/>
      <c r="I253" s="5"/>
      <c r="J253" s="5"/>
      <c r="K253" s="5"/>
      <c r="L253" s="5"/>
      <c r="M253" s="1344" t="s">
        <v>2354</v>
      </c>
      <c r="N253" s="1344"/>
      <c r="O253" s="1344"/>
      <c r="P253" s="1344"/>
      <c r="Q253" s="1344"/>
      <c r="R253" s="1344"/>
      <c r="S253" s="1344"/>
      <c r="T253" s="1344"/>
      <c r="U253" s="1344"/>
      <c r="V253" s="1344"/>
      <c r="W253" s="1344"/>
      <c r="X253" s="1344"/>
      <c r="Y253" s="1344"/>
      <c r="Z253" s="1344"/>
      <c r="AA253" s="1344"/>
      <c r="AB253" s="1344"/>
      <c r="AC253" s="1344"/>
      <c r="AD253" s="1344"/>
      <c r="AE253" s="1344"/>
      <c r="AF253" s="1331" t="s">
        <v>2352</v>
      </c>
      <c r="AG253" s="1331"/>
      <c r="AH253" s="1331"/>
      <c r="AI253" s="1331"/>
      <c r="AJ253" s="1331"/>
      <c r="AK253" s="1331"/>
      <c r="AM253" s="5"/>
    </row>
    <row r="254" spans="1:67" ht="12.9" customHeight="1">
      <c r="A254" s="28"/>
      <c r="B254" s="5"/>
      <c r="C254" s="5"/>
      <c r="D254" s="5" t="s">
        <v>372</v>
      </c>
      <c r="E254" s="5"/>
      <c r="F254" s="5"/>
      <c r="G254" s="5"/>
      <c r="H254" s="5"/>
      <c r="I254" s="5"/>
      <c r="J254" s="5"/>
      <c r="K254" s="5"/>
      <c r="L254" s="5"/>
      <c r="M254" s="1066" t="s">
        <v>2355</v>
      </c>
      <c r="N254" s="1066"/>
      <c r="O254" s="1066"/>
      <c r="P254" s="1066"/>
      <c r="Q254" s="1066"/>
      <c r="R254" s="1066"/>
      <c r="S254" s="1066"/>
      <c r="T254" s="1066"/>
      <c r="U254" s="1066"/>
      <c r="V254" s="1066"/>
      <c r="W254" s="1066"/>
      <c r="X254" s="1066"/>
      <c r="Y254" s="1066"/>
      <c r="Z254" s="1066"/>
      <c r="AA254" s="1066"/>
      <c r="AB254" s="1066"/>
      <c r="AC254" s="1066"/>
      <c r="AD254" s="1066"/>
      <c r="AE254" s="1066"/>
      <c r="AL254" s="5"/>
    </row>
    <row r="255" spans="1:67" ht="12.9" customHeight="1">
      <c r="A255" s="28"/>
      <c r="B255" s="5"/>
      <c r="C255" s="5"/>
      <c r="D255" s="5" t="s">
        <v>430</v>
      </c>
      <c r="E255" s="5"/>
      <c r="M255" s="1066" t="s">
        <v>2356</v>
      </c>
      <c r="N255" s="1066"/>
      <c r="O255" s="1066"/>
      <c r="P255" s="1066"/>
      <c r="Q255" s="1066"/>
      <c r="R255" s="1066"/>
      <c r="S255" s="1066"/>
      <c r="T255" s="1066"/>
      <c r="V255" s="42" t="s">
        <v>373</v>
      </c>
      <c r="W255" s="1332" t="s">
        <v>2357</v>
      </c>
      <c r="X255" s="1332"/>
      <c r="Y255" s="5" t="s">
        <v>433</v>
      </c>
      <c r="AC255" s="1066">
        <v>46038</v>
      </c>
      <c r="AD255" s="1066"/>
      <c r="AE255" s="1066"/>
    </row>
    <row r="256" spans="1:67" ht="12.9" customHeight="1">
      <c r="A256" s="28"/>
      <c r="B256" s="5"/>
      <c r="C256" s="5"/>
      <c r="D256" s="5" t="s">
        <v>374</v>
      </c>
      <c r="E256" s="5"/>
      <c r="F256" s="5"/>
      <c r="G256" s="5"/>
      <c r="H256" s="5"/>
      <c r="I256" s="5"/>
      <c r="J256" s="5"/>
      <c r="K256" s="5"/>
      <c r="L256" s="28"/>
      <c r="M256" s="1066" t="s">
        <v>2358</v>
      </c>
      <c r="N256" s="1066"/>
      <c r="O256" s="1066"/>
      <c r="P256" s="1066"/>
      <c r="Q256" s="1066"/>
      <c r="R256" s="1066"/>
      <c r="S256" s="1066"/>
      <c r="T256" s="1066"/>
      <c r="U256" s="1066"/>
      <c r="V256" s="1066"/>
      <c r="W256" s="1066"/>
      <c r="X256" s="1066"/>
      <c r="Y256" s="1066"/>
      <c r="Z256" s="1066"/>
      <c r="AA256" s="1066"/>
      <c r="AB256" s="1066"/>
      <c r="AC256" s="1066"/>
      <c r="AD256" s="1066"/>
      <c r="AE256" s="1066"/>
      <c r="AJ256" s="5"/>
      <c r="AK256" s="5"/>
      <c r="AL256" s="5"/>
    </row>
    <row r="257" spans="1:53" ht="12.9" customHeight="1">
      <c r="A257" s="28"/>
      <c r="B257" s="5"/>
      <c r="C257" s="5"/>
      <c r="D257" s="5" t="s">
        <v>375</v>
      </c>
      <c r="E257" s="5"/>
      <c r="F257" s="5"/>
      <c r="M257" s="1071" t="s">
        <v>2359</v>
      </c>
      <c r="N257" s="1071"/>
      <c r="O257" s="1071"/>
      <c r="P257" s="1071"/>
      <c r="Q257" s="1071"/>
      <c r="R257" s="1071"/>
      <c r="S257" s="5" t="s">
        <v>817</v>
      </c>
      <c r="T257" s="5"/>
      <c r="U257" s="1332"/>
      <c r="V257" s="1332"/>
      <c r="W257" s="1332"/>
      <c r="X257" s="5" t="s">
        <v>376</v>
      </c>
      <c r="Z257" s="1071"/>
      <c r="AA257" s="1071"/>
      <c r="AB257" s="1071"/>
      <c r="AC257" s="1071"/>
      <c r="AD257" s="1071"/>
      <c r="AE257" s="1071"/>
      <c r="BA257" s="43"/>
    </row>
    <row r="258" spans="1:53" ht="12.9" customHeight="1">
      <c r="A258" s="28"/>
      <c r="B258" s="5"/>
      <c r="C258" s="5"/>
      <c r="D258" s="5" t="s">
        <v>377</v>
      </c>
      <c r="E258" s="5"/>
      <c r="F258" s="5"/>
      <c r="M258" s="1073" t="s">
        <v>2360</v>
      </c>
      <c r="N258" s="1073"/>
      <c r="O258" s="1073"/>
      <c r="P258" s="1073"/>
      <c r="Q258" s="1073"/>
      <c r="R258" s="1073"/>
      <c r="S258" s="1073"/>
      <c r="T258" s="1073"/>
      <c r="U258" s="1073"/>
      <c r="V258" s="1073"/>
      <c r="W258" s="1073"/>
      <c r="X258" s="1073"/>
      <c r="Y258" s="1073"/>
      <c r="Z258" s="1073"/>
      <c r="AA258" s="1073"/>
      <c r="AB258" s="1073"/>
      <c r="AC258" s="1073"/>
      <c r="AD258" s="1073"/>
      <c r="AE258" s="1073"/>
      <c r="AG258" s="5"/>
      <c r="AH258" s="5"/>
      <c r="AI258" s="5"/>
      <c r="AJ258" s="5"/>
      <c r="AK258" s="5"/>
      <c r="AL258" s="5"/>
    </row>
    <row r="259" spans="1:53" ht="12.9" customHeight="1">
      <c r="A259" s="18"/>
      <c r="B259" s="5"/>
      <c r="C259" s="62"/>
      <c r="D259" s="5" t="s">
        <v>634</v>
      </c>
      <c r="E259" s="5"/>
      <c r="F259" s="5"/>
      <c r="G259" s="5"/>
      <c r="H259" s="5"/>
      <c r="I259" s="5"/>
      <c r="J259" s="5"/>
      <c r="K259" s="5"/>
      <c r="L259" s="5"/>
      <c r="M259" s="1067" t="s">
        <v>635</v>
      </c>
      <c r="N259" s="1067"/>
      <c r="O259" s="1067"/>
      <c r="P259" s="1067"/>
      <c r="Q259" s="1067"/>
      <c r="R259" s="1067"/>
      <c r="S259" s="1067"/>
      <c r="T259" s="1067"/>
      <c r="U259" s="5" t="s">
        <v>1143</v>
      </c>
      <c r="AA259" s="1070" t="s">
        <v>2358</v>
      </c>
      <c r="AB259" s="1070"/>
      <c r="AC259" s="1070"/>
      <c r="AD259" s="1070"/>
      <c r="AE259" s="1070"/>
      <c r="AF259" s="1070"/>
      <c r="AG259" s="1070"/>
      <c r="AH259" s="1070"/>
      <c r="AI259" s="1070"/>
      <c r="AJ259" s="1070"/>
      <c r="AK259" s="107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 customHeight="1">
      <c r="A261" s="18"/>
      <c r="B261" s="5"/>
      <c r="C261" s="62" t="s">
        <v>1873</v>
      </c>
      <c r="D261" s="5" t="s">
        <v>631</v>
      </c>
      <c r="E261" s="5"/>
      <c r="F261" s="5"/>
      <c r="G261" s="5"/>
      <c r="H261" s="5"/>
      <c r="I261" s="5"/>
      <c r="J261" s="5"/>
      <c r="K261" s="5"/>
      <c r="L261" s="5"/>
      <c r="M261" s="1344" t="s">
        <v>2361</v>
      </c>
      <c r="N261" s="1331"/>
      <c r="O261" s="1331"/>
      <c r="P261" s="1331"/>
      <c r="Q261" s="1331"/>
      <c r="R261" s="1331"/>
      <c r="S261" s="1331"/>
      <c r="T261" s="1331"/>
      <c r="U261" s="1331"/>
      <c r="V261" s="1331"/>
      <c r="W261" s="1331"/>
      <c r="X261" s="1331"/>
      <c r="Y261" s="1331"/>
      <c r="Z261" s="1331"/>
      <c r="AA261" s="1331"/>
      <c r="AB261" s="1331"/>
      <c r="AC261" s="1331"/>
      <c r="AD261" s="1331"/>
      <c r="AE261" s="1331"/>
      <c r="AF261" s="1331" t="s">
        <v>2363</v>
      </c>
      <c r="AG261" s="1331"/>
      <c r="AH261" s="1331"/>
      <c r="AI261" s="1331"/>
      <c r="AJ261" s="1331"/>
      <c r="AK261" s="1331"/>
      <c r="AL261" s="41"/>
    </row>
    <row r="262" spans="1:53" ht="12.9" customHeight="1">
      <c r="A262" s="18"/>
      <c r="B262" s="5"/>
      <c r="C262" s="5"/>
      <c r="D262" s="5" t="s">
        <v>372</v>
      </c>
      <c r="E262" s="5"/>
      <c r="F262" s="5"/>
      <c r="G262" s="5"/>
      <c r="H262" s="5"/>
      <c r="I262" s="5"/>
      <c r="J262" s="5"/>
      <c r="K262" s="5"/>
      <c r="L262" s="5"/>
      <c r="M262" s="1066" t="s">
        <v>2362</v>
      </c>
      <c r="N262" s="1066"/>
      <c r="O262" s="1066"/>
      <c r="P262" s="1066"/>
      <c r="Q262" s="1066"/>
      <c r="R262" s="1066"/>
      <c r="S262" s="1066"/>
      <c r="T262" s="1066"/>
      <c r="U262" s="1066"/>
      <c r="V262" s="1066"/>
      <c r="W262" s="1066"/>
      <c r="X262" s="1066"/>
      <c r="Y262" s="1066"/>
      <c r="Z262" s="1066"/>
      <c r="AA262" s="1066"/>
      <c r="AB262" s="1066"/>
      <c r="AC262" s="1066"/>
      <c r="AD262" s="1066"/>
      <c r="AE262" s="1066"/>
      <c r="AL262" s="41"/>
      <c r="BA262" s="43"/>
    </row>
    <row r="263" spans="1:53" ht="12.9" customHeight="1">
      <c r="A263" s="18"/>
      <c r="B263" s="5"/>
      <c r="C263" s="5"/>
      <c r="D263" s="5" t="s">
        <v>430</v>
      </c>
      <c r="E263" s="5"/>
      <c r="M263" s="1066" t="s">
        <v>2364</v>
      </c>
      <c r="N263" s="1066"/>
      <c r="O263" s="1066"/>
      <c r="P263" s="1066"/>
      <c r="Q263" s="1066"/>
      <c r="R263" s="1066"/>
      <c r="S263" s="1066"/>
      <c r="T263" s="1066"/>
      <c r="V263" s="42" t="s">
        <v>373</v>
      </c>
      <c r="W263" s="1332" t="s">
        <v>2348</v>
      </c>
      <c r="X263" s="1332"/>
      <c r="Y263" s="5" t="s">
        <v>433</v>
      </c>
      <c r="AC263" s="1066">
        <v>92647</v>
      </c>
      <c r="AD263" s="1066"/>
      <c r="AE263" s="1066"/>
      <c r="AL263" s="41"/>
      <c r="BA263" s="43"/>
    </row>
    <row r="264" spans="1:53" ht="12.9" customHeight="1">
      <c r="A264" s="18"/>
      <c r="B264" s="5"/>
      <c r="C264" s="5"/>
      <c r="D264" s="5" t="s">
        <v>374</v>
      </c>
      <c r="E264" s="5"/>
      <c r="F264" s="5"/>
      <c r="G264" s="5"/>
      <c r="H264" s="5"/>
      <c r="I264" s="5"/>
      <c r="J264" s="5"/>
      <c r="K264" s="5"/>
      <c r="L264" s="28"/>
      <c r="M264" s="1066" t="s">
        <v>2365</v>
      </c>
      <c r="N264" s="1066"/>
      <c r="O264" s="1066"/>
      <c r="P264" s="1066"/>
      <c r="Q264" s="1066"/>
      <c r="R264" s="1066"/>
      <c r="S264" s="1066"/>
      <c r="T264" s="1066"/>
      <c r="U264" s="1066"/>
      <c r="V264" s="1066"/>
      <c r="W264" s="1066"/>
      <c r="X264" s="1066"/>
      <c r="Y264" s="1066"/>
      <c r="Z264" s="1066"/>
      <c r="AA264" s="1066"/>
      <c r="AB264" s="1066"/>
      <c r="AC264" s="1066"/>
      <c r="AD264" s="1066"/>
      <c r="AE264" s="1066"/>
      <c r="AJ264" s="5"/>
      <c r="AK264" s="5"/>
      <c r="AL264" s="41"/>
      <c r="BA264" s="43"/>
    </row>
    <row r="265" spans="1:53" ht="12.9" customHeight="1">
      <c r="A265" s="18"/>
      <c r="B265" s="5"/>
      <c r="C265" s="5"/>
      <c r="D265" s="5" t="s">
        <v>375</v>
      </c>
      <c r="E265" s="5"/>
      <c r="F265" s="5"/>
      <c r="M265" s="1071" t="s">
        <v>2366</v>
      </c>
      <c r="N265" s="1071"/>
      <c r="O265" s="1071"/>
      <c r="P265" s="1071"/>
      <c r="Q265" s="1071"/>
      <c r="R265" s="1071"/>
      <c r="S265" s="5" t="s">
        <v>817</v>
      </c>
      <c r="T265" s="5"/>
      <c r="U265" s="1332"/>
      <c r="V265" s="1332"/>
      <c r="W265" s="1332"/>
      <c r="X265" s="5" t="s">
        <v>376</v>
      </c>
      <c r="Z265" s="1071" t="s">
        <v>2367</v>
      </c>
      <c r="AA265" s="1071"/>
      <c r="AB265" s="1071"/>
      <c r="AC265" s="1071"/>
      <c r="AD265" s="1071"/>
      <c r="AE265" s="1071"/>
      <c r="AL265" s="41"/>
      <c r="BA265" s="43"/>
    </row>
    <row r="266" spans="1:53" ht="12.9" customHeight="1">
      <c r="A266" s="18"/>
      <c r="B266" s="5"/>
      <c r="C266" s="5"/>
      <c r="D266" s="5" t="s">
        <v>377</v>
      </c>
      <c r="E266" s="5"/>
      <c r="F266" s="5"/>
      <c r="M266" s="1073" t="s">
        <v>2368</v>
      </c>
      <c r="N266" s="1073"/>
      <c r="O266" s="1073"/>
      <c r="P266" s="1073"/>
      <c r="Q266" s="1073"/>
      <c r="R266" s="1073"/>
      <c r="S266" s="1073"/>
      <c r="T266" s="1073"/>
      <c r="U266" s="1073"/>
      <c r="V266" s="1073"/>
      <c r="W266" s="1073"/>
      <c r="X266" s="1073"/>
      <c r="Y266" s="1073"/>
      <c r="Z266" s="1073"/>
      <c r="AA266" s="1073"/>
      <c r="AB266" s="1073"/>
      <c r="AC266" s="1073"/>
      <c r="AD266" s="1073"/>
      <c r="AE266" s="1073"/>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67" t="s">
        <v>633</v>
      </c>
      <c r="N267" s="1067"/>
      <c r="O267" s="1067"/>
      <c r="P267" s="1067"/>
      <c r="Q267" s="1067"/>
      <c r="R267" s="1067"/>
      <c r="S267" s="1067"/>
      <c r="T267" s="1067"/>
      <c r="U267" s="5" t="s">
        <v>1143</v>
      </c>
      <c r="AA267" s="1070" t="s">
        <v>2369</v>
      </c>
      <c r="AB267" s="1070"/>
      <c r="AC267" s="1070"/>
      <c r="AD267" s="1070"/>
      <c r="AE267" s="1070"/>
      <c r="AF267" s="1070"/>
      <c r="AG267" s="1070"/>
      <c r="AH267" s="1070"/>
      <c r="AI267" s="1070"/>
      <c r="AJ267" s="1070"/>
      <c r="AK267" s="1070"/>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72" t="str">
        <f>BO245</f>
        <v>Joint Venture</v>
      </c>
      <c r="U269" s="1072"/>
      <c r="V269" s="1072"/>
      <c r="W269" s="1072"/>
      <c r="X269" s="1072"/>
      <c r="Z269" s="471" t="s">
        <v>1212</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 customHeight="1">
      <c r="A272" s="5"/>
      <c r="B272" s="45">
        <v>0</v>
      </c>
      <c r="C272"/>
      <c r="D272" s="1066" t="s">
        <v>454</v>
      </c>
      <c r="E272" s="1066"/>
      <c r="F272" s="1066"/>
      <c r="G272" s="1066"/>
      <c r="H272" s="1066"/>
      <c r="J272" t="s">
        <v>890</v>
      </c>
      <c r="X272" s="1357" t="s">
        <v>2370</v>
      </c>
      <c r="Y272" s="1357"/>
      <c r="Z272" s="1357"/>
      <c r="AA272" s="1357"/>
      <c r="AB272" s="1357"/>
      <c r="AC272" s="1357"/>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331" t="s">
        <v>2330</v>
      </c>
      <c r="M276" s="1331"/>
      <c r="N276" s="1331"/>
      <c r="O276" s="1331"/>
      <c r="P276" s="1331"/>
      <c r="Q276" s="1331"/>
      <c r="R276" s="1331"/>
      <c r="S276" s="1331"/>
      <c r="T276" s="1331"/>
      <c r="U276" s="1331"/>
      <c r="V276" s="1331"/>
      <c r="W276" s="1331"/>
      <c r="X276" s="1331"/>
      <c r="Y276" s="1331"/>
      <c r="Z276" s="1331"/>
      <c r="AA276" s="1331"/>
      <c r="AB276" s="1331"/>
      <c r="AC276" s="1331"/>
      <c r="AD276" s="1331"/>
      <c r="AE276" s="1331"/>
      <c r="AF276" s="1331"/>
      <c r="AG276" s="1331"/>
      <c r="AH276" s="1331"/>
      <c r="AI276" s="1331"/>
      <c r="AJ276" s="1331"/>
      <c r="AK276" s="41"/>
      <c r="AL276" s="41"/>
      <c r="BA276" s="43"/>
    </row>
    <row r="277" spans="1:53" ht="12.9" customHeight="1">
      <c r="C277"/>
      <c r="D277" s="5" t="s">
        <v>372</v>
      </c>
      <c r="E277" s="5"/>
      <c r="F277" s="5"/>
      <c r="G277" s="5"/>
      <c r="H277" s="5"/>
      <c r="I277" s="5"/>
      <c r="J277" s="5"/>
      <c r="K277" s="5"/>
      <c r="L277" s="1066" t="s">
        <v>2347</v>
      </c>
      <c r="M277" s="1066"/>
      <c r="N277" s="1066"/>
      <c r="O277" s="1066"/>
      <c r="P277" s="1066"/>
      <c r="Q277" s="1066"/>
      <c r="R277" s="1066"/>
      <c r="S277" s="1066"/>
      <c r="T277" s="1066"/>
      <c r="U277" s="1066"/>
      <c r="V277" s="1066"/>
      <c r="W277" s="1066"/>
      <c r="X277" s="1066"/>
      <c r="Y277" s="1066"/>
      <c r="Z277" s="1066"/>
      <c r="AA277" s="1066"/>
      <c r="AB277" s="1066"/>
      <c r="AC277" s="1066"/>
      <c r="AD277" s="1066"/>
      <c r="AK277" s="41"/>
      <c r="AL277" s="41"/>
      <c r="BA277" s="43"/>
    </row>
    <row r="278" spans="1:53" ht="12.9" customHeight="1">
      <c r="C278"/>
      <c r="D278" s="5" t="s">
        <v>430</v>
      </c>
      <c r="E278" s="5"/>
      <c r="L278" s="1066" t="s">
        <v>2333</v>
      </c>
      <c r="M278" s="1066"/>
      <c r="N278" s="1066"/>
      <c r="O278" s="1066"/>
      <c r="P278" s="1066"/>
      <c r="Q278" s="1066"/>
      <c r="R278" s="1066"/>
      <c r="S278" s="1066"/>
      <c r="U278" s="42" t="s">
        <v>373</v>
      </c>
      <c r="V278" s="1332" t="s">
        <v>2348</v>
      </c>
      <c r="W278" s="1332"/>
      <c r="X278" s="5" t="s">
        <v>433</v>
      </c>
      <c r="AB278" s="1066">
        <v>91302</v>
      </c>
      <c r="AC278" s="1066"/>
      <c r="AD278" s="1066"/>
      <c r="AK278" s="41"/>
      <c r="AL278" s="41"/>
      <c r="BA278" s="43"/>
    </row>
    <row r="279" spans="1:53" ht="12.9" customHeight="1">
      <c r="C279"/>
      <c r="D279" s="5" t="s">
        <v>374</v>
      </c>
      <c r="E279" s="5"/>
      <c r="F279" s="5"/>
      <c r="G279" s="5"/>
      <c r="H279" s="5"/>
      <c r="I279" s="5"/>
      <c r="J279" s="5"/>
      <c r="K279" s="28"/>
      <c r="L279" s="1066" t="s">
        <v>2334</v>
      </c>
      <c r="M279" s="1066"/>
      <c r="N279" s="1066"/>
      <c r="O279" s="1066"/>
      <c r="P279" s="1066"/>
      <c r="Q279" s="1066"/>
      <c r="R279" s="1066"/>
      <c r="S279" s="1066"/>
      <c r="T279" s="1066"/>
      <c r="U279" s="1066"/>
      <c r="V279" s="1066"/>
      <c r="W279" s="1066"/>
      <c r="X279" s="1066"/>
      <c r="Y279" s="1066"/>
      <c r="Z279" s="1066"/>
      <c r="AA279" s="1066"/>
      <c r="AB279" s="1066"/>
      <c r="AC279" s="1066"/>
      <c r="AD279" s="1066"/>
      <c r="AI279" s="5"/>
      <c r="AJ279" s="5"/>
      <c r="AK279" s="41"/>
      <c r="AL279" s="41"/>
      <c r="BA279" s="43"/>
    </row>
    <row r="280" spans="1:53" ht="12.9" customHeight="1">
      <c r="C280"/>
      <c r="D280" s="5" t="s">
        <v>375</v>
      </c>
      <c r="E280" s="5"/>
      <c r="F280" s="5"/>
      <c r="L280" s="1071" t="s">
        <v>2353</v>
      </c>
      <c r="M280" s="1071"/>
      <c r="N280" s="1071"/>
      <c r="O280" s="1071"/>
      <c r="P280" s="1071"/>
      <c r="Q280" s="1071"/>
      <c r="R280" s="5" t="s">
        <v>817</v>
      </c>
      <c r="S280" s="5"/>
      <c r="T280" s="1332"/>
      <c r="U280" s="1332"/>
      <c r="V280" s="1332"/>
      <c r="W280" s="5" t="s">
        <v>376</v>
      </c>
      <c r="Y280" s="1071"/>
      <c r="Z280" s="1071"/>
      <c r="AA280" s="1071"/>
      <c r="AB280" s="1071"/>
      <c r="AC280" s="1071"/>
      <c r="AD280" s="1071"/>
      <c r="BA280" s="43"/>
    </row>
    <row r="281" spans="1:53" ht="12.9" customHeight="1">
      <c r="C281"/>
      <c r="D281" s="5" t="s">
        <v>377</v>
      </c>
      <c r="E281" s="5"/>
      <c r="F281" s="5"/>
      <c r="L281" s="1073" t="s">
        <v>2349</v>
      </c>
      <c r="M281" s="1073"/>
      <c r="N281" s="1073"/>
      <c r="O281" s="1073"/>
      <c r="P281" s="1073"/>
      <c r="Q281" s="1073"/>
      <c r="R281" s="1073"/>
      <c r="S281" s="1073"/>
      <c r="T281" s="1073"/>
      <c r="U281" s="1073"/>
      <c r="V281" s="1073"/>
      <c r="W281" s="1073"/>
      <c r="X281" s="1073"/>
      <c r="Y281" s="1073"/>
      <c r="Z281" s="1073"/>
      <c r="AA281" s="1073"/>
      <c r="AB281" s="1073"/>
      <c r="AC281" s="1073"/>
      <c r="AD281" s="1073"/>
      <c r="AF281" s="5"/>
      <c r="AG281" s="5"/>
      <c r="AH281" s="5"/>
      <c r="AI281" s="5"/>
      <c r="AJ281" s="5"/>
      <c r="BA281" s="43"/>
    </row>
    <row r="282" spans="1:53" ht="12.9" customHeight="1">
      <c r="C282"/>
      <c r="D282" s="41" t="s">
        <v>186</v>
      </c>
      <c r="E282" s="41"/>
      <c r="F282" s="41"/>
      <c r="G282" s="41"/>
      <c r="H282" s="41"/>
      <c r="I282" s="41"/>
      <c r="L282" s="1358" t="s">
        <v>2335</v>
      </c>
      <c r="M282" s="1358"/>
      <c r="N282" s="1358"/>
      <c r="O282" s="1358"/>
      <c r="P282" s="1358"/>
      <c r="Q282" s="1358"/>
      <c r="R282" s="1358"/>
      <c r="S282" s="1358"/>
      <c r="T282" s="1358"/>
      <c r="U282" s="1358"/>
      <c r="V282" s="1358"/>
      <c r="W282" s="1358"/>
      <c r="X282" s="1358"/>
      <c r="Y282" s="1358"/>
      <c r="Z282" s="1358"/>
      <c r="AA282" s="1358"/>
      <c r="AB282" s="1358"/>
      <c r="AC282" s="1358"/>
      <c r="AD282" s="1358"/>
      <c r="AK282" s="41"/>
      <c r="AL282" s="41"/>
      <c r="BA282" s="43"/>
    </row>
    <row r="283" spans="1:53" ht="12.9" customHeight="1">
      <c r="C283"/>
      <c r="L283" s="4" t="s">
        <v>187</v>
      </c>
      <c r="BA283" s="43"/>
    </row>
    <row r="284" spans="1:53" ht="12.9" customHeight="1">
      <c r="A284" s="1068" t="s">
        <v>496</v>
      </c>
      <c r="B284" s="1068"/>
      <c r="C284" s="1068"/>
      <c r="D284" s="1068"/>
      <c r="E284" s="1068"/>
      <c r="F284" s="1068"/>
      <c r="G284" s="1068"/>
      <c r="H284" s="1068"/>
      <c r="I284" s="1068"/>
      <c r="J284" s="1068"/>
      <c r="K284" s="1068"/>
      <c r="L284" s="1068"/>
      <c r="M284" s="1068"/>
      <c r="N284" s="1068"/>
      <c r="O284" s="1068"/>
      <c r="P284" s="1068"/>
      <c r="Q284" s="1068"/>
      <c r="R284" s="1068"/>
      <c r="S284" s="1068"/>
      <c r="T284" s="1068"/>
      <c r="U284" s="1068"/>
      <c r="V284" s="1068"/>
      <c r="W284" s="1068"/>
      <c r="X284" s="1068"/>
      <c r="Y284" s="1068"/>
      <c r="Z284" s="1068"/>
      <c r="AA284" s="1068"/>
      <c r="AB284" s="1068"/>
      <c r="AC284" s="1068"/>
      <c r="AD284" s="1068"/>
      <c r="AE284" s="1068"/>
      <c r="AF284" s="1068"/>
      <c r="AG284" s="1068"/>
      <c r="AH284" s="1068"/>
      <c r="AI284" s="1068"/>
      <c r="AJ284" s="1068"/>
      <c r="AK284" s="1068"/>
      <c r="AL284" s="1068"/>
      <c r="AM284" s="1068"/>
      <c r="AN284" s="1068"/>
      <c r="AO284" s="1068"/>
      <c r="AP284" s="1068"/>
      <c r="AQ284" s="1068"/>
      <c r="AR284" s="1068"/>
      <c r="AS284" s="1068"/>
      <c r="AT284" s="1068"/>
      <c r="BA284" s="43"/>
    </row>
    <row r="285" spans="1:53" ht="12.9" customHeight="1">
      <c r="A285" s="1068"/>
      <c r="B285" s="1068"/>
      <c r="C285" s="1068"/>
      <c r="D285" s="1068"/>
      <c r="E285" s="1068"/>
      <c r="F285" s="1068"/>
      <c r="G285" s="1068"/>
      <c r="H285" s="1068"/>
      <c r="I285" s="1068"/>
      <c r="J285" s="1068"/>
      <c r="K285" s="1068"/>
      <c r="L285" s="1068"/>
      <c r="M285" s="1068"/>
      <c r="N285" s="1068"/>
      <c r="O285" s="1068"/>
      <c r="P285" s="1068"/>
      <c r="Q285" s="1068"/>
      <c r="R285" s="1068"/>
      <c r="S285" s="1068"/>
      <c r="T285" s="1068"/>
      <c r="U285" s="1068"/>
      <c r="V285" s="1068"/>
      <c r="W285" s="1068"/>
      <c r="X285" s="1068"/>
      <c r="Y285" s="1068"/>
      <c r="Z285" s="1068"/>
      <c r="AA285" s="1068"/>
      <c r="AB285" s="1068"/>
      <c r="AC285" s="1068"/>
      <c r="AD285" s="1068"/>
      <c r="AE285" s="1068"/>
      <c r="AF285" s="1068"/>
      <c r="AG285" s="1068"/>
      <c r="AH285" s="1068"/>
      <c r="AI285" s="1068"/>
      <c r="AJ285" s="1068"/>
      <c r="AK285" s="1068"/>
      <c r="AL285" s="1068"/>
      <c r="AM285" s="1068"/>
      <c r="AN285" s="1068"/>
      <c r="AO285" s="1068"/>
      <c r="AP285" s="1068"/>
      <c r="AQ285" s="1068"/>
      <c r="AR285" s="1068"/>
      <c r="AS285" s="1068"/>
      <c r="AT285" s="1068"/>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69" t="s">
        <v>2371</v>
      </c>
      <c r="I289" s="1069"/>
      <c r="J289" s="1069"/>
      <c r="K289" s="1069"/>
      <c r="L289" s="1069"/>
      <c r="M289" s="1069"/>
      <c r="N289" s="1069"/>
      <c r="O289" s="1069"/>
      <c r="P289" s="1069"/>
      <c r="Q289" s="1069"/>
      <c r="R289" s="1069"/>
      <c r="T289" s="41" t="s">
        <v>744</v>
      </c>
      <c r="V289" s="41"/>
      <c r="W289" s="41"/>
      <c r="X289" s="41"/>
      <c r="Y289" s="41"/>
      <c r="AA289" s="1069" t="s">
        <v>2524</v>
      </c>
      <c r="AB289" s="1069"/>
      <c r="AC289" s="1069"/>
      <c r="AD289" s="1069"/>
      <c r="AE289" s="1069"/>
      <c r="AF289" s="1069"/>
      <c r="AG289" s="1069"/>
      <c r="AH289" s="1069"/>
      <c r="AI289" s="1069"/>
      <c r="AJ289" s="1069"/>
      <c r="AK289" s="1069"/>
      <c r="BA289" s="43"/>
    </row>
    <row r="290" spans="2:53" ht="12.9" customHeight="1">
      <c r="B290" s="41" t="s">
        <v>698</v>
      </c>
      <c r="C290" s="41"/>
      <c r="D290" s="41"/>
      <c r="E290" s="41"/>
      <c r="F290" s="41"/>
      <c r="H290" s="1067" t="s">
        <v>2372</v>
      </c>
      <c r="I290" s="1067"/>
      <c r="J290" s="1067"/>
      <c r="K290" s="1067"/>
      <c r="L290" s="1067"/>
      <c r="M290" s="1067"/>
      <c r="N290" s="1067"/>
      <c r="O290" s="1067"/>
      <c r="P290" s="1067"/>
      <c r="Q290" s="1067"/>
      <c r="R290" s="1067"/>
      <c r="T290" s="41" t="s">
        <v>698</v>
      </c>
      <c r="V290" s="41"/>
      <c r="W290" s="41"/>
      <c r="X290" s="41"/>
      <c r="Y290" s="41"/>
      <c r="AA290" s="1067" t="s">
        <v>2525</v>
      </c>
      <c r="AB290" s="1067"/>
      <c r="AC290" s="1067"/>
      <c r="AD290" s="1067"/>
      <c r="AE290" s="1067"/>
      <c r="AF290" s="1067"/>
      <c r="AG290" s="1067"/>
      <c r="AH290" s="1067"/>
      <c r="AI290" s="1067"/>
      <c r="AJ290" s="1067"/>
      <c r="AK290" s="1067"/>
      <c r="BA290" s="43"/>
    </row>
    <row r="291" spans="2:53" ht="12.9" customHeight="1">
      <c r="B291" s="41" t="s">
        <v>700</v>
      </c>
      <c r="C291" s="41"/>
      <c r="D291" s="41"/>
      <c r="E291" s="41"/>
      <c r="F291" s="41"/>
      <c r="H291" s="1067" t="s">
        <v>2373</v>
      </c>
      <c r="I291" s="1067"/>
      <c r="J291" s="1067"/>
      <c r="K291" s="1067"/>
      <c r="L291" s="1067"/>
      <c r="M291" s="1067"/>
      <c r="N291" s="1067"/>
      <c r="O291" s="1067"/>
      <c r="P291" s="1067"/>
      <c r="Q291" s="1067"/>
      <c r="R291" s="1067"/>
      <c r="T291" s="41" t="s">
        <v>699</v>
      </c>
      <c r="V291" s="41"/>
      <c r="W291" s="41"/>
      <c r="X291" s="41"/>
      <c r="Y291" s="41"/>
      <c r="AA291" s="1067" t="s">
        <v>2526</v>
      </c>
      <c r="AB291" s="1067"/>
      <c r="AC291" s="1067"/>
      <c r="AD291" s="1067"/>
      <c r="AE291" s="1067"/>
      <c r="AF291" s="1067"/>
      <c r="AG291" s="1067"/>
      <c r="AH291" s="1067"/>
      <c r="AI291" s="1067"/>
      <c r="AJ291" s="1067"/>
      <c r="AK291" s="1067"/>
      <c r="BA291" s="43"/>
    </row>
    <row r="292" spans="2:53" ht="12.9" customHeight="1">
      <c r="B292" s="41" t="s">
        <v>374</v>
      </c>
      <c r="C292" s="41"/>
      <c r="D292" s="41"/>
      <c r="E292" s="41"/>
      <c r="F292" s="41"/>
      <c r="H292" s="1067" t="s">
        <v>2334</v>
      </c>
      <c r="I292" s="1067"/>
      <c r="J292" s="1067"/>
      <c r="K292" s="1067"/>
      <c r="L292" s="1067"/>
      <c r="M292" s="1067"/>
      <c r="N292" s="1067"/>
      <c r="O292" s="1067"/>
      <c r="P292" s="1067"/>
      <c r="Q292" s="1067"/>
      <c r="R292" s="1067"/>
      <c r="T292" s="41" t="s">
        <v>374</v>
      </c>
      <c r="V292" s="41"/>
      <c r="W292" s="41"/>
      <c r="X292" s="41"/>
      <c r="Y292" s="41"/>
      <c r="AA292" s="1067" t="s">
        <v>2374</v>
      </c>
      <c r="AB292" s="1067"/>
      <c r="AC292" s="1067"/>
      <c r="AD292" s="1067"/>
      <c r="AE292" s="1067"/>
      <c r="AF292" s="1067"/>
      <c r="AG292" s="1067"/>
      <c r="AH292" s="1067"/>
      <c r="AI292" s="1067"/>
      <c r="AJ292" s="1067"/>
      <c r="AK292" s="1067"/>
      <c r="BA292" s="43"/>
    </row>
    <row r="293" spans="2:53" ht="12.9" customHeight="1">
      <c r="B293" s="41" t="s">
        <v>375</v>
      </c>
      <c r="C293" s="41"/>
      <c r="D293" s="41"/>
      <c r="E293" s="41"/>
      <c r="F293" s="41"/>
      <c r="G293" s="41"/>
      <c r="H293" s="1070" t="s">
        <v>2353</v>
      </c>
      <c r="I293" s="1070"/>
      <c r="J293" s="1070"/>
      <c r="K293" s="1070"/>
      <c r="L293" s="1070"/>
      <c r="M293" s="1070"/>
      <c r="N293" s="5" t="s">
        <v>817</v>
      </c>
      <c r="O293" s="5"/>
      <c r="P293" s="1066"/>
      <c r="Q293" s="1066"/>
      <c r="R293" s="1066"/>
      <c r="S293" s="41"/>
      <c r="T293" s="41" t="s">
        <v>375</v>
      </c>
      <c r="V293" s="41"/>
      <c r="W293" s="41"/>
      <c r="X293" s="41"/>
      <c r="Y293" s="41"/>
      <c r="AA293" s="1070" t="s">
        <v>2375</v>
      </c>
      <c r="AB293" s="1070"/>
      <c r="AC293" s="1070"/>
      <c r="AD293" s="1070"/>
      <c r="AE293" s="1070"/>
      <c r="AF293" s="1070"/>
      <c r="AG293" s="5" t="s">
        <v>817</v>
      </c>
      <c r="AH293" s="5"/>
      <c r="AI293" s="1066"/>
      <c r="AJ293" s="1066"/>
      <c r="AK293" s="1066"/>
      <c r="BA293" s="43"/>
    </row>
    <row r="294" spans="2:53" ht="12.9" customHeight="1">
      <c r="B294" s="41" t="s">
        <v>376</v>
      </c>
      <c r="C294" s="41"/>
      <c r="D294" s="41"/>
      <c r="E294" s="41"/>
      <c r="F294" s="41"/>
      <c r="G294" s="41"/>
      <c r="H294" s="1071"/>
      <c r="I294" s="1071"/>
      <c r="J294" s="1071"/>
      <c r="K294" s="1071"/>
      <c r="L294" s="1071"/>
      <c r="M294" s="1071"/>
      <c r="N294" s="5"/>
      <c r="O294" s="5"/>
      <c r="P294" s="44"/>
      <c r="Q294" s="44"/>
      <c r="R294" s="44"/>
      <c r="S294" s="41"/>
      <c r="T294" s="41" t="s">
        <v>376</v>
      </c>
      <c r="V294" s="41"/>
      <c r="W294" s="41"/>
      <c r="X294" s="41"/>
      <c r="Y294" s="41"/>
      <c r="AA294" s="1071"/>
      <c r="AB294" s="1071"/>
      <c r="AC294" s="1071"/>
      <c r="AD294" s="1071"/>
      <c r="AE294" s="1071"/>
      <c r="AF294" s="1071"/>
      <c r="AG294" s="5"/>
      <c r="AH294" s="5"/>
      <c r="AI294" s="44"/>
      <c r="AJ294" s="44"/>
      <c r="AK294" s="44"/>
      <c r="BA294" s="43"/>
    </row>
    <row r="295" spans="2:53" ht="12.9" customHeight="1">
      <c r="B295" s="41" t="s">
        <v>701</v>
      </c>
      <c r="C295" s="41"/>
      <c r="D295" s="41"/>
      <c r="E295" s="41"/>
      <c r="F295" s="41"/>
      <c r="G295" s="41"/>
      <c r="H295" s="1067" t="s">
        <v>2349</v>
      </c>
      <c r="I295" s="1067"/>
      <c r="J295" s="1067"/>
      <c r="K295" s="1067"/>
      <c r="L295" s="1067"/>
      <c r="M295" s="1067"/>
      <c r="N295" s="1069"/>
      <c r="O295" s="1069"/>
      <c r="P295" s="1069"/>
      <c r="Q295" s="1069"/>
      <c r="R295" s="1069"/>
      <c r="S295" s="41"/>
      <c r="T295" s="41" t="s">
        <v>701</v>
      </c>
      <c r="V295" s="41"/>
      <c r="W295" s="41"/>
      <c r="X295" s="41"/>
      <c r="Y295" s="41"/>
      <c r="AA295" s="1067" t="s">
        <v>2376</v>
      </c>
      <c r="AB295" s="1067"/>
      <c r="AC295" s="1067"/>
      <c r="AD295" s="1067"/>
      <c r="AE295" s="1067"/>
      <c r="AF295" s="1067"/>
      <c r="AG295" s="1069"/>
      <c r="AH295" s="1069"/>
      <c r="AI295" s="1069"/>
      <c r="AJ295" s="1069"/>
      <c r="AK295" s="106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69" t="s">
        <v>2377</v>
      </c>
      <c r="I297" s="1069"/>
      <c r="J297" s="1069"/>
      <c r="K297" s="1069"/>
      <c r="L297" s="1069"/>
      <c r="M297" s="1069"/>
      <c r="N297" s="1069"/>
      <c r="O297" s="1069"/>
      <c r="P297" s="1069"/>
      <c r="Q297" s="1069"/>
      <c r="R297" s="1069"/>
      <c r="T297" s="41" t="s">
        <v>35</v>
      </c>
      <c r="V297" s="41"/>
      <c r="W297" s="41"/>
      <c r="X297" s="41"/>
      <c r="Y297" s="41"/>
      <c r="AA297" s="1069" t="s">
        <v>2381</v>
      </c>
      <c r="AB297" s="1069"/>
      <c r="AC297" s="1069"/>
      <c r="AD297" s="1069"/>
      <c r="AE297" s="1069"/>
      <c r="AF297" s="1069"/>
      <c r="AG297" s="1069"/>
      <c r="AH297" s="1069"/>
      <c r="AI297" s="1069"/>
      <c r="AJ297" s="1069"/>
      <c r="AK297" s="1069"/>
      <c r="BA297" s="43"/>
    </row>
    <row r="298" spans="2:53" ht="12.9" customHeight="1">
      <c r="B298" s="41" t="s">
        <v>698</v>
      </c>
      <c r="C298" s="41"/>
      <c r="D298" s="41"/>
      <c r="E298" s="41"/>
      <c r="F298" s="41"/>
      <c r="H298" s="1067" t="s">
        <v>2378</v>
      </c>
      <c r="I298" s="1067"/>
      <c r="J298" s="1067"/>
      <c r="K298" s="1067"/>
      <c r="L298" s="1067"/>
      <c r="M298" s="1067"/>
      <c r="N298" s="1067"/>
      <c r="O298" s="1067"/>
      <c r="P298" s="1067"/>
      <c r="Q298" s="1067"/>
      <c r="R298" s="1067"/>
      <c r="T298" s="41" t="s">
        <v>698</v>
      </c>
      <c r="V298" s="41"/>
      <c r="W298" s="41"/>
      <c r="X298" s="41"/>
      <c r="Y298" s="41"/>
      <c r="AA298" s="1067" t="s">
        <v>2382</v>
      </c>
      <c r="AB298" s="1067"/>
      <c r="AC298" s="1067"/>
      <c r="AD298" s="1067"/>
      <c r="AE298" s="1067"/>
      <c r="AF298" s="1067"/>
      <c r="AG298" s="1067"/>
      <c r="AH298" s="1067"/>
      <c r="AI298" s="1067"/>
      <c r="AJ298" s="1067"/>
      <c r="AK298" s="1067"/>
      <c r="BA298" s="43"/>
    </row>
    <row r="299" spans="2:53" ht="12.9" customHeight="1">
      <c r="B299" s="41" t="s">
        <v>700</v>
      </c>
      <c r="C299" s="41"/>
      <c r="D299" s="41"/>
      <c r="E299" s="41"/>
      <c r="F299" s="41"/>
      <c r="H299" s="1067" t="s">
        <v>2379</v>
      </c>
      <c r="I299" s="1067"/>
      <c r="J299" s="1067"/>
      <c r="K299" s="1067"/>
      <c r="L299" s="1067"/>
      <c r="M299" s="1067"/>
      <c r="N299" s="1067"/>
      <c r="O299" s="1067"/>
      <c r="P299" s="1067"/>
      <c r="Q299" s="1067"/>
      <c r="R299" s="1067"/>
      <c r="T299" s="41" t="s">
        <v>699</v>
      </c>
      <c r="V299" s="41"/>
      <c r="W299" s="41"/>
      <c r="X299" s="41"/>
      <c r="Y299" s="41"/>
      <c r="AA299" s="1067" t="s">
        <v>2383</v>
      </c>
      <c r="AB299" s="1067"/>
      <c r="AC299" s="1067"/>
      <c r="AD299" s="1067"/>
      <c r="AE299" s="1067"/>
      <c r="AF299" s="1067"/>
      <c r="AG299" s="1067"/>
      <c r="AH299" s="1067"/>
      <c r="AI299" s="1067"/>
      <c r="AJ299" s="1067"/>
      <c r="AK299" s="1067"/>
      <c r="BA299" s="43"/>
    </row>
    <row r="300" spans="2:53" ht="12.9" customHeight="1">
      <c r="B300" s="41" t="s">
        <v>374</v>
      </c>
      <c r="C300" s="41"/>
      <c r="D300" s="41"/>
      <c r="E300" s="41"/>
      <c r="F300" s="41"/>
      <c r="H300" s="1067" t="s">
        <v>2380</v>
      </c>
      <c r="I300" s="1067"/>
      <c r="J300" s="1067"/>
      <c r="K300" s="1067"/>
      <c r="L300" s="1067"/>
      <c r="M300" s="1067"/>
      <c r="N300" s="1067"/>
      <c r="O300" s="1067"/>
      <c r="P300" s="1067"/>
      <c r="Q300" s="1067"/>
      <c r="R300" s="1067"/>
      <c r="T300" s="41" t="s">
        <v>374</v>
      </c>
      <c r="V300" s="41"/>
      <c r="W300" s="41"/>
      <c r="X300" s="41"/>
      <c r="Y300" s="41"/>
      <c r="AA300" s="1067" t="s">
        <v>2384</v>
      </c>
      <c r="AB300" s="1067"/>
      <c r="AC300" s="1067"/>
      <c r="AD300" s="1067"/>
      <c r="AE300" s="1067"/>
      <c r="AF300" s="1067"/>
      <c r="AG300" s="1067"/>
      <c r="AH300" s="1067"/>
      <c r="AI300" s="1067"/>
      <c r="AJ300" s="1067"/>
      <c r="AK300" s="1067"/>
      <c r="BA300" s="43"/>
    </row>
    <row r="301" spans="2:53" ht="12.9" customHeight="1">
      <c r="B301" s="41" t="s">
        <v>375</v>
      </c>
      <c r="C301" s="41"/>
      <c r="D301" s="41"/>
      <c r="E301" s="41"/>
      <c r="F301" s="41"/>
      <c r="G301" s="41"/>
      <c r="H301" s="1070" t="s">
        <v>2385</v>
      </c>
      <c r="I301" s="1070"/>
      <c r="J301" s="1070"/>
      <c r="K301" s="1070"/>
      <c r="L301" s="1070"/>
      <c r="M301" s="1070"/>
      <c r="N301" s="5" t="s">
        <v>817</v>
      </c>
      <c r="O301" s="5"/>
      <c r="P301" s="1066"/>
      <c r="Q301" s="1066"/>
      <c r="R301" s="1066"/>
      <c r="S301" s="41"/>
      <c r="T301" s="41" t="s">
        <v>375</v>
      </c>
      <c r="V301" s="41"/>
      <c r="W301" s="41"/>
      <c r="X301" s="41"/>
      <c r="Y301" s="41"/>
      <c r="AA301" s="1070" t="s">
        <v>2388</v>
      </c>
      <c r="AB301" s="1070"/>
      <c r="AC301" s="1070"/>
      <c r="AD301" s="1070"/>
      <c r="AE301" s="1070"/>
      <c r="AF301" s="1070"/>
      <c r="AG301" s="5" t="s">
        <v>817</v>
      </c>
      <c r="AH301" s="5"/>
      <c r="AI301" s="1066"/>
      <c r="AJ301" s="1066"/>
      <c r="AK301" s="1066"/>
      <c r="BA301" s="43"/>
    </row>
    <row r="302" spans="2:53" ht="12.9" customHeight="1">
      <c r="B302" s="41" t="s">
        <v>376</v>
      </c>
      <c r="C302" s="41"/>
      <c r="D302" s="41"/>
      <c r="E302" s="41"/>
      <c r="F302" s="41"/>
      <c r="G302" s="41"/>
      <c r="H302" s="1071" t="s">
        <v>2386</v>
      </c>
      <c r="I302" s="1071"/>
      <c r="J302" s="1071"/>
      <c r="K302" s="1071"/>
      <c r="L302" s="1071"/>
      <c r="M302" s="1071"/>
      <c r="N302" s="5"/>
      <c r="O302" s="5"/>
      <c r="P302" s="44"/>
      <c r="Q302" s="44"/>
      <c r="R302" s="44"/>
      <c r="S302" s="41"/>
      <c r="T302" s="41" t="s">
        <v>376</v>
      </c>
      <c r="V302" s="41"/>
      <c r="W302" s="41"/>
      <c r="X302" s="41"/>
      <c r="Y302" s="41"/>
      <c r="AA302" s="1071"/>
      <c r="AB302" s="1071"/>
      <c r="AC302" s="1071"/>
      <c r="AD302" s="1071"/>
      <c r="AE302" s="1071"/>
      <c r="AF302" s="1071"/>
      <c r="AG302" s="5"/>
      <c r="AH302" s="5"/>
      <c r="AI302" s="44"/>
      <c r="AJ302" s="44"/>
      <c r="AK302" s="44"/>
      <c r="BA302" s="43"/>
    </row>
    <row r="303" spans="2:53" ht="12.9" customHeight="1">
      <c r="B303" s="41" t="s">
        <v>701</v>
      </c>
      <c r="C303" s="41"/>
      <c r="D303" s="41"/>
      <c r="E303" s="41"/>
      <c r="F303" s="41"/>
      <c r="G303" s="41"/>
      <c r="H303" s="1067" t="s">
        <v>2387</v>
      </c>
      <c r="I303" s="1067"/>
      <c r="J303" s="1067"/>
      <c r="K303" s="1067"/>
      <c r="L303" s="1067"/>
      <c r="M303" s="1067"/>
      <c r="N303" s="1069"/>
      <c r="O303" s="1069"/>
      <c r="P303" s="1069"/>
      <c r="Q303" s="1069"/>
      <c r="R303" s="1069"/>
      <c r="S303" s="41"/>
      <c r="T303" s="41" t="s">
        <v>701</v>
      </c>
      <c r="V303" s="41"/>
      <c r="W303" s="41"/>
      <c r="X303" s="41"/>
      <c r="Y303" s="41"/>
      <c r="AA303" s="1067" t="s">
        <v>2389</v>
      </c>
      <c r="AB303" s="1067"/>
      <c r="AC303" s="1067"/>
      <c r="AD303" s="1067"/>
      <c r="AE303" s="1067"/>
      <c r="AF303" s="1067"/>
      <c r="AG303" s="1069"/>
      <c r="AH303" s="1069"/>
      <c r="AI303" s="1069"/>
      <c r="AJ303" s="1069"/>
      <c r="AK303" s="1069"/>
      <c r="BA303" s="43"/>
    </row>
    <row r="304" spans="2:53" ht="12.9" customHeight="1">
      <c r="C304"/>
      <c r="BA304" s="43"/>
    </row>
    <row r="305" spans="2:53" ht="12.9" customHeight="1">
      <c r="B305" s="41" t="s">
        <v>702</v>
      </c>
      <c r="C305" s="41"/>
      <c r="D305" s="41"/>
      <c r="E305" s="41"/>
      <c r="F305" s="41"/>
      <c r="H305" s="1069" t="s">
        <v>2377</v>
      </c>
      <c r="I305" s="1069"/>
      <c r="J305" s="1069"/>
      <c r="K305" s="1069"/>
      <c r="L305" s="1069"/>
      <c r="M305" s="1069"/>
      <c r="N305" s="1069"/>
      <c r="O305" s="1069"/>
      <c r="P305" s="1069"/>
      <c r="Q305" s="1069"/>
      <c r="R305" s="1069"/>
      <c r="T305" s="5" t="s">
        <v>1104</v>
      </c>
      <c r="V305" s="41"/>
      <c r="W305" s="41"/>
      <c r="X305" s="41"/>
      <c r="Y305" s="41"/>
      <c r="AA305" s="1069" t="s">
        <v>2390</v>
      </c>
      <c r="AB305" s="1069"/>
      <c r="AC305" s="1069"/>
      <c r="AD305" s="1069"/>
      <c r="AE305" s="1069"/>
      <c r="AF305" s="1069"/>
      <c r="AG305" s="1069"/>
      <c r="AH305" s="1069"/>
      <c r="AI305" s="1069"/>
      <c r="AJ305" s="1069"/>
      <c r="AK305" s="1069"/>
      <c r="BA305" s="43"/>
    </row>
    <row r="306" spans="2:53" ht="12.9" customHeight="1">
      <c r="B306" s="41" t="s">
        <v>698</v>
      </c>
      <c r="C306" s="41"/>
      <c r="D306" s="41"/>
      <c r="E306" s="41"/>
      <c r="F306" s="41"/>
      <c r="H306" s="1067" t="s">
        <v>2378</v>
      </c>
      <c r="I306" s="1067"/>
      <c r="J306" s="1067"/>
      <c r="K306" s="1067"/>
      <c r="L306" s="1067"/>
      <c r="M306" s="1067"/>
      <c r="N306" s="1067"/>
      <c r="O306" s="1067"/>
      <c r="P306" s="1067"/>
      <c r="Q306" s="1067"/>
      <c r="R306" s="1067"/>
      <c r="T306" s="41" t="s">
        <v>698</v>
      </c>
      <c r="V306" s="41"/>
      <c r="W306" s="41"/>
      <c r="X306" s="41"/>
      <c r="Y306" s="41"/>
      <c r="AA306" s="1067" t="s">
        <v>2391</v>
      </c>
      <c r="AB306" s="1067"/>
      <c r="AC306" s="1067"/>
      <c r="AD306" s="1067"/>
      <c r="AE306" s="1067"/>
      <c r="AF306" s="1067"/>
      <c r="AG306" s="1067"/>
      <c r="AH306" s="1067"/>
      <c r="AI306" s="1067"/>
      <c r="AJ306" s="1067"/>
      <c r="AK306" s="1067"/>
      <c r="BA306" s="43"/>
    </row>
    <row r="307" spans="2:53" ht="12.9" customHeight="1">
      <c r="B307" s="41" t="s">
        <v>700</v>
      </c>
      <c r="C307" s="41"/>
      <c r="D307" s="41"/>
      <c r="E307" s="41"/>
      <c r="F307" s="41"/>
      <c r="H307" s="1067" t="s">
        <v>2379</v>
      </c>
      <c r="I307" s="1067"/>
      <c r="J307" s="1067"/>
      <c r="K307" s="1067"/>
      <c r="L307" s="1067"/>
      <c r="M307" s="1067"/>
      <c r="N307" s="1067"/>
      <c r="O307" s="1067"/>
      <c r="P307" s="1067"/>
      <c r="Q307" s="1067"/>
      <c r="R307" s="1067"/>
      <c r="T307" s="41" t="s">
        <v>699</v>
      </c>
      <c r="V307" s="41"/>
      <c r="W307" s="41"/>
      <c r="X307" s="41"/>
      <c r="Y307" s="41"/>
      <c r="AA307" s="1067" t="s">
        <v>2392</v>
      </c>
      <c r="AB307" s="1067"/>
      <c r="AC307" s="1067"/>
      <c r="AD307" s="1067"/>
      <c r="AE307" s="1067"/>
      <c r="AF307" s="1067"/>
      <c r="AG307" s="1067"/>
      <c r="AH307" s="1067"/>
      <c r="AI307" s="1067"/>
      <c r="AJ307" s="1067"/>
      <c r="AK307" s="1067"/>
      <c r="BA307" s="43"/>
    </row>
    <row r="308" spans="2:53" ht="12.9" customHeight="1">
      <c r="B308" s="41" t="s">
        <v>374</v>
      </c>
      <c r="C308" s="41"/>
      <c r="D308" s="41"/>
      <c r="E308" s="41"/>
      <c r="F308" s="41"/>
      <c r="H308" s="1067" t="s">
        <v>2380</v>
      </c>
      <c r="I308" s="1067"/>
      <c r="J308" s="1067"/>
      <c r="K308" s="1067"/>
      <c r="L308" s="1067"/>
      <c r="M308" s="1067"/>
      <c r="N308" s="1067"/>
      <c r="O308" s="1067"/>
      <c r="P308" s="1067"/>
      <c r="Q308" s="1067"/>
      <c r="R308" s="1067"/>
      <c r="T308" s="41" t="s">
        <v>374</v>
      </c>
      <c r="V308" s="41"/>
      <c r="W308" s="41"/>
      <c r="X308" s="41"/>
      <c r="Y308" s="41"/>
      <c r="AA308" s="1067" t="s">
        <v>2393</v>
      </c>
      <c r="AB308" s="1067"/>
      <c r="AC308" s="1067"/>
      <c r="AD308" s="1067"/>
      <c r="AE308" s="1067"/>
      <c r="AF308" s="1067"/>
      <c r="AG308" s="1067"/>
      <c r="AH308" s="1067"/>
      <c r="AI308" s="1067"/>
      <c r="AJ308" s="1067"/>
      <c r="AK308" s="1067"/>
      <c r="BA308" s="43"/>
    </row>
    <row r="309" spans="2:53" ht="12.9" customHeight="1">
      <c r="B309" s="41" t="s">
        <v>375</v>
      </c>
      <c r="C309" s="41"/>
      <c r="D309" s="41"/>
      <c r="E309" s="41"/>
      <c r="F309" s="41"/>
      <c r="G309" s="41"/>
      <c r="H309" s="1070" t="s">
        <v>2385</v>
      </c>
      <c r="I309" s="1070"/>
      <c r="J309" s="1070"/>
      <c r="K309" s="1070"/>
      <c r="L309" s="1070"/>
      <c r="M309" s="1070"/>
      <c r="N309" s="5" t="s">
        <v>817</v>
      </c>
      <c r="O309" s="5"/>
      <c r="P309" s="1066"/>
      <c r="Q309" s="1066"/>
      <c r="R309" s="1066"/>
      <c r="S309" s="41"/>
      <c r="T309" s="41" t="s">
        <v>375</v>
      </c>
      <c r="V309" s="41"/>
      <c r="W309" s="41"/>
      <c r="X309" s="41"/>
      <c r="Y309" s="41"/>
      <c r="AA309" s="1070" t="s">
        <v>2394</v>
      </c>
      <c r="AB309" s="1070"/>
      <c r="AC309" s="1070"/>
      <c r="AD309" s="1070"/>
      <c r="AE309" s="1070"/>
      <c r="AF309" s="1070"/>
      <c r="AG309" s="5" t="s">
        <v>817</v>
      </c>
      <c r="AH309" s="5"/>
      <c r="AI309" s="1066"/>
      <c r="AJ309" s="1066"/>
      <c r="AK309" s="1066"/>
      <c r="BA309" s="43"/>
    </row>
    <row r="310" spans="2:53" ht="12.9" customHeight="1">
      <c r="B310" s="41" t="s">
        <v>376</v>
      </c>
      <c r="C310" s="41"/>
      <c r="D310" s="41"/>
      <c r="E310" s="41"/>
      <c r="F310" s="41"/>
      <c r="G310" s="41"/>
      <c r="H310" s="1071" t="s">
        <v>2386</v>
      </c>
      <c r="I310" s="1071"/>
      <c r="J310" s="1071"/>
      <c r="K310" s="1071"/>
      <c r="L310" s="1071"/>
      <c r="M310" s="1071"/>
      <c r="N310" s="5"/>
      <c r="O310" s="5"/>
      <c r="P310" s="44"/>
      <c r="Q310" s="44"/>
      <c r="R310" s="44"/>
      <c r="S310" s="41"/>
      <c r="T310" s="41" t="s">
        <v>376</v>
      </c>
      <c r="V310" s="41"/>
      <c r="W310" s="41"/>
      <c r="X310" s="41"/>
      <c r="Y310" s="41"/>
      <c r="AA310" s="1071" t="s">
        <v>2395</v>
      </c>
      <c r="AB310" s="1071"/>
      <c r="AC310" s="1071"/>
      <c r="AD310" s="1071"/>
      <c r="AE310" s="1071"/>
      <c r="AF310" s="1071"/>
      <c r="AG310" s="5"/>
      <c r="AH310" s="5"/>
      <c r="AI310" s="44"/>
      <c r="AJ310" s="44"/>
      <c r="AK310" s="44"/>
      <c r="BA310" s="43"/>
    </row>
    <row r="311" spans="2:53" ht="12.9" customHeight="1">
      <c r="B311" s="41" t="s">
        <v>701</v>
      </c>
      <c r="C311" s="41"/>
      <c r="D311" s="41"/>
      <c r="E311" s="41"/>
      <c r="F311" s="41"/>
      <c r="G311" s="41"/>
      <c r="H311" s="1067" t="s">
        <v>2387</v>
      </c>
      <c r="I311" s="1067"/>
      <c r="J311" s="1067"/>
      <c r="K311" s="1067"/>
      <c r="L311" s="1067"/>
      <c r="M311" s="1067"/>
      <c r="N311" s="1069"/>
      <c r="O311" s="1069"/>
      <c r="P311" s="1069"/>
      <c r="Q311" s="1069"/>
      <c r="R311" s="1069"/>
      <c r="S311" s="41"/>
      <c r="T311" s="41" t="s">
        <v>701</v>
      </c>
      <c r="V311" s="41"/>
      <c r="W311" s="41"/>
      <c r="X311" s="41"/>
      <c r="Y311" s="41"/>
      <c r="AA311" s="1067" t="s">
        <v>2396</v>
      </c>
      <c r="AB311" s="1067"/>
      <c r="AC311" s="1067"/>
      <c r="AD311" s="1067"/>
      <c r="AE311" s="1067"/>
      <c r="AF311" s="1067"/>
      <c r="AG311" s="1069"/>
      <c r="AH311" s="1069"/>
      <c r="AI311" s="1069"/>
      <c r="AJ311" s="1069"/>
      <c r="AK311" s="1069"/>
      <c r="BA311" s="43"/>
    </row>
    <row r="312" spans="2:53" ht="12.9" customHeight="1">
      <c r="C312"/>
      <c r="BA312" s="43"/>
    </row>
    <row r="313" spans="2:53" ht="12.9" customHeight="1">
      <c r="B313" s="5" t="s">
        <v>1145</v>
      </c>
      <c r="C313" s="41"/>
      <c r="D313" s="41"/>
      <c r="E313" s="41"/>
      <c r="F313" s="41"/>
      <c r="H313" s="1069" t="s">
        <v>2397</v>
      </c>
      <c r="I313" s="1069"/>
      <c r="J313" s="1069"/>
      <c r="K313" s="1069"/>
      <c r="L313" s="1069"/>
      <c r="M313" s="1069"/>
      <c r="N313" s="1069"/>
      <c r="O313" s="1069"/>
      <c r="P313" s="1069"/>
      <c r="Q313" s="1069"/>
      <c r="R313" s="1069"/>
      <c r="T313" s="41" t="s">
        <v>36</v>
      </c>
      <c r="V313" s="41"/>
      <c r="W313" s="41"/>
      <c r="X313" s="41"/>
      <c r="Y313" s="41"/>
      <c r="AA313" s="1069" t="s">
        <v>2404</v>
      </c>
      <c r="AB313" s="1069"/>
      <c r="AC313" s="1069"/>
      <c r="AD313" s="1069"/>
      <c r="AE313" s="1069"/>
      <c r="AF313" s="1069"/>
      <c r="AG313" s="1069"/>
      <c r="AH313" s="1069"/>
      <c r="AI313" s="1069"/>
      <c r="AJ313" s="1069"/>
      <c r="AK313" s="1069"/>
      <c r="BA313" s="43"/>
    </row>
    <row r="314" spans="2:53" ht="12.9" customHeight="1">
      <c r="B314" s="41" t="s">
        <v>698</v>
      </c>
      <c r="C314" s="41"/>
      <c r="D314" s="41"/>
      <c r="E314" s="41"/>
      <c r="F314" s="41"/>
      <c r="H314" s="1067" t="s">
        <v>2398</v>
      </c>
      <c r="I314" s="1067"/>
      <c r="J314" s="1067"/>
      <c r="K314" s="1067"/>
      <c r="L314" s="1067"/>
      <c r="M314" s="1067"/>
      <c r="N314" s="1067"/>
      <c r="O314" s="1067"/>
      <c r="P314" s="1067"/>
      <c r="Q314" s="1067"/>
      <c r="R314" s="1067"/>
      <c r="T314" s="41" t="s">
        <v>698</v>
      </c>
      <c r="V314" s="41"/>
      <c r="W314" s="41"/>
      <c r="X314" s="41"/>
      <c r="Y314" s="41"/>
      <c r="AA314" s="1067" t="s">
        <v>2405</v>
      </c>
      <c r="AB314" s="1067"/>
      <c r="AC314" s="1067"/>
      <c r="AD314" s="1067"/>
      <c r="AE314" s="1067"/>
      <c r="AF314" s="1067"/>
      <c r="AG314" s="1067"/>
      <c r="AH314" s="1067"/>
      <c r="AI314" s="1067"/>
      <c r="AJ314" s="1067"/>
      <c r="AK314" s="1067"/>
      <c r="BA314" s="43"/>
    </row>
    <row r="315" spans="2:53" ht="12.9" customHeight="1">
      <c r="B315" s="41" t="s">
        <v>700</v>
      </c>
      <c r="C315" s="41"/>
      <c r="D315" s="41"/>
      <c r="E315" s="41"/>
      <c r="F315" s="41"/>
      <c r="H315" s="1067" t="s">
        <v>2399</v>
      </c>
      <c r="I315" s="1067"/>
      <c r="J315" s="1067"/>
      <c r="K315" s="1067"/>
      <c r="L315" s="1067"/>
      <c r="M315" s="1067"/>
      <c r="N315" s="1067"/>
      <c r="O315" s="1067"/>
      <c r="P315" s="1067"/>
      <c r="Q315" s="1067"/>
      <c r="R315" s="1067"/>
      <c r="T315" s="41" t="s">
        <v>699</v>
      </c>
      <c r="V315" s="41"/>
      <c r="W315" s="41"/>
      <c r="X315" s="41"/>
      <c r="Y315" s="41"/>
      <c r="AA315" s="1067" t="s">
        <v>2406</v>
      </c>
      <c r="AB315" s="1067"/>
      <c r="AC315" s="1067"/>
      <c r="AD315" s="1067"/>
      <c r="AE315" s="1067"/>
      <c r="AF315" s="1067"/>
      <c r="AG315" s="1067"/>
      <c r="AH315" s="1067"/>
      <c r="AI315" s="1067"/>
      <c r="AJ315" s="1067"/>
      <c r="AK315" s="1067"/>
      <c r="BA315" s="43"/>
    </row>
    <row r="316" spans="2:53" ht="12.9" customHeight="1">
      <c r="B316" s="41" t="s">
        <v>374</v>
      </c>
      <c r="C316" s="41"/>
      <c r="D316" s="41"/>
      <c r="E316" s="41"/>
      <c r="F316" s="41"/>
      <c r="H316" s="1067" t="s">
        <v>2400</v>
      </c>
      <c r="I316" s="1067"/>
      <c r="J316" s="1067"/>
      <c r="K316" s="1067"/>
      <c r="L316" s="1067"/>
      <c r="M316" s="1067"/>
      <c r="N316" s="1067"/>
      <c r="O316" s="1067"/>
      <c r="P316" s="1067"/>
      <c r="Q316" s="1067"/>
      <c r="R316" s="1067"/>
      <c r="T316" s="41" t="s">
        <v>374</v>
      </c>
      <c r="V316" s="41"/>
      <c r="W316" s="41"/>
      <c r="X316" s="41"/>
      <c r="Y316" s="41"/>
      <c r="AA316" s="1067" t="s">
        <v>2407</v>
      </c>
      <c r="AB316" s="1067"/>
      <c r="AC316" s="1067"/>
      <c r="AD316" s="1067"/>
      <c r="AE316" s="1067"/>
      <c r="AF316" s="1067"/>
      <c r="AG316" s="1067"/>
      <c r="AH316" s="1067"/>
      <c r="AI316" s="1067"/>
      <c r="AJ316" s="1067"/>
      <c r="AK316" s="1067"/>
      <c r="BA316" s="43"/>
    </row>
    <row r="317" spans="2:53" ht="12.9" customHeight="1">
      <c r="B317" s="41" t="s">
        <v>375</v>
      </c>
      <c r="C317" s="41"/>
      <c r="D317" s="41"/>
      <c r="E317" s="41"/>
      <c r="F317" s="41"/>
      <c r="G317" s="41"/>
      <c r="H317" s="1070" t="s">
        <v>2401</v>
      </c>
      <c r="I317" s="1070"/>
      <c r="J317" s="1070"/>
      <c r="K317" s="1070"/>
      <c r="L317" s="1070"/>
      <c r="M317" s="1070"/>
      <c r="N317" s="5" t="s">
        <v>817</v>
      </c>
      <c r="O317" s="5"/>
      <c r="P317" s="1066"/>
      <c r="Q317" s="1066"/>
      <c r="R317" s="1066"/>
      <c r="S317" s="41"/>
      <c r="T317" s="41" t="s">
        <v>375</v>
      </c>
      <c r="V317" s="41"/>
      <c r="W317" s="41"/>
      <c r="X317" s="41"/>
      <c r="Y317" s="41"/>
      <c r="AA317" s="1070" t="s">
        <v>2408</v>
      </c>
      <c r="AB317" s="1070"/>
      <c r="AC317" s="1070"/>
      <c r="AD317" s="1070"/>
      <c r="AE317" s="1070"/>
      <c r="AF317" s="1070"/>
      <c r="AG317" s="5" t="s">
        <v>817</v>
      </c>
      <c r="AH317" s="5"/>
      <c r="AI317" s="1066"/>
      <c r="AJ317" s="1066"/>
      <c r="AK317" s="1066"/>
      <c r="BA317" s="43"/>
    </row>
    <row r="318" spans="2:53" ht="12.9" customHeight="1">
      <c r="B318" s="41" t="s">
        <v>376</v>
      </c>
      <c r="C318" s="41"/>
      <c r="D318" s="41"/>
      <c r="E318" s="41"/>
      <c r="F318" s="41"/>
      <c r="G318" s="41"/>
      <c r="H318" s="1071" t="s">
        <v>2402</v>
      </c>
      <c r="I318" s="1071"/>
      <c r="J318" s="1071"/>
      <c r="K318" s="1071"/>
      <c r="L318" s="1071"/>
      <c r="M318" s="1071"/>
      <c r="N318" s="5"/>
      <c r="O318" s="5"/>
      <c r="P318" s="44"/>
      <c r="Q318" s="44"/>
      <c r="R318" s="44"/>
      <c r="S318" s="41"/>
      <c r="T318" s="41" t="s">
        <v>376</v>
      </c>
      <c r="V318" s="41"/>
      <c r="W318" s="41"/>
      <c r="X318" s="41"/>
      <c r="Y318" s="41"/>
      <c r="AA318" s="1071"/>
      <c r="AB318" s="1071"/>
      <c r="AC318" s="1071"/>
      <c r="AD318" s="1071"/>
      <c r="AE318" s="1071"/>
      <c r="AF318" s="1071"/>
      <c r="AG318" s="5"/>
      <c r="AH318" s="5"/>
      <c r="AI318" s="44"/>
      <c r="AJ318" s="44"/>
      <c r="AK318" s="44"/>
      <c r="BA318" s="43"/>
    </row>
    <row r="319" spans="2:53" ht="12.9" customHeight="1">
      <c r="B319" s="41" t="s">
        <v>701</v>
      </c>
      <c r="C319" s="41"/>
      <c r="D319" s="41"/>
      <c r="E319" s="41"/>
      <c r="F319" s="41"/>
      <c r="G319" s="41"/>
      <c r="H319" s="1067" t="s">
        <v>2403</v>
      </c>
      <c r="I319" s="1067"/>
      <c r="J319" s="1067"/>
      <c r="K319" s="1067"/>
      <c r="L319" s="1067"/>
      <c r="M319" s="1067"/>
      <c r="N319" s="1069"/>
      <c r="O319" s="1069"/>
      <c r="P319" s="1069"/>
      <c r="Q319" s="1069"/>
      <c r="R319" s="1069"/>
      <c r="S319" s="41"/>
      <c r="T319" s="41" t="s">
        <v>701</v>
      </c>
      <c r="V319" s="41"/>
      <c r="W319" s="41"/>
      <c r="X319" s="41"/>
      <c r="Y319" s="41"/>
      <c r="AA319" s="1067" t="s">
        <v>2409</v>
      </c>
      <c r="AB319" s="1067"/>
      <c r="AC319" s="1067"/>
      <c r="AD319" s="1067"/>
      <c r="AE319" s="1067"/>
      <c r="AF319" s="1067"/>
      <c r="AG319" s="1069"/>
      <c r="AH319" s="1069"/>
      <c r="AI319" s="1069"/>
      <c r="AJ319" s="1069"/>
      <c r="AK319" s="1069"/>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1146</v>
      </c>
      <c r="C321" s="41"/>
      <c r="D321" s="41"/>
      <c r="E321" s="41"/>
      <c r="F321" s="41"/>
      <c r="H321" s="1069"/>
      <c r="I321" s="1069"/>
      <c r="J321" s="1069"/>
      <c r="K321" s="1069"/>
      <c r="L321" s="1069"/>
      <c r="M321" s="1069"/>
      <c r="N321" s="1069"/>
      <c r="O321" s="1069"/>
      <c r="P321" s="1069"/>
      <c r="Q321" s="1069"/>
      <c r="R321" s="1069"/>
      <c r="T321" s="41" t="s">
        <v>37</v>
      </c>
      <c r="V321" s="41"/>
      <c r="W321" s="41"/>
      <c r="X321" s="41"/>
      <c r="Y321" s="41"/>
      <c r="AA321" s="1069" t="s">
        <v>2410</v>
      </c>
      <c r="AB321" s="1069"/>
      <c r="AC321" s="1069"/>
      <c r="AD321" s="1069"/>
      <c r="AE321" s="1069"/>
      <c r="AF321" s="1069"/>
      <c r="AG321" s="1069"/>
      <c r="AH321" s="1069"/>
      <c r="AI321" s="1069"/>
      <c r="AJ321" s="1069"/>
      <c r="AK321" s="1069"/>
      <c r="BA321" s="43"/>
    </row>
    <row r="322" spans="2:53" ht="12.9" customHeight="1">
      <c r="B322" s="41" t="s">
        <v>698</v>
      </c>
      <c r="C322" s="41"/>
      <c r="D322" s="41"/>
      <c r="E322" s="41"/>
      <c r="F322" s="41"/>
      <c r="H322" s="1067"/>
      <c r="I322" s="1067"/>
      <c r="J322" s="1067"/>
      <c r="K322" s="1067"/>
      <c r="L322" s="1067"/>
      <c r="M322" s="1067"/>
      <c r="N322" s="1067"/>
      <c r="O322" s="1067"/>
      <c r="P322" s="1067"/>
      <c r="Q322" s="1067"/>
      <c r="R322" s="1067"/>
      <c r="T322" s="41" t="s">
        <v>698</v>
      </c>
      <c r="V322" s="41"/>
      <c r="W322" s="41"/>
      <c r="X322" s="41"/>
      <c r="Y322" s="41"/>
      <c r="AA322" s="1067" t="s">
        <v>2411</v>
      </c>
      <c r="AB322" s="1067"/>
      <c r="AC322" s="1067"/>
      <c r="AD322" s="1067"/>
      <c r="AE322" s="1067"/>
      <c r="AF322" s="1067"/>
      <c r="AG322" s="1067"/>
      <c r="AH322" s="1067"/>
      <c r="AI322" s="1067"/>
      <c r="AJ322" s="1067"/>
      <c r="AK322" s="1067"/>
      <c r="BA322" s="43"/>
    </row>
    <row r="323" spans="2:53" ht="12.9" customHeight="1">
      <c r="B323" s="41" t="s">
        <v>700</v>
      </c>
      <c r="C323" s="41"/>
      <c r="D323" s="41"/>
      <c r="E323" s="41"/>
      <c r="F323" s="41"/>
      <c r="H323" s="1067"/>
      <c r="I323" s="1067"/>
      <c r="J323" s="1067"/>
      <c r="K323" s="1067"/>
      <c r="L323" s="1067"/>
      <c r="M323" s="1067"/>
      <c r="N323" s="1067"/>
      <c r="O323" s="1067"/>
      <c r="P323" s="1067"/>
      <c r="Q323" s="1067"/>
      <c r="R323" s="1067"/>
      <c r="T323" s="41" t="s">
        <v>699</v>
      </c>
      <c r="V323" s="41"/>
      <c r="W323" s="41"/>
      <c r="X323" s="41"/>
      <c r="Y323" s="41"/>
      <c r="AA323" s="1067" t="s">
        <v>2412</v>
      </c>
      <c r="AB323" s="1067"/>
      <c r="AC323" s="1067"/>
      <c r="AD323" s="1067"/>
      <c r="AE323" s="1067"/>
      <c r="AF323" s="1067"/>
      <c r="AG323" s="1067"/>
      <c r="AH323" s="1067"/>
      <c r="AI323" s="1067"/>
      <c r="AJ323" s="1067"/>
      <c r="AK323" s="1067"/>
      <c r="BA323" s="43"/>
    </row>
    <row r="324" spans="2:53" ht="12.9" customHeight="1">
      <c r="B324" s="41" t="s">
        <v>374</v>
      </c>
      <c r="C324" s="41"/>
      <c r="D324" s="41"/>
      <c r="E324" s="41"/>
      <c r="F324" s="41"/>
      <c r="H324" s="1067"/>
      <c r="I324" s="1067"/>
      <c r="J324" s="1067"/>
      <c r="K324" s="1067"/>
      <c r="L324" s="1067"/>
      <c r="M324" s="1067"/>
      <c r="N324" s="1067"/>
      <c r="O324" s="1067"/>
      <c r="P324" s="1067"/>
      <c r="Q324" s="1067"/>
      <c r="R324" s="1067"/>
      <c r="T324" s="41" t="s">
        <v>374</v>
      </c>
      <c r="V324" s="41"/>
      <c r="W324" s="41"/>
      <c r="X324" s="41"/>
      <c r="Y324" s="41"/>
      <c r="AA324" s="1067" t="s">
        <v>2413</v>
      </c>
      <c r="AB324" s="1067"/>
      <c r="AC324" s="1067"/>
      <c r="AD324" s="1067"/>
      <c r="AE324" s="1067"/>
      <c r="AF324" s="1067"/>
      <c r="AG324" s="1067"/>
      <c r="AH324" s="1067"/>
      <c r="AI324" s="1067"/>
      <c r="AJ324" s="1067"/>
      <c r="AK324" s="1067"/>
      <c r="BA324" s="43"/>
    </row>
    <row r="325" spans="2:53" ht="12.9" customHeight="1">
      <c r="B325" s="41" t="s">
        <v>375</v>
      </c>
      <c r="C325" s="41"/>
      <c r="D325" s="41"/>
      <c r="E325" s="41"/>
      <c r="F325" s="41"/>
      <c r="G325" s="41"/>
      <c r="H325" s="1070"/>
      <c r="I325" s="1070"/>
      <c r="J325" s="1070"/>
      <c r="K325" s="1070"/>
      <c r="L325" s="1070"/>
      <c r="M325" s="1070"/>
      <c r="N325" s="5" t="s">
        <v>817</v>
      </c>
      <c r="O325" s="5"/>
      <c r="P325" s="1066"/>
      <c r="Q325" s="1066"/>
      <c r="R325" s="1066"/>
      <c r="S325" s="41"/>
      <c r="T325" s="41" t="s">
        <v>375</v>
      </c>
      <c r="V325" s="41"/>
      <c r="W325" s="41"/>
      <c r="X325" s="41"/>
      <c r="Y325" s="41"/>
      <c r="AA325" s="1070" t="s">
        <v>2414</v>
      </c>
      <c r="AB325" s="1070"/>
      <c r="AC325" s="1070"/>
      <c r="AD325" s="1070"/>
      <c r="AE325" s="1070"/>
      <c r="AF325" s="1070"/>
      <c r="AG325" s="5" t="s">
        <v>817</v>
      </c>
      <c r="AH325" s="5"/>
      <c r="AI325" s="1066"/>
      <c r="AJ325" s="1066"/>
      <c r="AK325" s="1066"/>
      <c r="BA325" s="43"/>
    </row>
    <row r="326" spans="2:53" ht="12.9" customHeight="1">
      <c r="B326" s="41" t="s">
        <v>376</v>
      </c>
      <c r="C326" s="41"/>
      <c r="D326" s="41"/>
      <c r="E326" s="41"/>
      <c r="F326" s="41"/>
      <c r="G326" s="41"/>
      <c r="H326" s="1071"/>
      <c r="I326" s="1071"/>
      <c r="J326" s="1071"/>
      <c r="K326" s="1071"/>
      <c r="L326" s="1071"/>
      <c r="M326" s="1071"/>
      <c r="N326" s="5"/>
      <c r="O326" s="5"/>
      <c r="P326" s="44"/>
      <c r="Q326" s="44"/>
      <c r="R326" s="44"/>
      <c r="S326" s="41"/>
      <c r="T326" s="41" t="s">
        <v>376</v>
      </c>
      <c r="V326" s="41"/>
      <c r="W326" s="41"/>
      <c r="X326" s="41"/>
      <c r="Y326" s="41"/>
      <c r="AA326" s="1071" t="s">
        <v>2415</v>
      </c>
      <c r="AB326" s="1071"/>
      <c r="AC326" s="1071"/>
      <c r="AD326" s="1071"/>
      <c r="AE326" s="1071"/>
      <c r="AF326" s="1071"/>
      <c r="AG326" s="5"/>
      <c r="AH326" s="5"/>
      <c r="AI326" s="44"/>
      <c r="AJ326" s="44"/>
      <c r="AK326" s="44"/>
      <c r="BA326" s="43"/>
    </row>
    <row r="327" spans="2:53" ht="12.9" customHeight="1">
      <c r="B327" s="41" t="s">
        <v>701</v>
      </c>
      <c r="C327" s="41"/>
      <c r="D327" s="41"/>
      <c r="E327" s="41"/>
      <c r="F327" s="41"/>
      <c r="G327" s="41"/>
      <c r="H327" s="1067"/>
      <c r="I327" s="1067"/>
      <c r="J327" s="1067"/>
      <c r="K327" s="1067"/>
      <c r="L327" s="1067"/>
      <c r="M327" s="1067"/>
      <c r="N327" s="1069"/>
      <c r="O327" s="1069"/>
      <c r="P327" s="1069"/>
      <c r="Q327" s="1069"/>
      <c r="R327" s="1069"/>
      <c r="S327" s="41"/>
      <c r="T327" s="41" t="s">
        <v>701</v>
      </c>
      <c r="V327" s="41"/>
      <c r="W327" s="41"/>
      <c r="X327" s="41"/>
      <c r="Y327" s="41"/>
      <c r="AA327" s="1067" t="s">
        <v>2416</v>
      </c>
      <c r="AB327" s="1067"/>
      <c r="AC327" s="1067"/>
      <c r="AD327" s="1067"/>
      <c r="AE327" s="1067"/>
      <c r="AF327" s="1067"/>
      <c r="AG327" s="1069"/>
      <c r="AH327" s="1069"/>
      <c r="AI327" s="1069"/>
      <c r="AJ327" s="1069"/>
      <c r="AK327" s="1069"/>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069" t="s">
        <v>2410</v>
      </c>
      <c r="I329" s="1069"/>
      <c r="J329" s="1069"/>
      <c r="K329" s="1069"/>
      <c r="L329" s="1069"/>
      <c r="M329" s="1069"/>
      <c r="N329" s="1069"/>
      <c r="O329" s="1069"/>
      <c r="P329" s="1069"/>
      <c r="Q329" s="1069"/>
      <c r="R329" s="1069"/>
      <c r="T329" s="5" t="s">
        <v>1105</v>
      </c>
      <c r="V329" s="41"/>
      <c r="W329" s="41"/>
      <c r="X329" s="41"/>
      <c r="Y329" s="41"/>
      <c r="AA329" s="1069" t="s">
        <v>2417</v>
      </c>
      <c r="AB329" s="1069"/>
      <c r="AC329" s="1069"/>
      <c r="AD329" s="1069"/>
      <c r="AE329" s="1069"/>
      <c r="AF329" s="1069"/>
      <c r="AG329" s="1069"/>
      <c r="AH329" s="1069"/>
      <c r="AI329" s="1069"/>
      <c r="AJ329" s="1069"/>
      <c r="AK329" s="1069"/>
      <c r="BA329" s="43"/>
    </row>
    <row r="330" spans="2:53" ht="12.9" customHeight="1">
      <c r="B330" s="41" t="s">
        <v>698</v>
      </c>
      <c r="C330" s="41"/>
      <c r="D330" s="41"/>
      <c r="E330" s="41"/>
      <c r="F330" s="41"/>
      <c r="H330" s="1067" t="s">
        <v>2411</v>
      </c>
      <c r="I330" s="1067"/>
      <c r="J330" s="1067"/>
      <c r="K330" s="1067"/>
      <c r="L330" s="1067"/>
      <c r="M330" s="1067"/>
      <c r="N330" s="1067"/>
      <c r="O330" s="1067"/>
      <c r="P330" s="1067"/>
      <c r="Q330" s="1067"/>
      <c r="R330" s="1067"/>
      <c r="T330" s="41" t="s">
        <v>698</v>
      </c>
      <c r="V330" s="41"/>
      <c r="W330" s="41"/>
      <c r="X330" s="41"/>
      <c r="Y330" s="41"/>
      <c r="AA330" s="1067" t="s">
        <v>2418</v>
      </c>
      <c r="AB330" s="1067"/>
      <c r="AC330" s="1067"/>
      <c r="AD330" s="1067"/>
      <c r="AE330" s="1067"/>
      <c r="AF330" s="1067"/>
      <c r="AG330" s="1067"/>
      <c r="AH330" s="1067"/>
      <c r="AI330" s="1067"/>
      <c r="AJ330" s="1067"/>
      <c r="AK330" s="1067"/>
      <c r="BA330" s="43"/>
    </row>
    <row r="331" spans="2:53" ht="12.9" customHeight="1">
      <c r="B331" s="41" t="s">
        <v>700</v>
      </c>
      <c r="C331" s="41"/>
      <c r="D331" s="41"/>
      <c r="E331" s="41"/>
      <c r="F331" s="41"/>
      <c r="G331" s="41"/>
      <c r="H331" s="1067" t="s">
        <v>2412</v>
      </c>
      <c r="I331" s="1067"/>
      <c r="J331" s="1067"/>
      <c r="K331" s="1067"/>
      <c r="L331" s="1067"/>
      <c r="M331" s="1067"/>
      <c r="N331" s="1067"/>
      <c r="O331" s="1067"/>
      <c r="P331" s="1067"/>
      <c r="Q331" s="1067"/>
      <c r="R331" s="1067"/>
      <c r="T331" s="41" t="s">
        <v>699</v>
      </c>
      <c r="V331" s="41"/>
      <c r="W331" s="41"/>
      <c r="X331" s="41"/>
      <c r="Y331" s="41"/>
      <c r="AA331" s="1067" t="s">
        <v>2419</v>
      </c>
      <c r="AB331" s="1067"/>
      <c r="AC331" s="1067"/>
      <c r="AD331" s="1067"/>
      <c r="AE331" s="1067"/>
      <c r="AF331" s="1067"/>
      <c r="AG331" s="1067"/>
      <c r="AH331" s="1067"/>
      <c r="AI331" s="1067"/>
      <c r="AJ331" s="1067"/>
      <c r="AK331" s="1067"/>
      <c r="BA331" s="43"/>
    </row>
    <row r="332" spans="2:53" ht="12.9" customHeight="1">
      <c r="B332" s="41" t="s">
        <v>374</v>
      </c>
      <c r="C332" s="41"/>
      <c r="D332" s="41"/>
      <c r="E332" s="41"/>
      <c r="F332" s="41"/>
      <c r="H332" s="1067" t="s">
        <v>2413</v>
      </c>
      <c r="I332" s="1067"/>
      <c r="J332" s="1067"/>
      <c r="K332" s="1067"/>
      <c r="L332" s="1067"/>
      <c r="M332" s="1067"/>
      <c r="N332" s="1067"/>
      <c r="O332" s="1067"/>
      <c r="P332" s="1067"/>
      <c r="Q332" s="1067"/>
      <c r="R332" s="1067"/>
      <c r="T332" s="41" t="s">
        <v>374</v>
      </c>
      <c r="V332" s="41"/>
      <c r="W332" s="41"/>
      <c r="X332" s="41"/>
      <c r="Y332" s="41"/>
      <c r="AA332" s="1067" t="s">
        <v>2420</v>
      </c>
      <c r="AB332" s="1067"/>
      <c r="AC332" s="1067"/>
      <c r="AD332" s="1067"/>
      <c r="AE332" s="1067"/>
      <c r="AF332" s="1067"/>
      <c r="AG332" s="1067"/>
      <c r="AH332" s="1067"/>
      <c r="AI332" s="1067"/>
      <c r="AJ332" s="1067"/>
      <c r="AK332" s="1067"/>
      <c r="BA332" s="43"/>
    </row>
    <row r="333" spans="2:53" ht="12.9" customHeight="1">
      <c r="B333" s="41" t="s">
        <v>375</v>
      </c>
      <c r="C333" s="41"/>
      <c r="D333" s="41"/>
      <c r="E333" s="41"/>
      <c r="F333" s="41"/>
      <c r="G333" s="41"/>
      <c r="H333" s="1070" t="s">
        <v>2414</v>
      </c>
      <c r="I333" s="1070"/>
      <c r="J333" s="1070"/>
      <c r="K333" s="1070"/>
      <c r="L333" s="1070"/>
      <c r="M333" s="1070"/>
      <c r="N333" s="5" t="s">
        <v>817</v>
      </c>
      <c r="O333" s="5"/>
      <c r="P333" s="1066"/>
      <c r="Q333" s="1066"/>
      <c r="R333" s="1066"/>
      <c r="T333" s="41" t="s">
        <v>375</v>
      </c>
      <c r="V333" s="41"/>
      <c r="W333" s="41"/>
      <c r="X333" s="41"/>
      <c r="Y333" s="41"/>
      <c r="AA333" s="1070" t="s">
        <v>2421</v>
      </c>
      <c r="AB333" s="1070"/>
      <c r="AC333" s="1070"/>
      <c r="AD333" s="1070"/>
      <c r="AE333" s="1070"/>
      <c r="AF333" s="1070"/>
      <c r="AG333" s="5" t="s">
        <v>817</v>
      </c>
      <c r="AH333" s="5"/>
      <c r="AI333" s="1066"/>
      <c r="AJ333" s="1066"/>
      <c r="AK333" s="1066"/>
      <c r="BA333" s="43"/>
    </row>
    <row r="334" spans="2:53" ht="12.9" customHeight="1">
      <c r="B334" s="41" t="s">
        <v>376</v>
      </c>
      <c r="C334" s="41"/>
      <c r="D334" s="41"/>
      <c r="E334" s="41"/>
      <c r="F334" s="41"/>
      <c r="G334" s="41"/>
      <c r="H334" s="1071" t="s">
        <v>2415</v>
      </c>
      <c r="I334" s="1071"/>
      <c r="J334" s="1071"/>
      <c r="K334" s="1071"/>
      <c r="L334" s="1071"/>
      <c r="M334" s="1071"/>
      <c r="N334" s="5"/>
      <c r="O334" s="5"/>
      <c r="P334" s="44"/>
      <c r="Q334" s="44"/>
      <c r="R334" s="44"/>
      <c r="T334" s="41" t="s">
        <v>376</v>
      </c>
      <c r="V334" s="41"/>
      <c r="W334" s="41"/>
      <c r="X334" s="41"/>
      <c r="Y334" s="41"/>
      <c r="AA334" s="1071"/>
      <c r="AB334" s="1071"/>
      <c r="AC334" s="1071"/>
      <c r="AD334" s="1071"/>
      <c r="AE334" s="1071"/>
      <c r="AF334" s="1071"/>
      <c r="AG334" s="5"/>
      <c r="AH334" s="5"/>
      <c r="AI334" s="44"/>
      <c r="AJ334" s="44"/>
      <c r="AK334" s="44"/>
      <c r="BA334" s="43"/>
    </row>
    <row r="335" spans="2:53" ht="12.9" customHeight="1">
      <c r="B335" s="41" t="s">
        <v>701</v>
      </c>
      <c r="C335" s="41"/>
      <c r="D335" s="41"/>
      <c r="E335" s="41"/>
      <c r="F335" s="41"/>
      <c r="G335" s="41"/>
      <c r="H335" s="1067" t="s">
        <v>2416</v>
      </c>
      <c r="I335" s="1067"/>
      <c r="J335" s="1067"/>
      <c r="K335" s="1067"/>
      <c r="L335" s="1067"/>
      <c r="M335" s="1067"/>
      <c r="N335" s="1069"/>
      <c r="O335" s="1069"/>
      <c r="P335" s="1069"/>
      <c r="Q335" s="1069"/>
      <c r="R335" s="1069"/>
      <c r="T335" s="41" t="s">
        <v>701</v>
      </c>
      <c r="V335" s="41"/>
      <c r="W335" s="41"/>
      <c r="X335" s="41"/>
      <c r="Y335" s="41"/>
      <c r="AA335" s="1067" t="s">
        <v>2422</v>
      </c>
      <c r="AB335" s="1067"/>
      <c r="AC335" s="1067"/>
      <c r="AD335" s="1067"/>
      <c r="AE335" s="1067"/>
      <c r="AF335" s="1067"/>
      <c r="AG335" s="1069"/>
      <c r="AH335" s="1069"/>
      <c r="AI335" s="1069"/>
      <c r="AJ335" s="1069"/>
      <c r="AK335" s="106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069" t="s">
        <v>2423</v>
      </c>
      <c r="I337" s="1069"/>
      <c r="J337" s="1069"/>
      <c r="K337" s="1069"/>
      <c r="L337" s="1069"/>
      <c r="M337" s="1069"/>
      <c r="N337" s="1069"/>
      <c r="O337" s="1069"/>
      <c r="P337" s="1069"/>
      <c r="Q337" s="1069"/>
      <c r="R337" s="1069"/>
      <c r="T337" s="358" t="s">
        <v>1144</v>
      </c>
      <c r="AA337" s="1069"/>
      <c r="AB337" s="1069"/>
      <c r="AC337" s="1069"/>
      <c r="AD337" s="1069"/>
      <c r="AE337" s="1069"/>
      <c r="AF337" s="1069"/>
      <c r="AG337" s="1069"/>
      <c r="AH337" s="1069"/>
      <c r="AI337" s="1069"/>
      <c r="AJ337" s="1069"/>
      <c r="AK337" s="1069"/>
      <c r="BA337" s="43"/>
    </row>
    <row r="338" spans="2:53" ht="12.9" customHeight="1">
      <c r="B338" s="358" t="s">
        <v>698</v>
      </c>
      <c r="C338" s="358"/>
      <c r="D338" s="358"/>
      <c r="E338" s="358"/>
      <c r="F338" s="358"/>
      <c r="G338" s="358"/>
      <c r="H338" s="1067" t="s">
        <v>2424</v>
      </c>
      <c r="I338" s="1067"/>
      <c r="J338" s="1067"/>
      <c r="K338" s="1067"/>
      <c r="L338" s="1067"/>
      <c r="M338" s="1067"/>
      <c r="N338" s="1067"/>
      <c r="O338" s="1067"/>
      <c r="P338" s="1067"/>
      <c r="Q338" s="1067"/>
      <c r="R338" s="1067"/>
      <c r="T338" s="41" t="s">
        <v>698</v>
      </c>
      <c r="AA338" s="1067"/>
      <c r="AB338" s="1067"/>
      <c r="AC338" s="1067"/>
      <c r="AD338" s="1067"/>
      <c r="AE338" s="1067"/>
      <c r="AF338" s="1067"/>
      <c r="AG338" s="1067"/>
      <c r="AH338" s="1067"/>
      <c r="AI338" s="1067"/>
      <c r="AJ338" s="1067"/>
      <c r="AK338" s="1067"/>
      <c r="BA338" s="43"/>
    </row>
    <row r="339" spans="2:53" ht="12.9" customHeight="1">
      <c r="B339" s="358" t="s">
        <v>700</v>
      </c>
      <c r="C339" s="358"/>
      <c r="D339" s="358"/>
      <c r="E339" s="358"/>
      <c r="F339" s="358"/>
      <c r="G339" s="358"/>
      <c r="H339" s="1067" t="s">
        <v>2425</v>
      </c>
      <c r="I339" s="1067"/>
      <c r="J339" s="1067"/>
      <c r="K339" s="1067"/>
      <c r="L339" s="1067"/>
      <c r="M339" s="1067"/>
      <c r="N339" s="1067"/>
      <c r="O339" s="1067"/>
      <c r="P339" s="1067"/>
      <c r="Q339" s="1067"/>
      <c r="R339" s="1067"/>
      <c r="T339" s="41" t="s">
        <v>699</v>
      </c>
      <c r="AA339" s="1067"/>
      <c r="AB339" s="1067"/>
      <c r="AC339" s="1067"/>
      <c r="AD339" s="1067"/>
      <c r="AE339" s="1067"/>
      <c r="AF339" s="1067"/>
      <c r="AG339" s="1067"/>
      <c r="AH339" s="1067"/>
      <c r="AI339" s="1067"/>
      <c r="AJ339" s="1067"/>
      <c r="AK339" s="1067"/>
    </row>
    <row r="340" spans="2:53" ht="12.9" customHeight="1">
      <c r="B340" s="358" t="s">
        <v>374</v>
      </c>
      <c r="C340" s="358"/>
      <c r="D340" s="358"/>
      <c r="E340" s="358"/>
      <c r="F340" s="358"/>
      <c r="G340" s="358"/>
      <c r="H340" s="1067" t="s">
        <v>2426</v>
      </c>
      <c r="I340" s="1067"/>
      <c r="J340" s="1067"/>
      <c r="K340" s="1067"/>
      <c r="L340" s="1067"/>
      <c r="M340" s="1067"/>
      <c r="N340" s="1067"/>
      <c r="O340" s="1067"/>
      <c r="P340" s="1067"/>
      <c r="Q340" s="1067"/>
      <c r="R340" s="1067"/>
      <c r="T340" s="41" t="s">
        <v>374</v>
      </c>
      <c r="AA340" s="1067"/>
      <c r="AB340" s="1067"/>
      <c r="AC340" s="1067"/>
      <c r="AD340" s="1067"/>
      <c r="AE340" s="1067"/>
      <c r="AF340" s="1067"/>
      <c r="AG340" s="1067"/>
      <c r="AH340" s="1067"/>
      <c r="AI340" s="1067"/>
      <c r="AJ340" s="1067"/>
      <c r="AK340" s="1067"/>
    </row>
    <row r="341" spans="2:53" ht="12.9" customHeight="1">
      <c r="B341" s="358" t="s">
        <v>375</v>
      </c>
      <c r="C341" s="358"/>
      <c r="D341" s="358"/>
      <c r="E341" s="358"/>
      <c r="F341" s="358"/>
      <c r="G341" s="358"/>
      <c r="H341" s="1070" t="s">
        <v>2427</v>
      </c>
      <c r="I341" s="1070"/>
      <c r="J341" s="1070"/>
      <c r="K341" s="1070"/>
      <c r="L341" s="1070"/>
      <c r="M341" s="1070"/>
      <c r="N341" s="5" t="s">
        <v>817</v>
      </c>
      <c r="O341" s="5"/>
      <c r="P341" s="1066"/>
      <c r="Q341" s="1066"/>
      <c r="R341" s="1066"/>
      <c r="T341" s="41" t="s">
        <v>375</v>
      </c>
      <c r="AA341" s="1070"/>
      <c r="AB341" s="1070"/>
      <c r="AC341" s="1070"/>
      <c r="AD341" s="1070"/>
      <c r="AE341" s="1070"/>
      <c r="AF341" s="1070"/>
      <c r="AG341" s="5" t="s">
        <v>817</v>
      </c>
      <c r="AH341" s="5"/>
      <c r="AI341" s="1066"/>
      <c r="AJ341" s="1066"/>
      <c r="AK341" s="1066"/>
    </row>
    <row r="342" spans="2:53" ht="12.9" customHeight="1">
      <c r="B342" s="358" t="s">
        <v>376</v>
      </c>
      <c r="C342" s="358"/>
      <c r="D342" s="358"/>
      <c r="E342" s="358"/>
      <c r="F342" s="358"/>
      <c r="G342" s="358"/>
      <c r="H342" s="1071" t="s">
        <v>2428</v>
      </c>
      <c r="I342" s="1071"/>
      <c r="J342" s="1071"/>
      <c r="K342" s="1071"/>
      <c r="L342" s="1071"/>
      <c r="M342" s="1071"/>
      <c r="N342" s="5"/>
      <c r="O342" s="5"/>
      <c r="P342" s="44"/>
      <c r="Q342" s="44"/>
      <c r="R342" s="44"/>
      <c r="T342" s="41" t="s">
        <v>376</v>
      </c>
      <c r="AA342" s="1071"/>
      <c r="AB342" s="1071"/>
      <c r="AC342" s="1071"/>
      <c r="AD342" s="1071"/>
      <c r="AE342" s="1071"/>
      <c r="AF342" s="1071"/>
      <c r="AG342" s="5"/>
      <c r="AH342" s="5"/>
      <c r="AI342" s="44"/>
      <c r="AJ342" s="44"/>
      <c r="AK342" s="44"/>
    </row>
    <row r="343" spans="2:53" ht="12.9" customHeight="1">
      <c r="B343" s="358" t="s">
        <v>701</v>
      </c>
      <c r="C343" s="358"/>
      <c r="D343" s="358"/>
      <c r="E343" s="358"/>
      <c r="F343" s="358"/>
      <c r="G343" s="358"/>
      <c r="H343" s="1067" t="s">
        <v>2429</v>
      </c>
      <c r="I343" s="1067"/>
      <c r="J343" s="1067"/>
      <c r="K343" s="1067"/>
      <c r="L343" s="1067"/>
      <c r="M343" s="1067"/>
      <c r="N343" s="1069"/>
      <c r="O343" s="1069"/>
      <c r="P343" s="1069"/>
      <c r="Q343" s="1069"/>
      <c r="R343" s="1069"/>
      <c r="T343" s="41" t="s">
        <v>701</v>
      </c>
      <c r="AA343" s="1067"/>
      <c r="AB343" s="1067"/>
      <c r="AC343" s="1067"/>
      <c r="AD343" s="1067"/>
      <c r="AE343" s="1067"/>
      <c r="AF343" s="1067"/>
      <c r="AG343" s="1069"/>
      <c r="AH343" s="1069"/>
      <c r="AI343" s="1069"/>
      <c r="AJ343" s="1069"/>
      <c r="AK343" s="1069"/>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2301</v>
      </c>
      <c r="P345" s="1069"/>
      <c r="Q345" s="1069"/>
      <c r="R345" s="1069"/>
      <c r="S345" s="1069"/>
      <c r="T345" s="1069"/>
      <c r="U345" s="1069"/>
      <c r="V345" s="1069"/>
      <c r="W345" s="1069"/>
      <c r="X345" s="1069"/>
      <c r="Y345" s="1069"/>
      <c r="Z345" s="1069"/>
    </row>
    <row r="346" spans="2:53" ht="12.9" customHeight="1">
      <c r="C346" s="358"/>
      <c r="D346" s="358"/>
      <c r="E346" s="358"/>
      <c r="F346" s="358"/>
      <c r="G346" s="358"/>
      <c r="I346" s="358" t="s">
        <v>698</v>
      </c>
      <c r="P346" s="1067"/>
      <c r="Q346" s="1067"/>
      <c r="R346" s="1067"/>
      <c r="S346" s="1067"/>
      <c r="T346" s="1067"/>
      <c r="U346" s="1067"/>
      <c r="V346" s="1067"/>
      <c r="W346" s="1067"/>
      <c r="X346" s="1067"/>
      <c r="Y346" s="1067"/>
      <c r="Z346" s="1067"/>
    </row>
    <row r="347" spans="2:53" ht="12.9" customHeight="1">
      <c r="C347" s="358"/>
      <c r="D347" s="358"/>
      <c r="E347" s="358"/>
      <c r="F347" s="358"/>
      <c r="G347" s="358"/>
      <c r="I347" s="358" t="s">
        <v>700</v>
      </c>
      <c r="P347" s="1067"/>
      <c r="Q347" s="1067"/>
      <c r="R347" s="1067"/>
      <c r="S347" s="1067"/>
      <c r="T347" s="1067"/>
      <c r="U347" s="1067"/>
      <c r="V347" s="1067"/>
      <c r="W347" s="1067"/>
      <c r="X347" s="1067"/>
      <c r="Y347" s="1067"/>
      <c r="Z347" s="1067"/>
    </row>
    <row r="348" spans="2:53" ht="12.9" customHeight="1">
      <c r="C348" s="358"/>
      <c r="D348" s="358"/>
      <c r="E348" s="358"/>
      <c r="F348" s="358"/>
      <c r="G348" s="358"/>
      <c r="I348" s="358" t="s">
        <v>374</v>
      </c>
      <c r="P348" s="1067"/>
      <c r="Q348" s="1067"/>
      <c r="R348" s="1067"/>
      <c r="S348" s="1067"/>
      <c r="T348" s="1067"/>
      <c r="U348" s="1067"/>
      <c r="V348" s="1067"/>
      <c r="W348" s="1067"/>
      <c r="X348" s="1067"/>
      <c r="Y348" s="1067"/>
      <c r="Z348" s="1067"/>
    </row>
    <row r="349" spans="2:53" ht="12.9" customHeight="1">
      <c r="C349" s="358"/>
      <c r="D349" s="358"/>
      <c r="E349" s="358"/>
      <c r="F349" s="358"/>
      <c r="G349" s="358"/>
      <c r="I349" s="358" t="s">
        <v>375</v>
      </c>
      <c r="P349" s="1070"/>
      <c r="Q349" s="1070"/>
      <c r="R349" s="1070"/>
      <c r="S349" s="1070"/>
      <c r="T349" s="1070"/>
      <c r="U349" s="1070"/>
      <c r="V349" s="5" t="s">
        <v>817</v>
      </c>
      <c r="W349" s="5"/>
      <c r="X349" s="1066"/>
      <c r="Y349" s="1066"/>
      <c r="Z349" s="1066"/>
    </row>
    <row r="350" spans="2:53" ht="12.9" customHeight="1">
      <c r="C350" s="358"/>
      <c r="D350" s="358"/>
      <c r="E350" s="358"/>
      <c r="F350" s="358"/>
      <c r="G350" s="358"/>
      <c r="I350" s="358" t="s">
        <v>376</v>
      </c>
      <c r="P350" s="1071"/>
      <c r="Q350" s="1071"/>
      <c r="R350" s="1071"/>
      <c r="S350" s="1071"/>
      <c r="T350" s="1071"/>
      <c r="U350" s="1071"/>
      <c r="V350" s="5"/>
      <c r="W350" s="5"/>
      <c r="X350" s="44"/>
      <c r="Y350" s="44"/>
      <c r="Z350" s="44"/>
    </row>
    <row r="351" spans="2:53" ht="12.9" customHeight="1">
      <c r="C351" s="358"/>
      <c r="D351" s="358"/>
      <c r="E351" s="358"/>
      <c r="F351" s="358"/>
      <c r="G351" s="358"/>
      <c r="I351" s="358" t="s">
        <v>701</v>
      </c>
      <c r="P351" s="1067"/>
      <c r="Q351" s="1067"/>
      <c r="R351" s="1067"/>
      <c r="S351" s="1067"/>
      <c r="T351" s="1067"/>
      <c r="U351" s="1067"/>
      <c r="V351" s="1069"/>
      <c r="W351" s="1069"/>
      <c r="X351" s="1069"/>
      <c r="Y351" s="1069"/>
      <c r="Z351" s="1069"/>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68" t="s">
        <v>497</v>
      </c>
      <c r="B353" s="1068"/>
      <c r="C353" s="1068"/>
      <c r="D353" s="1068"/>
      <c r="E353" s="1068"/>
      <c r="F353" s="1068"/>
      <c r="G353" s="1068"/>
      <c r="H353" s="1068"/>
      <c r="I353" s="1068"/>
      <c r="J353" s="1068"/>
      <c r="K353" s="1068"/>
      <c r="L353" s="1068"/>
      <c r="M353" s="1068"/>
      <c r="N353" s="1068"/>
      <c r="O353" s="1068"/>
      <c r="P353" s="1068"/>
      <c r="Q353" s="1068"/>
      <c r="R353" s="1068"/>
      <c r="S353" s="1068"/>
      <c r="T353" s="1068"/>
      <c r="U353" s="1068"/>
      <c r="V353" s="1068"/>
      <c r="W353" s="1068"/>
      <c r="X353" s="1068"/>
      <c r="Y353" s="1068"/>
      <c r="Z353" s="1068"/>
      <c r="AA353" s="1068"/>
      <c r="AB353" s="1068"/>
      <c r="AC353" s="1068"/>
      <c r="AD353" s="1068"/>
      <c r="AE353" s="1068"/>
      <c r="AF353" s="1068"/>
      <c r="AG353" s="1068"/>
      <c r="AH353" s="1068"/>
      <c r="AI353" s="1068"/>
      <c r="AJ353" s="1068"/>
      <c r="AK353" s="1068"/>
      <c r="AL353" s="1068"/>
      <c r="AM353" s="1068"/>
      <c r="AN353" s="1068"/>
      <c r="AO353" s="1068"/>
      <c r="AP353" s="1068"/>
      <c r="AQ353" s="1068"/>
      <c r="AR353" s="1068"/>
      <c r="AS353" s="1068"/>
      <c r="AT353" s="1068"/>
    </row>
    <row r="354" spans="1:46" ht="12.9" customHeight="1">
      <c r="A354" s="1068"/>
      <c r="B354" s="1068"/>
      <c r="C354" s="1068"/>
      <c r="D354" s="1068"/>
      <c r="E354" s="1068"/>
      <c r="F354" s="1068"/>
      <c r="G354" s="1068"/>
      <c r="H354" s="1068"/>
      <c r="I354" s="1068"/>
      <c r="J354" s="1068"/>
      <c r="K354" s="1068"/>
      <c r="L354" s="1068"/>
      <c r="M354" s="1068"/>
      <c r="N354" s="1068"/>
      <c r="O354" s="1068"/>
      <c r="P354" s="1068"/>
      <c r="Q354" s="1068"/>
      <c r="R354" s="1068"/>
      <c r="S354" s="1068"/>
      <c r="T354" s="1068"/>
      <c r="U354" s="1068"/>
      <c r="V354" s="1068"/>
      <c r="W354" s="1068"/>
      <c r="X354" s="1068"/>
      <c r="Y354" s="1068"/>
      <c r="Z354" s="1068"/>
      <c r="AA354" s="1068"/>
      <c r="AB354" s="1068"/>
      <c r="AC354" s="1068"/>
      <c r="AD354" s="1068"/>
      <c r="AE354" s="1068"/>
      <c r="AF354" s="1068"/>
      <c r="AG354" s="1068"/>
      <c r="AH354" s="1068"/>
      <c r="AI354" s="1068"/>
      <c r="AJ354" s="1068"/>
      <c r="AK354" s="1068"/>
      <c r="AL354" s="1068"/>
      <c r="AM354" s="1068"/>
      <c r="AN354" s="1068"/>
      <c r="AO354" s="1068"/>
      <c r="AP354" s="1068"/>
      <c r="AQ354" s="1068"/>
      <c r="AR354" s="1068"/>
      <c r="AS354" s="1068"/>
      <c r="AT354" s="1068"/>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652</v>
      </c>
      <c r="B356" s="3"/>
      <c r="C356" s="3" t="s">
        <v>531</v>
      </c>
    </row>
    <row r="357" spans="1:46" ht="12.9" customHeight="1">
      <c r="C357"/>
      <c r="D357" t="s">
        <v>40</v>
      </c>
      <c r="M357" s="1130" t="s">
        <v>124</v>
      </c>
      <c r="N357" s="1130"/>
      <c r="P357" t="s">
        <v>1948</v>
      </c>
      <c r="AJ357" s="1130" t="s">
        <v>124</v>
      </c>
      <c r="AK357" s="1130"/>
    </row>
    <row r="358" spans="1:46" ht="12.9" customHeight="1">
      <c r="C358"/>
      <c r="D358" s="41" t="s">
        <v>1876</v>
      </c>
      <c r="M358" s="1130" t="s">
        <v>124</v>
      </c>
      <c r="N358" s="1130"/>
      <c r="P358" s="41" t="s">
        <v>1949</v>
      </c>
      <c r="AJ358" s="1166"/>
      <c r="AK358" s="1166"/>
    </row>
    <row r="359" spans="1:46" ht="12.9" customHeight="1">
      <c r="C359"/>
      <c r="D359" t="s">
        <v>313</v>
      </c>
      <c r="M359" s="1130" t="s">
        <v>108</v>
      </c>
      <c r="N359" s="1130"/>
      <c r="P359" t="s">
        <v>1950</v>
      </c>
      <c r="AJ359" s="1130" t="s">
        <v>108</v>
      </c>
      <c r="AK359" s="1130"/>
    </row>
    <row r="360" spans="1:46" ht="12.9" customHeight="1">
      <c r="C360"/>
      <c r="D360" t="s">
        <v>314</v>
      </c>
      <c r="M360" s="1130" t="s">
        <v>124</v>
      </c>
      <c r="N360" s="1130"/>
      <c r="Q360" s="41"/>
    </row>
    <row r="361" spans="1:46" ht="12.9" customHeight="1">
      <c r="C361"/>
      <c r="P361" s="358"/>
      <c r="Q361" s="358"/>
      <c r="R361" s="358"/>
    </row>
    <row r="362" spans="1:46" ht="12.9" customHeight="1">
      <c r="C362"/>
    </row>
    <row r="363" spans="1:46" ht="12.9" customHeight="1">
      <c r="A363" s="3" t="s">
        <v>8</v>
      </c>
      <c r="B363" s="3"/>
      <c r="C363" s="3" t="s">
        <v>880</v>
      </c>
      <c r="D363" s="3"/>
    </row>
    <row r="364" spans="1:46" ht="12.9"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893</v>
      </c>
      <c r="E365" s="49"/>
      <c r="F365" s="49"/>
      <c r="G365" s="49"/>
      <c r="H365" s="49"/>
      <c r="I365" s="49"/>
      <c r="J365" s="49"/>
      <c r="K365" s="49"/>
      <c r="L365" s="49"/>
      <c r="M365" s="49"/>
      <c r="N365" s="1130" t="s">
        <v>124</v>
      </c>
      <c r="O365" s="1130"/>
      <c r="P365" s="49"/>
      <c r="Q365" s="49"/>
      <c r="R365" s="49"/>
      <c r="S365" s="49"/>
      <c r="T365" s="49"/>
      <c r="U365" s="49"/>
      <c r="V365" s="49"/>
      <c r="W365" s="49"/>
      <c r="X365" s="49"/>
      <c r="Y365" s="49"/>
      <c r="Z365" s="49"/>
      <c r="AC365" s="49"/>
      <c r="AD365" s="49"/>
      <c r="AE365" s="49"/>
    </row>
    <row r="366" spans="1:46" ht="12.9" customHeight="1">
      <c r="C366"/>
      <c r="E366" t="s">
        <v>732</v>
      </c>
      <c r="Y366" s="1130" t="s">
        <v>124</v>
      </c>
      <c r="Z366" s="1130"/>
    </row>
    <row r="367" spans="1:46" ht="12.9"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895</v>
      </c>
      <c r="E368" s="49"/>
      <c r="F368" s="49"/>
      <c r="G368" s="49"/>
      <c r="H368" s="49"/>
      <c r="I368" s="49"/>
      <c r="J368" s="1130" t="s">
        <v>108</v>
      </c>
      <c r="K368" s="1130"/>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2.9"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482</v>
      </c>
    </row>
    <row r="371" spans="4:57" customFormat="1" ht="12.9" customHeight="1">
      <c r="E371" s="5" t="s">
        <v>589</v>
      </c>
      <c r="F371" s="5"/>
      <c r="G371" s="5"/>
      <c r="H371" s="5"/>
      <c r="I371" s="5"/>
      <c r="J371" s="5"/>
      <c r="K371" s="5"/>
      <c r="L371" s="5"/>
      <c r="N371" s="1111">
        <v>1986</v>
      </c>
      <c r="O371" s="1111"/>
      <c r="P371" s="1111"/>
      <c r="Q371" s="1111"/>
      <c r="R371" s="5"/>
      <c r="U371" s="5" t="s">
        <v>590</v>
      </c>
      <c r="V371" s="5"/>
      <c r="W371" s="5"/>
      <c r="X371" s="5"/>
      <c r="Y371" s="5"/>
      <c r="Z371" s="5"/>
      <c r="AA371" s="5"/>
      <c r="AB371" s="5"/>
      <c r="AC371" s="1111">
        <v>1</v>
      </c>
      <c r="AD371" s="1111"/>
      <c r="AE371" s="1111"/>
      <c r="AF371" s="1111"/>
      <c r="BE371" t="s">
        <v>108</v>
      </c>
    </row>
    <row r="372" spans="4:57" customFormat="1" ht="12.9" customHeight="1">
      <c r="E372" s="5" t="s">
        <v>591</v>
      </c>
      <c r="F372" s="5"/>
      <c r="G372" s="5"/>
      <c r="H372" s="5"/>
      <c r="I372" s="5"/>
      <c r="J372" s="5"/>
      <c r="K372" s="5"/>
      <c r="L372" s="5"/>
      <c r="N372" s="1111">
        <v>1</v>
      </c>
      <c r="O372" s="1111"/>
      <c r="P372" s="1111"/>
      <c r="Q372" s="1111"/>
      <c r="R372" s="5"/>
      <c r="U372" s="5" t="s">
        <v>592</v>
      </c>
      <c r="V372" s="5"/>
      <c r="W372" s="5"/>
      <c r="X372" s="5"/>
      <c r="Y372" s="5"/>
      <c r="Z372" s="5"/>
      <c r="AA372" s="5"/>
      <c r="AB372" s="5"/>
      <c r="AC372" s="1111">
        <v>101</v>
      </c>
      <c r="AD372" s="1111"/>
      <c r="AE372" s="1111"/>
      <c r="AF372" s="1111"/>
    </row>
    <row r="373" spans="4:57" customFormat="1" ht="12.9" customHeight="1">
      <c r="E373" s="5" t="s">
        <v>64</v>
      </c>
      <c r="F373" s="5"/>
      <c r="G373" s="5"/>
      <c r="H373" s="5"/>
      <c r="I373" s="5"/>
      <c r="J373" s="5"/>
      <c r="K373" s="5"/>
      <c r="L373" s="5"/>
      <c r="N373" s="1111">
        <v>3</v>
      </c>
      <c r="O373" s="1111"/>
      <c r="P373" s="1111"/>
      <c r="Q373" s="1111"/>
      <c r="R373" s="5"/>
      <c r="V373" s="5"/>
      <c r="W373" s="5"/>
      <c r="X373" s="5"/>
      <c r="Y373" s="5"/>
      <c r="Z373" s="5"/>
      <c r="AA373" s="5"/>
      <c r="AB373" s="5"/>
    </row>
    <row r="374" spans="4:57" customFormat="1" ht="12.9" customHeight="1">
      <c r="E374" s="5" t="s">
        <v>65</v>
      </c>
      <c r="F374" s="5"/>
      <c r="G374" s="5"/>
      <c r="H374" s="5"/>
      <c r="I374" s="5"/>
      <c r="J374" s="5"/>
      <c r="K374" s="5"/>
      <c r="L374" s="5"/>
      <c r="N374" s="1180" t="s">
        <v>2430</v>
      </c>
      <c r="O374" s="1180"/>
      <c r="P374" s="1180"/>
      <c r="Q374" s="1180"/>
      <c r="R374" s="1180"/>
      <c r="S374" s="1180"/>
      <c r="T374" s="1180"/>
      <c r="U374" s="1180"/>
      <c r="V374" s="1180"/>
      <c r="W374" s="1180"/>
      <c r="X374" s="1180"/>
      <c r="Y374" s="1180"/>
      <c r="Z374" s="1180"/>
      <c r="AA374" s="1180"/>
      <c r="AB374" s="1180"/>
      <c r="AC374" s="1180"/>
      <c r="AD374" s="1180"/>
      <c r="AE374" s="1180"/>
      <c r="AF374" s="1180"/>
    </row>
    <row r="375" spans="4:57" customFormat="1" ht="12.9" customHeight="1">
      <c r="E375" s="5"/>
      <c r="F375" s="5"/>
      <c r="G375" s="5"/>
      <c r="H375" s="5"/>
      <c r="I375" s="5"/>
      <c r="J375" s="5"/>
      <c r="K375" s="5"/>
      <c r="L375" s="5"/>
      <c r="N375" s="1181"/>
      <c r="O375" s="1181"/>
      <c r="P375" s="1181"/>
      <c r="Q375" s="1181"/>
      <c r="R375" s="1181"/>
      <c r="S375" s="1181"/>
      <c r="T375" s="1181"/>
      <c r="U375" s="1181"/>
      <c r="V375" s="1181"/>
      <c r="W375" s="1181"/>
      <c r="X375" s="1181"/>
      <c r="Y375" s="1181"/>
      <c r="Z375" s="1181"/>
      <c r="AA375" s="1181"/>
      <c r="AB375" s="1181"/>
      <c r="AC375" s="1181"/>
      <c r="AD375" s="1181"/>
      <c r="AE375" s="1181"/>
      <c r="AF375" s="1181"/>
    </row>
    <row r="376" spans="4:57" customFormat="1" ht="12.9" customHeight="1">
      <c r="E376" s="5"/>
      <c r="F376" s="5"/>
      <c r="G376" s="5"/>
      <c r="H376" s="5"/>
      <c r="I376" s="5"/>
      <c r="J376" s="5"/>
      <c r="K376" s="5"/>
      <c r="L376" s="5"/>
    </row>
    <row r="377" spans="4:57" customFormat="1" ht="12.9"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2094</v>
      </c>
      <c r="F378" s="358"/>
      <c r="G378" s="358"/>
      <c r="H378" s="358"/>
      <c r="I378" s="358"/>
      <c r="J378" s="358"/>
      <c r="K378" s="358"/>
      <c r="L378" s="358"/>
      <c r="M378" s="358"/>
      <c r="O378" s="358"/>
      <c r="P378" s="936" t="s">
        <v>2090</v>
      </c>
      <c r="Q378" s="358" t="s">
        <v>231</v>
      </c>
      <c r="R378" s="358"/>
      <c r="S378" s="1131"/>
      <c r="T378" s="1131"/>
      <c r="U378" s="367" t="s">
        <v>232</v>
      </c>
      <c r="V378" s="1131"/>
      <c r="W378" s="1131"/>
      <c r="X378" s="358"/>
      <c r="Z378" s="358"/>
      <c r="AA378" s="936" t="s">
        <v>2090</v>
      </c>
      <c r="AB378" s="358" t="s">
        <v>231</v>
      </c>
      <c r="AC378" s="358"/>
      <c r="AD378" s="1131"/>
      <c r="AE378" s="1131"/>
      <c r="AF378" s="367" t="s">
        <v>232</v>
      </c>
      <c r="AG378" s="1131"/>
      <c r="AH378" s="1131"/>
    </row>
    <row r="379" spans="4:57" customFormat="1" ht="12.9" customHeight="1">
      <c r="D379" s="358"/>
      <c r="E379" s="358" t="s">
        <v>1234</v>
      </c>
      <c r="F379" s="358"/>
      <c r="G379" s="358"/>
      <c r="H379" s="358"/>
      <c r="I379" s="358"/>
      <c r="J379" s="358"/>
      <c r="K379" s="358"/>
      <c r="L379" s="358"/>
      <c r="M379" s="358"/>
      <c r="N379" s="1131"/>
      <c r="O379" s="1131"/>
      <c r="P379" s="113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2" t="s">
        <v>124</v>
      </c>
      <c r="AH380" s="1112"/>
    </row>
    <row r="381" spans="4:57" customFormat="1" ht="12.9"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2" t="s">
        <v>124</v>
      </c>
      <c r="AH381" s="1112"/>
    </row>
    <row r="382" spans="4:57" customFormat="1" ht="12.9" customHeight="1">
      <c r="D382" s="358"/>
      <c r="E382" s="358"/>
      <c r="F382" s="358"/>
      <c r="G382" s="502" t="s">
        <v>1284</v>
      </c>
      <c r="H382" s="358"/>
      <c r="I382" s="358"/>
      <c r="J382" s="358"/>
      <c r="K382" s="358"/>
      <c r="L382" s="358"/>
      <c r="M382" s="358"/>
      <c r="N382" s="358"/>
      <c r="O382" s="358"/>
      <c r="P382" s="358"/>
      <c r="Q382" s="358"/>
      <c r="R382" s="358"/>
      <c r="S382" s="358"/>
      <c r="T382" s="358"/>
      <c r="U382" s="358"/>
      <c r="V382" s="1112" t="s">
        <v>124</v>
      </c>
      <c r="W382" s="1112"/>
      <c r="X382" s="358"/>
      <c r="Y382" s="448" t="s">
        <v>1235</v>
      </c>
      <c r="Z382" s="358"/>
      <c r="AA382" s="358"/>
      <c r="AB382" s="358"/>
      <c r="AC382" s="358"/>
      <c r="AD382" s="358"/>
      <c r="AE382" s="358"/>
      <c r="AF382" s="358"/>
      <c r="AG382" s="358"/>
      <c r="AH382" s="358"/>
    </row>
    <row r="383" spans="4:57" customFormat="1" ht="12.9" customHeight="1">
      <c r="D383" s="358"/>
      <c r="E383" s="358" t="s">
        <v>1236</v>
      </c>
      <c r="F383" s="358"/>
      <c r="G383" s="358"/>
      <c r="H383" s="358"/>
      <c r="I383" s="358"/>
      <c r="J383" s="358"/>
      <c r="K383" s="358"/>
      <c r="L383" s="358"/>
      <c r="M383" s="358"/>
      <c r="N383" s="358"/>
      <c r="O383" s="358"/>
      <c r="P383" s="358"/>
      <c r="Q383" s="358"/>
      <c r="R383" s="358"/>
      <c r="S383" s="358"/>
      <c r="T383" s="358"/>
      <c r="U383" s="358"/>
      <c r="V383" s="1112" t="s">
        <v>124</v>
      </c>
      <c r="W383" s="1112"/>
      <c r="X383" s="358"/>
      <c r="Y383" s="358" t="s">
        <v>1237</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069" t="s">
        <v>2431</v>
      </c>
      <c r="K386" s="1069"/>
      <c r="L386" s="1069"/>
      <c r="M386" s="1069"/>
      <c r="N386" s="1069"/>
      <c r="O386" s="1069"/>
      <c r="P386" s="1069"/>
      <c r="Q386" s="1069"/>
      <c r="R386" s="1069"/>
      <c r="S386" s="1069"/>
      <c r="T386" s="1069"/>
      <c r="U386" s="1069"/>
      <c r="V386" s="12" t="s">
        <v>709</v>
      </c>
      <c r="W386" s="12"/>
      <c r="X386" s="12"/>
      <c r="Y386" s="12"/>
      <c r="Z386" s="12"/>
      <c r="AA386" s="12"/>
      <c r="AB386" s="12"/>
      <c r="AC386" s="1069" t="s">
        <v>2434</v>
      </c>
      <c r="AD386" s="1069"/>
      <c r="AE386" s="1069"/>
      <c r="AF386" s="1069"/>
      <c r="AG386" s="1069"/>
      <c r="AH386" s="1069"/>
      <c r="AI386" s="1069"/>
      <c r="AJ386" s="1069"/>
    </row>
    <row r="387" spans="1:36" ht="12.9" customHeight="1">
      <c r="C387"/>
      <c r="D387" s="41" t="s">
        <v>1951</v>
      </c>
      <c r="J387" s="1067" t="s">
        <v>2432</v>
      </c>
      <c r="K387" s="1067"/>
      <c r="L387" s="1067"/>
      <c r="M387" s="1067"/>
      <c r="N387" s="1067"/>
      <c r="O387" s="1067"/>
      <c r="P387" s="1067"/>
      <c r="Q387" s="1067"/>
      <c r="R387" s="1067"/>
      <c r="S387" s="1067"/>
      <c r="T387" s="1067"/>
      <c r="U387" s="1067"/>
      <c r="V387" s="41" t="s">
        <v>1951</v>
      </c>
      <c r="W387" s="12"/>
      <c r="X387" s="12"/>
      <c r="Y387" s="12"/>
      <c r="Z387" s="12"/>
      <c r="AA387" s="12"/>
      <c r="AB387" s="12"/>
      <c r="AC387" s="1069" t="s">
        <v>2434</v>
      </c>
      <c r="AD387" s="1069"/>
      <c r="AE387" s="1069"/>
      <c r="AF387" s="1069"/>
      <c r="AG387" s="1069"/>
      <c r="AH387" s="1069"/>
      <c r="AI387" s="1069"/>
      <c r="AJ387" s="1069"/>
    </row>
    <row r="388" spans="1:36" ht="12.9" customHeight="1">
      <c r="C388"/>
      <c r="D388" s="41" t="s">
        <v>544</v>
      </c>
      <c r="J388" s="1067" t="s">
        <v>2433</v>
      </c>
      <c r="K388" s="1067"/>
      <c r="L388" s="1067"/>
      <c r="M388" s="1067"/>
      <c r="N388" s="1067"/>
      <c r="O388" s="1067"/>
      <c r="P388" s="1067"/>
      <c r="Q388" s="1067"/>
      <c r="R388" s="1067"/>
      <c r="S388" s="1067"/>
      <c r="T388" s="1067"/>
      <c r="U388" s="1067"/>
      <c r="V388" s="41" t="s">
        <v>544</v>
      </c>
      <c r="W388" s="12"/>
      <c r="X388" s="12"/>
      <c r="Y388" s="12"/>
      <c r="Z388" s="12"/>
      <c r="AA388" s="12"/>
      <c r="AB388" s="12"/>
      <c r="AC388" s="1069" t="s">
        <v>2433</v>
      </c>
      <c r="AD388" s="1069"/>
      <c r="AE388" s="1069"/>
      <c r="AF388" s="1069"/>
      <c r="AG388" s="1069"/>
      <c r="AH388" s="1069"/>
      <c r="AI388" s="1069"/>
      <c r="AJ388" s="1069"/>
    </row>
    <row r="389" spans="1:36" ht="12.9" customHeight="1">
      <c r="C389"/>
      <c r="D389" t="s">
        <v>1952</v>
      </c>
      <c r="J389" s="1140" t="s">
        <v>2435</v>
      </c>
      <c r="K389" s="1140"/>
      <c r="L389" s="1140"/>
      <c r="M389" s="1140"/>
      <c r="N389" s="1140"/>
      <c r="O389" s="1140"/>
      <c r="P389" s="1140"/>
      <c r="Q389" s="1140"/>
      <c r="R389" s="1140"/>
      <c r="S389" s="1140"/>
      <c r="T389" s="1140"/>
      <c r="U389" s="1140"/>
      <c r="V389" s="1069"/>
      <c r="W389" s="1069"/>
      <c r="X389" s="1069"/>
      <c r="Y389" s="1069"/>
      <c r="Z389" s="1069"/>
      <c r="AA389" s="1069"/>
      <c r="AB389" s="1069"/>
      <c r="AC389" s="1069"/>
      <c r="AD389" s="1069"/>
      <c r="AE389" s="1069"/>
      <c r="AF389" s="1069"/>
      <c r="AG389" s="1069"/>
      <c r="AH389" s="1069"/>
      <c r="AI389" s="1069"/>
      <c r="AJ389" s="1069"/>
    </row>
    <row r="390" spans="1:36" ht="12.9" customHeight="1">
      <c r="C390"/>
      <c r="D390" t="s">
        <v>553</v>
      </c>
      <c r="Q390" s="1148">
        <v>45303</v>
      </c>
      <c r="R390" s="1148"/>
      <c r="S390" s="1148"/>
      <c r="T390" s="1148"/>
      <c r="U390" s="1148"/>
      <c r="V390" t="s">
        <v>168</v>
      </c>
      <c r="AI390" s="1130" t="s">
        <v>482</v>
      </c>
      <c r="AJ390" s="1130"/>
    </row>
    <row r="391" spans="1:36" ht="12.9" customHeight="1">
      <c r="C391"/>
      <c r="D391" t="s">
        <v>554</v>
      </c>
      <c r="Q391" s="1284" t="s">
        <v>2527</v>
      </c>
      <c r="R391" s="1359"/>
      <c r="S391" s="1359"/>
      <c r="T391" s="1359"/>
      <c r="U391" s="1359"/>
      <c r="W391" s="29" t="s">
        <v>20</v>
      </c>
      <c r="AG391" s="1151" t="s">
        <v>124</v>
      </c>
      <c r="AH391" s="1151"/>
      <c r="AI391" s="1151"/>
      <c r="AJ391" s="1151"/>
    </row>
    <row r="392" spans="1:36" ht="12.9" customHeight="1">
      <c r="C392"/>
      <c r="D392" t="s">
        <v>274</v>
      </c>
      <c r="Q392" s="1153">
        <v>5900000</v>
      </c>
      <c r="R392" s="1153"/>
      <c r="S392" s="1153"/>
      <c r="T392" s="1153"/>
      <c r="U392" s="1153"/>
      <c r="V392" s="41" t="s">
        <v>1953</v>
      </c>
      <c r="AG392" s="1326">
        <v>46006</v>
      </c>
      <c r="AH392" s="1326"/>
      <c r="AI392" s="1326"/>
      <c r="AJ392" s="1326"/>
    </row>
    <row r="393" spans="1:36" ht="12.9" customHeight="1">
      <c r="C393"/>
      <c r="D393" t="s">
        <v>375</v>
      </c>
      <c r="I393" s="1177" t="s">
        <v>2437</v>
      </c>
      <c r="J393" s="1177"/>
      <c r="K393" s="1177"/>
      <c r="L393" s="1177"/>
      <c r="M393" s="1177"/>
      <c r="N393" s="1177"/>
      <c r="Q393" s="41" t="s">
        <v>817</v>
      </c>
      <c r="S393" s="1178"/>
      <c r="T393" s="1178"/>
      <c r="U393" s="1178"/>
      <c r="V393" t="s">
        <v>19</v>
      </c>
      <c r="AI393" s="1130" t="s">
        <v>482</v>
      </c>
      <c r="AJ393" s="1130"/>
    </row>
    <row r="394" spans="1:36" ht="12.9" customHeight="1">
      <c r="C394"/>
      <c r="D394" t="s">
        <v>169</v>
      </c>
      <c r="Q394" s="1204" t="s">
        <v>124</v>
      </c>
      <c r="R394" s="1204"/>
      <c r="S394" s="1204"/>
      <c r="T394" s="1204"/>
      <c r="U394" s="1204"/>
      <c r="V394" t="s">
        <v>170</v>
      </c>
      <c r="AG394" s="1151" t="s">
        <v>2436</v>
      </c>
      <c r="AH394" s="1151"/>
      <c r="AI394" s="1151"/>
      <c r="AJ394" s="1151"/>
    </row>
    <row r="395" spans="1:36" ht="12.9" customHeight="1">
      <c r="C395"/>
      <c r="D395" t="s">
        <v>25</v>
      </c>
      <c r="Q395" s="1492" t="s">
        <v>124</v>
      </c>
      <c r="R395" s="1492"/>
      <c r="S395" s="1492"/>
      <c r="T395" s="1492"/>
      <c r="U395" s="1492"/>
      <c r="V395" t="s">
        <v>1675</v>
      </c>
      <c r="AG395" s="1151">
        <v>0</v>
      </c>
      <c r="AH395" s="1151"/>
      <c r="AI395" s="1151"/>
      <c r="AJ395" s="1151"/>
    </row>
    <row r="396" spans="1:36" ht="12.9" customHeight="1">
      <c r="C396"/>
      <c r="D396" t="s">
        <v>1954</v>
      </c>
      <c r="AG396" s="1151">
        <v>0</v>
      </c>
      <c r="AH396" s="1151"/>
      <c r="AI396" s="1151"/>
      <c r="AJ396" s="1151"/>
    </row>
    <row r="397" spans="1:36" ht="12.9" customHeight="1">
      <c r="C397"/>
      <c r="AG397" s="829"/>
      <c r="AH397" s="829"/>
      <c r="AI397" s="829"/>
      <c r="AJ397" s="829"/>
    </row>
    <row r="398" spans="1:36" ht="12.9" customHeight="1">
      <c r="C398"/>
      <c r="D398" s="41" t="s">
        <v>2190</v>
      </c>
      <c r="AG398" s="829"/>
      <c r="AH398" s="829"/>
      <c r="AI398" s="1130" t="s">
        <v>482</v>
      </c>
      <c r="AJ398" s="1130"/>
    </row>
    <row r="399" spans="1:36" ht="12.9" customHeight="1">
      <c r="C399"/>
      <c r="D399" s="41" t="s">
        <v>1955</v>
      </c>
      <c r="T399" s="1133" t="s">
        <v>2436</v>
      </c>
      <c r="U399" s="1133"/>
      <c r="V399" s="1133"/>
      <c r="W399" s="1133"/>
      <c r="X399" s="1133"/>
      <c r="Y399" s="1133"/>
      <c r="Z399" s="1133"/>
      <c r="AA399" s="1133"/>
      <c r="AB399" s="1133"/>
      <c r="AC399" s="1133"/>
      <c r="AD399" s="1133"/>
      <c r="AE399" s="1133"/>
      <c r="AF399" s="1133"/>
      <c r="AG399" s="1133"/>
      <c r="AH399" s="1133"/>
      <c r="AI399" s="1133"/>
      <c r="AJ399" s="1133"/>
    </row>
    <row r="400" spans="1:36" ht="12.9" customHeight="1">
      <c r="C400"/>
      <c r="D400" s="41" t="s">
        <v>1956</v>
      </c>
      <c r="T400" s="1133" t="s">
        <v>2436</v>
      </c>
      <c r="U400" s="1133"/>
      <c r="V400" s="1133"/>
      <c r="W400" s="1133"/>
      <c r="X400" s="1133"/>
      <c r="Y400" s="1133"/>
      <c r="Z400" s="1133"/>
      <c r="AA400" s="1133"/>
      <c r="AB400" s="1133"/>
      <c r="AC400" s="1133"/>
      <c r="AD400" s="1133"/>
      <c r="AE400" s="1133"/>
      <c r="AF400" s="1133"/>
      <c r="AG400" s="1133"/>
      <c r="AH400" s="1133"/>
      <c r="AI400" s="1133"/>
      <c r="AJ400" s="1133"/>
    </row>
    <row r="401" spans="1:36" ht="12.9" customHeight="1">
      <c r="C401"/>
      <c r="AG401" s="829"/>
      <c r="AH401" s="829"/>
      <c r="AI401" s="829"/>
      <c r="AJ401" s="829"/>
    </row>
    <row r="402" spans="1:36" ht="12.9" customHeight="1">
      <c r="C402"/>
      <c r="D402" s="41" t="s">
        <v>1957</v>
      </c>
      <c r="S402" s="1133" t="s">
        <v>482</v>
      </c>
      <c r="T402" s="1133"/>
      <c r="U402" s="1133"/>
      <c r="V402" t="s">
        <v>1958</v>
      </c>
      <c r="AG402" s="1147"/>
      <c r="AH402" s="1147"/>
      <c r="AI402" s="1147"/>
      <c r="AJ402" s="1147"/>
    </row>
    <row r="403" spans="1:36" ht="12.9" customHeight="1">
      <c r="C403"/>
      <c r="D403" s="41" t="s">
        <v>1959</v>
      </c>
      <c r="S403" s="1133" t="s">
        <v>124</v>
      </c>
      <c r="T403" s="1133"/>
      <c r="U403" s="1133"/>
      <c r="V403" t="s">
        <v>1960</v>
      </c>
      <c r="AE403" s="1493"/>
      <c r="AF403" s="1493"/>
      <c r="AG403" s="1493"/>
      <c r="AH403" s="1493"/>
      <c r="AI403" s="1493"/>
      <c r="AJ403" s="1493"/>
    </row>
    <row r="404" spans="1:36" ht="12.9" customHeight="1">
      <c r="C404"/>
      <c r="D404" s="41" t="s">
        <v>1961</v>
      </c>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1146"/>
      <c r="AF404" s="1146"/>
      <c r="AG404" s="1146"/>
      <c r="AH404" s="1146"/>
      <c r="AI404" s="1146"/>
      <c r="AJ404" s="1146"/>
    </row>
    <row r="405" spans="1:36" ht="12.9" customHeight="1">
      <c r="C405"/>
      <c r="D405" s="41" t="s">
        <v>1962</v>
      </c>
      <c r="K405" s="1146"/>
      <c r="L405" s="1146"/>
      <c r="M405" s="1146"/>
      <c r="N405" s="1146"/>
      <c r="O405" s="1146"/>
      <c r="P405" s="1146"/>
      <c r="Q405" s="1146"/>
      <c r="R405" s="1146"/>
      <c r="S405" s="1146"/>
      <c r="T405" s="1146"/>
      <c r="U405" s="1146"/>
      <c r="V405" s="1146"/>
      <c r="W405" s="1146"/>
      <c r="X405" s="1146"/>
      <c r="Y405" s="1146"/>
      <c r="Z405" s="1146"/>
      <c r="AA405" s="1146"/>
      <c r="AB405" s="1146"/>
      <c r="AC405" s="1146"/>
      <c r="AD405" s="1146"/>
      <c r="AE405" s="1146"/>
      <c r="AF405" s="1146"/>
      <c r="AG405" s="1146"/>
      <c r="AH405" s="1146"/>
      <c r="AI405" s="1146"/>
      <c r="AJ405" s="1146"/>
    </row>
    <row r="406" spans="1:36" ht="12.9" customHeight="1">
      <c r="C406"/>
      <c r="D406" s="41" t="s">
        <v>1963</v>
      </c>
      <c r="E406" s="810"/>
      <c r="F406" s="810"/>
      <c r="G406" s="810"/>
      <c r="H406" s="810"/>
      <c r="I406" s="810"/>
      <c r="J406" s="810"/>
      <c r="K406" s="810"/>
      <c r="L406" s="810"/>
      <c r="M406" s="810"/>
      <c r="N406" s="810"/>
      <c r="O406" s="810"/>
      <c r="P406" s="810"/>
      <c r="Q406" s="810"/>
      <c r="R406" s="810"/>
      <c r="S406" s="1149" t="s">
        <v>1964</v>
      </c>
      <c r="T406" s="1149"/>
      <c r="U406" s="1149"/>
      <c r="V406" s="1149"/>
      <c r="W406" s="1149"/>
      <c r="X406" s="1149"/>
      <c r="Y406" s="1149"/>
      <c r="Z406" s="1149"/>
      <c r="AA406" s="1149"/>
      <c r="AB406" s="1149"/>
      <c r="AC406" s="1149"/>
      <c r="AD406" s="1149"/>
      <c r="AE406" s="1149"/>
      <c r="AF406" s="1149"/>
      <c r="AG406" s="1149"/>
      <c r="AH406" s="1149"/>
      <c r="AI406" s="1149"/>
      <c r="AJ406" s="1149"/>
    </row>
    <row r="407" spans="1:36" ht="12.9" customHeight="1">
      <c r="C407"/>
      <c r="D407" s="987" t="s">
        <v>1965</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 customHeight="1">
      <c r="C409"/>
      <c r="AG409" s="829"/>
      <c r="AH409" s="829"/>
      <c r="AI409" s="829"/>
      <c r="AJ409" s="829"/>
    </row>
    <row r="410" spans="1:36" ht="12.9" customHeight="1">
      <c r="A410" s="3" t="s">
        <v>122</v>
      </c>
      <c r="B410" s="3"/>
      <c r="C410" s="3" t="s">
        <v>898</v>
      </c>
    </row>
    <row r="411" spans="1:36" ht="12.9" customHeight="1">
      <c r="C411"/>
      <c r="D411" s="3" t="s">
        <v>1726</v>
      </c>
      <c r="I411" s="1341" t="s">
        <v>2438</v>
      </c>
      <c r="J411" s="1341"/>
      <c r="K411" s="1341"/>
      <c r="L411" s="1341"/>
      <c r="M411" s="1341"/>
      <c r="N411" s="1341"/>
      <c r="O411" s="1341"/>
      <c r="P411" s="1341"/>
      <c r="Q411" s="1341"/>
      <c r="R411" s="1341"/>
      <c r="S411" s="1341"/>
      <c r="T411" s="1341"/>
      <c r="U411" s="1341"/>
      <c r="V411" s="1341"/>
      <c r="W411" s="1341"/>
      <c r="X411" s="1341"/>
      <c r="Y411" s="1341"/>
      <c r="Z411" s="1341"/>
      <c r="AA411" s="1341"/>
      <c r="AB411" s="1341"/>
      <c r="AC411" s="1341"/>
      <c r="AD411" s="1341"/>
    </row>
    <row r="412" spans="1:36" ht="12.9" customHeight="1">
      <c r="C412"/>
      <c r="E412" t="s">
        <v>854</v>
      </c>
      <c r="R412" s="1130" t="s">
        <v>108</v>
      </c>
      <c r="S412" s="1130"/>
      <c r="T412" t="s">
        <v>291</v>
      </c>
      <c r="AD412" s="1111">
        <v>3</v>
      </c>
      <c r="AE412" s="1111"/>
    </row>
    <row r="413" spans="1:36" ht="12.9" customHeight="1">
      <c r="C413"/>
      <c r="E413" t="s">
        <v>855</v>
      </c>
      <c r="R413" s="1130" t="s">
        <v>124</v>
      </c>
      <c r="S413" s="1130"/>
      <c r="T413" t="s">
        <v>291</v>
      </c>
      <c r="AD413" s="1111">
        <v>0</v>
      </c>
      <c r="AE413" s="1111"/>
    </row>
    <row r="414" spans="1:36" ht="12.9" customHeight="1">
      <c r="C414"/>
      <c r="E414" t="s">
        <v>856</v>
      </c>
      <c r="S414" s="1130" t="s">
        <v>124</v>
      </c>
      <c r="T414" s="1130"/>
    </row>
    <row r="415" spans="1:36" ht="12.9" customHeight="1">
      <c r="C415"/>
      <c r="E415" t="s">
        <v>283</v>
      </c>
      <c r="H415" s="1580" t="s">
        <v>2439</v>
      </c>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580"/>
      <c r="AG415" s="1580"/>
      <c r="AH415" s="1580"/>
      <c r="AI415" s="1580"/>
      <c r="AJ415" s="1580"/>
    </row>
    <row r="416" spans="1:36" ht="12.9" customHeight="1">
      <c r="C416"/>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1581"/>
      <c r="AG416" s="1581"/>
      <c r="AH416" s="1581"/>
      <c r="AI416" s="1581"/>
      <c r="AJ416" s="1581"/>
    </row>
    <row r="417" spans="1:36" ht="12.9" customHeight="1">
      <c r="C417"/>
    </row>
    <row r="418" spans="1:36" ht="12.9" customHeight="1">
      <c r="A418" s="3" t="s">
        <v>123</v>
      </c>
      <c r="B418" s="3"/>
      <c r="C418" s="3"/>
      <c r="D418" s="3" t="s">
        <v>901</v>
      </c>
      <c r="AE418" s="5"/>
      <c r="AF418" s="3" t="s">
        <v>1213</v>
      </c>
    </row>
    <row r="419" spans="1:36" ht="12.9" customHeight="1">
      <c r="C419"/>
      <c r="E419" s="1494"/>
      <c r="F419" s="1494"/>
      <c r="G419" s="1494"/>
      <c r="H419" s="18" t="s">
        <v>902</v>
      </c>
      <c r="I419" s="1494"/>
      <c r="J419" s="1494"/>
      <c r="K419" s="1494"/>
      <c r="L419" t="s">
        <v>903</v>
      </c>
      <c r="N419" s="34" t="s">
        <v>850</v>
      </c>
      <c r="P419" s="1498">
        <v>4.3620523420000001</v>
      </c>
      <c r="Q419" s="1498"/>
      <c r="R419" s="1498"/>
      <c r="S419" t="s">
        <v>904</v>
      </c>
      <c r="W419" s="1499">
        <f>IF(E419&gt;0,(E419*I419),(P419*43560))</f>
        <v>190011.00001752001</v>
      </c>
      <c r="X419" s="1499"/>
      <c r="Y419" s="1499"/>
      <c r="Z419" t="s">
        <v>905</v>
      </c>
      <c r="AF419" s="1478" cm="1">
        <f t="array" ref="AF419">_xlfn.IFS(P419&gt;0,(AG438/P419),W419&gt;0,(AG438/(W419/43560)),TRUE,0)</f>
        <v>23.154238436692285</v>
      </c>
      <c r="AG419" s="1478"/>
      <c r="AH419" s="1478"/>
    </row>
    <row r="420" spans="1:36" ht="12.9" customHeight="1">
      <c r="C420"/>
      <c r="E420" t="s">
        <v>203</v>
      </c>
    </row>
    <row r="421" spans="1:36" ht="12.9" customHeight="1">
      <c r="C421"/>
      <c r="E421" s="1468"/>
      <c r="F421" s="1468"/>
      <c r="G421" s="1468"/>
      <c r="H421" s="1468"/>
      <c r="I421" s="1468"/>
      <c r="J421" s="1468"/>
      <c r="K421" s="1468"/>
      <c r="L421" s="1468"/>
      <c r="M421" s="1468"/>
      <c r="N421" s="1468"/>
      <c r="O421" s="1468"/>
      <c r="P421" s="1468"/>
      <c r="Q421" s="1468"/>
      <c r="R421" s="1468"/>
      <c r="S421" s="1468"/>
      <c r="T421" s="1468"/>
      <c r="U421" s="1468"/>
      <c r="V421" s="1468"/>
      <c r="W421" s="1468"/>
      <c r="X421" s="1468"/>
      <c r="Y421" s="1468"/>
      <c r="Z421" s="1468"/>
      <c r="AA421" s="1468"/>
      <c r="AB421" s="1468"/>
      <c r="AC421" s="1468"/>
      <c r="AD421" s="1468"/>
      <c r="AE421" s="1468"/>
      <c r="AF421" s="1468"/>
      <c r="AG421" s="1468"/>
      <c r="AH421" s="1468"/>
      <c r="AI421" s="1468"/>
      <c r="AJ421" s="1468"/>
    </row>
    <row r="422" spans="1:36" ht="12.9" customHeight="1">
      <c r="C422"/>
      <c r="E422" s="268" t="s">
        <v>1966</v>
      </c>
      <c r="F422" s="29"/>
      <c r="G422" s="29"/>
      <c r="H422" s="29"/>
      <c r="I422" s="1464">
        <v>4.3620000000000001</v>
      </c>
      <c r="J422" s="1464"/>
      <c r="K422" s="1464"/>
      <c r="L422" s="29"/>
      <c r="M422" s="268"/>
      <c r="N422" s="29"/>
      <c r="O422" s="29"/>
      <c r="P422" s="1510">
        <f>(CQ636+CS641+CQ655)/I422</f>
        <v>23.154516276937184</v>
      </c>
      <c r="Q422" s="1510"/>
      <c r="R422" s="1510"/>
      <c r="S422" s="268" t="s">
        <v>1967</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907</v>
      </c>
    </row>
    <row r="425" spans="1:36" ht="12.9" customHeight="1">
      <c r="C425"/>
      <c r="E425" t="s">
        <v>451</v>
      </c>
      <c r="P425" s="1130">
        <v>1</v>
      </c>
      <c r="Q425" s="1130"/>
      <c r="S425" t="s">
        <v>134</v>
      </c>
      <c r="AE425" s="1130">
        <v>1</v>
      </c>
      <c r="AF425" s="1130"/>
    </row>
    <row r="426" spans="1:36" ht="12.9" customHeight="1">
      <c r="C426"/>
      <c r="E426" t="s">
        <v>135</v>
      </c>
      <c r="P426" s="1130">
        <v>0</v>
      </c>
      <c r="Q426" s="1130"/>
      <c r="S426" t="s">
        <v>725</v>
      </c>
      <c r="AE426" s="1130" t="s">
        <v>124</v>
      </c>
      <c r="AF426" s="1130"/>
    </row>
    <row r="427" spans="1:36" ht="12.9" customHeight="1">
      <c r="C427"/>
      <c r="F427" s="36" t="s">
        <v>221</v>
      </c>
    </row>
    <row r="428" spans="1:36" ht="12.9" customHeight="1">
      <c r="C428"/>
      <c r="F428" s="1338" t="s">
        <v>2440</v>
      </c>
      <c r="G428" s="1338"/>
      <c r="H428" s="1338"/>
      <c r="I428" s="1338"/>
      <c r="J428" s="1338"/>
      <c r="K428" s="1338"/>
      <c r="L428" s="1338"/>
      <c r="M428" s="1338"/>
      <c r="N428" s="1338"/>
      <c r="O428" s="1338"/>
      <c r="P428" s="1338"/>
      <c r="Q428" s="1338"/>
      <c r="R428" s="1338"/>
      <c r="S428" s="1338"/>
      <c r="T428" s="1338"/>
      <c r="U428" s="1338"/>
      <c r="V428" s="1338"/>
      <c r="W428" s="1338"/>
      <c r="X428" s="1338"/>
      <c r="Y428" s="1338"/>
      <c r="Z428" s="1338"/>
      <c r="AA428" s="1338"/>
      <c r="AB428" s="1338"/>
      <c r="AC428" s="1338"/>
      <c r="AD428" s="1338"/>
      <c r="AE428" s="1338"/>
      <c r="AF428" s="1338"/>
      <c r="AG428" s="1338"/>
      <c r="AH428" s="1338"/>
    </row>
    <row r="429" spans="1:36" ht="12.9" customHeight="1">
      <c r="C429"/>
      <c r="F429" s="1339"/>
      <c r="G429" s="1339"/>
      <c r="H429" s="1339"/>
      <c r="I429" s="1339"/>
      <c r="J429" s="1339"/>
      <c r="K429" s="1339"/>
      <c r="L429" s="1339"/>
      <c r="M429" s="1339"/>
      <c r="N429" s="1339"/>
      <c r="O429" s="1339"/>
      <c r="P429" s="1339"/>
      <c r="Q429" s="1339"/>
      <c r="R429" s="1339"/>
      <c r="S429" s="1339"/>
      <c r="T429" s="1339"/>
      <c r="U429" s="1339"/>
      <c r="V429" s="1339"/>
      <c r="W429" s="1339"/>
      <c r="X429" s="1339"/>
      <c r="Y429" s="1339"/>
      <c r="Z429" s="1339"/>
      <c r="AA429" s="1339"/>
      <c r="AB429" s="1339"/>
      <c r="AC429" s="1339"/>
      <c r="AD429" s="1339"/>
      <c r="AE429" s="1339"/>
      <c r="AF429" s="1339"/>
      <c r="AG429" s="1339"/>
      <c r="AH429" s="1339"/>
    </row>
    <row r="430" spans="1:36" ht="12.9" customHeight="1">
      <c r="C430"/>
      <c r="E430" t="s">
        <v>857</v>
      </c>
      <c r="P430" s="1"/>
      <c r="Q430" s="1130" t="s">
        <v>108</v>
      </c>
      <c r="R430" s="1130"/>
      <c r="AE430" s="1"/>
      <c r="AF430" s="1"/>
    </row>
    <row r="431" spans="1:36" ht="12.9" customHeight="1">
      <c r="C431"/>
      <c r="F431" t="s">
        <v>858</v>
      </c>
      <c r="P431" s="1"/>
      <c r="Q431" s="1"/>
      <c r="AE431" s="1130" t="s">
        <v>124</v>
      </c>
      <c r="AF431" s="1345"/>
    </row>
    <row r="432" spans="1:36" ht="12.9" customHeight="1">
      <c r="C432"/>
    </row>
    <row r="433" spans="1:36" ht="12.9" customHeight="1">
      <c r="A433" s="3"/>
      <c r="B433" s="3"/>
      <c r="C433" s="3"/>
      <c r="E433" s="5" t="s">
        <v>80</v>
      </c>
      <c r="Z433" s="1130" t="s">
        <v>482</v>
      </c>
      <c r="AA433" s="1130"/>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30" t="s">
        <v>124</v>
      </c>
      <c r="AA435" s="1130"/>
    </row>
    <row r="436" spans="1:36" ht="12.9" customHeight="1">
      <c r="C436"/>
    </row>
    <row r="437" spans="1:36" ht="12.9" customHeight="1">
      <c r="A437" s="3" t="s">
        <v>367</v>
      </c>
      <c r="B437" s="3"/>
      <c r="C437" s="3"/>
      <c r="D437" s="3" t="s">
        <v>172</v>
      </c>
      <c r="AF437" s="54"/>
    </row>
    <row r="438" spans="1:36" ht="12.9" customHeight="1">
      <c r="C438"/>
      <c r="D438" s="1214" t="s">
        <v>356</v>
      </c>
      <c r="E438" s="1215"/>
      <c r="F438" s="1215"/>
      <c r="G438" s="1215"/>
      <c r="H438" s="1215"/>
      <c r="I438" s="1215"/>
      <c r="J438" s="1215"/>
      <c r="K438" s="1215"/>
      <c r="L438" s="1215"/>
      <c r="M438" s="1215"/>
      <c r="N438" s="1215"/>
      <c r="O438" s="1215"/>
      <c r="P438" s="1215"/>
      <c r="Q438" s="1215"/>
      <c r="R438" s="1215"/>
      <c r="S438" s="1215"/>
      <c r="T438" s="1215"/>
      <c r="U438" s="1215"/>
      <c r="V438" s="1215"/>
      <c r="W438" s="1215"/>
      <c r="X438" s="1215"/>
      <c r="Y438" s="1215"/>
      <c r="Z438" s="1215"/>
      <c r="AA438" s="1215"/>
      <c r="AB438" s="1215"/>
      <c r="AC438" s="1215"/>
      <c r="AD438" s="1215"/>
      <c r="AE438" s="1215"/>
      <c r="AF438" s="1467"/>
      <c r="AG438" s="1497">
        <v>101</v>
      </c>
      <c r="AH438" s="1497"/>
      <c r="AI438" s="1497"/>
      <c r="AJ438" s="1497"/>
    </row>
    <row r="439" spans="1:36" ht="12.9" customHeight="1">
      <c r="C439"/>
      <c r="D439" s="1495" t="s">
        <v>2254</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511">
        <v>0</v>
      </c>
      <c r="AH439" s="1512"/>
      <c r="AI439" s="1512"/>
      <c r="AJ439" s="1512"/>
    </row>
    <row r="440" spans="1:36" ht="12.9" customHeight="1">
      <c r="C440"/>
      <c r="D440" s="1216" t="s">
        <v>1367</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97">
        <v>100</v>
      </c>
      <c r="AH440" s="1497"/>
      <c r="AI440" s="1497"/>
      <c r="AJ440" s="1497"/>
    </row>
    <row r="441" spans="1:36" ht="12.9" customHeight="1">
      <c r="C441"/>
      <c r="D441" s="1216" t="s">
        <v>1364</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97">
        <v>100</v>
      </c>
      <c r="AH441" s="1497"/>
      <c r="AI441" s="1497"/>
      <c r="AJ441" s="1497"/>
    </row>
    <row r="442" spans="1:36" ht="12.9" customHeight="1">
      <c r="C442"/>
      <c r="D442" s="1216" t="s">
        <v>1368</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179">
        <f>IF(ISERROR(AG441/AG440),"",AG441/AG440)</f>
        <v>1</v>
      </c>
      <c r="AH442" s="1179"/>
      <c r="AI442" s="1179"/>
      <c r="AJ442" s="1179"/>
    </row>
    <row r="443" spans="1:36" ht="12.9" customHeight="1">
      <c r="C443"/>
      <c r="D443" s="1216" t="s">
        <v>1366</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31">
        <f>54144+3456</f>
        <v>57600</v>
      </c>
      <c r="AH443" s="1431"/>
      <c r="AI443" s="1431"/>
      <c r="AJ443" s="1431"/>
    </row>
    <row r="444" spans="1:36" ht="12.9" customHeight="1">
      <c r="C444"/>
      <c r="D444" s="1216" t="s">
        <v>1365</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31">
        <f>+AG443</f>
        <v>57600</v>
      </c>
      <c r="AH444" s="1431"/>
      <c r="AI444" s="1431"/>
      <c r="AJ444" s="1431"/>
    </row>
    <row r="445" spans="1:36" ht="12.9" customHeight="1">
      <c r="C445"/>
      <c r="D445" s="1216" t="s">
        <v>1371</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179">
        <f>IF(ISERROR(AG444/AG443),"",AG444/AG443)</f>
        <v>1</v>
      </c>
      <c r="AH445" s="1179"/>
      <c r="AI445" s="1179"/>
      <c r="AJ445" s="1179"/>
    </row>
    <row r="446" spans="1:36" ht="12.9" customHeight="1">
      <c r="C446"/>
      <c r="D446" s="1216" t="s">
        <v>1369</v>
      </c>
      <c r="E446" s="1429"/>
      <c r="F446" s="1429"/>
      <c r="G446" s="1429"/>
      <c r="H446" s="1429"/>
      <c r="I446" s="1429"/>
      <c r="J446" s="1429"/>
      <c r="K446" s="1429"/>
      <c r="L446" s="1429"/>
      <c r="M446" s="1429"/>
      <c r="N446" s="1429"/>
      <c r="O446" s="1429"/>
      <c r="P446" s="1429"/>
      <c r="Q446" s="1429"/>
      <c r="R446" s="1429"/>
      <c r="S446" s="1429"/>
      <c r="T446" s="1429"/>
      <c r="U446" s="1429"/>
      <c r="V446" s="1429"/>
      <c r="W446" s="1429"/>
      <c r="X446" s="1429"/>
      <c r="Y446" s="1429"/>
      <c r="Z446" s="1429"/>
      <c r="AA446" s="1429"/>
      <c r="AB446" s="1429"/>
      <c r="AC446" s="1429"/>
      <c r="AD446" s="1429"/>
      <c r="AE446" s="1429"/>
      <c r="AF446" s="1430"/>
      <c r="AG446" s="1179">
        <f>MIN(IF(AG442&gt;AG445,AG445,AG442),1)</f>
        <v>1</v>
      </c>
      <c r="AH446" s="1179"/>
      <c r="AI446" s="1179"/>
      <c r="AJ446" s="1179"/>
    </row>
    <row r="447" spans="1:36" ht="12.9" customHeight="1">
      <c r="C447"/>
      <c r="D447" s="1495" t="s">
        <v>2096</v>
      </c>
      <c r="E447" s="1215"/>
      <c r="F447" s="1215"/>
      <c r="G447" s="1215"/>
      <c r="H447" s="1215"/>
      <c r="I447" s="1215"/>
      <c r="J447" s="1215"/>
      <c r="K447" s="1215"/>
      <c r="L447" s="1215"/>
      <c r="M447" s="1215"/>
      <c r="N447" s="1215"/>
      <c r="O447" s="1215"/>
      <c r="P447" s="1215"/>
      <c r="Q447" s="1215"/>
      <c r="R447" s="1215"/>
      <c r="S447" s="1215"/>
      <c r="T447" s="1215"/>
      <c r="U447" s="1215"/>
      <c r="V447" s="1215"/>
      <c r="W447" s="1215"/>
      <c r="X447" s="1215"/>
      <c r="Y447" s="1215"/>
      <c r="Z447" s="1215"/>
      <c r="AA447" s="1215"/>
      <c r="AB447" s="1215"/>
      <c r="AC447" s="1215"/>
      <c r="AD447" s="1215"/>
      <c r="AE447" s="1215"/>
      <c r="AF447" s="1467"/>
      <c r="AG447" s="1431">
        <f>8761+1285</f>
        <v>10046</v>
      </c>
      <c r="AH447" s="1431"/>
      <c r="AI447" s="1431"/>
      <c r="AJ447" s="1431"/>
    </row>
    <row r="448" spans="1:36" ht="12.9" customHeight="1">
      <c r="C448"/>
      <c r="D448" s="1216" t="s">
        <v>208</v>
      </c>
      <c r="E448" s="1429"/>
      <c r="F448" s="1429"/>
      <c r="G448" s="1429"/>
      <c r="H448" s="1429"/>
      <c r="I448" s="1429"/>
      <c r="J448" s="1429"/>
      <c r="K448" s="1429"/>
      <c r="L448" s="1429"/>
      <c r="M448" s="1429"/>
      <c r="N448" s="1429"/>
      <c r="O448" s="1429"/>
      <c r="P448" s="1429"/>
      <c r="Q448" s="1429"/>
      <c r="R448" s="1429"/>
      <c r="S448" s="1429"/>
      <c r="T448" s="1429"/>
      <c r="U448" s="1429"/>
      <c r="V448" s="1429"/>
      <c r="W448" s="1429"/>
      <c r="X448" s="1429"/>
      <c r="Y448" s="1429"/>
      <c r="Z448" s="1429"/>
      <c r="AA448" s="1429"/>
      <c r="AB448" s="1429"/>
      <c r="AC448" s="1429"/>
      <c r="AD448" s="1429"/>
      <c r="AE448" s="1429"/>
      <c r="AF448" s="1430"/>
      <c r="AG448" s="1431">
        <v>0</v>
      </c>
      <c r="AH448" s="1431"/>
      <c r="AI448" s="1431"/>
      <c r="AJ448" s="1431"/>
    </row>
    <row r="449" spans="1:36" ht="12.9" customHeight="1">
      <c r="C449"/>
      <c r="D449" s="1495" t="s">
        <v>1727</v>
      </c>
      <c r="E449" s="1429"/>
      <c r="F449" s="1429"/>
      <c r="G449" s="1429"/>
      <c r="H449" s="1429"/>
      <c r="I449" s="1429"/>
      <c r="J449" s="1429"/>
      <c r="K449" s="1429"/>
      <c r="L449" s="1429"/>
      <c r="M449" s="1429"/>
      <c r="N449" s="1429"/>
      <c r="O449" s="1429"/>
      <c r="P449" s="1429"/>
      <c r="Q449" s="1429"/>
      <c r="R449" s="1429"/>
      <c r="S449" s="1429"/>
      <c r="T449" s="1429"/>
      <c r="U449" s="1429"/>
      <c r="V449" s="1429"/>
      <c r="W449" s="1429"/>
      <c r="X449" s="1429"/>
      <c r="Y449" s="1429"/>
      <c r="Z449" s="1429"/>
      <c r="AA449" s="1429"/>
      <c r="AB449" s="1429"/>
      <c r="AC449" s="1429"/>
      <c r="AD449" s="1429"/>
      <c r="AE449" s="1429"/>
      <c r="AF449" s="1430"/>
      <c r="AG449" s="1431">
        <f>18732+864</f>
        <v>19596</v>
      </c>
      <c r="AH449" s="1431"/>
      <c r="AI449" s="1431"/>
      <c r="AJ449" s="1431"/>
    </row>
    <row r="450" spans="1:36" ht="12.9" customHeight="1">
      <c r="C450"/>
      <c r="D450" s="1216" t="s">
        <v>1370</v>
      </c>
      <c r="E450" s="1429"/>
      <c r="F450" s="1429"/>
      <c r="G450" s="1429"/>
      <c r="H450" s="1429"/>
      <c r="I450" s="1429"/>
      <c r="J450" s="1429"/>
      <c r="K450" s="1429"/>
      <c r="L450" s="1429"/>
      <c r="M450" s="1429"/>
      <c r="N450" s="1429"/>
      <c r="O450" s="1429"/>
      <c r="P450" s="1429"/>
      <c r="Q450" s="1429"/>
      <c r="R450" s="1429"/>
      <c r="S450" s="1429"/>
      <c r="T450" s="1429"/>
      <c r="U450" s="1429"/>
      <c r="V450" s="1429"/>
      <c r="W450" s="1429"/>
      <c r="X450" s="1429"/>
      <c r="Y450" s="1429"/>
      <c r="Z450" s="1429"/>
      <c r="AA450" s="1429"/>
      <c r="AB450" s="1429"/>
      <c r="AC450" s="1429"/>
      <c r="AD450" s="1429"/>
      <c r="AE450" s="1429"/>
      <c r="AF450" s="1430"/>
      <c r="AG450" s="1431">
        <v>0</v>
      </c>
      <c r="AH450" s="1431"/>
      <c r="AI450" s="1431"/>
      <c r="AJ450" s="1431"/>
    </row>
    <row r="451" spans="1:36" ht="12.9" customHeight="1">
      <c r="C451"/>
      <c r="D451" s="1216" t="s">
        <v>1372</v>
      </c>
      <c r="E451" s="1429"/>
      <c r="F451" s="1429"/>
      <c r="G451" s="1429"/>
      <c r="H451" s="1429"/>
      <c r="I451" s="1429"/>
      <c r="J451" s="1429"/>
      <c r="K451" s="1429"/>
      <c r="L451" s="1429"/>
      <c r="M451" s="1429"/>
      <c r="N451" s="1429"/>
      <c r="O451" s="1429"/>
      <c r="P451" s="1429"/>
      <c r="Q451" s="1429"/>
      <c r="R451" s="1429"/>
      <c r="S451" s="1429"/>
      <c r="T451" s="1429"/>
      <c r="U451" s="1429"/>
      <c r="V451" s="1429"/>
      <c r="W451" s="1429"/>
      <c r="X451" s="1429"/>
      <c r="Y451" s="1429"/>
      <c r="Z451" s="1429"/>
      <c r="AA451" s="1429"/>
      <c r="AB451" s="1429"/>
      <c r="AC451" s="1429"/>
      <c r="AD451" s="1429"/>
      <c r="AE451" s="1429"/>
      <c r="AF451" s="1430"/>
      <c r="AG451" s="1463">
        <f>AG443+AG447+AG449+AG450</f>
        <v>87242</v>
      </c>
      <c r="AH451" s="1463"/>
      <c r="AI451" s="1463"/>
      <c r="AJ451" s="1463"/>
    </row>
    <row r="452" spans="1:36" ht="12.9" customHeight="1">
      <c r="C452"/>
      <c r="D452" s="1465" t="s">
        <v>1728</v>
      </c>
      <c r="E452" s="1465"/>
      <c r="F452" s="1465"/>
      <c r="G452" s="1465"/>
      <c r="H452" s="1465"/>
      <c r="I452" s="1465"/>
      <c r="J452" s="1465"/>
      <c r="K452" s="1465"/>
      <c r="L452" s="1465"/>
      <c r="M452" s="1465"/>
      <c r="N452" s="1465"/>
      <c r="O452" s="1465"/>
      <c r="P452" s="1465"/>
      <c r="Q452" s="1465"/>
      <c r="R452" s="1465"/>
      <c r="S452" s="1465"/>
      <c r="T452" s="1465"/>
      <c r="U452" s="1465"/>
      <c r="V452" s="1465"/>
      <c r="W452" s="1465"/>
      <c r="X452" s="1465"/>
      <c r="Y452" s="1465"/>
      <c r="Z452" s="1465"/>
      <c r="AA452" s="1465"/>
      <c r="AB452" s="1465"/>
      <c r="AC452" s="1465"/>
      <c r="AD452" s="1465"/>
      <c r="AE452" s="1465"/>
      <c r="AF452" s="1465"/>
      <c r="AG452" s="1465"/>
      <c r="AH452" s="1465"/>
      <c r="AI452" s="1465"/>
      <c r="AJ452" s="1465"/>
    </row>
    <row r="453" spans="1:36" ht="12.9" customHeight="1">
      <c r="C453"/>
      <c r="D453" s="1466"/>
      <c r="E453" s="1466"/>
      <c r="F453" s="1466"/>
      <c r="G453" s="1466"/>
      <c r="H453" s="1466"/>
      <c r="I453" s="1466"/>
      <c r="J453" s="1466"/>
      <c r="K453" s="1466"/>
      <c r="L453" s="1466"/>
      <c r="M453" s="1466"/>
      <c r="N453" s="1466"/>
      <c r="O453" s="1466"/>
      <c r="P453" s="1466"/>
      <c r="Q453" s="1466"/>
      <c r="R453" s="1466"/>
      <c r="S453" s="1466"/>
      <c r="T453" s="1466"/>
      <c r="U453" s="1466"/>
      <c r="V453" s="1466"/>
      <c r="W453" s="1466"/>
      <c r="X453" s="1466"/>
      <c r="Y453" s="1466"/>
      <c r="Z453" s="1466"/>
      <c r="AA453" s="1466"/>
      <c r="AB453" s="1466"/>
      <c r="AC453" s="1466"/>
      <c r="AD453" s="1466"/>
      <c r="AE453" s="1466"/>
      <c r="AF453" s="1466"/>
      <c r="AG453" s="1466"/>
      <c r="AH453" s="1466"/>
      <c r="AI453" s="1466"/>
      <c r="AJ453" s="1466"/>
    </row>
    <row r="454" spans="1:36" ht="12.9" customHeight="1">
      <c r="C454"/>
      <c r="D454" s="1142"/>
      <c r="E454" s="1142"/>
      <c r="F454" s="1142"/>
      <c r="G454" s="1142"/>
      <c r="H454" s="1142"/>
      <c r="I454" s="1142"/>
      <c r="J454" s="1142"/>
      <c r="K454" s="1142"/>
      <c r="L454" s="1142"/>
      <c r="M454" s="1142"/>
      <c r="N454" s="1142"/>
      <c r="O454" s="1142"/>
      <c r="P454" s="1142"/>
      <c r="Q454" s="1142"/>
      <c r="R454" s="1142"/>
      <c r="S454" s="1142"/>
      <c r="T454" s="1142"/>
      <c r="U454" s="1142"/>
      <c r="V454" s="1142"/>
      <c r="W454" s="1142"/>
      <c r="X454" s="1142"/>
      <c r="Y454" s="1142"/>
      <c r="Z454" s="1142"/>
      <c r="AA454" s="1142"/>
      <c r="AB454" s="1142"/>
      <c r="AC454" s="1142"/>
      <c r="AD454" s="1142"/>
      <c r="AE454" s="1142"/>
      <c r="AF454" s="1142"/>
      <c r="AG454" s="1142"/>
      <c r="AH454" s="1142"/>
      <c r="AI454" s="1142"/>
      <c r="AJ454" s="1142"/>
    </row>
    <row r="455" spans="1:36" ht="12.9"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2">
        <f>IF(AG438=0,"",'Sources and Uses Budget'!B104/Application!AG438)</f>
        <v>178588.91089108912</v>
      </c>
      <c r="AD455" s="1472"/>
      <c r="AE455" s="1472"/>
      <c r="AF455" s="1472"/>
      <c r="AG455" s="1150"/>
      <c r="AH455" s="1150"/>
      <c r="AI455" s="1150"/>
      <c r="AJ455" s="1150"/>
    </row>
    <row r="456" spans="1:36" ht="12.9"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2">
        <f>IF(AG438=0,"",'Sources and Uses Budget'!C104/Application!AG438)</f>
        <v>178588.91089108912</v>
      </c>
      <c r="AD456" s="1472"/>
      <c r="AE456" s="1472"/>
      <c r="AF456" s="1472"/>
      <c r="AG456" s="1150"/>
      <c r="AH456" s="1150"/>
      <c r="AI456" s="1150"/>
      <c r="AJ456" s="1150"/>
    </row>
    <row r="457" spans="1:36" ht="12.9"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2">
        <f>IF(AG438=0,"",('Sources and Uses Budget'!S106+'Sources and Uses Budget'!T106)/Application!AG438)</f>
        <v>108399.33663366336</v>
      </c>
      <c r="AD457" s="1472"/>
      <c r="AE457" s="1472"/>
      <c r="AF457" s="1472"/>
      <c r="AG457" s="359"/>
      <c r="AH457" s="359"/>
      <c r="AI457" s="359"/>
      <c r="AJ457" s="359"/>
    </row>
    <row r="458" spans="1:36" ht="12.9" customHeight="1">
      <c r="C458"/>
      <c r="D458" s="370"/>
      <c r="E458" s="305"/>
      <c r="F458" s="1582" t="str">
        <f>IF(AG438=0,"",IF(AC455&gt;650000,"Please provide a justification of cost per unit in Tab 12 for all projects with per unit costs of greater than $650,000.",""))</f>
        <v/>
      </c>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291"/>
      <c r="AD458" s="291"/>
      <c r="AE458" s="291"/>
      <c r="AF458" s="291"/>
      <c r="AG458" s="359"/>
      <c r="AH458" s="359"/>
      <c r="AI458" s="359"/>
      <c r="AJ458" s="359"/>
    </row>
    <row r="459" spans="1:36" ht="12.9" customHeight="1">
      <c r="C459"/>
      <c r="D459" s="370"/>
      <c r="E459" s="305"/>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469" t="s">
        <v>2089</v>
      </c>
      <c r="E468" s="1470"/>
      <c r="F468" s="1470"/>
      <c r="G468" s="1470"/>
      <c r="H468" s="1470"/>
      <c r="I468" s="1470"/>
      <c r="J468" s="1470"/>
      <c r="K468" s="1470"/>
      <c r="L468" s="1470"/>
      <c r="M468" s="1470"/>
      <c r="N468" s="1470"/>
      <c r="O468" s="1470"/>
      <c r="P468" s="1470"/>
      <c r="Q468" s="1470"/>
      <c r="R468" s="1470"/>
      <c r="S468" s="1470"/>
      <c r="T468" s="1470"/>
      <c r="U468" s="1470"/>
      <c r="V468" s="1471"/>
      <c r="W468" s="1426">
        <v>0</v>
      </c>
      <c r="X468" s="1427"/>
      <c r="Y468" s="1428"/>
      <c r="Z468" s="308"/>
      <c r="AA468" s="308"/>
      <c r="AB468" s="308"/>
      <c r="AC468" s="308"/>
      <c r="AD468" s="308"/>
      <c r="AE468" s="308"/>
      <c r="AF468" s="308"/>
      <c r="AG468" s="308"/>
      <c r="AH468" s="308"/>
      <c r="AI468" s="308"/>
      <c r="AJ468" s="41"/>
      <c r="AK468" s="41"/>
      <c r="AL468" s="41"/>
    </row>
    <row r="469" spans="1:97" ht="12.9" customHeight="1">
      <c r="A469" s="41"/>
      <c r="B469" s="41"/>
      <c r="C469" s="41"/>
      <c r="D469" s="1469" t="s">
        <v>213</v>
      </c>
      <c r="E469" s="1470"/>
      <c r="F469" s="1470"/>
      <c r="G469" s="1470"/>
      <c r="H469" s="1470"/>
      <c r="I469" s="1470"/>
      <c r="J469" s="1470"/>
      <c r="K469" s="1470"/>
      <c r="L469" s="1470"/>
      <c r="M469" s="1470"/>
      <c r="N469" s="1470"/>
      <c r="O469" s="1470"/>
      <c r="P469" s="1470"/>
      <c r="Q469" s="1470"/>
      <c r="R469" s="1470"/>
      <c r="S469" s="1470"/>
      <c r="T469" s="1470"/>
      <c r="U469" s="1470"/>
      <c r="V469" s="1471"/>
      <c r="W469" s="1426">
        <v>0</v>
      </c>
      <c r="X469" s="1427"/>
      <c r="Y469" s="1428"/>
      <c r="Z469" s="308"/>
      <c r="AA469" s="308"/>
      <c r="AB469" s="308"/>
      <c r="AC469" s="308"/>
      <c r="AD469" s="308"/>
      <c r="AE469" s="308"/>
      <c r="AF469" s="308"/>
      <c r="AG469" s="308"/>
      <c r="AH469" s="308"/>
      <c r="AI469" s="308"/>
      <c r="AJ469" s="41"/>
      <c r="AK469" s="41"/>
      <c r="AL469" s="41"/>
    </row>
    <row r="470" spans="1:97" ht="12.9" customHeight="1">
      <c r="A470" s="41"/>
      <c r="B470" s="41"/>
      <c r="C470" s="41"/>
      <c r="D470" s="1469" t="s">
        <v>214</v>
      </c>
      <c r="E470" s="1470"/>
      <c r="F470" s="1470"/>
      <c r="G470" s="1470"/>
      <c r="H470" s="1470"/>
      <c r="I470" s="1470"/>
      <c r="J470" s="1470"/>
      <c r="K470" s="1470"/>
      <c r="L470" s="1470"/>
      <c r="M470" s="1470"/>
      <c r="N470" s="1470"/>
      <c r="O470" s="1470"/>
      <c r="P470" s="1470"/>
      <c r="Q470" s="1470"/>
      <c r="R470" s="1470"/>
      <c r="S470" s="1470"/>
      <c r="T470" s="1470"/>
      <c r="U470" s="1470"/>
      <c r="V470" s="1471"/>
      <c r="W470" s="1426">
        <v>0</v>
      </c>
      <c r="X470" s="1427"/>
      <c r="Y470" s="1428"/>
      <c r="Z470" s="308"/>
      <c r="AA470" s="308"/>
      <c r="AB470" s="308"/>
      <c r="AC470" s="308"/>
      <c r="AD470" s="308"/>
      <c r="AE470" s="308"/>
      <c r="AF470" s="308"/>
      <c r="AG470" s="308"/>
      <c r="AH470" s="308"/>
      <c r="AI470" s="308"/>
      <c r="AJ470" s="41"/>
      <c r="AK470" s="41"/>
      <c r="AL470" s="41"/>
    </row>
    <row r="471" spans="1:97" ht="12.9" customHeight="1">
      <c r="A471" s="41"/>
      <c r="B471" s="41"/>
      <c r="C471" s="41"/>
      <c r="D471" s="1469" t="s">
        <v>216</v>
      </c>
      <c r="E471" s="1470"/>
      <c r="F471" s="1470"/>
      <c r="G471" s="1470"/>
      <c r="H471" s="1470"/>
      <c r="I471" s="1470"/>
      <c r="J471" s="1470"/>
      <c r="K471" s="1470"/>
      <c r="L471" s="1470"/>
      <c r="M471" s="1470"/>
      <c r="N471" s="1470"/>
      <c r="O471" s="1470"/>
      <c r="P471" s="1470"/>
      <c r="Q471" s="1470"/>
      <c r="R471" s="1470"/>
      <c r="S471" s="1470"/>
      <c r="T471" s="1470"/>
      <c r="U471" s="1470"/>
      <c r="V471" s="1471"/>
      <c r="W471" s="1426">
        <v>0</v>
      </c>
      <c r="X471" s="1427"/>
      <c r="Y471" s="1428"/>
      <c r="Z471" s="308"/>
      <c r="AA471" s="308"/>
      <c r="AB471" s="308"/>
      <c r="AC471" s="308"/>
      <c r="AD471" s="308"/>
      <c r="AE471" s="308"/>
      <c r="AF471" s="308"/>
      <c r="AG471" s="308"/>
      <c r="AH471" s="308"/>
      <c r="AI471" s="308"/>
      <c r="AJ471" s="41"/>
      <c r="AK471" s="41"/>
      <c r="AL471" s="41"/>
    </row>
    <row r="472" spans="1:97" ht="12.9" customHeight="1">
      <c r="A472" s="41"/>
      <c r="B472" s="41"/>
      <c r="C472" s="41"/>
      <c r="D472" s="1496" t="s">
        <v>1108</v>
      </c>
      <c r="E472" s="1470"/>
      <c r="F472" s="1470"/>
      <c r="G472" s="1470"/>
      <c r="H472" s="1470"/>
      <c r="I472" s="1470"/>
      <c r="J472" s="1470"/>
      <c r="K472" s="1470"/>
      <c r="L472" s="1470"/>
      <c r="M472" s="1470"/>
      <c r="N472" s="1470"/>
      <c r="O472" s="1470"/>
      <c r="P472" s="1470"/>
      <c r="Q472" s="1470"/>
      <c r="R472" s="1470"/>
      <c r="S472" s="1470"/>
      <c r="T472" s="1470"/>
      <c r="U472" s="1470"/>
      <c r="V472" s="1471"/>
      <c r="W472" s="1426">
        <v>0</v>
      </c>
      <c r="X472" s="1427"/>
      <c r="Y472" s="1428"/>
      <c r="Z472" s="308"/>
      <c r="AA472" s="308"/>
      <c r="AB472" s="308"/>
      <c r="AC472" s="308"/>
      <c r="AD472" s="308"/>
      <c r="AE472" s="308"/>
      <c r="AF472" s="308"/>
      <c r="AG472" s="308"/>
      <c r="AH472" s="308"/>
      <c r="AI472" s="308"/>
      <c r="AJ472" s="41"/>
      <c r="AK472" s="41"/>
      <c r="AL472" s="41"/>
    </row>
    <row r="473" spans="1:97" ht="12.9" customHeight="1">
      <c r="A473" s="41"/>
      <c r="B473" s="41"/>
      <c r="C473" s="41"/>
      <c r="D473" s="1469" t="s">
        <v>220</v>
      </c>
      <c r="E473" s="1470"/>
      <c r="F473" s="1470"/>
      <c r="G473" s="1470"/>
      <c r="H473" s="1470"/>
      <c r="I473" s="1470"/>
      <c r="J473" s="1470"/>
      <c r="K473" s="1470"/>
      <c r="L473" s="1470"/>
      <c r="M473" s="1470"/>
      <c r="N473" s="1470"/>
      <c r="O473" s="1470"/>
      <c r="P473" s="1470"/>
      <c r="Q473" s="1470"/>
      <c r="R473" s="1470"/>
      <c r="S473" s="1470"/>
      <c r="T473" s="1470"/>
      <c r="U473" s="1470"/>
      <c r="V473" s="1471"/>
      <c r="W473" s="1426">
        <v>0</v>
      </c>
      <c r="X473" s="1427"/>
      <c r="Y473" s="1428"/>
      <c r="Z473" s="308"/>
      <c r="AA473" s="308"/>
      <c r="AB473" s="308"/>
      <c r="AC473" s="308"/>
      <c r="AD473" s="308"/>
      <c r="AE473" s="308"/>
      <c r="AF473" s="308"/>
      <c r="AG473" s="308"/>
      <c r="AH473" s="308"/>
      <c r="AI473" s="308"/>
      <c r="AJ473" s="41"/>
      <c r="AK473" s="41"/>
      <c r="AL473" s="41"/>
    </row>
    <row r="474" spans="1:97" ht="12.9" customHeight="1">
      <c r="A474" s="554"/>
      <c r="B474" s="554"/>
      <c r="C474" s="554"/>
      <c r="D474" s="1496" t="s">
        <v>1307</v>
      </c>
      <c r="E474" s="1506"/>
      <c r="F474" s="1506"/>
      <c r="G474" s="1506"/>
      <c r="H474" s="1506"/>
      <c r="I474" s="1506"/>
      <c r="J474" s="1506"/>
      <c r="K474" s="1506"/>
      <c r="L474" s="1506"/>
      <c r="M474" s="1506"/>
      <c r="N474" s="1506"/>
      <c r="O474" s="1506"/>
      <c r="P474" s="1506"/>
      <c r="Q474" s="1506"/>
      <c r="R474" s="1506"/>
      <c r="S474" s="1506"/>
      <c r="T474" s="1506"/>
      <c r="U474" s="1506"/>
      <c r="V474" s="1507"/>
      <c r="W474" s="1143">
        <v>0</v>
      </c>
      <c r="X474" s="1144"/>
      <c r="Y474" s="1145"/>
      <c r="Z474" s="555"/>
      <c r="AA474" s="555"/>
      <c r="AB474" s="555"/>
      <c r="AC474" s="555"/>
      <c r="AD474" s="556"/>
      <c r="AE474" s="556"/>
      <c r="AF474" s="556"/>
      <c r="AG474" s="556"/>
      <c r="AH474" s="556"/>
      <c r="AI474" s="556"/>
      <c r="AJ474" s="359"/>
    </row>
    <row r="475" spans="1:97" ht="12.9" customHeight="1">
      <c r="A475" s="554"/>
      <c r="B475" s="554"/>
      <c r="C475" s="554"/>
      <c r="D475" s="1469" t="s">
        <v>2262</v>
      </c>
      <c r="E475" s="1470"/>
      <c r="F475" s="1470"/>
      <c r="G475" s="1470"/>
      <c r="H475" s="1470"/>
      <c r="I475" s="1470"/>
      <c r="J475" s="1470"/>
      <c r="K475" s="1470"/>
      <c r="L475" s="1470"/>
      <c r="M475" s="1470"/>
      <c r="N475" s="1470"/>
      <c r="O475" s="1470"/>
      <c r="P475" s="1470"/>
      <c r="Q475" s="1470"/>
      <c r="R475" s="1470"/>
      <c r="S475" s="1470"/>
      <c r="T475" s="1470"/>
      <c r="U475" s="1470"/>
      <c r="V475" s="1471"/>
      <c r="W475" s="1143">
        <v>0</v>
      </c>
      <c r="X475" s="1144"/>
      <c r="Y475" s="1145"/>
      <c r="Z475" s="555"/>
      <c r="AA475" s="555"/>
      <c r="AB475" s="555"/>
      <c r="AC475" s="555"/>
      <c r="AD475" s="556"/>
      <c r="AE475" s="556"/>
      <c r="AF475" s="556"/>
      <c r="AG475" s="556"/>
      <c r="AH475" s="556"/>
      <c r="AI475" s="556"/>
      <c r="AJ475" s="359"/>
    </row>
    <row r="476" spans="1:97" ht="12.9" customHeight="1">
      <c r="A476" s="41"/>
      <c r="B476" s="41"/>
      <c r="C476" s="41"/>
      <c r="D476" s="1469" t="s">
        <v>2199</v>
      </c>
      <c r="E476" s="1506"/>
      <c r="F476" s="1506"/>
      <c r="G476" s="1506"/>
      <c r="H476" s="1506"/>
      <c r="I476" s="1506"/>
      <c r="J476" s="1506"/>
      <c r="K476" s="1506"/>
      <c r="L476" s="1506"/>
      <c r="M476" s="1506"/>
      <c r="N476" s="1506"/>
      <c r="O476" s="1506"/>
      <c r="P476" s="1506"/>
      <c r="Q476" s="1506"/>
      <c r="R476" s="1506"/>
      <c r="S476" s="1506"/>
      <c r="T476" s="1506"/>
      <c r="U476" s="1506"/>
      <c r="V476" s="1507"/>
      <c r="W476" s="1143">
        <v>10</v>
      </c>
      <c r="X476" s="1144"/>
      <c r="Y476" s="114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135"/>
      <c r="H477" s="1136"/>
      <c r="I477" s="1136"/>
      <c r="J477" s="1136"/>
      <c r="K477" s="1136"/>
      <c r="L477" s="1136"/>
      <c r="M477" s="1136"/>
      <c r="N477" s="1136"/>
      <c r="O477" s="1136"/>
      <c r="P477" s="1136"/>
      <c r="Q477" s="1136"/>
      <c r="R477" s="1136"/>
      <c r="S477" s="1136"/>
      <c r="T477" s="1136"/>
      <c r="U477" s="1136"/>
      <c r="V477" s="1137"/>
      <c r="W477" s="1426">
        <v>0</v>
      </c>
      <c r="X477" s="1427"/>
      <c r="Y477" s="1428"/>
      <c r="Z477" s="308"/>
      <c r="AA477" s="308"/>
      <c r="AB477" s="308"/>
      <c r="AC477" s="308"/>
      <c r="AD477" s="308"/>
      <c r="AE477" s="308"/>
      <c r="AF477" s="308"/>
      <c r="AG477" s="308"/>
      <c r="AH477" s="308"/>
      <c r="AI477" s="308"/>
      <c r="AJ477" s="41"/>
      <c r="AK477" s="41"/>
      <c r="AL477" s="41"/>
    </row>
    <row r="478" spans="1:97" ht="12.9"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508"/>
      <c r="E479" s="1508"/>
      <c r="F479" s="1508"/>
      <c r="G479" s="1508"/>
      <c r="H479" s="1508"/>
      <c r="I479" s="1508"/>
      <c r="J479" s="1508"/>
      <c r="K479" s="1508"/>
      <c r="L479" s="1508"/>
      <c r="M479" s="1508"/>
      <c r="N479" s="1508"/>
      <c r="O479" s="1508"/>
      <c r="P479" s="1508"/>
      <c r="Q479" s="1508"/>
      <c r="R479" s="1508"/>
      <c r="S479" s="1508"/>
      <c r="T479" s="1508"/>
      <c r="U479" s="1508"/>
      <c r="V479" s="1508"/>
      <c r="W479" s="1508"/>
      <c r="X479" s="1508"/>
      <c r="Y479" s="150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509"/>
      <c r="E480" s="1509"/>
      <c r="F480" s="1509"/>
      <c r="G480" s="1509"/>
      <c r="H480" s="1509"/>
      <c r="I480" s="1509"/>
      <c r="J480" s="1509"/>
      <c r="K480" s="1509"/>
      <c r="L480" s="1509"/>
      <c r="M480" s="1509"/>
      <c r="N480" s="1509"/>
      <c r="O480" s="1509"/>
      <c r="P480" s="1509"/>
      <c r="Q480" s="1509"/>
      <c r="R480" s="1509"/>
      <c r="S480" s="1509"/>
      <c r="T480" s="1509"/>
      <c r="U480" s="1509"/>
      <c r="V480" s="1509"/>
      <c r="W480" s="1509"/>
      <c r="X480" s="1509"/>
      <c r="Y480" s="150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509"/>
      <c r="E481" s="1509"/>
      <c r="F481" s="1509"/>
      <c r="G481" s="1509"/>
      <c r="H481" s="1509"/>
      <c r="I481" s="1509"/>
      <c r="J481" s="1509"/>
      <c r="K481" s="1509"/>
      <c r="L481" s="1509"/>
      <c r="M481" s="1509"/>
      <c r="N481" s="1509"/>
      <c r="O481" s="1509"/>
      <c r="P481" s="1509"/>
      <c r="Q481" s="1509"/>
      <c r="R481" s="1509"/>
      <c r="S481" s="1509"/>
      <c r="T481" s="1509"/>
      <c r="U481" s="1509"/>
      <c r="V481" s="1509"/>
      <c r="W481" s="1509"/>
      <c r="X481" s="1509"/>
      <c r="Y481" s="150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68" t="s">
        <v>1027</v>
      </c>
      <c r="B484" s="1068"/>
      <c r="C484" s="1068"/>
      <c r="D484" s="1068"/>
      <c r="E484" s="1068"/>
      <c r="F484" s="1068"/>
      <c r="G484" s="1068"/>
      <c r="H484" s="1068"/>
      <c r="I484" s="1068"/>
      <c r="J484" s="1068"/>
      <c r="K484" s="1068"/>
      <c r="L484" s="1068"/>
      <c r="M484" s="1068"/>
      <c r="N484" s="1068"/>
      <c r="O484" s="1068"/>
      <c r="P484" s="1068"/>
      <c r="Q484" s="1068"/>
      <c r="R484" s="1068"/>
      <c r="S484" s="1068"/>
      <c r="T484" s="1068"/>
      <c r="U484" s="1068"/>
      <c r="V484" s="1068"/>
      <c r="W484" s="1068"/>
      <c r="X484" s="1068"/>
      <c r="Y484" s="1068"/>
      <c r="Z484" s="1068"/>
      <c r="AA484" s="1068"/>
      <c r="AB484" s="1068"/>
      <c r="AC484" s="1068"/>
      <c r="AD484" s="1068"/>
      <c r="AE484" s="1068"/>
      <c r="AF484" s="1068"/>
      <c r="AG484" s="1068"/>
      <c r="AH484" s="1068"/>
      <c r="AI484" s="1068"/>
      <c r="AJ484" s="1068"/>
      <c r="AK484" s="1068"/>
      <c r="AL484" s="1068"/>
      <c r="AM484" s="1068"/>
      <c r="AN484" s="1068"/>
      <c r="AO484" s="1068"/>
      <c r="AP484" s="1068"/>
      <c r="AQ484" s="1068"/>
      <c r="AR484" s="1068"/>
      <c r="AS484" s="1068"/>
      <c r="AT484" s="106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68"/>
      <c r="B485" s="1068"/>
      <c r="C485" s="1068"/>
      <c r="D485" s="1068"/>
      <c r="E485" s="1068"/>
      <c r="F485" s="1068"/>
      <c r="G485" s="1068"/>
      <c r="H485" s="1068"/>
      <c r="I485" s="1068"/>
      <c r="J485" s="1068"/>
      <c r="K485" s="1068"/>
      <c r="L485" s="1068"/>
      <c r="M485" s="1068"/>
      <c r="N485" s="1068"/>
      <c r="O485" s="1068"/>
      <c r="P485" s="1068"/>
      <c r="Q485" s="1068"/>
      <c r="R485" s="1068"/>
      <c r="S485" s="1068"/>
      <c r="T485" s="1068"/>
      <c r="U485" s="1068"/>
      <c r="V485" s="1068"/>
      <c r="W485" s="1068"/>
      <c r="X485" s="1068"/>
      <c r="Y485" s="1068"/>
      <c r="Z485" s="1068"/>
      <c r="AA485" s="1068"/>
      <c r="AB485" s="1068"/>
      <c r="AC485" s="1068"/>
      <c r="AD485" s="1068"/>
      <c r="AE485" s="1068"/>
      <c r="AF485" s="1068"/>
      <c r="AG485" s="1068"/>
      <c r="AH485" s="1068"/>
      <c r="AI485" s="1068"/>
      <c r="AJ485" s="1068"/>
      <c r="AK485" s="1068"/>
      <c r="AL485" s="1068"/>
      <c r="AM485" s="1068"/>
      <c r="AN485" s="1068"/>
      <c r="AO485" s="1068"/>
      <c r="AP485" s="1068"/>
      <c r="AQ485" s="1068"/>
      <c r="AR485" s="1068"/>
      <c r="AS485" s="1068"/>
      <c r="AT485" s="106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152" t="s">
        <v>238</v>
      </c>
      <c r="R489" s="1138"/>
      <c r="S489" s="1138"/>
      <c r="T489" s="1138"/>
      <c r="U489" s="1138"/>
      <c r="V489" s="1138"/>
      <c r="W489" s="1138"/>
      <c r="X489" s="1138"/>
      <c r="Y489" s="1138"/>
      <c r="Z489" s="1138"/>
      <c r="AA489" s="1138"/>
      <c r="AB489" s="1138"/>
      <c r="AC489" s="1138"/>
      <c r="AD489" s="1138"/>
      <c r="AE489" s="1138"/>
      <c r="AF489" s="1138"/>
      <c r="AG489" s="1138"/>
      <c r="AH489" s="1138"/>
      <c r="AI489" s="1138"/>
      <c r="AJ489" s="1138"/>
      <c r="AK489" s="113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211" t="s">
        <v>2441</v>
      </c>
      <c r="R490" s="1067"/>
      <c r="S490" s="1067"/>
      <c r="T490" s="1067"/>
      <c r="U490" s="1067"/>
      <c r="V490" s="1067"/>
      <c r="W490" s="1067"/>
      <c r="X490" s="1067"/>
      <c r="Y490" s="1067"/>
      <c r="Z490" s="1067"/>
      <c r="AA490" s="1067"/>
      <c r="AB490" s="1067"/>
      <c r="AC490" s="1067"/>
      <c r="AD490" s="1067"/>
      <c r="AE490" s="1067"/>
      <c r="AF490" s="1067"/>
      <c r="AG490" s="1067"/>
      <c r="AH490" s="1067"/>
      <c r="AI490" s="1067"/>
      <c r="AJ490" s="1067"/>
      <c r="AK490" s="12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211" t="s">
        <v>2442</v>
      </c>
      <c r="R491" s="1067"/>
      <c r="S491" s="1067"/>
      <c r="T491" s="1067"/>
      <c r="U491" s="1067"/>
      <c r="V491" s="1067"/>
      <c r="W491" s="1067"/>
      <c r="X491" s="1067"/>
      <c r="Y491" s="1067"/>
      <c r="Z491" s="1067"/>
      <c r="AA491" s="1067"/>
      <c r="AB491" s="1067"/>
      <c r="AC491" s="1067"/>
      <c r="AD491" s="1067"/>
      <c r="AE491" s="1067"/>
      <c r="AF491" s="1067"/>
      <c r="AG491" s="1067"/>
      <c r="AH491" s="1067"/>
      <c r="AI491" s="1067"/>
      <c r="AJ491" s="1067"/>
      <c r="AK491" s="12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211" t="s">
        <v>2443</v>
      </c>
      <c r="R492" s="1067"/>
      <c r="S492" s="1067"/>
      <c r="T492" s="1067"/>
      <c r="U492" s="1067"/>
      <c r="V492" s="1067"/>
      <c r="W492" s="1067"/>
      <c r="X492" s="1067"/>
      <c r="Y492" s="1067"/>
      <c r="Z492" s="1067"/>
      <c r="AA492" s="1067"/>
      <c r="AB492" s="1067"/>
      <c r="AC492" s="1067"/>
      <c r="AD492" s="1067"/>
      <c r="AE492" s="1067"/>
      <c r="AF492" s="1067"/>
      <c r="AG492" s="1067"/>
      <c r="AH492" s="1067"/>
      <c r="AI492" s="1067"/>
      <c r="AJ492" s="1067"/>
      <c r="AK492" s="12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500" t="s">
        <v>242</v>
      </c>
      <c r="C493" s="1501"/>
      <c r="D493" s="1501"/>
      <c r="E493" s="1501"/>
      <c r="F493" s="1501"/>
      <c r="G493" s="1501"/>
      <c r="H493" s="1501"/>
      <c r="I493" s="1501"/>
      <c r="J493" s="1501"/>
      <c r="K493" s="1501"/>
      <c r="L493" s="1501"/>
      <c r="M493" s="1501"/>
      <c r="N493" s="1501"/>
      <c r="O493" s="1501"/>
      <c r="P493" s="1502"/>
      <c r="Q493" s="1479" t="s">
        <v>482</v>
      </c>
      <c r="R493" s="1480"/>
      <c r="S493" s="1483" t="s">
        <v>53</v>
      </c>
      <c r="T493" s="1484"/>
      <c r="U493" s="1484"/>
      <c r="V493" s="1484"/>
      <c r="W493" s="1484"/>
      <c r="X493" s="1484"/>
      <c r="Y493" s="1484"/>
      <c r="Z493" s="1484"/>
      <c r="AA493" s="1484"/>
      <c r="AB493" s="1484"/>
      <c r="AC493" s="1484"/>
      <c r="AD493" s="1484"/>
      <c r="AE493" s="1484"/>
      <c r="AF493" s="1484"/>
      <c r="AG493" s="1484"/>
      <c r="AH493" s="1484"/>
      <c r="AI493" s="1484"/>
      <c r="AJ493" s="1484"/>
      <c r="AK493" s="148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503"/>
      <c r="C494" s="1504"/>
      <c r="D494" s="1504"/>
      <c r="E494" s="1504"/>
      <c r="F494" s="1504"/>
      <c r="G494" s="1504"/>
      <c r="H494" s="1504"/>
      <c r="I494" s="1504"/>
      <c r="J494" s="1504"/>
      <c r="K494" s="1504"/>
      <c r="L494" s="1504"/>
      <c r="M494" s="1504"/>
      <c r="N494" s="1504"/>
      <c r="O494" s="1504"/>
      <c r="P494" s="1505"/>
      <c r="Q494" s="1481"/>
      <c r="R494" s="1482"/>
      <c r="S494" s="1486"/>
      <c r="T494" s="1487"/>
      <c r="U494" s="1487"/>
      <c r="V494" s="1487"/>
      <c r="W494" s="1487"/>
      <c r="X494" s="1487"/>
      <c r="Y494" s="1487"/>
      <c r="Z494" s="1487"/>
      <c r="AA494" s="1487"/>
      <c r="AB494" s="1487"/>
      <c r="AC494" s="1487"/>
      <c r="AD494" s="1487"/>
      <c r="AE494" s="1487"/>
      <c r="AF494" s="1487"/>
      <c r="AG494" s="1487"/>
      <c r="AH494" s="1487"/>
      <c r="AI494" s="1487"/>
      <c r="AJ494" s="1487"/>
      <c r="AK494" s="148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2195</v>
      </c>
      <c r="C495" s="811"/>
      <c r="D495" s="811"/>
      <c r="E495" s="811"/>
      <c r="F495" s="811"/>
      <c r="G495" s="811"/>
      <c r="H495" s="811"/>
      <c r="I495" s="811"/>
      <c r="J495" s="811"/>
      <c r="K495" s="811"/>
      <c r="L495" s="811"/>
      <c r="M495" s="811"/>
      <c r="N495" s="811"/>
      <c r="O495" s="811"/>
      <c r="P495" s="811"/>
      <c r="Q495" s="1489" t="s">
        <v>482</v>
      </c>
      <c r="R495" s="1490"/>
      <c r="S495" s="1490"/>
      <c r="T495" s="1490"/>
      <c r="U495" s="1490"/>
      <c r="V495" s="1490"/>
      <c r="W495" s="1490"/>
      <c r="X495" s="1490"/>
      <c r="Y495" s="1490"/>
      <c r="Z495" s="1490"/>
      <c r="AA495" s="1490"/>
      <c r="AB495" s="1490"/>
      <c r="AC495" s="1490"/>
      <c r="AD495" s="1490"/>
      <c r="AE495" s="1490"/>
      <c r="AF495" s="1490"/>
      <c r="AG495" s="1490"/>
      <c r="AH495" s="1490"/>
      <c r="AI495" s="1490"/>
      <c r="AJ495" s="1490"/>
      <c r="AK495" s="149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211" t="s">
        <v>2444</v>
      </c>
      <c r="R496" s="1067"/>
      <c r="S496" s="1067"/>
      <c r="T496" s="1067"/>
      <c r="U496" s="1067"/>
      <c r="V496" s="1067"/>
      <c r="W496" s="1067"/>
      <c r="X496" s="1067"/>
      <c r="Y496" s="1067"/>
      <c r="Z496" s="1067"/>
      <c r="AA496" s="1067"/>
      <c r="AB496" s="1067"/>
      <c r="AC496" s="1067"/>
      <c r="AD496" s="1067"/>
      <c r="AE496" s="1067"/>
      <c r="AF496" s="1067"/>
      <c r="AG496" s="1067"/>
      <c r="AH496" s="1067"/>
      <c r="AI496" s="1067"/>
      <c r="AJ496" s="1067"/>
      <c r="AK496" s="121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211" t="s">
        <v>2445</v>
      </c>
      <c r="R497" s="1067"/>
      <c r="S497" s="1067"/>
      <c r="T497" s="1067"/>
      <c r="U497" s="1067"/>
      <c r="V497" s="1067"/>
      <c r="W497" s="1067"/>
      <c r="X497" s="1067"/>
      <c r="Y497" s="1067"/>
      <c r="Z497" s="1067"/>
      <c r="AA497" s="1067"/>
      <c r="AB497" s="1067"/>
      <c r="AC497" s="1067"/>
      <c r="AD497" s="1067"/>
      <c r="AE497" s="1067"/>
      <c r="AF497" s="1067"/>
      <c r="AG497" s="1067"/>
      <c r="AH497" s="1067"/>
      <c r="AI497" s="1067"/>
      <c r="AJ497" s="1067"/>
      <c r="AK497" s="121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1969</v>
      </c>
      <c r="C498" s="9"/>
      <c r="D498" s="9"/>
      <c r="E498" s="9"/>
      <c r="F498" s="9"/>
      <c r="G498" s="9"/>
      <c r="H498" s="9"/>
      <c r="I498" s="9"/>
      <c r="J498" s="9"/>
      <c r="K498" s="9"/>
      <c r="L498" s="9"/>
      <c r="M498" s="9"/>
      <c r="N498" s="9"/>
      <c r="O498" s="9"/>
      <c r="P498" s="9"/>
      <c r="Q498" s="1211">
        <v>104</v>
      </c>
      <c r="R498" s="1067"/>
      <c r="S498" s="1067"/>
      <c r="T498" s="1067"/>
      <c r="U498" s="1067"/>
      <c r="V498" s="1067"/>
      <c r="W498" s="1067"/>
      <c r="X498" s="1067"/>
      <c r="Y498" s="1067"/>
      <c r="Z498" s="1067"/>
      <c r="AA498" s="1067"/>
      <c r="AB498" s="1067"/>
      <c r="AC498" s="1067"/>
      <c r="AD498" s="1067"/>
      <c r="AE498" s="1067"/>
      <c r="AF498" s="1067"/>
      <c r="AG498" s="1067"/>
      <c r="AH498" s="1067"/>
      <c r="AI498" s="1067"/>
      <c r="AJ498" s="1067"/>
      <c r="AK498" s="121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1970</v>
      </c>
      <c r="C499" s="9"/>
      <c r="D499" s="9"/>
      <c r="E499" s="9"/>
      <c r="F499" s="9"/>
      <c r="G499" s="9"/>
      <c r="H499" s="9"/>
      <c r="I499" s="9"/>
      <c r="J499" s="9"/>
      <c r="K499" s="9"/>
      <c r="L499" s="9"/>
      <c r="M499" s="1165"/>
      <c r="N499" s="1166"/>
      <c r="O499" s="1166"/>
      <c r="P499" s="1167"/>
      <c r="Q499" s="212" t="s">
        <v>1971</v>
      </c>
      <c r="R499" s="9"/>
      <c r="S499" s="9"/>
      <c r="T499" s="9"/>
      <c r="U499" s="9"/>
      <c r="V499" s="9"/>
      <c r="W499" s="9"/>
      <c r="X499" s="9"/>
      <c r="Y499" s="9"/>
      <c r="Z499" s="9"/>
      <c r="AA499" s="9"/>
      <c r="AB499" s="9"/>
      <c r="AC499" s="9"/>
      <c r="AD499" s="9"/>
      <c r="AE499" s="9"/>
      <c r="AF499" s="9"/>
      <c r="AG499" s="9"/>
      <c r="AH499" s="1165">
        <v>104</v>
      </c>
      <c r="AI499" s="1166"/>
      <c r="AJ499" s="1166"/>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2" t="s">
        <v>246</v>
      </c>
      <c r="AD503" s="1138"/>
      <c r="AE503" s="1138"/>
      <c r="AF503" s="1138"/>
      <c r="AG503" s="1138"/>
      <c r="AH503" s="1138"/>
      <c r="AI503" s="1138"/>
      <c r="AJ503" s="1138"/>
      <c r="AK503" s="113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2" t="s">
        <v>247</v>
      </c>
      <c r="AD504" s="1138"/>
      <c r="AE504" s="1138"/>
      <c r="AF504" s="1138"/>
      <c r="AG504" s="56" t="s">
        <v>248</v>
      </c>
      <c r="AH504" s="1138" t="s">
        <v>249</v>
      </c>
      <c r="AI504" s="1138"/>
      <c r="AJ504" s="1138"/>
      <c r="AK504" s="113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156" t="s">
        <v>250</v>
      </c>
      <c r="C505" s="1157"/>
      <c r="D505" s="1157"/>
      <c r="E505" s="1157"/>
      <c r="F505" s="1157"/>
      <c r="G505" s="1157"/>
      <c r="H505" s="1158"/>
      <c r="I505" s="7" t="s">
        <v>670</v>
      </c>
      <c r="J505" s="7"/>
      <c r="K505" s="7"/>
      <c r="L505" s="7"/>
      <c r="M505" s="7"/>
      <c r="N505" s="7"/>
      <c r="O505" s="7"/>
      <c r="P505" s="7"/>
      <c r="Q505" s="7"/>
      <c r="R505" s="7"/>
      <c r="S505" s="7"/>
      <c r="T505" s="7"/>
      <c r="U505" s="7"/>
      <c r="V505" s="7"/>
      <c r="W505" s="7"/>
      <c r="AC505" s="1110" t="s">
        <v>124</v>
      </c>
      <c r="AD505" s="1111"/>
      <c r="AE505" s="1111"/>
      <c r="AF505" s="1111"/>
      <c r="AG505" s="18" t="s">
        <v>248</v>
      </c>
      <c r="AH505" s="1140">
        <v>0</v>
      </c>
      <c r="AI505" s="1140"/>
      <c r="AJ505" s="1140"/>
      <c r="AK505" s="11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159"/>
      <c r="C506" s="1160"/>
      <c r="D506" s="1160"/>
      <c r="E506" s="1160"/>
      <c r="F506" s="1160"/>
      <c r="G506" s="1160"/>
      <c r="H506" s="1161"/>
      <c r="I506" s="54" t="s">
        <v>671</v>
      </c>
      <c r="J506" s="54"/>
      <c r="K506" s="54"/>
      <c r="L506" s="54"/>
      <c r="M506" s="54"/>
      <c r="N506" s="54"/>
      <c r="O506" s="54"/>
      <c r="P506" s="54"/>
      <c r="Q506" s="54"/>
      <c r="R506" s="54"/>
      <c r="S506" s="54"/>
      <c r="T506" s="54"/>
      <c r="U506" s="54"/>
      <c r="V506" s="54"/>
      <c r="W506" s="54"/>
      <c r="X506" s="54"/>
      <c r="Y506" s="54"/>
      <c r="Z506" s="54"/>
      <c r="AA506" s="54"/>
      <c r="AB506" s="54"/>
      <c r="AC506" s="1110">
        <v>12</v>
      </c>
      <c r="AD506" s="1111"/>
      <c r="AE506" s="1111"/>
      <c r="AF506" s="1111"/>
      <c r="AG506" s="47" t="s">
        <v>248</v>
      </c>
      <c r="AH506" s="1140">
        <v>2025</v>
      </c>
      <c r="AI506" s="1140"/>
      <c r="AJ506" s="1140"/>
      <c r="AK506" s="11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156" t="s">
        <v>672</v>
      </c>
      <c r="C507" s="1157"/>
      <c r="D507" s="1157"/>
      <c r="E507" s="1157"/>
      <c r="F507" s="1157"/>
      <c r="G507" s="1157"/>
      <c r="H507" s="1158"/>
      <c r="I507" s="7" t="s">
        <v>673</v>
      </c>
      <c r="J507" s="7"/>
      <c r="K507" s="7"/>
      <c r="L507" s="7"/>
      <c r="M507" s="7"/>
      <c r="N507" s="7"/>
      <c r="O507" s="7"/>
      <c r="P507" s="7"/>
      <c r="Q507" s="7"/>
      <c r="R507" s="7"/>
      <c r="S507" s="7"/>
      <c r="T507" s="7"/>
      <c r="U507" s="7"/>
      <c r="V507" s="7"/>
      <c r="W507" s="7"/>
      <c r="AC507" s="1110" t="s">
        <v>124</v>
      </c>
      <c r="AD507" s="1111"/>
      <c r="AE507" s="1111"/>
      <c r="AF507" s="1111"/>
      <c r="AG507" s="18" t="s">
        <v>248</v>
      </c>
      <c r="AH507" s="1140"/>
      <c r="AI507" s="1140"/>
      <c r="AJ507" s="1140"/>
      <c r="AK507" s="11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159"/>
      <c r="C508" s="1160"/>
      <c r="D508" s="1160"/>
      <c r="E508" s="1160"/>
      <c r="F508" s="1160"/>
      <c r="G508" s="1160"/>
      <c r="H508" s="1161"/>
      <c r="I508" t="s">
        <v>674</v>
      </c>
      <c r="AC508" s="1110" t="s">
        <v>124</v>
      </c>
      <c r="AD508" s="1111"/>
      <c r="AE508" s="1111"/>
      <c r="AF508" s="1111"/>
      <c r="AG508" s="18" t="s">
        <v>248</v>
      </c>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159"/>
      <c r="C509" s="1160"/>
      <c r="D509" s="1160"/>
      <c r="E509" s="1160"/>
      <c r="F509" s="1160"/>
      <c r="G509" s="1160"/>
      <c r="H509" s="1161"/>
      <c r="I509" t="s">
        <v>675</v>
      </c>
      <c r="AC509" s="1110" t="s">
        <v>124</v>
      </c>
      <c r="AD509" s="1111"/>
      <c r="AE509" s="1111"/>
      <c r="AF509" s="1111"/>
      <c r="AG509" s="18" t="s">
        <v>248</v>
      </c>
      <c r="AH509" s="1140"/>
      <c r="AI509" s="1140"/>
      <c r="AJ509" s="1140"/>
      <c r="AK509" s="11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159"/>
      <c r="C510" s="1160"/>
      <c r="D510" s="1160"/>
      <c r="E510" s="1160"/>
      <c r="F510" s="1160"/>
      <c r="G510" s="1160"/>
      <c r="H510" s="1161"/>
      <c r="I510" t="s">
        <v>676</v>
      </c>
      <c r="AC510" s="1110" t="s">
        <v>124</v>
      </c>
      <c r="AD510" s="1111"/>
      <c r="AE510" s="1111"/>
      <c r="AF510" s="1111"/>
      <c r="AG510" s="18" t="s">
        <v>248</v>
      </c>
      <c r="AH510" s="1140"/>
      <c r="AI510" s="1140"/>
      <c r="AJ510" s="1140"/>
      <c r="AK510" s="11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159"/>
      <c r="C511" s="1160"/>
      <c r="D511" s="1160"/>
      <c r="E511" s="1160"/>
      <c r="F511" s="1160"/>
      <c r="G511" s="1160"/>
      <c r="H511" s="1161"/>
      <c r="I511" s="41" t="s">
        <v>677</v>
      </c>
      <c r="AC511" s="1089">
        <v>12</v>
      </c>
      <c r="AD511" s="1090"/>
      <c r="AE511" s="1090"/>
      <c r="AF511" s="1090"/>
      <c r="AG511" s="18" t="s">
        <v>248</v>
      </c>
      <c r="AH511" s="1140">
        <v>2025</v>
      </c>
      <c r="AI511" s="1140"/>
      <c r="AJ511" s="1140"/>
      <c r="AK511" s="11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159"/>
      <c r="C512" s="1160"/>
      <c r="D512" s="1160"/>
      <c r="E512" s="1160"/>
      <c r="F512" s="1160"/>
      <c r="G512" s="1160"/>
      <c r="H512" s="1161"/>
      <c r="I512" s="407" t="s">
        <v>283</v>
      </c>
      <c r="J512" s="54"/>
      <c r="K512" s="54"/>
      <c r="L512" s="1132" t="s">
        <v>561</v>
      </c>
      <c r="M512" s="1133"/>
      <c r="N512" s="1133"/>
      <c r="O512" s="1133"/>
      <c r="P512" s="1133"/>
      <c r="Q512" s="1133"/>
      <c r="R512" s="1133"/>
      <c r="S512" s="1133"/>
      <c r="T512" s="1133"/>
      <c r="U512" s="1133"/>
      <c r="V512" s="1133"/>
      <c r="W512" s="1133"/>
      <c r="X512" s="1133"/>
      <c r="Y512" s="1133"/>
      <c r="Z512" s="1133"/>
      <c r="AA512" s="1133"/>
      <c r="AB512" s="1134"/>
      <c r="AC512" s="1476" t="s">
        <v>124</v>
      </c>
      <c r="AD512" s="1343"/>
      <c r="AE512" s="1343"/>
      <c r="AF512" s="1343"/>
      <c r="AG512" s="47" t="s">
        <v>248</v>
      </c>
      <c r="AH512" s="1140"/>
      <c r="AI512" s="1140"/>
      <c r="AJ512" s="1140"/>
      <c r="AK512" s="11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59"/>
      <c r="C513" s="1160"/>
      <c r="D513" s="1160"/>
      <c r="E513" s="1160"/>
      <c r="F513" s="1160"/>
      <c r="G513" s="1160"/>
      <c r="H513" s="1161"/>
      <c r="I513" s="41" t="s">
        <v>1972</v>
      </c>
      <c r="AC513" s="1477" t="s">
        <v>482</v>
      </c>
      <c r="AD513" s="1477"/>
      <c r="AE513" s="1477"/>
      <c r="AF513" s="1477"/>
      <c r="AG513" s="18"/>
      <c r="AH513" s="1154"/>
      <c r="AI513" s="1154"/>
      <c r="AJ513" s="1154"/>
      <c r="AK513" s="115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59"/>
      <c r="C514" s="1160"/>
      <c r="D514" s="1160"/>
      <c r="E514" s="1160"/>
      <c r="F514" s="1160"/>
      <c r="G514" s="1160"/>
      <c r="H514" s="1161"/>
      <c r="I514" t="s">
        <v>1973</v>
      </c>
      <c r="AC514" s="1089" t="s">
        <v>2446</v>
      </c>
      <c r="AD514" s="1090"/>
      <c r="AE514" s="1090"/>
      <c r="AF514" s="1091"/>
      <c r="AG514" s="18"/>
      <c r="AH514" s="1154"/>
      <c r="AI514" s="1154"/>
      <c r="AJ514" s="1154"/>
      <c r="AK514" s="115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59"/>
      <c r="C515" s="1160"/>
      <c r="D515" s="1160"/>
      <c r="E515" s="1160"/>
      <c r="F515" s="1160"/>
      <c r="G515" s="1160"/>
      <c r="H515" s="1161"/>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59"/>
      <c r="C516" s="1160"/>
      <c r="D516" s="1160"/>
      <c r="E516" s="1160"/>
      <c r="F516" s="1160"/>
      <c r="G516" s="1160"/>
      <c r="H516" s="1161"/>
      <c r="I516" s="835" t="s">
        <v>1975</v>
      </c>
      <c r="J516" s="54"/>
      <c r="K516" s="54"/>
      <c r="L516" s="54"/>
      <c r="M516" s="54"/>
      <c r="N516" s="54"/>
      <c r="O516" s="54"/>
      <c r="P516" s="54"/>
      <c r="Q516" s="54"/>
      <c r="R516" s="54"/>
      <c r="S516" s="54"/>
      <c r="T516" s="54"/>
      <c r="U516" s="54"/>
      <c r="V516" s="54"/>
      <c r="W516" s="54"/>
      <c r="X516" s="54"/>
      <c r="Y516" s="54"/>
      <c r="Z516" s="54"/>
      <c r="AA516" s="54"/>
      <c r="AB516" s="54"/>
      <c r="AC516" s="1473">
        <v>1</v>
      </c>
      <c r="AD516" s="1474"/>
      <c r="AE516" s="1474"/>
      <c r="AF516" s="1475"/>
      <c r="AG516" s="47"/>
      <c r="AH516" s="1327"/>
      <c r="AI516" s="1327"/>
      <c r="AJ516" s="1327"/>
      <c r="AK516" s="132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56" t="s">
        <v>678</v>
      </c>
      <c r="C517" s="1157"/>
      <c r="D517" s="1157"/>
      <c r="E517" s="1157"/>
      <c r="F517" s="1157"/>
      <c r="G517" s="1157"/>
      <c r="H517" s="1158"/>
      <c r="I517" s="7" t="s">
        <v>679</v>
      </c>
      <c r="J517" s="7"/>
      <c r="K517" s="7"/>
      <c r="L517" s="7"/>
      <c r="M517" s="7"/>
      <c r="N517" s="7"/>
      <c r="O517" s="7"/>
      <c r="P517" s="7"/>
      <c r="Q517" s="7"/>
      <c r="R517" s="7"/>
      <c r="S517" s="7"/>
      <c r="T517" s="7"/>
      <c r="U517" s="7"/>
      <c r="V517" s="7"/>
      <c r="W517" s="7"/>
      <c r="AC517" s="1110">
        <v>2</v>
      </c>
      <c r="AD517" s="1111"/>
      <c r="AE517" s="1111"/>
      <c r="AF517" s="1111"/>
      <c r="AG517" s="18" t="s">
        <v>248</v>
      </c>
      <c r="AH517" s="1140">
        <v>2025</v>
      </c>
      <c r="AI517" s="1140"/>
      <c r="AJ517" s="1140"/>
      <c r="AK517" s="11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59"/>
      <c r="C518" s="1160"/>
      <c r="D518" s="1160"/>
      <c r="E518" s="1160"/>
      <c r="F518" s="1160"/>
      <c r="G518" s="1160"/>
      <c r="H518" s="1161"/>
      <c r="I518" t="s">
        <v>680</v>
      </c>
      <c r="AC518" s="1110">
        <v>3</v>
      </c>
      <c r="AD518" s="1111"/>
      <c r="AE518" s="1111"/>
      <c r="AF518" s="1111"/>
      <c r="AG518" s="18" t="s">
        <v>248</v>
      </c>
      <c r="AH518" s="1140">
        <v>2025</v>
      </c>
      <c r="AI518" s="1140"/>
      <c r="AJ518" s="1140"/>
      <c r="AK518" s="11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59"/>
      <c r="C519" s="1160"/>
      <c r="D519" s="1160"/>
      <c r="E519" s="1160"/>
      <c r="F519" s="1160"/>
      <c r="G519" s="1160"/>
      <c r="H519" s="1161"/>
      <c r="I519" s="54" t="s">
        <v>681</v>
      </c>
      <c r="J519" s="54"/>
      <c r="K519" s="54"/>
      <c r="L519" s="54"/>
      <c r="M519" s="54"/>
      <c r="N519" s="54"/>
      <c r="O519" s="54"/>
      <c r="P519" s="54"/>
      <c r="Q519" s="54"/>
      <c r="R519" s="54"/>
      <c r="S519" s="54"/>
      <c r="T519" s="54"/>
      <c r="U519" s="54"/>
      <c r="V519" s="54"/>
      <c r="W519" s="54"/>
      <c r="X519" s="54"/>
      <c r="Y519" s="54"/>
      <c r="Z519" s="54"/>
      <c r="AA519" s="54"/>
      <c r="AB519" s="54"/>
      <c r="AC519" s="1110">
        <v>12</v>
      </c>
      <c r="AD519" s="1111"/>
      <c r="AE519" s="1111"/>
      <c r="AF519" s="1111"/>
      <c r="AG519" s="47" t="s">
        <v>248</v>
      </c>
      <c r="AH519" s="1140">
        <v>2025</v>
      </c>
      <c r="AI519" s="1140"/>
      <c r="AJ519" s="1140"/>
      <c r="AK519" s="11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56" t="s">
        <v>682</v>
      </c>
      <c r="C520" s="1157"/>
      <c r="D520" s="1157"/>
      <c r="E520" s="1157"/>
      <c r="F520" s="1157"/>
      <c r="G520" s="1157"/>
      <c r="H520" s="1158"/>
      <c r="I520" s="7" t="s">
        <v>679</v>
      </c>
      <c r="J520" s="7"/>
      <c r="K520" s="7"/>
      <c r="L520" s="7"/>
      <c r="M520" s="7"/>
      <c r="N520" s="7"/>
      <c r="O520" s="7"/>
      <c r="P520" s="7"/>
      <c r="Q520" s="7"/>
      <c r="R520" s="7"/>
      <c r="S520" s="7"/>
      <c r="T520" s="7"/>
      <c r="U520" s="7"/>
      <c r="V520" s="7"/>
      <c r="W520" s="7"/>
      <c r="X520" s="7"/>
      <c r="Y520" s="7"/>
      <c r="Z520" s="7"/>
      <c r="AA520" s="7"/>
      <c r="AB520" s="7"/>
      <c r="AC520" s="1168">
        <v>2</v>
      </c>
      <c r="AD520" s="1169"/>
      <c r="AE520" s="1169"/>
      <c r="AF520" s="1169"/>
      <c r="AG520" s="228" t="s">
        <v>248</v>
      </c>
      <c r="AH520" s="1140">
        <v>2025</v>
      </c>
      <c r="AI520" s="1140"/>
      <c r="AJ520" s="1140"/>
      <c r="AK520" s="11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59"/>
      <c r="C521" s="1160"/>
      <c r="D521" s="1160"/>
      <c r="E521" s="1160"/>
      <c r="F521" s="1160"/>
      <c r="G521" s="1160"/>
      <c r="H521" s="1161"/>
      <c r="I521" t="s">
        <v>680</v>
      </c>
      <c r="AC521" s="1110">
        <v>3</v>
      </c>
      <c r="AD521" s="1111"/>
      <c r="AE521" s="1111"/>
      <c r="AF521" s="1111"/>
      <c r="AG521" s="18" t="s">
        <v>248</v>
      </c>
      <c r="AH521" s="1140">
        <v>2025</v>
      </c>
      <c r="AI521" s="1140"/>
      <c r="AJ521" s="1140"/>
      <c r="AK521" s="11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62"/>
      <c r="C522" s="1163"/>
      <c r="D522" s="1163"/>
      <c r="E522" s="1163"/>
      <c r="F522" s="1163"/>
      <c r="G522" s="1163"/>
      <c r="H522" s="1164"/>
      <c r="I522" s="54" t="s">
        <v>681</v>
      </c>
      <c r="J522" s="54"/>
      <c r="K522" s="54"/>
      <c r="L522" s="54"/>
      <c r="M522" s="54"/>
      <c r="N522" s="54"/>
      <c r="O522" s="54"/>
      <c r="P522" s="54"/>
      <c r="Q522" s="54"/>
      <c r="R522" s="54"/>
      <c r="S522" s="54"/>
      <c r="T522" s="54"/>
      <c r="U522" s="54"/>
      <c r="V522" s="54"/>
      <c r="W522" s="54"/>
      <c r="X522" s="54"/>
      <c r="Y522" s="54"/>
      <c r="Z522" s="54"/>
      <c r="AA522" s="54"/>
      <c r="AB522" s="54"/>
      <c r="AC522" s="1110">
        <v>12</v>
      </c>
      <c r="AD522" s="1111"/>
      <c r="AE522" s="1111"/>
      <c r="AF522" s="1111"/>
      <c r="AG522" s="47" t="s">
        <v>248</v>
      </c>
      <c r="AH522" s="1140">
        <v>2025</v>
      </c>
      <c r="AI522" s="1140"/>
      <c r="AJ522" s="1140"/>
      <c r="AK522" s="11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56" t="s">
        <v>683</v>
      </c>
      <c r="C523" s="1157"/>
      <c r="D523" s="1157"/>
      <c r="E523" s="1157"/>
      <c r="F523" s="1157"/>
      <c r="G523" s="1157"/>
      <c r="H523" s="1158"/>
      <c r="I523" s="6" t="s">
        <v>684</v>
      </c>
      <c r="J523" s="7"/>
      <c r="K523" s="7"/>
      <c r="L523" s="7"/>
      <c r="M523" s="7"/>
      <c r="N523" s="7"/>
      <c r="O523" s="1132" t="s">
        <v>2447</v>
      </c>
      <c r="P523" s="1133"/>
      <c r="Q523" s="1133"/>
      <c r="R523" s="1133"/>
      <c r="S523" s="1133"/>
      <c r="T523" s="1133"/>
      <c r="U523" s="1133"/>
      <c r="V523" s="1133"/>
      <c r="W523" s="1133"/>
      <c r="X523" s="1133"/>
      <c r="Y523" s="1133"/>
      <c r="Z523" s="1133"/>
      <c r="AA523" s="1133"/>
      <c r="AB523" s="64"/>
      <c r="AC523" s="1168">
        <v>3</v>
      </c>
      <c r="AD523" s="1169"/>
      <c r="AE523" s="1169"/>
      <c r="AF523" s="1169"/>
      <c r="AG523" s="228" t="s">
        <v>248</v>
      </c>
      <c r="AH523" s="1140">
        <v>2025</v>
      </c>
      <c r="AI523" s="1140"/>
      <c r="AJ523" s="1140"/>
      <c r="AK523" s="11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59"/>
      <c r="C524" s="1160"/>
      <c r="D524" s="1160"/>
      <c r="E524" s="1160"/>
      <c r="F524" s="1160"/>
      <c r="G524" s="1160"/>
      <c r="H524" s="1161"/>
      <c r="I524" s="202" t="s">
        <v>685</v>
      </c>
      <c r="AB524" s="71"/>
      <c r="AC524" s="1110">
        <v>3</v>
      </c>
      <c r="AD524" s="1111"/>
      <c r="AE524" s="1111"/>
      <c r="AF524" s="1111"/>
      <c r="AG524" s="18" t="s">
        <v>248</v>
      </c>
      <c r="AH524" s="1140">
        <v>2025</v>
      </c>
      <c r="AI524" s="1140"/>
      <c r="AJ524" s="1140"/>
      <c r="AK524" s="11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59"/>
      <c r="C525" s="1160"/>
      <c r="D525" s="1160"/>
      <c r="E525" s="1160"/>
      <c r="F525" s="1160"/>
      <c r="G525" s="1160"/>
      <c r="H525" s="1161"/>
      <c r="I525" s="53" t="s">
        <v>686</v>
      </c>
      <c r="J525" s="54"/>
      <c r="K525" s="54"/>
      <c r="L525" s="54"/>
      <c r="M525" s="54"/>
      <c r="N525" s="54"/>
      <c r="O525" s="54"/>
      <c r="P525" s="54"/>
      <c r="Q525" s="54"/>
      <c r="R525" s="54"/>
      <c r="S525" s="54"/>
      <c r="T525" s="54"/>
      <c r="U525" s="54"/>
      <c r="V525" s="54"/>
      <c r="W525" s="54"/>
      <c r="X525" s="54"/>
      <c r="Y525" s="54"/>
      <c r="Z525" s="54"/>
      <c r="AA525" s="54"/>
      <c r="AB525" s="55"/>
      <c r="AC525" s="1110">
        <v>12</v>
      </c>
      <c r="AD525" s="1111"/>
      <c r="AE525" s="1111"/>
      <c r="AF525" s="1111"/>
      <c r="AG525" s="47" t="s">
        <v>248</v>
      </c>
      <c r="AH525" s="1140">
        <v>2025</v>
      </c>
      <c r="AI525" s="1140"/>
      <c r="AJ525" s="1140"/>
      <c r="AK525" s="1141"/>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59"/>
      <c r="C526" s="1160"/>
      <c r="D526" s="1160"/>
      <c r="E526" s="1160"/>
      <c r="F526" s="1160"/>
      <c r="G526" s="1160"/>
      <c r="H526" s="1161"/>
      <c r="I526" s="7" t="s">
        <v>687</v>
      </c>
      <c r="J526" s="7"/>
      <c r="K526" s="7"/>
      <c r="L526" s="7"/>
      <c r="M526" s="7"/>
      <c r="N526" s="7"/>
      <c r="O526" s="1132" t="s">
        <v>2523</v>
      </c>
      <c r="P526" s="1133"/>
      <c r="Q526" s="1133"/>
      <c r="R526" s="1133"/>
      <c r="S526" s="1133"/>
      <c r="T526" s="1133"/>
      <c r="U526" s="1133"/>
      <c r="V526" s="1133"/>
      <c r="W526" s="1133"/>
      <c r="X526" s="1133"/>
      <c r="Y526" s="1133"/>
      <c r="Z526" s="1133"/>
      <c r="AA526" s="1133"/>
      <c r="AC526" s="1110" t="s">
        <v>124</v>
      </c>
      <c r="AD526" s="1111"/>
      <c r="AE526" s="1111"/>
      <c r="AF526" s="1111"/>
      <c r="AG526" s="18" t="s">
        <v>248</v>
      </c>
      <c r="AH526" s="1140"/>
      <c r="AI526" s="1140"/>
      <c r="AJ526" s="1140"/>
      <c r="AK526" s="1141"/>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59"/>
      <c r="C527" s="1160"/>
      <c r="D527" s="1160"/>
      <c r="E527" s="1160"/>
      <c r="F527" s="1160"/>
      <c r="G527" s="1160"/>
      <c r="H527" s="1161"/>
      <c r="I527" t="s">
        <v>685</v>
      </c>
      <c r="AC527" s="1110">
        <v>3</v>
      </c>
      <c r="AD527" s="1111"/>
      <c r="AE527" s="1111"/>
      <c r="AF527" s="1111"/>
      <c r="AG527" s="18" t="s">
        <v>248</v>
      </c>
      <c r="AH527" s="1140">
        <v>2025</v>
      </c>
      <c r="AI527" s="1140"/>
      <c r="AJ527" s="1140"/>
      <c r="AK527" s="1141"/>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59"/>
      <c r="C528" s="1160"/>
      <c r="D528" s="1160"/>
      <c r="E528" s="1160"/>
      <c r="F528" s="1160"/>
      <c r="G528" s="1160"/>
      <c r="H528" s="1161"/>
      <c r="I528" s="54" t="s">
        <v>686</v>
      </c>
      <c r="J528" s="54"/>
      <c r="K528" s="54"/>
      <c r="L528" s="54"/>
      <c r="M528" s="54"/>
      <c r="N528" s="54"/>
      <c r="O528" s="54"/>
      <c r="P528" s="54"/>
      <c r="Q528" s="54"/>
      <c r="R528" s="54"/>
      <c r="S528" s="54"/>
      <c r="T528" s="54"/>
      <c r="U528" s="54"/>
      <c r="V528" s="54"/>
      <c r="W528" s="54"/>
      <c r="X528" s="54"/>
      <c r="Y528" s="54"/>
      <c r="Z528" s="54"/>
      <c r="AA528" s="54"/>
      <c r="AB528" s="54"/>
      <c r="AC528" s="1110">
        <v>12</v>
      </c>
      <c r="AD528" s="1111"/>
      <c r="AE528" s="1111"/>
      <c r="AF528" s="1111"/>
      <c r="AG528" s="47" t="s">
        <v>248</v>
      </c>
      <c r="AH528" s="1140">
        <v>2025</v>
      </c>
      <c r="AI528" s="1140"/>
      <c r="AJ528" s="1140"/>
      <c r="AK528" s="1141"/>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159"/>
      <c r="C529" s="1160"/>
      <c r="D529" s="1160"/>
      <c r="E529" s="1160"/>
      <c r="F529" s="1160"/>
      <c r="G529" s="1160"/>
      <c r="H529" s="1161"/>
      <c r="I529" s="7" t="s">
        <v>687</v>
      </c>
      <c r="J529" s="7"/>
      <c r="K529" s="7"/>
      <c r="L529" s="7"/>
      <c r="M529" s="7"/>
      <c r="N529" s="7"/>
      <c r="O529" s="1132" t="s">
        <v>561</v>
      </c>
      <c r="P529" s="1133"/>
      <c r="Q529" s="1133"/>
      <c r="R529" s="1133"/>
      <c r="S529" s="1133"/>
      <c r="T529" s="1133"/>
      <c r="U529" s="1133"/>
      <c r="V529" s="1133"/>
      <c r="W529" s="1133"/>
      <c r="X529" s="1133"/>
      <c r="Y529" s="1133"/>
      <c r="Z529" s="1133"/>
      <c r="AA529" s="1133"/>
      <c r="AC529" s="1110" t="s">
        <v>124</v>
      </c>
      <c r="AD529" s="1111"/>
      <c r="AE529" s="1111"/>
      <c r="AF529" s="1111"/>
      <c r="AG529" s="18" t="s">
        <v>248</v>
      </c>
      <c r="AH529" s="1140"/>
      <c r="AI529" s="1140"/>
      <c r="AJ529" s="1140"/>
      <c r="AK529" s="1141"/>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159"/>
      <c r="C530" s="1160"/>
      <c r="D530" s="1160"/>
      <c r="E530" s="1160"/>
      <c r="F530" s="1160"/>
      <c r="G530" s="1160"/>
      <c r="H530" s="1161"/>
      <c r="I530" t="s">
        <v>685</v>
      </c>
      <c r="AC530" s="1110" t="s">
        <v>124</v>
      </c>
      <c r="AD530" s="1111"/>
      <c r="AE530" s="1111"/>
      <c r="AF530" s="1111"/>
      <c r="AG530" s="18" t="s">
        <v>248</v>
      </c>
      <c r="AH530" s="1140"/>
      <c r="AI530" s="1140"/>
      <c r="AJ530" s="1140"/>
      <c r="AK530" s="1141"/>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159"/>
      <c r="C531" s="1160"/>
      <c r="D531" s="1160"/>
      <c r="E531" s="1160"/>
      <c r="F531" s="1160"/>
      <c r="G531" s="1160"/>
      <c r="H531" s="1161"/>
      <c r="I531" s="54" t="s">
        <v>686</v>
      </c>
      <c r="J531" s="54"/>
      <c r="K531" s="54"/>
      <c r="L531" s="54"/>
      <c r="M531" s="54"/>
      <c r="N531" s="54"/>
      <c r="O531" s="54"/>
      <c r="P531" s="54"/>
      <c r="Q531" s="54"/>
      <c r="R531" s="54"/>
      <c r="S531" s="54"/>
      <c r="T531" s="54"/>
      <c r="U531" s="54"/>
      <c r="V531" s="54"/>
      <c r="W531" s="54"/>
      <c r="X531" s="54"/>
      <c r="Y531" s="54"/>
      <c r="Z531" s="54"/>
      <c r="AA531" s="54"/>
      <c r="AB531" s="54"/>
      <c r="AC531" s="1110" t="s">
        <v>124</v>
      </c>
      <c r="AD531" s="1111"/>
      <c r="AE531" s="1111"/>
      <c r="AF531" s="1111"/>
      <c r="AG531" s="47" t="s">
        <v>248</v>
      </c>
      <c r="AH531" s="1140"/>
      <c r="AI531" s="1140"/>
      <c r="AJ531" s="1140"/>
      <c r="AK531" s="1141"/>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159"/>
      <c r="C532" s="1160"/>
      <c r="D532" s="1160"/>
      <c r="E532" s="1160"/>
      <c r="F532" s="1160"/>
      <c r="G532" s="1160"/>
      <c r="H532" s="1161"/>
      <c r="I532" s="7" t="s">
        <v>687</v>
      </c>
      <c r="J532" s="7"/>
      <c r="K532" s="7"/>
      <c r="L532" s="7"/>
      <c r="M532" s="7"/>
      <c r="N532" s="7"/>
      <c r="O532" s="1132" t="s">
        <v>561</v>
      </c>
      <c r="P532" s="1133"/>
      <c r="Q532" s="1133"/>
      <c r="R532" s="1133"/>
      <c r="S532" s="1133"/>
      <c r="T532" s="1133"/>
      <c r="U532" s="1133"/>
      <c r="V532" s="1133"/>
      <c r="W532" s="1133"/>
      <c r="X532" s="1133"/>
      <c r="Y532" s="1133"/>
      <c r="Z532" s="1133"/>
      <c r="AA532" s="1133"/>
      <c r="AC532" s="1110" t="s">
        <v>124</v>
      </c>
      <c r="AD532" s="1111"/>
      <c r="AE532" s="1111"/>
      <c r="AF532" s="1111"/>
      <c r="AG532" s="18" t="s">
        <v>248</v>
      </c>
      <c r="AH532" s="1140"/>
      <c r="AI532" s="1140"/>
      <c r="AJ532" s="1140"/>
      <c r="AK532" s="1141"/>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159"/>
      <c r="C533" s="1160"/>
      <c r="D533" s="1160"/>
      <c r="E533" s="1160"/>
      <c r="F533" s="1160"/>
      <c r="G533" s="1160"/>
      <c r="H533" s="1161"/>
      <c r="I533" t="s">
        <v>685</v>
      </c>
      <c r="AC533" s="1110" t="s">
        <v>124</v>
      </c>
      <c r="AD533" s="1111"/>
      <c r="AE533" s="1111"/>
      <c r="AF533" s="1111"/>
      <c r="AG533" s="18" t="s">
        <v>248</v>
      </c>
      <c r="AH533" s="1140"/>
      <c r="AI533" s="1140"/>
      <c r="AJ533" s="1140"/>
      <c r="AK533" s="1141"/>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159"/>
      <c r="C534" s="1160"/>
      <c r="D534" s="1160"/>
      <c r="E534" s="1160"/>
      <c r="F534" s="1160"/>
      <c r="G534" s="1160"/>
      <c r="H534" s="1161"/>
      <c r="I534" s="54" t="s">
        <v>686</v>
      </c>
      <c r="J534" s="54"/>
      <c r="K534" s="54"/>
      <c r="L534" s="54"/>
      <c r="M534" s="54"/>
      <c r="N534" s="54"/>
      <c r="O534" s="54"/>
      <c r="P534" s="54"/>
      <c r="Q534" s="54"/>
      <c r="R534" s="54"/>
      <c r="S534" s="54"/>
      <c r="T534" s="54"/>
      <c r="U534" s="54"/>
      <c r="V534" s="54"/>
      <c r="W534" s="54"/>
      <c r="X534" s="54"/>
      <c r="Y534" s="54"/>
      <c r="Z534" s="54"/>
      <c r="AA534" s="54"/>
      <c r="AB534" s="54"/>
      <c r="AC534" s="1110" t="s">
        <v>124</v>
      </c>
      <c r="AD534" s="1111"/>
      <c r="AE534" s="1111"/>
      <c r="AF534" s="1111"/>
      <c r="AG534" s="47" t="s">
        <v>248</v>
      </c>
      <c r="AH534" s="1140"/>
      <c r="AI534" s="1140"/>
      <c r="AJ534" s="1140"/>
      <c r="AK534" s="1141"/>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159"/>
      <c r="C535" s="1160"/>
      <c r="D535" s="1160"/>
      <c r="E535" s="1160"/>
      <c r="F535" s="1160"/>
      <c r="G535" s="1160"/>
      <c r="H535" s="1161"/>
      <c r="I535" s="7" t="s">
        <v>687</v>
      </c>
      <c r="J535" s="7"/>
      <c r="K535" s="7"/>
      <c r="L535" s="7"/>
      <c r="M535" s="7"/>
      <c r="N535" s="7"/>
      <c r="O535" s="1132" t="s">
        <v>561</v>
      </c>
      <c r="P535" s="1133"/>
      <c r="Q535" s="1133"/>
      <c r="R535" s="1133"/>
      <c r="S535" s="1133"/>
      <c r="T535" s="1133"/>
      <c r="U535" s="1133"/>
      <c r="V535" s="1133"/>
      <c r="W535" s="1133"/>
      <c r="X535" s="1133"/>
      <c r="Y535" s="1133"/>
      <c r="Z535" s="1133"/>
      <c r="AA535" s="1133"/>
      <c r="AC535" s="1110" t="s">
        <v>124</v>
      </c>
      <c r="AD535" s="1111"/>
      <c r="AE535" s="1111"/>
      <c r="AF535" s="1111"/>
      <c r="AG535" s="18" t="s">
        <v>248</v>
      </c>
      <c r="AH535" s="1140"/>
      <c r="AI535" s="1140"/>
      <c r="AJ535" s="1140"/>
      <c r="AK535" s="1141"/>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159"/>
      <c r="C536" s="1160"/>
      <c r="D536" s="1160"/>
      <c r="E536" s="1160"/>
      <c r="F536" s="1160"/>
      <c r="G536" s="1160"/>
      <c r="H536" s="1161"/>
      <c r="I536" t="s">
        <v>685</v>
      </c>
      <c r="AC536" s="1110" t="s">
        <v>124</v>
      </c>
      <c r="AD536" s="1111"/>
      <c r="AE536" s="1111"/>
      <c r="AF536" s="1111"/>
      <c r="AG536" s="47" t="s">
        <v>248</v>
      </c>
      <c r="AH536" s="1140"/>
      <c r="AI536" s="1140"/>
      <c r="AJ536" s="1140"/>
      <c r="AK536" s="1141"/>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159"/>
      <c r="C537" s="1160"/>
      <c r="D537" s="1160"/>
      <c r="E537" s="1160"/>
      <c r="F537" s="1160"/>
      <c r="G537" s="1160"/>
      <c r="H537" s="1161"/>
      <c r="I537" s="54" t="s">
        <v>686</v>
      </c>
      <c r="J537" s="54"/>
      <c r="K537" s="54"/>
      <c r="L537" s="54"/>
      <c r="M537" s="54"/>
      <c r="N537" s="54"/>
      <c r="O537" s="54"/>
      <c r="P537" s="54"/>
      <c r="Q537" s="54"/>
      <c r="R537" s="54"/>
      <c r="S537" s="54"/>
      <c r="T537" s="54"/>
      <c r="U537" s="54"/>
      <c r="V537" s="54"/>
      <c r="W537" s="54"/>
      <c r="X537" s="54"/>
      <c r="Y537" s="54"/>
      <c r="Z537" s="54"/>
      <c r="AA537" s="54"/>
      <c r="AB537" s="54"/>
      <c r="AC537" s="1110" t="s">
        <v>124</v>
      </c>
      <c r="AD537" s="1111"/>
      <c r="AE537" s="1111"/>
      <c r="AF537" s="1111"/>
      <c r="AG537" s="18" t="s">
        <v>248</v>
      </c>
      <c r="AH537" s="1140"/>
      <c r="AI537" s="1140"/>
      <c r="AJ537" s="1140"/>
      <c r="AK537" s="1141"/>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159"/>
      <c r="C538" s="1160"/>
      <c r="D538" s="1160"/>
      <c r="E538" s="1160"/>
      <c r="F538" s="1160"/>
      <c r="G538" s="1160"/>
      <c r="H538" s="1161"/>
      <c r="I538" s="7" t="s">
        <v>687</v>
      </c>
      <c r="J538" s="7"/>
      <c r="K538" s="7"/>
      <c r="L538" s="7"/>
      <c r="M538" s="7"/>
      <c r="N538" s="7"/>
      <c r="O538" s="1132" t="s">
        <v>561</v>
      </c>
      <c r="P538" s="1133"/>
      <c r="Q538" s="1133"/>
      <c r="R538" s="1133"/>
      <c r="S538" s="1133"/>
      <c r="T538" s="1133"/>
      <c r="U538" s="1133"/>
      <c r="V538" s="1133"/>
      <c r="W538" s="1133"/>
      <c r="X538" s="1133"/>
      <c r="Y538" s="1133"/>
      <c r="Z538" s="1133"/>
      <c r="AA538" s="1133"/>
      <c r="AC538" s="1110" t="s">
        <v>124</v>
      </c>
      <c r="AD538" s="1111"/>
      <c r="AE538" s="1111"/>
      <c r="AF538" s="1111"/>
      <c r="AG538" s="47" t="s">
        <v>248</v>
      </c>
      <c r="AH538" s="1140"/>
      <c r="AI538" s="1140"/>
      <c r="AJ538" s="1140"/>
      <c r="AK538" s="1141"/>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159"/>
      <c r="C539" s="1160"/>
      <c r="D539" s="1160"/>
      <c r="E539" s="1160"/>
      <c r="F539" s="1160"/>
      <c r="G539" s="1160"/>
      <c r="H539" s="1161"/>
      <c r="I539" t="s">
        <v>685</v>
      </c>
      <c r="AC539" s="1110" t="s">
        <v>124</v>
      </c>
      <c r="AD539" s="1111"/>
      <c r="AE539" s="1111"/>
      <c r="AF539" s="1111"/>
      <c r="AG539" s="18" t="s">
        <v>248</v>
      </c>
      <c r="AH539" s="1140"/>
      <c r="AI539" s="1140"/>
      <c r="AJ539" s="1140"/>
      <c r="AK539" s="1141"/>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159"/>
      <c r="C540" s="1160"/>
      <c r="D540" s="1160"/>
      <c r="E540" s="1160"/>
      <c r="F540" s="1160"/>
      <c r="G540" s="1160"/>
      <c r="H540" s="1161"/>
      <c r="I540" s="54" t="s">
        <v>686</v>
      </c>
      <c r="J540" s="54"/>
      <c r="K540" s="54"/>
      <c r="L540" s="54"/>
      <c r="M540" s="54"/>
      <c r="N540" s="54"/>
      <c r="O540" s="54"/>
      <c r="P540" s="54"/>
      <c r="Q540" s="54"/>
      <c r="R540" s="54"/>
      <c r="S540" s="54"/>
      <c r="T540" s="54"/>
      <c r="U540" s="54"/>
      <c r="V540" s="54"/>
      <c r="W540" s="54"/>
      <c r="X540" s="54"/>
      <c r="Y540" s="54"/>
      <c r="Z540" s="54"/>
      <c r="AA540" s="54"/>
      <c r="AB540" s="54"/>
      <c r="AC540" s="1110" t="s">
        <v>124</v>
      </c>
      <c r="AD540" s="1111"/>
      <c r="AE540" s="1111"/>
      <c r="AF540" s="1111"/>
      <c r="AG540" s="47" t="s">
        <v>248</v>
      </c>
      <c r="AH540" s="1140"/>
      <c r="AI540" s="1140"/>
      <c r="AJ540" s="1140"/>
      <c r="AK540" s="1141"/>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159"/>
      <c r="C541" s="1160"/>
      <c r="D541" s="1160"/>
      <c r="E541" s="1160"/>
      <c r="F541" s="1160"/>
      <c r="G541" s="1160"/>
      <c r="H541" s="1161"/>
      <c r="I541" s="7" t="s">
        <v>734</v>
      </c>
      <c r="J541" s="7"/>
      <c r="K541" s="7"/>
      <c r="L541" s="7"/>
      <c r="M541" s="7"/>
      <c r="N541" s="7"/>
      <c r="O541" s="7"/>
      <c r="P541" s="7"/>
      <c r="Q541" s="7"/>
      <c r="R541" s="7"/>
      <c r="S541" s="7"/>
      <c r="T541" s="7"/>
      <c r="U541" s="7"/>
      <c r="V541" s="7"/>
      <c r="W541" s="7"/>
      <c r="AC541" s="1110">
        <v>12</v>
      </c>
      <c r="AD541" s="1111"/>
      <c r="AE541" s="1111"/>
      <c r="AF541" s="1111"/>
      <c r="AG541" s="47" t="s">
        <v>248</v>
      </c>
      <c r="AH541" s="1140">
        <v>2025</v>
      </c>
      <c r="AI541" s="1140"/>
      <c r="AJ541" s="1140"/>
      <c r="AK541" s="1141"/>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159"/>
      <c r="C542" s="1160"/>
      <c r="D542" s="1160"/>
      <c r="E542" s="1160"/>
      <c r="F542" s="1160"/>
      <c r="G542" s="1160"/>
      <c r="H542" s="1161"/>
      <c r="I542" t="s">
        <v>735</v>
      </c>
      <c r="AC542" s="1110">
        <v>12</v>
      </c>
      <c r="AD542" s="1111"/>
      <c r="AE542" s="1111"/>
      <c r="AF542" s="1111"/>
      <c r="AG542" s="18" t="s">
        <v>248</v>
      </c>
      <c r="AH542" s="1140">
        <v>2025</v>
      </c>
      <c r="AI542" s="1140"/>
      <c r="AJ542" s="1140"/>
      <c r="AK542" s="1141"/>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159"/>
      <c r="C543" s="1160"/>
      <c r="D543" s="1160"/>
      <c r="E543" s="1160"/>
      <c r="F543" s="1160"/>
      <c r="G543" s="1160"/>
      <c r="H543" s="1161"/>
      <c r="I543" t="s">
        <v>736</v>
      </c>
      <c r="AC543" s="1110">
        <v>10</v>
      </c>
      <c r="AD543" s="1111"/>
      <c r="AE543" s="1111"/>
      <c r="AF543" s="1111"/>
      <c r="AG543" s="47" t="s">
        <v>248</v>
      </c>
      <c r="AH543" s="1140">
        <v>2026</v>
      </c>
      <c r="AI543" s="1140"/>
      <c r="AJ543" s="1140"/>
      <c r="AK543" s="1141"/>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159"/>
      <c r="C544" s="1160"/>
      <c r="D544" s="1160"/>
      <c r="E544" s="1160"/>
      <c r="F544" s="1160"/>
      <c r="G544" s="1160"/>
      <c r="H544" s="1161"/>
      <c r="I544" t="s">
        <v>737</v>
      </c>
      <c r="AC544" s="1110">
        <v>10</v>
      </c>
      <c r="AD544" s="1111"/>
      <c r="AE544" s="1111"/>
      <c r="AF544" s="1111"/>
      <c r="AG544" s="47" t="s">
        <v>248</v>
      </c>
      <c r="AH544" s="1140">
        <v>2026</v>
      </c>
      <c r="AI544" s="1140"/>
      <c r="AJ544" s="1140"/>
      <c r="AK544" s="1141"/>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162"/>
      <c r="C545" s="1163"/>
      <c r="D545" s="1163"/>
      <c r="E545" s="1163"/>
      <c r="F545" s="1163"/>
      <c r="G545" s="1163"/>
      <c r="H545" s="1164"/>
      <c r="I545" s="54" t="s">
        <v>1363</v>
      </c>
      <c r="J545" s="54"/>
      <c r="K545" s="54"/>
      <c r="L545" s="54"/>
      <c r="M545" s="54"/>
      <c r="N545" s="54"/>
      <c r="O545" s="54"/>
      <c r="P545" s="54"/>
      <c r="Q545" s="54"/>
      <c r="R545" s="54"/>
      <c r="S545" s="54"/>
      <c r="T545" s="54"/>
      <c r="U545" s="54"/>
      <c r="V545" s="54"/>
      <c r="W545" s="54"/>
      <c r="X545" s="54"/>
      <c r="Y545" s="54"/>
      <c r="Z545" s="54"/>
      <c r="AA545" s="54"/>
      <c r="AB545" s="54"/>
      <c r="AC545" s="1110">
        <v>10</v>
      </c>
      <c r="AD545" s="1111"/>
      <c r="AE545" s="1111"/>
      <c r="AF545" s="1111"/>
      <c r="AG545" s="47" t="s">
        <v>248</v>
      </c>
      <c r="AH545" s="1140">
        <v>2026</v>
      </c>
      <c r="AI545" s="1140"/>
      <c r="AJ545" s="1140"/>
      <c r="AK545" s="1141"/>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77" t="s">
        <v>498</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156" t="s">
        <v>2178</v>
      </c>
      <c r="C554" s="1157"/>
      <c r="D554" s="1157"/>
      <c r="E554" s="1157"/>
      <c r="F554" s="1157"/>
      <c r="G554" s="1157"/>
      <c r="H554" s="1157"/>
      <c r="I554" s="1157"/>
      <c r="J554" s="1157"/>
      <c r="K554" s="1157"/>
      <c r="L554" s="1157"/>
      <c r="M554" s="1176" t="s">
        <v>2152</v>
      </c>
      <c r="N554" s="1176"/>
      <c r="O554" s="1176"/>
      <c r="P554" s="1176"/>
      <c r="Q554" s="1156" t="s">
        <v>440</v>
      </c>
      <c r="R554" s="1157"/>
      <c r="S554" s="1158"/>
      <c r="T554" s="1156" t="s">
        <v>1976</v>
      </c>
      <c r="U554" s="1157"/>
      <c r="V554" s="1158"/>
      <c r="W554" s="1156" t="s">
        <v>739</v>
      </c>
      <c r="X554" s="1157"/>
      <c r="Y554" s="1158"/>
      <c r="Z554" s="1156" t="s">
        <v>1978</v>
      </c>
      <c r="AA554" s="1157"/>
      <c r="AB554" s="1157"/>
      <c r="AC554" s="1157"/>
      <c r="AD554" s="1158"/>
      <c r="AE554" s="1156" t="s">
        <v>1977</v>
      </c>
      <c r="AF554" s="1157"/>
      <c r="AG554" s="1157"/>
      <c r="AH554" s="1158"/>
      <c r="AI554" s="1156" t="s">
        <v>1979</v>
      </c>
      <c r="AJ554" s="1157"/>
      <c r="AK554" s="1157"/>
      <c r="AL554" s="1158"/>
      <c r="AM554" s="1156" t="s">
        <v>740</v>
      </c>
      <c r="AN554" s="1157"/>
      <c r="AO554" s="1157"/>
      <c r="AP554" s="1157"/>
      <c r="AQ554" s="1157"/>
      <c r="AR554" s="1157"/>
      <c r="AS554" s="115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159"/>
      <c r="C555" s="1160"/>
      <c r="D555" s="1160"/>
      <c r="E555" s="1160"/>
      <c r="F555" s="1160"/>
      <c r="G555" s="1160"/>
      <c r="H555" s="1160"/>
      <c r="I555" s="1160"/>
      <c r="J555" s="1160"/>
      <c r="K555" s="1160"/>
      <c r="L555" s="1160"/>
      <c r="M555" s="1176"/>
      <c r="N555" s="1176"/>
      <c r="O555" s="1176"/>
      <c r="P555" s="1176"/>
      <c r="Q555" s="1159"/>
      <c r="R555" s="1160"/>
      <c r="S555" s="1161"/>
      <c r="T555" s="1159"/>
      <c r="U555" s="1160"/>
      <c r="V555" s="1161"/>
      <c r="W555" s="1159"/>
      <c r="X555" s="1160"/>
      <c r="Y555" s="1161"/>
      <c r="Z555" s="1159"/>
      <c r="AA555" s="1160"/>
      <c r="AB555" s="1160"/>
      <c r="AC555" s="1160"/>
      <c r="AD555" s="1161"/>
      <c r="AE555" s="1159"/>
      <c r="AF555" s="1160"/>
      <c r="AG555" s="1160"/>
      <c r="AH555" s="1161"/>
      <c r="AI555" s="1159"/>
      <c r="AJ555" s="1160"/>
      <c r="AK555" s="1160"/>
      <c r="AL555" s="1161"/>
      <c r="AM555" s="1159"/>
      <c r="AN555" s="1160"/>
      <c r="AO555" s="1160"/>
      <c r="AP555" s="1160"/>
      <c r="AQ555" s="1160"/>
      <c r="AR555" s="1160"/>
      <c r="AS555" s="116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162"/>
      <c r="C556" s="1163"/>
      <c r="D556" s="1163"/>
      <c r="E556" s="1163"/>
      <c r="F556" s="1163"/>
      <c r="G556" s="1163"/>
      <c r="H556" s="1163"/>
      <c r="I556" s="1163"/>
      <c r="J556" s="1163"/>
      <c r="K556" s="1163"/>
      <c r="L556" s="1163"/>
      <c r="M556" s="1176"/>
      <c r="N556" s="1176"/>
      <c r="O556" s="1176"/>
      <c r="P556" s="1176"/>
      <c r="Q556" s="1162"/>
      <c r="R556" s="1163"/>
      <c r="S556" s="1164"/>
      <c r="T556" s="1162"/>
      <c r="U556" s="1163"/>
      <c r="V556" s="1164"/>
      <c r="W556" s="1162"/>
      <c r="X556" s="1163"/>
      <c r="Y556" s="1164"/>
      <c r="Z556" s="1162"/>
      <c r="AA556" s="1163"/>
      <c r="AB556" s="1163"/>
      <c r="AC556" s="1163"/>
      <c r="AD556" s="1164"/>
      <c r="AE556" s="1162"/>
      <c r="AF556" s="1163"/>
      <c r="AG556" s="1163"/>
      <c r="AH556" s="1164"/>
      <c r="AI556" s="1162"/>
      <c r="AJ556" s="1163"/>
      <c r="AK556" s="1163"/>
      <c r="AL556" s="1164"/>
      <c r="AM556" s="1162"/>
      <c r="AN556" s="1163"/>
      <c r="AO556" s="1163"/>
      <c r="AP556" s="1163"/>
      <c r="AQ556" s="1163"/>
      <c r="AR556" s="1163"/>
      <c r="AS556" s="116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899</v>
      </c>
      <c r="C557" s="1114" t="s">
        <v>2448</v>
      </c>
      <c r="D557" s="1114"/>
      <c r="E557" s="1114"/>
      <c r="F557" s="1114"/>
      <c r="G557" s="1114"/>
      <c r="H557" s="1114"/>
      <c r="I557" s="1114"/>
      <c r="J557" s="1114"/>
      <c r="K557" s="1114"/>
      <c r="L557" s="1114"/>
      <c r="M557" s="1113" t="s">
        <v>2163</v>
      </c>
      <c r="N557" s="1113"/>
      <c r="O557" s="1113"/>
      <c r="P557" s="1113"/>
      <c r="Q557" s="1116">
        <v>24</v>
      </c>
      <c r="R557" s="1116"/>
      <c r="S557" s="1117"/>
      <c r="T557" s="1115"/>
      <c r="U557" s="1116"/>
      <c r="V557" s="1117"/>
      <c r="W557" s="1437">
        <v>0.09</v>
      </c>
      <c r="X557" s="1438"/>
      <c r="Y557" s="1439"/>
      <c r="Z557" s="1435" t="s">
        <v>2449</v>
      </c>
      <c r="AA557" s="1435"/>
      <c r="AB557" s="1435"/>
      <c r="AC557" s="1435"/>
      <c r="AD557" s="1435"/>
      <c r="AE557" s="1440">
        <v>3</v>
      </c>
      <c r="AF557" s="1441"/>
      <c r="AG557" s="1441"/>
      <c r="AH557" s="1442"/>
      <c r="AI557" s="1432">
        <f>+AM557*W557</f>
        <v>585000</v>
      </c>
      <c r="AJ557" s="1433"/>
      <c r="AK557" s="1433"/>
      <c r="AL557" s="1434"/>
      <c r="AM557" s="1243">
        <v>6500000</v>
      </c>
      <c r="AN557" s="1244"/>
      <c r="AO557" s="1244"/>
      <c r="AP557" s="1244"/>
      <c r="AQ557" s="1244"/>
      <c r="AR557" s="1244"/>
      <c r="AS557" s="124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900</v>
      </c>
      <c r="C558" s="1114" t="s">
        <v>2448</v>
      </c>
      <c r="D558" s="1114"/>
      <c r="E558" s="1114"/>
      <c r="F558" s="1114"/>
      <c r="G558" s="1114"/>
      <c r="H558" s="1114"/>
      <c r="I558" s="1114"/>
      <c r="J558" s="1114"/>
      <c r="K558" s="1114"/>
      <c r="L558" s="1114"/>
      <c r="M558" s="1113" t="s">
        <v>2162</v>
      </c>
      <c r="N558" s="1113"/>
      <c r="O558" s="1113"/>
      <c r="P558" s="1113"/>
      <c r="Q558" s="1115">
        <v>360</v>
      </c>
      <c r="R558" s="1116"/>
      <c r="S558" s="1117"/>
      <c r="T558" s="1115">
        <v>360</v>
      </c>
      <c r="U558" s="1116"/>
      <c r="V558" s="1117"/>
      <c r="W558" s="1437">
        <v>6.6000000000000003E-2</v>
      </c>
      <c r="X558" s="1438"/>
      <c r="Y558" s="1439"/>
      <c r="Z558" s="1435" t="s">
        <v>2451</v>
      </c>
      <c r="AA558" s="1435"/>
      <c r="AB558" s="1435"/>
      <c r="AC558" s="1435"/>
      <c r="AD558" s="1435"/>
      <c r="AE558" s="1440">
        <v>1</v>
      </c>
      <c r="AF558" s="1441"/>
      <c r="AG558" s="1441"/>
      <c r="AH558" s="1442"/>
      <c r="AI558" s="1432">
        <f>-PMT(W558,T558/12,AM558)</f>
        <v>270805.31264246581</v>
      </c>
      <c r="AJ558" s="1433"/>
      <c r="AK558" s="1433"/>
      <c r="AL558" s="1434"/>
      <c r="AM558" s="1243">
        <v>3500000</v>
      </c>
      <c r="AN558" s="1244"/>
      <c r="AO558" s="1244"/>
      <c r="AP558" s="1244"/>
      <c r="AQ558" s="1244"/>
      <c r="AR558" s="1244"/>
      <c r="AS558" s="124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906</v>
      </c>
      <c r="C559" s="1114" t="s">
        <v>2450</v>
      </c>
      <c r="D559" s="1114"/>
      <c r="E559" s="1114"/>
      <c r="F559" s="1114"/>
      <c r="G559" s="1114"/>
      <c r="H559" s="1114"/>
      <c r="I559" s="1114"/>
      <c r="J559" s="1114"/>
      <c r="K559" s="1114"/>
      <c r="L559" s="1114"/>
      <c r="M559" s="1113" t="s">
        <v>2159</v>
      </c>
      <c r="N559" s="1113"/>
      <c r="O559" s="1113"/>
      <c r="P559" s="1113"/>
      <c r="Q559" s="1115"/>
      <c r="R559" s="1116"/>
      <c r="S559" s="1117"/>
      <c r="T559" s="1115"/>
      <c r="U559" s="1116"/>
      <c r="V559" s="1117"/>
      <c r="W559" s="1437"/>
      <c r="X559" s="1438"/>
      <c r="Y559" s="1439"/>
      <c r="Z559" s="1435" t="s">
        <v>124</v>
      </c>
      <c r="AA559" s="1435"/>
      <c r="AB559" s="1435"/>
      <c r="AC559" s="1435"/>
      <c r="AD559" s="1435"/>
      <c r="AE559" s="1440"/>
      <c r="AF559" s="1441"/>
      <c r="AG559" s="1441"/>
      <c r="AH559" s="1442"/>
      <c r="AI559" s="1432"/>
      <c r="AJ559" s="1433"/>
      <c r="AK559" s="1433"/>
      <c r="AL559" s="1434"/>
      <c r="AM559" s="1243">
        <f>3097414-1500000</f>
        <v>1597414</v>
      </c>
      <c r="AN559" s="1244"/>
      <c r="AO559" s="1244"/>
      <c r="AP559" s="1244"/>
      <c r="AQ559" s="1244"/>
      <c r="AR559" s="1244"/>
      <c r="AS559" s="124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431</v>
      </c>
      <c r="C560" s="1114" t="s">
        <v>2330</v>
      </c>
      <c r="D560" s="1114"/>
      <c r="E560" s="1114"/>
      <c r="F560" s="1114"/>
      <c r="G560" s="1114"/>
      <c r="H560" s="1114"/>
      <c r="I560" s="1114"/>
      <c r="J560" s="1114"/>
      <c r="K560" s="1114"/>
      <c r="L560" s="1114"/>
      <c r="M560" s="1113" t="s">
        <v>2155</v>
      </c>
      <c r="N560" s="1113"/>
      <c r="O560" s="1113"/>
      <c r="P560" s="1113"/>
      <c r="Q560" s="1115">
        <v>180</v>
      </c>
      <c r="R560" s="1116"/>
      <c r="S560" s="1117"/>
      <c r="T560" s="1115"/>
      <c r="U560" s="1116"/>
      <c r="V560" s="1117"/>
      <c r="W560" s="1437">
        <v>0</v>
      </c>
      <c r="X560" s="1438"/>
      <c r="Y560" s="1439"/>
      <c r="Z560" s="1435" t="s">
        <v>124</v>
      </c>
      <c r="AA560" s="1435"/>
      <c r="AB560" s="1435"/>
      <c r="AC560" s="1435"/>
      <c r="AD560" s="1435"/>
      <c r="AE560" s="1440"/>
      <c r="AF560" s="1441"/>
      <c r="AG560" s="1441"/>
      <c r="AH560" s="1442"/>
      <c r="AI560" s="1432"/>
      <c r="AJ560" s="1433"/>
      <c r="AK560" s="1433"/>
      <c r="AL560" s="1434"/>
      <c r="AM560" s="1243">
        <v>1073051</v>
      </c>
      <c r="AN560" s="1244"/>
      <c r="AO560" s="1244"/>
      <c r="AP560" s="1244"/>
      <c r="AQ560" s="1244"/>
      <c r="AR560" s="1244"/>
      <c r="AS560" s="124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114" t="s">
        <v>2447</v>
      </c>
      <c r="D561" s="1114"/>
      <c r="E561" s="1114"/>
      <c r="F561" s="1114"/>
      <c r="G561" s="1114"/>
      <c r="H561" s="1114"/>
      <c r="I561" s="1114"/>
      <c r="J561" s="1114"/>
      <c r="K561" s="1114"/>
      <c r="L561" s="1114"/>
      <c r="M561" s="1113" t="s">
        <v>2162</v>
      </c>
      <c r="N561" s="1113"/>
      <c r="O561" s="1113"/>
      <c r="P561" s="1113"/>
      <c r="Q561" s="1115">
        <v>360</v>
      </c>
      <c r="R561" s="1116"/>
      <c r="S561" s="1117"/>
      <c r="T561" s="1115">
        <v>600</v>
      </c>
      <c r="U561" s="1116"/>
      <c r="V561" s="1117"/>
      <c r="W561" s="1437">
        <v>0.01</v>
      </c>
      <c r="X561" s="1438"/>
      <c r="Y561" s="1439"/>
      <c r="Z561" s="1435" t="s">
        <v>2451</v>
      </c>
      <c r="AA561" s="1435"/>
      <c r="AB561" s="1435"/>
      <c r="AC561" s="1435"/>
      <c r="AD561" s="1435"/>
      <c r="AE561" s="1440">
        <v>2</v>
      </c>
      <c r="AF561" s="1441"/>
      <c r="AG561" s="1441"/>
      <c r="AH561" s="1442"/>
      <c r="AI561" s="1432">
        <f>-PMT(W561,T561/12,AM561)</f>
        <v>83486.585052796261</v>
      </c>
      <c r="AJ561" s="1433"/>
      <c r="AK561" s="1433"/>
      <c r="AL561" s="1434"/>
      <c r="AM561" s="1243">
        <v>3272350</v>
      </c>
      <c r="AN561" s="1244"/>
      <c r="AO561" s="1244"/>
      <c r="AP561" s="1244"/>
      <c r="AQ561" s="1244"/>
      <c r="AR561" s="1244"/>
      <c r="AS561" s="124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434</v>
      </c>
      <c r="C562" s="1114" t="s">
        <v>2452</v>
      </c>
      <c r="D562" s="1114"/>
      <c r="E562" s="1114"/>
      <c r="F562" s="1114"/>
      <c r="G562" s="1114"/>
      <c r="H562" s="1114"/>
      <c r="I562" s="1114"/>
      <c r="J562" s="1114"/>
      <c r="K562" s="1114"/>
      <c r="L562" s="1114"/>
      <c r="M562" s="1113" t="s">
        <v>2154</v>
      </c>
      <c r="N562" s="1113"/>
      <c r="O562" s="1113"/>
      <c r="P562" s="1113"/>
      <c r="Q562" s="1115"/>
      <c r="R562" s="1116"/>
      <c r="S562" s="1117"/>
      <c r="T562" s="1115"/>
      <c r="U562" s="1116"/>
      <c r="V562" s="1117"/>
      <c r="W562" s="1437"/>
      <c r="X562" s="1438"/>
      <c r="Y562" s="1439"/>
      <c r="Z562" s="1435" t="s">
        <v>1964</v>
      </c>
      <c r="AA562" s="1435"/>
      <c r="AB562" s="1435"/>
      <c r="AC562" s="1435"/>
      <c r="AD562" s="1435"/>
      <c r="AE562" s="1440"/>
      <c r="AF562" s="1441"/>
      <c r="AG562" s="1441"/>
      <c r="AH562" s="1442"/>
      <c r="AI562" s="1432"/>
      <c r="AJ562" s="1433"/>
      <c r="AK562" s="1433"/>
      <c r="AL562" s="1434"/>
      <c r="AM562" s="1243">
        <f>+AC873</f>
        <v>594665</v>
      </c>
      <c r="AN562" s="1244"/>
      <c r="AO562" s="1244"/>
      <c r="AP562" s="1244"/>
      <c r="AQ562" s="1244"/>
      <c r="AR562" s="1244"/>
      <c r="AS562" s="124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741</v>
      </c>
      <c r="C563" s="1114" t="s">
        <v>2518</v>
      </c>
      <c r="D563" s="1114"/>
      <c r="E563" s="1114"/>
      <c r="F563" s="1114"/>
      <c r="G563" s="1114"/>
      <c r="H563" s="1114"/>
      <c r="I563" s="1114"/>
      <c r="J563" s="1114"/>
      <c r="K563" s="1114"/>
      <c r="L563" s="1114"/>
      <c r="M563" s="1113" t="s">
        <v>2164</v>
      </c>
      <c r="N563" s="1113"/>
      <c r="O563" s="1113"/>
      <c r="P563" s="1113"/>
      <c r="Q563" s="1115">
        <f>58*12</f>
        <v>696</v>
      </c>
      <c r="R563" s="1116"/>
      <c r="S563" s="1117"/>
      <c r="T563" s="1115"/>
      <c r="U563" s="1116"/>
      <c r="V563" s="1117"/>
      <c r="W563" s="1437">
        <v>0.01</v>
      </c>
      <c r="X563" s="1438"/>
      <c r="Y563" s="1439"/>
      <c r="Z563" s="1435" t="s">
        <v>124</v>
      </c>
      <c r="AA563" s="1435"/>
      <c r="AB563" s="1435"/>
      <c r="AC563" s="1435"/>
      <c r="AD563" s="1435"/>
      <c r="AE563" s="1440"/>
      <c r="AF563" s="1441"/>
      <c r="AG563" s="1441"/>
      <c r="AH563" s="1442"/>
      <c r="AI563" s="1432"/>
      <c r="AJ563" s="1433"/>
      <c r="AK563" s="1433"/>
      <c r="AL563" s="1434"/>
      <c r="AM563" s="1243">
        <v>1500000</v>
      </c>
      <c r="AN563" s="1244"/>
      <c r="AO563" s="1244"/>
      <c r="AP563" s="1244"/>
      <c r="AQ563" s="1244"/>
      <c r="AR563" s="1244"/>
      <c r="AS563" s="124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742</v>
      </c>
      <c r="C564" s="1114"/>
      <c r="D564" s="1114"/>
      <c r="E564" s="1114"/>
      <c r="F564" s="1114"/>
      <c r="G564" s="1114"/>
      <c r="H564" s="1114"/>
      <c r="I564" s="1114"/>
      <c r="J564" s="1114"/>
      <c r="K564" s="1114"/>
      <c r="L564" s="1114"/>
      <c r="M564" s="1113" t="s">
        <v>1964</v>
      </c>
      <c r="N564" s="1113"/>
      <c r="O564" s="1113"/>
      <c r="P564" s="1113"/>
      <c r="Q564" s="1115"/>
      <c r="R564" s="1116"/>
      <c r="S564" s="1117"/>
      <c r="T564" s="1115"/>
      <c r="U564" s="1116"/>
      <c r="V564" s="1117"/>
      <c r="W564" s="1437"/>
      <c r="X564" s="1438"/>
      <c r="Y564" s="1439"/>
      <c r="Z564" s="1435" t="s">
        <v>1964</v>
      </c>
      <c r="AA564" s="1435"/>
      <c r="AB564" s="1435"/>
      <c r="AC564" s="1435"/>
      <c r="AD564" s="1435"/>
      <c r="AE564" s="1440"/>
      <c r="AF564" s="1441"/>
      <c r="AG564" s="1441"/>
      <c r="AH564" s="1442"/>
      <c r="AI564" s="1432"/>
      <c r="AJ564" s="1433"/>
      <c r="AK564" s="1433"/>
      <c r="AL564" s="1434"/>
      <c r="AM564" s="1243"/>
      <c r="AN564" s="1244"/>
      <c r="AO564" s="1244"/>
      <c r="AP564" s="1244"/>
      <c r="AQ564" s="1244"/>
      <c r="AR564" s="1244"/>
      <c r="AS564" s="124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545</v>
      </c>
      <c r="C565" s="1114"/>
      <c r="D565" s="1114"/>
      <c r="E565" s="1114"/>
      <c r="F565" s="1114"/>
      <c r="G565" s="1114"/>
      <c r="H565" s="1114"/>
      <c r="I565" s="1114"/>
      <c r="J565" s="1114"/>
      <c r="K565" s="1114"/>
      <c r="L565" s="1114"/>
      <c r="M565" s="1113" t="s">
        <v>1964</v>
      </c>
      <c r="N565" s="1113"/>
      <c r="O565" s="1113"/>
      <c r="P565" s="1113"/>
      <c r="Q565" s="1115"/>
      <c r="R565" s="1116"/>
      <c r="S565" s="1117"/>
      <c r="T565" s="1115"/>
      <c r="U565" s="1116"/>
      <c r="V565" s="1117"/>
      <c r="W565" s="1437"/>
      <c r="X565" s="1438"/>
      <c r="Y565" s="1439"/>
      <c r="Z565" s="1435" t="s">
        <v>1964</v>
      </c>
      <c r="AA565" s="1435"/>
      <c r="AB565" s="1435"/>
      <c r="AC565" s="1435"/>
      <c r="AD565" s="1435"/>
      <c r="AE565" s="1440"/>
      <c r="AF565" s="1441"/>
      <c r="AG565" s="1441"/>
      <c r="AH565" s="1442"/>
      <c r="AI565" s="1432"/>
      <c r="AJ565" s="1433"/>
      <c r="AK565" s="1433"/>
      <c r="AL565" s="1434"/>
      <c r="AM565" s="1243"/>
      <c r="AN565" s="1244"/>
      <c r="AO565" s="1244"/>
      <c r="AP565" s="1244"/>
      <c r="AQ565" s="1244"/>
      <c r="AR565" s="1244"/>
      <c r="AS565" s="124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114"/>
      <c r="D566" s="1114"/>
      <c r="E566" s="1114"/>
      <c r="F566" s="1114"/>
      <c r="G566" s="1114"/>
      <c r="H566" s="1114"/>
      <c r="I566" s="1114"/>
      <c r="J566" s="1114"/>
      <c r="K566" s="1114"/>
      <c r="L566" s="1114"/>
      <c r="M566" s="1113" t="s">
        <v>1964</v>
      </c>
      <c r="N566" s="1113"/>
      <c r="O566" s="1113"/>
      <c r="P566" s="1113"/>
      <c r="Q566" s="1115"/>
      <c r="R566" s="1116"/>
      <c r="S566" s="1117"/>
      <c r="T566" s="1115"/>
      <c r="U566" s="1116"/>
      <c r="V566" s="1117"/>
      <c r="W566" s="1437"/>
      <c r="X566" s="1438"/>
      <c r="Y566" s="1439"/>
      <c r="Z566" s="1435" t="s">
        <v>1964</v>
      </c>
      <c r="AA566" s="1435"/>
      <c r="AB566" s="1435"/>
      <c r="AC566" s="1435"/>
      <c r="AD566" s="1435"/>
      <c r="AE566" s="1440"/>
      <c r="AF566" s="1441"/>
      <c r="AG566" s="1441"/>
      <c r="AH566" s="1442"/>
      <c r="AI566" s="1432"/>
      <c r="AJ566" s="1433"/>
      <c r="AK566" s="1433"/>
      <c r="AL566" s="1434"/>
      <c r="AM566" s="1243"/>
      <c r="AN566" s="1244"/>
      <c r="AO566" s="1244"/>
      <c r="AP566" s="1244"/>
      <c r="AQ566" s="1244"/>
      <c r="AR566" s="1244"/>
      <c r="AS566" s="124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114"/>
      <c r="D567" s="1114"/>
      <c r="E567" s="1114"/>
      <c r="F567" s="1114"/>
      <c r="G567" s="1114"/>
      <c r="H567" s="1114"/>
      <c r="I567" s="1114"/>
      <c r="J567" s="1114"/>
      <c r="K567" s="1114"/>
      <c r="L567" s="1114"/>
      <c r="M567" s="1113" t="s">
        <v>1964</v>
      </c>
      <c r="N567" s="1113"/>
      <c r="O567" s="1113"/>
      <c r="P567" s="1113"/>
      <c r="Q567" s="1115"/>
      <c r="R567" s="1116"/>
      <c r="S567" s="1117"/>
      <c r="T567" s="1115"/>
      <c r="U567" s="1116"/>
      <c r="V567" s="1117"/>
      <c r="W567" s="1437"/>
      <c r="X567" s="1438"/>
      <c r="Y567" s="1439"/>
      <c r="Z567" s="1435" t="s">
        <v>1964</v>
      </c>
      <c r="AA567" s="1435"/>
      <c r="AB567" s="1435"/>
      <c r="AC567" s="1435"/>
      <c r="AD567" s="1435"/>
      <c r="AE567" s="1440"/>
      <c r="AF567" s="1441"/>
      <c r="AG567" s="1441"/>
      <c r="AH567" s="1442"/>
      <c r="AI567" s="1432"/>
      <c r="AJ567" s="1433"/>
      <c r="AK567" s="1433"/>
      <c r="AL567" s="1434"/>
      <c r="AM567" s="1243"/>
      <c r="AN567" s="1244"/>
      <c r="AO567" s="1244"/>
      <c r="AP567" s="1244"/>
      <c r="AQ567" s="1244"/>
      <c r="AR567" s="1244"/>
      <c r="AS567" s="124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114"/>
      <c r="D568" s="1114"/>
      <c r="E568" s="1114"/>
      <c r="F568" s="1114"/>
      <c r="G568" s="1114"/>
      <c r="H568" s="1114"/>
      <c r="I568" s="1114"/>
      <c r="J568" s="1114"/>
      <c r="K568" s="1114"/>
      <c r="L568" s="1114"/>
      <c r="M568" s="1113" t="s">
        <v>1964</v>
      </c>
      <c r="N568" s="1113"/>
      <c r="O568" s="1113"/>
      <c r="P568" s="1113"/>
      <c r="Q568" s="1115"/>
      <c r="R568" s="1116"/>
      <c r="S568" s="1117"/>
      <c r="T568" s="1115"/>
      <c r="U568" s="1116"/>
      <c r="V568" s="1117"/>
      <c r="W568" s="1437"/>
      <c r="X568" s="1438"/>
      <c r="Y568" s="1439"/>
      <c r="Z568" s="1435" t="s">
        <v>1964</v>
      </c>
      <c r="AA568" s="1435"/>
      <c r="AB568" s="1435"/>
      <c r="AC568" s="1435"/>
      <c r="AD568" s="1435"/>
      <c r="AE568" s="1440"/>
      <c r="AF568" s="1441"/>
      <c r="AG568" s="1441"/>
      <c r="AH568" s="1442"/>
      <c r="AI568" s="1432"/>
      <c r="AJ568" s="1433"/>
      <c r="AK568" s="1433"/>
      <c r="AL568" s="1434"/>
      <c r="AM568" s="1243"/>
      <c r="AN568" s="1244"/>
      <c r="AO568" s="1244"/>
      <c r="AP568" s="1244"/>
      <c r="AQ568" s="1244"/>
      <c r="AR568" s="1244"/>
      <c r="AS568" s="124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18" t="s">
        <v>357</v>
      </c>
      <c r="C569" s="1119"/>
      <c r="D569" s="1119"/>
      <c r="E569" s="1119"/>
      <c r="F569" s="1119"/>
      <c r="G569" s="1119"/>
      <c r="H569" s="1119"/>
      <c r="I569" s="1119"/>
      <c r="J569" s="1119"/>
      <c r="K569" s="1119"/>
      <c r="L569" s="1119"/>
      <c r="M569" s="1119"/>
      <c r="N569" s="1119"/>
      <c r="O569" s="1119"/>
      <c r="P569" s="1119"/>
      <c r="Q569" s="1119"/>
      <c r="R569" s="1119"/>
      <c r="S569" s="1119"/>
      <c r="T569" s="1119"/>
      <c r="U569" s="1120"/>
      <c r="V569" s="1119"/>
      <c r="W569" s="1119"/>
      <c r="X569" s="1119"/>
      <c r="Y569" s="1119"/>
      <c r="Z569" s="1119"/>
      <c r="AA569" s="1119"/>
      <c r="AB569" s="1119"/>
      <c r="AC569" s="1119"/>
      <c r="AD569" s="1119"/>
      <c r="AE569" s="1119"/>
      <c r="AF569" s="1119"/>
      <c r="AG569" s="1119"/>
      <c r="AH569" s="1119"/>
      <c r="AI569" s="1119"/>
      <c r="AJ569" s="1119"/>
      <c r="AK569" s="1119"/>
      <c r="AL569" s="1121"/>
      <c r="AM569" s="1239">
        <f>SUM(AM557:AS568)</f>
        <v>18037480</v>
      </c>
      <c r="AN569" s="1240"/>
      <c r="AO569" s="1240"/>
      <c r="AP569" s="1240"/>
      <c r="AQ569" s="1240"/>
      <c r="AR569" s="1240"/>
      <c r="AS569" s="124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899</v>
      </c>
      <c r="B571" t="s">
        <v>82</v>
      </c>
      <c r="C571"/>
      <c r="G571" s="1247" t="str">
        <f>C557</f>
        <v>Merchants Bank of Indiana</v>
      </c>
      <c r="H571" s="1247"/>
      <c r="I571" s="1247"/>
      <c r="J571" s="1247"/>
      <c r="K571" s="1247"/>
      <c r="L571" s="1247"/>
      <c r="M571" s="1247"/>
      <c r="N571" s="1247"/>
      <c r="O571" s="1247"/>
      <c r="P571" s="1247"/>
      <c r="Q571" s="1247"/>
      <c r="R571" s="1247"/>
      <c r="S571" s="12"/>
      <c r="T571" s="61" t="s">
        <v>900</v>
      </c>
      <c r="U571" t="s">
        <v>82</v>
      </c>
      <c r="Z571" s="1247" t="str">
        <f>C558</f>
        <v>Merchants Bank of Indiana</v>
      </c>
      <c r="AA571" s="1247"/>
      <c r="AB571" s="1247"/>
      <c r="AC571" s="1247"/>
      <c r="AD571" s="1247"/>
      <c r="AE571" s="1247"/>
      <c r="AF571" s="1247"/>
      <c r="AG571" s="1247"/>
      <c r="AH571" s="1247"/>
      <c r="AI571" s="1247"/>
      <c r="AJ571" s="1247"/>
      <c r="AK571" s="124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069" t="s">
        <v>2453</v>
      </c>
      <c r="H572" s="1069"/>
      <c r="I572" s="1069"/>
      <c r="J572" s="1069"/>
      <c r="K572" s="1069"/>
      <c r="L572" s="1069"/>
      <c r="M572" s="1069"/>
      <c r="N572" s="1069"/>
      <c r="O572" s="1069"/>
      <c r="P572" s="1069"/>
      <c r="Q572" s="1069"/>
      <c r="R572" s="1069"/>
      <c r="S572" s="12"/>
      <c r="T572" s="4"/>
      <c r="U572" t="s">
        <v>372</v>
      </c>
      <c r="Z572" s="1069" t="s">
        <v>2453</v>
      </c>
      <c r="AA572" s="1069"/>
      <c r="AB572" s="1069"/>
      <c r="AC572" s="1069"/>
      <c r="AD572" s="1069"/>
      <c r="AE572" s="1069"/>
      <c r="AF572" s="1069"/>
      <c r="AG572" s="1069"/>
      <c r="AH572" s="1069"/>
      <c r="AI572" s="1069"/>
      <c r="AJ572" s="1069"/>
      <c r="AK572" s="10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C573"/>
      <c r="G573" s="1069" t="s">
        <v>2454</v>
      </c>
      <c r="H573" s="1069"/>
      <c r="I573" s="1069"/>
      <c r="J573" s="1069"/>
      <c r="K573" s="1069"/>
      <c r="L573" s="1069"/>
      <c r="M573" s="1069"/>
      <c r="N573" s="1069"/>
      <c r="O573" s="1069"/>
      <c r="P573" s="1069"/>
      <c r="Q573" s="1069"/>
      <c r="R573" s="1069"/>
      <c r="T573" s="4"/>
      <c r="U573" t="s">
        <v>430</v>
      </c>
      <c r="Z573" s="1067" t="s">
        <v>2454</v>
      </c>
      <c r="AA573" s="1067"/>
      <c r="AB573" s="1067"/>
      <c r="AC573" s="1067"/>
      <c r="AD573" s="1067"/>
      <c r="AE573" s="1067"/>
      <c r="AF573" s="1067"/>
      <c r="AG573" s="1067"/>
      <c r="AH573" s="1067"/>
      <c r="AI573" s="1067"/>
      <c r="AJ573" s="1067"/>
      <c r="AK573" s="10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C574"/>
      <c r="G574" s="1069" t="s">
        <v>2455</v>
      </c>
      <c r="H574" s="1069"/>
      <c r="I574" s="1069"/>
      <c r="J574" s="1069"/>
      <c r="K574" s="1069"/>
      <c r="L574" s="1069"/>
      <c r="M574" s="1069"/>
      <c r="N574" s="1069"/>
      <c r="O574" s="1069"/>
      <c r="P574" s="1069"/>
      <c r="Q574" s="1069"/>
      <c r="R574" s="1069"/>
      <c r="S574" s="12"/>
      <c r="T574" s="4"/>
      <c r="U574" t="s">
        <v>832</v>
      </c>
      <c r="Z574" s="1067" t="s">
        <v>2455</v>
      </c>
      <c r="AA574" s="1067"/>
      <c r="AB574" s="1067"/>
      <c r="AC574" s="1067"/>
      <c r="AD574" s="1067"/>
      <c r="AE574" s="1067"/>
      <c r="AF574" s="1067"/>
      <c r="AG574" s="1067"/>
      <c r="AH574" s="1067"/>
      <c r="AI574" s="1067"/>
      <c r="AJ574" s="1067"/>
      <c r="AK574" s="10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C575"/>
      <c r="G575" s="1071">
        <v>3173451837</v>
      </c>
      <c r="H575" s="1071"/>
      <c r="I575" s="1071"/>
      <c r="J575" s="1071"/>
      <c r="K575" s="1071"/>
      <c r="L575" s="1071"/>
      <c r="O575" s="42" t="s">
        <v>817</v>
      </c>
      <c r="P575" s="1332"/>
      <c r="Q575" s="1332"/>
      <c r="R575" s="1332"/>
      <c r="S575" s="14"/>
      <c r="T575" s="4"/>
      <c r="U575" t="s">
        <v>649</v>
      </c>
      <c r="Z575" s="1071">
        <v>3173451837</v>
      </c>
      <c r="AA575" s="1071"/>
      <c r="AB575" s="1071"/>
      <c r="AC575" s="1071"/>
      <c r="AD575" s="1071"/>
      <c r="AE575" s="1071"/>
      <c r="AH575" s="42" t="s">
        <v>817</v>
      </c>
      <c r="AI575" s="1332"/>
      <c r="AJ575" s="1332"/>
      <c r="AK575" s="133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C576"/>
      <c r="H576" s="1069" t="s">
        <v>2456</v>
      </c>
      <c r="I576" s="1069"/>
      <c r="J576" s="1069"/>
      <c r="K576" s="1069"/>
      <c r="L576" s="1069"/>
      <c r="M576" s="1069"/>
      <c r="N576" s="1069"/>
      <c r="O576" s="1069"/>
      <c r="P576" s="1069"/>
      <c r="Q576" s="1069"/>
      <c r="R576" s="1069"/>
      <c r="S576" s="12"/>
      <c r="T576" s="4"/>
      <c r="U576" t="s">
        <v>833</v>
      </c>
      <c r="AA576" s="1069" t="s">
        <v>2457</v>
      </c>
      <c r="AB576" s="1069"/>
      <c r="AC576" s="1069"/>
      <c r="AD576" s="1069"/>
      <c r="AE576" s="1069"/>
      <c r="AF576" s="1069"/>
      <c r="AG576" s="1069"/>
      <c r="AH576" s="1069"/>
      <c r="AI576" s="1069"/>
      <c r="AJ576" s="1069"/>
      <c r="AK576" s="10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835</v>
      </c>
      <c r="C577"/>
      <c r="N577" s="1130" t="s">
        <v>108</v>
      </c>
      <c r="O577" s="1130"/>
      <c r="T577" s="4"/>
      <c r="U577" t="s">
        <v>835</v>
      </c>
      <c r="AG577" s="1130" t="s">
        <v>108</v>
      </c>
      <c r="AH577" s="113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906</v>
      </c>
      <c r="B579" t="s">
        <v>82</v>
      </c>
      <c r="C579"/>
      <c r="G579" s="1247" t="str">
        <f>C559</f>
        <v>RBC Community Investments, LLC</v>
      </c>
      <c r="H579" s="1247"/>
      <c r="I579" s="1247"/>
      <c r="J579" s="1247"/>
      <c r="K579" s="1247"/>
      <c r="L579" s="1247"/>
      <c r="M579" s="1247"/>
      <c r="N579" s="1247"/>
      <c r="O579" s="1247"/>
      <c r="P579" s="1247"/>
      <c r="Q579" s="1247"/>
      <c r="R579" s="1247"/>
      <c r="T579" s="61" t="s">
        <v>431</v>
      </c>
      <c r="U579" t="s">
        <v>82</v>
      </c>
      <c r="Z579" s="1247" t="str">
        <f>C560</f>
        <v>Horizon ELOM Holdings, LLC</v>
      </c>
      <c r="AA579" s="1247"/>
      <c r="AB579" s="1247"/>
      <c r="AC579" s="1247"/>
      <c r="AD579" s="1247"/>
      <c r="AE579" s="1247"/>
      <c r="AF579" s="1247"/>
      <c r="AG579" s="1247"/>
      <c r="AH579" s="1247"/>
      <c r="AI579" s="1247"/>
      <c r="AJ579" s="1247"/>
      <c r="AK579" s="124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069" t="s">
        <v>2458</v>
      </c>
      <c r="H580" s="1069"/>
      <c r="I580" s="1069"/>
      <c r="J580" s="1069"/>
      <c r="K580" s="1069"/>
      <c r="L580" s="1069"/>
      <c r="M580" s="1069"/>
      <c r="N580" s="1069"/>
      <c r="O580" s="1069"/>
      <c r="P580" s="1069"/>
      <c r="Q580" s="1069"/>
      <c r="R580" s="1069"/>
      <c r="T580" s="4"/>
      <c r="U580" t="s">
        <v>372</v>
      </c>
      <c r="Z580" s="1069" t="s">
        <v>2347</v>
      </c>
      <c r="AA580" s="1069"/>
      <c r="AB580" s="1069"/>
      <c r="AC580" s="1069"/>
      <c r="AD580" s="1069"/>
      <c r="AE580" s="1069"/>
      <c r="AF580" s="1069"/>
      <c r="AG580" s="1069"/>
      <c r="AH580" s="1069"/>
      <c r="AI580" s="1069"/>
      <c r="AJ580" s="1069"/>
      <c r="AK580" s="10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430</v>
      </c>
      <c r="C581"/>
      <c r="G581" s="1067" t="s">
        <v>114</v>
      </c>
      <c r="H581" s="1067"/>
      <c r="I581" s="1067"/>
      <c r="J581" s="1067"/>
      <c r="K581" s="1067"/>
      <c r="L581" s="1067"/>
      <c r="M581" s="1067"/>
      <c r="N581" s="1067"/>
      <c r="O581" s="1067"/>
      <c r="P581" s="1067"/>
      <c r="Q581" s="1067"/>
      <c r="R581" s="1067"/>
      <c r="T581" s="4"/>
      <c r="U581" t="s">
        <v>430</v>
      </c>
      <c r="Z581" s="1067" t="s">
        <v>2460</v>
      </c>
      <c r="AA581" s="1067"/>
      <c r="AB581" s="1067"/>
      <c r="AC581" s="1067"/>
      <c r="AD581" s="1067"/>
      <c r="AE581" s="1067"/>
      <c r="AF581" s="1067"/>
      <c r="AG581" s="1067"/>
      <c r="AH581" s="1067"/>
      <c r="AI581" s="1067"/>
      <c r="AJ581" s="1067"/>
      <c r="AK581" s="10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832</v>
      </c>
      <c r="C582"/>
      <c r="G582" s="1067" t="s">
        <v>2407</v>
      </c>
      <c r="H582" s="1067"/>
      <c r="I582" s="1067"/>
      <c r="J582" s="1067"/>
      <c r="K582" s="1067"/>
      <c r="L582" s="1067"/>
      <c r="M582" s="1067"/>
      <c r="N582" s="1067"/>
      <c r="O582" s="1067"/>
      <c r="P582" s="1067"/>
      <c r="Q582" s="1067"/>
      <c r="R582" s="1067"/>
      <c r="T582" s="4"/>
      <c r="U582" t="s">
        <v>832</v>
      </c>
      <c r="Z582" s="1067" t="s">
        <v>2334</v>
      </c>
      <c r="AA582" s="1067"/>
      <c r="AB582" s="1067"/>
      <c r="AC582" s="1067"/>
      <c r="AD582" s="1067"/>
      <c r="AE582" s="1067"/>
      <c r="AF582" s="1067"/>
      <c r="AG582" s="1067"/>
      <c r="AH582" s="1067"/>
      <c r="AI582" s="1067"/>
      <c r="AJ582" s="1067"/>
      <c r="AK582" s="10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649</v>
      </c>
      <c r="C583"/>
      <c r="G583" s="1071">
        <v>9167900246</v>
      </c>
      <c r="H583" s="1071"/>
      <c r="I583" s="1071"/>
      <c r="J583" s="1071"/>
      <c r="K583" s="1071"/>
      <c r="L583" s="1071"/>
      <c r="O583" s="42" t="s">
        <v>817</v>
      </c>
      <c r="P583" s="1332"/>
      <c r="Q583" s="1332"/>
      <c r="R583" s="1332"/>
      <c r="T583" s="4"/>
      <c r="U583" t="s">
        <v>649</v>
      </c>
      <c r="Z583" s="1071" t="s">
        <v>2461</v>
      </c>
      <c r="AA583" s="1071"/>
      <c r="AB583" s="1071"/>
      <c r="AC583" s="1071"/>
      <c r="AD583" s="1071"/>
      <c r="AE583" s="1071"/>
      <c r="AH583" s="42" t="s">
        <v>817</v>
      </c>
      <c r="AI583" s="1332"/>
      <c r="AJ583" s="1332"/>
      <c r="AK583" s="133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833</v>
      </c>
      <c r="C584"/>
      <c r="H584" s="1069" t="s">
        <v>2459</v>
      </c>
      <c r="I584" s="1069"/>
      <c r="J584" s="1069"/>
      <c r="K584" s="1069"/>
      <c r="L584" s="1069"/>
      <c r="M584" s="1069"/>
      <c r="N584" s="1069"/>
      <c r="O584" s="1069"/>
      <c r="P584" s="1069"/>
      <c r="Q584" s="1069"/>
      <c r="R584" s="1069"/>
      <c r="T584" s="4"/>
      <c r="U584" t="s">
        <v>833</v>
      </c>
      <c r="AA584" s="1069" t="s">
        <v>2462</v>
      </c>
      <c r="AB584" s="1069"/>
      <c r="AC584" s="1069"/>
      <c r="AD584" s="1069"/>
      <c r="AE584" s="1069"/>
      <c r="AF584" s="1069"/>
      <c r="AG584" s="1069"/>
      <c r="AH584" s="1069"/>
      <c r="AI584" s="1069"/>
      <c r="AJ584" s="1069"/>
      <c r="AK584" s="10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835</v>
      </c>
      <c r="C585"/>
      <c r="N585" s="1140" t="s">
        <v>108</v>
      </c>
      <c r="O585" s="1140"/>
      <c r="T585" s="4"/>
      <c r="U585" t="s">
        <v>835</v>
      </c>
      <c r="AG585" s="1140" t="s">
        <v>108</v>
      </c>
      <c r="AH585" s="1140"/>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47" t="str">
        <f>C561</f>
        <v>USDA 515 Loan</v>
      </c>
      <c r="H587" s="1247"/>
      <c r="I587" s="1247"/>
      <c r="J587" s="1247"/>
      <c r="K587" s="1247"/>
      <c r="L587" s="1247"/>
      <c r="M587" s="1247"/>
      <c r="N587" s="1247"/>
      <c r="O587" s="1247"/>
      <c r="P587" s="1247"/>
      <c r="Q587" s="1247"/>
      <c r="R587" s="1247"/>
      <c r="T587" s="61" t="s">
        <v>434</v>
      </c>
      <c r="U587" t="s">
        <v>82</v>
      </c>
      <c r="Z587" s="1247" t="str">
        <f>C562</f>
        <v>Costs Deffered till Perm Conversion</v>
      </c>
      <c r="AA587" s="1247"/>
      <c r="AB587" s="1247"/>
      <c r="AC587" s="1247"/>
      <c r="AD587" s="1247"/>
      <c r="AE587" s="1247"/>
      <c r="AF587" s="1247"/>
      <c r="AG587" s="1247"/>
      <c r="AH587" s="1247"/>
      <c r="AI587" s="1247"/>
      <c r="AJ587" s="1247"/>
      <c r="AK587" s="124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069" t="s">
        <v>2463</v>
      </c>
      <c r="H588" s="1069"/>
      <c r="I588" s="1069"/>
      <c r="J588" s="1069"/>
      <c r="K588" s="1069"/>
      <c r="L588" s="1069"/>
      <c r="M588" s="1069"/>
      <c r="N588" s="1069"/>
      <c r="O588" s="1069"/>
      <c r="P588" s="1069"/>
      <c r="Q588" s="1069"/>
      <c r="R588" s="1069"/>
      <c r="T588" s="4"/>
      <c r="U588" t="s">
        <v>372</v>
      </c>
      <c r="Z588" s="1069" t="s">
        <v>2467</v>
      </c>
      <c r="AA588" s="1069"/>
      <c r="AB588" s="1069"/>
      <c r="AC588" s="1069"/>
      <c r="AD588" s="1069"/>
      <c r="AE588" s="1069"/>
      <c r="AF588" s="1069"/>
      <c r="AG588" s="1069"/>
      <c r="AH588" s="1069"/>
      <c r="AI588" s="1069"/>
      <c r="AJ588" s="1069"/>
      <c r="AK588" s="106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430</v>
      </c>
      <c r="C589"/>
      <c r="G589" s="1069" t="s">
        <v>391</v>
      </c>
      <c r="H589" s="1069"/>
      <c r="I589" s="1069"/>
      <c r="J589" s="1069"/>
      <c r="K589" s="1069"/>
      <c r="L589" s="1069"/>
      <c r="M589" s="1069"/>
      <c r="N589" s="1069"/>
      <c r="O589" s="1069"/>
      <c r="P589" s="1069"/>
      <c r="Q589" s="1069"/>
      <c r="R589" s="1069"/>
      <c r="T589" s="4"/>
      <c r="U589" t="s">
        <v>430</v>
      </c>
      <c r="Z589" s="1067" t="s">
        <v>2333</v>
      </c>
      <c r="AA589" s="1067"/>
      <c r="AB589" s="1067"/>
      <c r="AC589" s="1067"/>
      <c r="AD589" s="1067"/>
      <c r="AE589" s="1067"/>
      <c r="AF589" s="1067"/>
      <c r="AG589" s="1067"/>
      <c r="AH589" s="1067"/>
      <c r="AI589" s="1067"/>
      <c r="AJ589" s="1067"/>
      <c r="AK589" s="10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832</v>
      </c>
      <c r="C590"/>
      <c r="G590" s="1069" t="s">
        <v>2464</v>
      </c>
      <c r="H590" s="1069"/>
      <c r="I590" s="1069"/>
      <c r="J590" s="1069"/>
      <c r="K590" s="1069"/>
      <c r="L590" s="1069"/>
      <c r="M590" s="1069"/>
      <c r="N590" s="1069"/>
      <c r="O590" s="1069"/>
      <c r="P590" s="1069"/>
      <c r="Q590" s="1069"/>
      <c r="R590" s="1069"/>
      <c r="T590" s="4"/>
      <c r="U590" t="s">
        <v>832</v>
      </c>
      <c r="Z590" s="1067" t="s">
        <v>2334</v>
      </c>
      <c r="AA590" s="1067"/>
      <c r="AB590" s="1067"/>
      <c r="AC590" s="1067"/>
      <c r="AD590" s="1067"/>
      <c r="AE590" s="1067"/>
      <c r="AF590" s="1067"/>
      <c r="AG590" s="1067"/>
      <c r="AH590" s="1067"/>
      <c r="AI590" s="1067"/>
      <c r="AJ590" s="1067"/>
      <c r="AK590" s="10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649</v>
      </c>
      <c r="C591"/>
      <c r="G591" s="1071" t="s">
        <v>2465</v>
      </c>
      <c r="H591" s="1071"/>
      <c r="I591" s="1071"/>
      <c r="J591" s="1071"/>
      <c r="K591" s="1071"/>
      <c r="L591" s="1071"/>
      <c r="O591" s="42" t="s">
        <v>817</v>
      </c>
      <c r="P591" s="1332"/>
      <c r="Q591" s="1332"/>
      <c r="R591" s="1332"/>
      <c r="T591" s="4"/>
      <c r="U591" t="s">
        <v>649</v>
      </c>
      <c r="Z591" s="1071" t="s">
        <v>2353</v>
      </c>
      <c r="AA591" s="1071"/>
      <c r="AB591" s="1071"/>
      <c r="AC591" s="1071"/>
      <c r="AD591" s="1071"/>
      <c r="AE591" s="1071"/>
      <c r="AH591" s="42" t="s">
        <v>817</v>
      </c>
      <c r="AI591" s="1332"/>
      <c r="AJ591" s="1332"/>
      <c r="AK591" s="133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833</v>
      </c>
      <c r="C592"/>
      <c r="H592" s="1069" t="s">
        <v>2466</v>
      </c>
      <c r="I592" s="1069"/>
      <c r="J592" s="1069"/>
      <c r="K592" s="1069"/>
      <c r="L592" s="1069"/>
      <c r="M592" s="1069"/>
      <c r="N592" s="1069"/>
      <c r="O592" s="1069"/>
      <c r="P592" s="1069"/>
      <c r="Q592" s="1069"/>
      <c r="R592" s="1069"/>
      <c r="T592" s="4"/>
      <c r="U592" t="s">
        <v>833</v>
      </c>
      <c r="AA592" s="1069" t="s">
        <v>2154</v>
      </c>
      <c r="AB592" s="1069"/>
      <c r="AC592" s="1069"/>
      <c r="AD592" s="1069"/>
      <c r="AE592" s="1069"/>
      <c r="AF592" s="1069"/>
      <c r="AG592" s="1069"/>
      <c r="AH592" s="1069"/>
      <c r="AI592" s="1069"/>
      <c r="AJ592" s="1069"/>
      <c r="AK592" s="106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835</v>
      </c>
      <c r="C593"/>
      <c r="N593" s="1140" t="s">
        <v>108</v>
      </c>
      <c r="O593" s="1140"/>
      <c r="T593" s="4"/>
      <c r="U593" t="s">
        <v>835</v>
      </c>
      <c r="AG593" s="1140" t="s">
        <v>108</v>
      </c>
      <c r="AH593" s="1140"/>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741</v>
      </c>
      <c r="B595" t="s">
        <v>82</v>
      </c>
      <c r="C595"/>
      <c r="G595" s="1247" t="str">
        <f>C563</f>
        <v>County of Fresno</v>
      </c>
      <c r="H595" s="1247"/>
      <c r="I595" s="1247"/>
      <c r="J595" s="1247"/>
      <c r="K595" s="1247"/>
      <c r="L595" s="1247"/>
      <c r="M595" s="1247"/>
      <c r="N595" s="1247"/>
      <c r="O595" s="1247"/>
      <c r="P595" s="1247"/>
      <c r="Q595" s="1247"/>
      <c r="R595" s="1247"/>
      <c r="T595" s="61" t="s">
        <v>742</v>
      </c>
      <c r="U595" t="s">
        <v>82</v>
      </c>
      <c r="Z595" s="1247">
        <f>C564</f>
        <v>0</v>
      </c>
      <c r="AA595" s="1247"/>
      <c r="AB595" s="1247"/>
      <c r="AC595" s="1247"/>
      <c r="AD595" s="1247"/>
      <c r="AE595" s="1247"/>
      <c r="AF595" s="1247"/>
      <c r="AG595" s="1247"/>
      <c r="AH595" s="1247"/>
      <c r="AI595" s="1247"/>
      <c r="AJ595" s="1247"/>
      <c r="AK595" s="124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341" t="s">
        <v>2519</v>
      </c>
      <c r="H596" s="1069"/>
      <c r="I596" s="1069"/>
      <c r="J596" s="1069"/>
      <c r="K596" s="1069"/>
      <c r="L596" s="1069"/>
      <c r="M596" s="1069"/>
      <c r="N596" s="1069"/>
      <c r="O596" s="1069"/>
      <c r="P596" s="1069"/>
      <c r="Q596" s="1069"/>
      <c r="R596" s="1069"/>
      <c r="T596" s="4"/>
      <c r="U596" t="s">
        <v>372</v>
      </c>
      <c r="Z596" s="1069"/>
      <c r="AA596" s="1069"/>
      <c r="AB596" s="1069"/>
      <c r="AC596" s="1069"/>
      <c r="AD596" s="1069"/>
      <c r="AE596" s="1069"/>
      <c r="AF596" s="1069"/>
      <c r="AG596" s="1069"/>
      <c r="AH596" s="1069"/>
      <c r="AI596" s="1069"/>
      <c r="AJ596" s="1069"/>
      <c r="AK596" s="106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430</v>
      </c>
      <c r="C597"/>
      <c r="D597"/>
      <c r="E597"/>
      <c r="F597"/>
      <c r="G597" s="1341" t="s">
        <v>391</v>
      </c>
      <c r="H597" s="1069"/>
      <c r="I597" s="1069"/>
      <c r="J597" s="1069"/>
      <c r="K597" s="1069"/>
      <c r="L597" s="1069"/>
      <c r="M597" s="1069"/>
      <c r="N597" s="1069"/>
      <c r="O597" s="1069"/>
      <c r="P597" s="1069"/>
      <c r="Q597" s="1069"/>
      <c r="R597" s="1069"/>
      <c r="S597"/>
      <c r="T597" s="4"/>
      <c r="U597" t="s">
        <v>430</v>
      </c>
      <c r="V597"/>
      <c r="W597"/>
      <c r="X597"/>
      <c r="Y597"/>
      <c r="Z597" s="1067"/>
      <c r="AA597" s="1067"/>
      <c r="AB597" s="1067"/>
      <c r="AC597" s="1067"/>
      <c r="AD597" s="1067"/>
      <c r="AE597" s="1067"/>
      <c r="AF597" s="1067"/>
      <c r="AG597" s="1067"/>
      <c r="AH597" s="1067"/>
      <c r="AI597" s="1067"/>
      <c r="AJ597" s="1067"/>
      <c r="AK597" s="10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832</v>
      </c>
      <c r="C598"/>
      <c r="D598"/>
      <c r="E598"/>
      <c r="F598"/>
      <c r="G598" s="1341" t="s">
        <v>2520</v>
      </c>
      <c r="H598" s="1069"/>
      <c r="I598" s="1069"/>
      <c r="J598" s="1069"/>
      <c r="K598" s="1069"/>
      <c r="L598" s="1069"/>
      <c r="M598" s="1069"/>
      <c r="N598" s="1069"/>
      <c r="O598" s="1069"/>
      <c r="P598" s="1069"/>
      <c r="Q598" s="1069"/>
      <c r="R598" s="1069"/>
      <c r="S598"/>
      <c r="T598" s="4"/>
      <c r="U598" t="s">
        <v>832</v>
      </c>
      <c r="V598"/>
      <c r="W598"/>
      <c r="X598"/>
      <c r="Y598"/>
      <c r="Z598" s="1067"/>
      <c r="AA598" s="1067"/>
      <c r="AB598" s="1067"/>
      <c r="AC598" s="1067"/>
      <c r="AD598" s="1067"/>
      <c r="AE598" s="1067"/>
      <c r="AF598" s="1067"/>
      <c r="AG598" s="1067"/>
      <c r="AH598" s="1067"/>
      <c r="AI598" s="1067"/>
      <c r="AJ598" s="1067"/>
      <c r="AK598" s="106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649</v>
      </c>
      <c r="C599"/>
      <c r="D599"/>
      <c r="E599"/>
      <c r="F599"/>
      <c r="G599" s="1443" t="s">
        <v>2521</v>
      </c>
      <c r="H599" s="1071"/>
      <c r="I599" s="1071"/>
      <c r="J599" s="1071"/>
      <c r="K599" s="1071"/>
      <c r="L599" s="1071"/>
      <c r="M599"/>
      <c r="N599"/>
      <c r="O599" s="42" t="s">
        <v>817</v>
      </c>
      <c r="P599" s="1332"/>
      <c r="Q599" s="1332"/>
      <c r="R599" s="1332"/>
      <c r="S599"/>
      <c r="T599" s="4"/>
      <c r="U599" t="s">
        <v>649</v>
      </c>
      <c r="V599"/>
      <c r="W599"/>
      <c r="X599"/>
      <c r="Y599"/>
      <c r="Z599" s="1071"/>
      <c r="AA599" s="1071"/>
      <c r="AB599" s="1071"/>
      <c r="AC599" s="1071"/>
      <c r="AD599" s="1071"/>
      <c r="AE599" s="1071"/>
      <c r="AF599"/>
      <c r="AG599"/>
      <c r="AH599" s="42" t="s">
        <v>817</v>
      </c>
      <c r="AI599" s="1332"/>
      <c r="AJ599" s="1332"/>
      <c r="AK599" s="1332"/>
      <c r="AL599"/>
      <c r="AZ599" s="5" t="s">
        <v>441</v>
      </c>
      <c r="BA599" s="41"/>
      <c r="BB599" s="41"/>
      <c r="BC599" s="41"/>
      <c r="BD599" s="41"/>
      <c r="BE599" s="212" t="s">
        <v>351</v>
      </c>
      <c r="BF599" s="213"/>
      <c r="BG599" s="1081"/>
      <c r="BH599" s="1084"/>
      <c r="BI599" s="212" t="s">
        <v>352</v>
      </c>
      <c r="BJ599" s="213"/>
      <c r="BK599" s="1081"/>
      <c r="BL599" s="1084"/>
      <c r="BN599" s="1081">
        <f>IF(B703="SRO/Studio",G703,0)</f>
        <v>0</v>
      </c>
      <c r="BO599" s="1082"/>
      <c r="BP599" s="1082"/>
      <c r="BQ599" s="1082"/>
      <c r="BR599" s="1083"/>
      <c r="BS599" s="1081">
        <f>IF(B703="1 Bedroom",G703,0)</f>
        <v>15</v>
      </c>
      <c r="BT599" s="1082"/>
      <c r="BU599" s="1082"/>
      <c r="BV599" s="1082"/>
      <c r="BW599" s="1084"/>
      <c r="BX599" s="1081">
        <f>IF(B703="2 Bedrooms",G703,0)</f>
        <v>0</v>
      </c>
      <c r="BY599" s="1082"/>
      <c r="BZ599" s="1082"/>
      <c r="CA599" s="1082"/>
      <c r="CB599" s="1084"/>
      <c r="CC599" s="1081">
        <f>IF(B703="3 Bedrooms",G703,0)</f>
        <v>0</v>
      </c>
      <c r="CD599" s="1082"/>
      <c r="CE599" s="1082"/>
      <c r="CF599" s="1082"/>
      <c r="CG599" s="1084"/>
      <c r="CH599" s="1081">
        <f>IF(B703="4 Bedrooms",G703,0)</f>
        <v>0</v>
      </c>
      <c r="CI599" s="1082"/>
      <c r="CJ599" s="1082"/>
      <c r="CK599" s="1082"/>
      <c r="CL599" s="1084"/>
      <c r="CM599" s="1085">
        <f>IF(B703="5 Bedrooms",G703,0)</f>
        <v>0</v>
      </c>
      <c r="CN599" s="1086"/>
      <c r="CO599" s="1086"/>
      <c r="CP599" s="1086"/>
      <c r="CQ599" s="1083"/>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 customHeight="1">
      <c r="A600" s="4"/>
      <c r="B600" t="s">
        <v>833</v>
      </c>
      <c r="C600"/>
      <c r="D600"/>
      <c r="E600"/>
      <c r="F600"/>
      <c r="G600"/>
      <c r="H600" s="1341" t="s">
        <v>2522</v>
      </c>
      <c r="I600" s="1069"/>
      <c r="J600" s="1069"/>
      <c r="K600" s="1069"/>
      <c r="L600" s="1069"/>
      <c r="M600" s="1069"/>
      <c r="N600" s="1069"/>
      <c r="O600" s="1069"/>
      <c r="P600" s="1069"/>
      <c r="Q600" s="1069"/>
      <c r="R600" s="1069"/>
      <c r="S600"/>
      <c r="T600" s="4"/>
      <c r="U600" t="s">
        <v>833</v>
      </c>
      <c r="V600"/>
      <c r="W600"/>
      <c r="X600"/>
      <c r="Y600"/>
      <c r="Z600"/>
      <c r="AA600" s="1069"/>
      <c r="AB600" s="1069"/>
      <c r="AC600" s="1069"/>
      <c r="AD600" s="1069"/>
      <c r="AE600" s="1069"/>
      <c r="AF600" s="1069"/>
      <c r="AG600" s="1069"/>
      <c r="AH600" s="1069"/>
      <c r="AI600" s="1069"/>
      <c r="AJ600" s="1069"/>
      <c r="AK600" s="1069"/>
      <c r="AL600"/>
      <c r="AZ600" s="5" t="s">
        <v>442</v>
      </c>
      <c r="BA600" s="41"/>
      <c r="BB600" s="41"/>
      <c r="BC600" s="41"/>
      <c r="BD600" s="41"/>
      <c r="BE600" s="1087">
        <f>IF(AND(AH703&lt;=0.5,AH703&gt;=0.36),1,0)</f>
        <v>0</v>
      </c>
      <c r="BF600" s="1088"/>
      <c r="BG600" s="1081">
        <f t="shared" ref="BG600:BG623" si="1">IF(BE600=1,G703,0)</f>
        <v>0</v>
      </c>
      <c r="BH600" s="1084"/>
      <c r="BI600" s="1087">
        <f>IF(AND(AH703&lt;=0.35,AH703&gt;0),1,0)</f>
        <v>1</v>
      </c>
      <c r="BJ600" s="1088"/>
      <c r="BK600" s="1081">
        <f t="shared" ref="BK600:BK623" si="2">IF(BI600=1,G703,0)</f>
        <v>15</v>
      </c>
      <c r="BL600" s="1084"/>
      <c r="BN600" s="1081">
        <f t="shared" ref="BN600:BN633" si="3">IF(B704="SRO/Studio",G704,0)</f>
        <v>0</v>
      </c>
      <c r="BO600" s="1082"/>
      <c r="BP600" s="1082"/>
      <c r="BQ600" s="1082"/>
      <c r="BR600" s="1083"/>
      <c r="BS600" s="1081">
        <f t="shared" ref="BS600:BS633" si="4">IF(B704="1 Bedroom",G704,0)</f>
        <v>25</v>
      </c>
      <c r="BT600" s="1082"/>
      <c r="BU600" s="1082"/>
      <c r="BV600" s="1082"/>
      <c r="BW600" s="1084"/>
      <c r="BX600" s="1081">
        <f t="shared" ref="BX600:BX633" si="5">IF(B704="2 Bedrooms",G704,0)</f>
        <v>0</v>
      </c>
      <c r="BY600" s="1082"/>
      <c r="BZ600" s="1082"/>
      <c r="CA600" s="1082"/>
      <c r="CB600" s="1084"/>
      <c r="CC600" s="1081">
        <f t="shared" ref="CC600:CC633" si="6">IF(B704="3 Bedrooms",G704,0)</f>
        <v>0</v>
      </c>
      <c r="CD600" s="1082"/>
      <c r="CE600" s="1082"/>
      <c r="CF600" s="1082"/>
      <c r="CG600" s="1084"/>
      <c r="CH600" s="1081">
        <f t="shared" ref="CH600:CH633" si="7">IF(B704="4 Bedrooms",G704,0)</f>
        <v>0</v>
      </c>
      <c r="CI600" s="1082"/>
      <c r="CJ600" s="1082"/>
      <c r="CK600" s="1082"/>
      <c r="CL600" s="1084"/>
      <c r="CM600" s="1085">
        <f t="shared" ref="CM600:CM633" si="8">IF(B704="5 Bedrooms",G704,0)</f>
        <v>0</v>
      </c>
      <c r="CN600" s="1086"/>
      <c r="CO600" s="1086"/>
      <c r="CP600" s="1086"/>
      <c r="CQ600" s="1083"/>
      <c r="CS600" s="1078">
        <f>IF(AND(B703="SRO/Studio",AH703&lt;=0.3),G703,0)</f>
        <v>0</v>
      </c>
      <c r="CT600" s="1079"/>
      <c r="CU600" s="1079"/>
      <c r="CV600" s="1079"/>
      <c r="CW600" s="1080"/>
      <c r="CX600" s="1078">
        <f>IF(AND(B703="1 Bedroom",AH703&lt;=0.3),G703,0)</f>
        <v>15</v>
      </c>
      <c r="CY600" s="1079"/>
      <c r="CZ600" s="1079"/>
      <c r="DA600" s="1079"/>
      <c r="DB600" s="1080"/>
      <c r="DC600" s="1078">
        <f>IF(AND(B703="2 Bedrooms",AH703&lt;=0.3),G703,0)</f>
        <v>0</v>
      </c>
      <c r="DD600" s="1079"/>
      <c r="DE600" s="1079"/>
      <c r="DF600" s="1079"/>
      <c r="DG600" s="1080"/>
      <c r="DH600" s="1078">
        <f>IF(AND(B703="3 Bedrooms",AH703&lt;=0.3),G703,0)</f>
        <v>0</v>
      </c>
      <c r="DI600" s="1079"/>
      <c r="DJ600" s="1079"/>
      <c r="DK600" s="1079"/>
      <c r="DL600" s="1080"/>
      <c r="DM600" s="1078">
        <f>IF(AND(B703="4 Bedrooms",AH703&lt;=0.3),G703,0)</f>
        <v>0</v>
      </c>
      <c r="DN600" s="1079"/>
      <c r="DO600" s="1079"/>
      <c r="DP600" s="1079"/>
      <c r="DQ600" s="1080"/>
      <c r="DR600" s="1078">
        <f>IF(AND(B703="5 Bedrooms",AH703&lt;=0.3),G703,0)</f>
        <v>0</v>
      </c>
      <c r="DS600" s="1079"/>
      <c r="DT600" s="1079"/>
      <c r="DU600" s="1079"/>
      <c r="DV600" s="1080"/>
    </row>
    <row r="601" spans="1:126" s="5" customFormat="1" ht="12.9" customHeight="1">
      <c r="A601" s="4"/>
      <c r="B601" t="s">
        <v>835</v>
      </c>
      <c r="C601"/>
      <c r="D601"/>
      <c r="E601"/>
      <c r="F601"/>
      <c r="G601"/>
      <c r="H601"/>
      <c r="I601"/>
      <c r="J601"/>
      <c r="K601"/>
      <c r="L601"/>
      <c r="M601"/>
      <c r="N601" s="1140" t="s">
        <v>108</v>
      </c>
      <c r="O601" s="1140"/>
      <c r="P601"/>
      <c r="Q601"/>
      <c r="R601"/>
      <c r="S601"/>
      <c r="T601" s="4"/>
      <c r="U601" t="s">
        <v>835</v>
      </c>
      <c r="V601"/>
      <c r="W601"/>
      <c r="X601"/>
      <c r="Y601"/>
      <c r="Z601"/>
      <c r="AA601"/>
      <c r="AB601"/>
      <c r="AC601"/>
      <c r="AD601"/>
      <c r="AE601"/>
      <c r="AF601"/>
      <c r="AG601" s="1140" t="s">
        <v>482</v>
      </c>
      <c r="AH601" s="1140"/>
      <c r="AI601"/>
      <c r="AJ601"/>
      <c r="AK601"/>
      <c r="AL601"/>
      <c r="AZ601" s="5" t="s">
        <v>779</v>
      </c>
      <c r="BA601" s="41"/>
      <c r="BB601" s="41"/>
      <c r="BC601" s="41"/>
      <c r="BD601" s="41"/>
      <c r="BE601" s="1087">
        <f t="shared" ref="BE601:BE623" si="9">IF(AND(AH704&lt;=0.5,AH704&gt;=0.36),1,0)</f>
        <v>1</v>
      </c>
      <c r="BF601" s="1088"/>
      <c r="BG601" s="1081">
        <f t="shared" si="1"/>
        <v>25</v>
      </c>
      <c r="BH601" s="1084"/>
      <c r="BI601" s="1087">
        <f t="shared" ref="BI601:BI623" si="10">IF(AND(AH704&lt;=0.35,AH704&gt;0),1,0)</f>
        <v>0</v>
      </c>
      <c r="BJ601" s="1088"/>
      <c r="BK601" s="1081">
        <f t="shared" si="2"/>
        <v>0</v>
      </c>
      <c r="BL601" s="1084"/>
      <c r="BN601" s="1081">
        <f t="shared" si="3"/>
        <v>0</v>
      </c>
      <c r="BO601" s="1082"/>
      <c r="BP601" s="1082"/>
      <c r="BQ601" s="1082"/>
      <c r="BR601" s="1083"/>
      <c r="BS601" s="1081">
        <f t="shared" si="4"/>
        <v>25</v>
      </c>
      <c r="BT601" s="1082"/>
      <c r="BU601" s="1082"/>
      <c r="BV601" s="1082"/>
      <c r="BW601" s="1084"/>
      <c r="BX601" s="1081">
        <f t="shared" si="5"/>
        <v>0</v>
      </c>
      <c r="BY601" s="1082"/>
      <c r="BZ601" s="1082"/>
      <c r="CA601" s="1082"/>
      <c r="CB601" s="1084"/>
      <c r="CC601" s="1081">
        <f t="shared" si="6"/>
        <v>0</v>
      </c>
      <c r="CD601" s="1082"/>
      <c r="CE601" s="1082"/>
      <c r="CF601" s="1082"/>
      <c r="CG601" s="1084"/>
      <c r="CH601" s="1081">
        <f t="shared" si="7"/>
        <v>0</v>
      </c>
      <c r="CI601" s="1082"/>
      <c r="CJ601" s="1082"/>
      <c r="CK601" s="1082"/>
      <c r="CL601" s="1084"/>
      <c r="CM601" s="1085">
        <f t="shared" si="8"/>
        <v>0</v>
      </c>
      <c r="CN601" s="1086"/>
      <c r="CO601" s="1086"/>
      <c r="CP601" s="1086"/>
      <c r="CQ601" s="1083"/>
      <c r="CS601" s="1078">
        <f t="shared" ref="CS601:CS623" si="11">IF(AND(B704="SRO/Studio",AH704&lt;=0.3),G704,0)</f>
        <v>0</v>
      </c>
      <c r="CT601" s="1079"/>
      <c r="CU601" s="1079"/>
      <c r="CV601" s="1079"/>
      <c r="CW601" s="1080"/>
      <c r="CX601" s="1078">
        <f t="shared" ref="CX601:CX623" si="12">IF(AND(B704="1 Bedroom",AH704&lt;=0.3),G704,0)</f>
        <v>0</v>
      </c>
      <c r="CY601" s="1079"/>
      <c r="CZ601" s="1079"/>
      <c r="DA601" s="1079"/>
      <c r="DB601" s="1080"/>
      <c r="DC601" s="1078">
        <f t="shared" ref="DC601:DC623" si="13">IF(AND(B704="2 Bedrooms",AH704&lt;=0.3),G704,0)</f>
        <v>0</v>
      </c>
      <c r="DD601" s="1079"/>
      <c r="DE601" s="1079"/>
      <c r="DF601" s="1079"/>
      <c r="DG601" s="1080"/>
      <c r="DH601" s="1078">
        <f t="shared" ref="DH601:DH623" si="14">IF(AND(B704="3 Bedrooms",AH704&lt;=0.3),G704,0)</f>
        <v>0</v>
      </c>
      <c r="DI601" s="1079"/>
      <c r="DJ601" s="1079"/>
      <c r="DK601" s="1079"/>
      <c r="DL601" s="1080"/>
      <c r="DM601" s="1078">
        <f t="shared" ref="DM601:DM623" si="15">IF(AND(B704="4 Bedrooms",AH704&lt;=0.3),G704,0)</f>
        <v>0</v>
      </c>
      <c r="DN601" s="1079"/>
      <c r="DO601" s="1079"/>
      <c r="DP601" s="1079"/>
      <c r="DQ601" s="1080"/>
      <c r="DR601" s="1078">
        <f t="shared" ref="DR601:DR623" si="16">IF(AND(B704="5 Bedrooms",AH704&lt;=0.3),G704,0)</f>
        <v>0</v>
      </c>
      <c r="DS601" s="1079"/>
      <c r="DT601" s="1079"/>
      <c r="DU601" s="1079"/>
      <c r="DV601" s="1080"/>
    </row>
    <row r="602" spans="1:126" ht="12.9" customHeight="1">
      <c r="C602"/>
      <c r="AZ602" s="5" t="s">
        <v>780</v>
      </c>
      <c r="BA602" s="41"/>
      <c r="BB602" s="41"/>
      <c r="BC602" s="41"/>
      <c r="BD602" s="41"/>
      <c r="BE602" s="1087">
        <f t="shared" si="9"/>
        <v>1</v>
      </c>
      <c r="BF602" s="1088"/>
      <c r="BG602" s="1081">
        <f t="shared" si="1"/>
        <v>25</v>
      </c>
      <c r="BH602" s="1084"/>
      <c r="BI602" s="1087">
        <f t="shared" si="10"/>
        <v>0</v>
      </c>
      <c r="BJ602" s="1088"/>
      <c r="BK602" s="1081">
        <f t="shared" si="2"/>
        <v>0</v>
      </c>
      <c r="BL602" s="1084"/>
      <c r="BN602" s="1081">
        <f t="shared" si="3"/>
        <v>0</v>
      </c>
      <c r="BO602" s="1082"/>
      <c r="BP602" s="1082"/>
      <c r="BQ602" s="1082"/>
      <c r="BR602" s="1083"/>
      <c r="BS602" s="1081">
        <f t="shared" si="4"/>
        <v>25</v>
      </c>
      <c r="BT602" s="1082"/>
      <c r="BU602" s="1082"/>
      <c r="BV602" s="1082"/>
      <c r="BW602" s="1084"/>
      <c r="BX602" s="1081">
        <f t="shared" si="5"/>
        <v>0</v>
      </c>
      <c r="BY602" s="1082"/>
      <c r="BZ602" s="1082"/>
      <c r="CA602" s="1082"/>
      <c r="CB602" s="1084"/>
      <c r="CC602" s="1081">
        <f t="shared" si="6"/>
        <v>0</v>
      </c>
      <c r="CD602" s="1082"/>
      <c r="CE602" s="1082"/>
      <c r="CF602" s="1082"/>
      <c r="CG602" s="1084"/>
      <c r="CH602" s="1081">
        <f t="shared" si="7"/>
        <v>0</v>
      </c>
      <c r="CI602" s="1082"/>
      <c r="CJ602" s="1082"/>
      <c r="CK602" s="1082"/>
      <c r="CL602" s="1084"/>
      <c r="CM602" s="1085">
        <f t="shared" si="8"/>
        <v>0</v>
      </c>
      <c r="CN602" s="1086"/>
      <c r="CO602" s="1086"/>
      <c r="CP602" s="1086"/>
      <c r="CQ602" s="1083"/>
      <c r="CS602" s="1078">
        <f t="shared" si="11"/>
        <v>0</v>
      </c>
      <c r="CT602" s="1079"/>
      <c r="CU602" s="1079"/>
      <c r="CV602" s="1079"/>
      <c r="CW602" s="1080"/>
      <c r="CX602" s="1078">
        <f t="shared" si="12"/>
        <v>0</v>
      </c>
      <c r="CY602" s="1079"/>
      <c r="CZ602" s="1079"/>
      <c r="DA602" s="1079"/>
      <c r="DB602" s="1080"/>
      <c r="DC602" s="1078">
        <f t="shared" si="13"/>
        <v>0</v>
      </c>
      <c r="DD602" s="1079"/>
      <c r="DE602" s="1079"/>
      <c r="DF602" s="1079"/>
      <c r="DG602" s="1080"/>
      <c r="DH602" s="1078">
        <f t="shared" si="14"/>
        <v>0</v>
      </c>
      <c r="DI602" s="1079"/>
      <c r="DJ602" s="1079"/>
      <c r="DK602" s="1079"/>
      <c r="DL602" s="1080"/>
      <c r="DM602" s="1078">
        <f t="shared" si="15"/>
        <v>0</v>
      </c>
      <c r="DN602" s="1079"/>
      <c r="DO602" s="1079"/>
      <c r="DP602" s="1079"/>
      <c r="DQ602" s="1080"/>
      <c r="DR602" s="1078">
        <f t="shared" si="16"/>
        <v>0</v>
      </c>
      <c r="DS602" s="1079"/>
      <c r="DT602" s="1079"/>
      <c r="DU602" s="1079"/>
      <c r="DV602" s="1080"/>
    </row>
    <row r="603" spans="1:126" ht="12.9" customHeight="1">
      <c r="A603" s="61" t="s">
        <v>545</v>
      </c>
      <c r="B603" t="s">
        <v>82</v>
      </c>
      <c r="C603"/>
      <c r="G603" s="1247">
        <f>C565</f>
        <v>0</v>
      </c>
      <c r="H603" s="1247"/>
      <c r="I603" s="1247"/>
      <c r="J603" s="1247"/>
      <c r="K603" s="1247"/>
      <c r="L603" s="1247"/>
      <c r="M603" s="1247"/>
      <c r="N603" s="1247"/>
      <c r="O603" s="1247"/>
      <c r="P603" s="1247"/>
      <c r="Q603" s="1247"/>
      <c r="R603" s="1247"/>
      <c r="T603" s="61" t="s">
        <v>174</v>
      </c>
      <c r="U603" t="s">
        <v>82</v>
      </c>
      <c r="Z603" s="1247">
        <f>C566</f>
        <v>0</v>
      </c>
      <c r="AA603" s="1247"/>
      <c r="AB603" s="1247"/>
      <c r="AC603" s="1247"/>
      <c r="AD603" s="1247"/>
      <c r="AE603" s="1247"/>
      <c r="AF603" s="1247"/>
      <c r="AG603" s="1247"/>
      <c r="AH603" s="1247"/>
      <c r="AI603" s="1247"/>
      <c r="AJ603" s="1247"/>
      <c r="AK603" s="1247"/>
      <c r="AZ603" s="5" t="s">
        <v>781</v>
      </c>
      <c r="BA603" s="41"/>
      <c r="BB603" s="41"/>
      <c r="BC603" s="41"/>
      <c r="BD603" s="41"/>
      <c r="BE603" s="1087">
        <f t="shared" si="9"/>
        <v>0</v>
      </c>
      <c r="BF603" s="1088"/>
      <c r="BG603" s="1081">
        <f t="shared" si="1"/>
        <v>0</v>
      </c>
      <c r="BH603" s="1084"/>
      <c r="BI603" s="1087">
        <f t="shared" si="10"/>
        <v>0</v>
      </c>
      <c r="BJ603" s="1088"/>
      <c r="BK603" s="1081">
        <f t="shared" si="2"/>
        <v>0</v>
      </c>
      <c r="BL603" s="1084"/>
      <c r="BN603" s="1081">
        <f t="shared" si="3"/>
        <v>0</v>
      </c>
      <c r="BO603" s="1082"/>
      <c r="BP603" s="1082"/>
      <c r="BQ603" s="1082"/>
      <c r="BR603" s="1083"/>
      <c r="BS603" s="1081">
        <f t="shared" si="4"/>
        <v>2</v>
      </c>
      <c r="BT603" s="1082"/>
      <c r="BU603" s="1082"/>
      <c r="BV603" s="1082"/>
      <c r="BW603" s="1084"/>
      <c r="BX603" s="1081">
        <f t="shared" si="5"/>
        <v>0</v>
      </c>
      <c r="BY603" s="1082"/>
      <c r="BZ603" s="1082"/>
      <c r="CA603" s="1082"/>
      <c r="CB603" s="1084"/>
      <c r="CC603" s="1081">
        <f t="shared" si="6"/>
        <v>0</v>
      </c>
      <c r="CD603" s="1082"/>
      <c r="CE603" s="1082"/>
      <c r="CF603" s="1082"/>
      <c r="CG603" s="1084"/>
      <c r="CH603" s="1081">
        <f t="shared" si="7"/>
        <v>0</v>
      </c>
      <c r="CI603" s="1082"/>
      <c r="CJ603" s="1082"/>
      <c r="CK603" s="1082"/>
      <c r="CL603" s="1084"/>
      <c r="CM603" s="1085">
        <f t="shared" si="8"/>
        <v>0</v>
      </c>
      <c r="CN603" s="1086"/>
      <c r="CO603" s="1086"/>
      <c r="CP603" s="1086"/>
      <c r="CQ603" s="1083"/>
      <c r="CS603" s="1078">
        <f t="shared" si="11"/>
        <v>0</v>
      </c>
      <c r="CT603" s="1079"/>
      <c r="CU603" s="1079"/>
      <c r="CV603" s="1079"/>
      <c r="CW603" s="1080"/>
      <c r="CX603" s="1078">
        <f t="shared" si="12"/>
        <v>0</v>
      </c>
      <c r="CY603" s="1079"/>
      <c r="CZ603" s="1079"/>
      <c r="DA603" s="1079"/>
      <c r="DB603" s="1080"/>
      <c r="DC603" s="1078">
        <f t="shared" si="13"/>
        <v>0</v>
      </c>
      <c r="DD603" s="1079"/>
      <c r="DE603" s="1079"/>
      <c r="DF603" s="1079"/>
      <c r="DG603" s="1080"/>
      <c r="DH603" s="1078">
        <f t="shared" si="14"/>
        <v>0</v>
      </c>
      <c r="DI603" s="1079"/>
      <c r="DJ603" s="1079"/>
      <c r="DK603" s="1079"/>
      <c r="DL603" s="1080"/>
      <c r="DM603" s="1078">
        <f t="shared" si="15"/>
        <v>0</v>
      </c>
      <c r="DN603" s="1079"/>
      <c r="DO603" s="1079"/>
      <c r="DP603" s="1079"/>
      <c r="DQ603" s="1080"/>
      <c r="DR603" s="1078">
        <f t="shared" si="16"/>
        <v>0</v>
      </c>
      <c r="DS603" s="1079"/>
      <c r="DT603" s="1079"/>
      <c r="DU603" s="1079"/>
      <c r="DV603" s="1080"/>
    </row>
    <row r="604" spans="1:126" ht="12.9" customHeight="1">
      <c r="A604" s="4"/>
      <c r="B604" t="s">
        <v>372</v>
      </c>
      <c r="C604"/>
      <c r="G604" s="1069"/>
      <c r="H604" s="1069"/>
      <c r="I604" s="1069"/>
      <c r="J604" s="1069"/>
      <c r="K604" s="1069"/>
      <c r="L604" s="1069"/>
      <c r="M604" s="1069"/>
      <c r="N604" s="1069"/>
      <c r="O604" s="1069"/>
      <c r="P604" s="1069"/>
      <c r="Q604" s="1069"/>
      <c r="R604" s="1069"/>
      <c r="T604" s="4"/>
      <c r="U604" t="s">
        <v>372</v>
      </c>
      <c r="Z604" s="1069"/>
      <c r="AA604" s="1069"/>
      <c r="AB604" s="1069"/>
      <c r="AC604" s="1069"/>
      <c r="AD604" s="1069"/>
      <c r="AE604" s="1069"/>
      <c r="AF604" s="1069"/>
      <c r="AG604" s="1069"/>
      <c r="AH604" s="1069"/>
      <c r="AI604" s="1069"/>
      <c r="AJ604" s="1069"/>
      <c r="AK604" s="1069"/>
      <c r="AZ604" s="5" t="s">
        <v>344</v>
      </c>
      <c r="BA604" s="41"/>
      <c r="BB604" s="41"/>
      <c r="BC604" s="41"/>
      <c r="BD604" s="41"/>
      <c r="BE604" s="1087">
        <f t="shared" si="9"/>
        <v>0</v>
      </c>
      <c r="BF604" s="1088"/>
      <c r="BG604" s="1081">
        <f t="shared" si="1"/>
        <v>0</v>
      </c>
      <c r="BH604" s="1084"/>
      <c r="BI604" s="1087">
        <f t="shared" si="10"/>
        <v>0</v>
      </c>
      <c r="BJ604" s="1088"/>
      <c r="BK604" s="1081">
        <f t="shared" si="2"/>
        <v>0</v>
      </c>
      <c r="BL604" s="1084"/>
      <c r="BN604" s="1081">
        <f t="shared" si="3"/>
        <v>0</v>
      </c>
      <c r="BO604" s="1082"/>
      <c r="BP604" s="1082"/>
      <c r="BQ604" s="1082"/>
      <c r="BR604" s="1083"/>
      <c r="BS604" s="1081">
        <f t="shared" si="4"/>
        <v>8</v>
      </c>
      <c r="BT604" s="1082"/>
      <c r="BU604" s="1082"/>
      <c r="BV604" s="1082"/>
      <c r="BW604" s="1084"/>
      <c r="BX604" s="1081">
        <f t="shared" si="5"/>
        <v>0</v>
      </c>
      <c r="BY604" s="1082"/>
      <c r="BZ604" s="1082"/>
      <c r="CA604" s="1082"/>
      <c r="CB604" s="1084"/>
      <c r="CC604" s="1081">
        <f t="shared" si="6"/>
        <v>0</v>
      </c>
      <c r="CD604" s="1082"/>
      <c r="CE604" s="1082"/>
      <c r="CF604" s="1082"/>
      <c r="CG604" s="1084"/>
      <c r="CH604" s="1081">
        <f t="shared" si="7"/>
        <v>0</v>
      </c>
      <c r="CI604" s="1082"/>
      <c r="CJ604" s="1082"/>
      <c r="CK604" s="1082"/>
      <c r="CL604" s="1084"/>
      <c r="CM604" s="1085">
        <f t="shared" si="8"/>
        <v>0</v>
      </c>
      <c r="CN604" s="1086"/>
      <c r="CO604" s="1086"/>
      <c r="CP604" s="1086"/>
      <c r="CQ604" s="1083"/>
      <c r="CS604" s="1078">
        <f t="shared" si="11"/>
        <v>0</v>
      </c>
      <c r="CT604" s="1079"/>
      <c r="CU604" s="1079"/>
      <c r="CV604" s="1079"/>
      <c r="CW604" s="1080"/>
      <c r="CX604" s="1078">
        <f t="shared" si="12"/>
        <v>0</v>
      </c>
      <c r="CY604" s="1079"/>
      <c r="CZ604" s="1079"/>
      <c r="DA604" s="1079"/>
      <c r="DB604" s="1080"/>
      <c r="DC604" s="1078">
        <f t="shared" si="13"/>
        <v>0</v>
      </c>
      <c r="DD604" s="1079"/>
      <c r="DE604" s="1079"/>
      <c r="DF604" s="1079"/>
      <c r="DG604" s="1080"/>
      <c r="DH604" s="1078">
        <f t="shared" si="14"/>
        <v>0</v>
      </c>
      <c r="DI604" s="1079"/>
      <c r="DJ604" s="1079"/>
      <c r="DK604" s="1079"/>
      <c r="DL604" s="1080"/>
      <c r="DM604" s="1078">
        <f t="shared" si="15"/>
        <v>0</v>
      </c>
      <c r="DN604" s="1079"/>
      <c r="DO604" s="1079"/>
      <c r="DP604" s="1079"/>
      <c r="DQ604" s="1080"/>
      <c r="DR604" s="1078">
        <f t="shared" si="16"/>
        <v>0</v>
      </c>
      <c r="DS604" s="1079"/>
      <c r="DT604" s="1079"/>
      <c r="DU604" s="1079"/>
      <c r="DV604" s="1080"/>
    </row>
    <row r="605" spans="1:126" ht="12.9" customHeight="1">
      <c r="A605" s="4"/>
      <c r="B605" t="s">
        <v>430</v>
      </c>
      <c r="C605"/>
      <c r="G605" s="1069"/>
      <c r="H605" s="1069"/>
      <c r="I605" s="1069"/>
      <c r="J605" s="1069"/>
      <c r="K605" s="1069"/>
      <c r="L605" s="1069"/>
      <c r="M605" s="1069"/>
      <c r="N605" s="1069"/>
      <c r="O605" s="1069"/>
      <c r="P605" s="1069"/>
      <c r="Q605" s="1069"/>
      <c r="R605" s="1069"/>
      <c r="T605" s="4"/>
      <c r="U605" t="s">
        <v>430</v>
      </c>
      <c r="Z605" s="1067"/>
      <c r="AA605" s="1067"/>
      <c r="AB605" s="1067"/>
      <c r="AC605" s="1067"/>
      <c r="AD605" s="1067"/>
      <c r="AE605" s="1067"/>
      <c r="AF605" s="1067"/>
      <c r="AG605" s="1067"/>
      <c r="AH605" s="1067"/>
      <c r="AI605" s="1067"/>
      <c r="AJ605" s="1067"/>
      <c r="AK605" s="1067"/>
      <c r="AZ605" s="41"/>
      <c r="BA605" s="41"/>
      <c r="BB605" s="41"/>
      <c r="BC605" s="41"/>
      <c r="BD605" s="41"/>
      <c r="BE605" s="1087">
        <f t="shared" si="9"/>
        <v>0</v>
      </c>
      <c r="BF605" s="1088"/>
      <c r="BG605" s="1081">
        <f t="shared" si="1"/>
        <v>0</v>
      </c>
      <c r="BH605" s="1084"/>
      <c r="BI605" s="1087">
        <f t="shared" si="10"/>
        <v>0</v>
      </c>
      <c r="BJ605" s="1088"/>
      <c r="BK605" s="1081">
        <f t="shared" si="2"/>
        <v>0</v>
      </c>
      <c r="BL605" s="1084"/>
      <c r="BN605" s="1081">
        <f t="shared" si="3"/>
        <v>0</v>
      </c>
      <c r="BO605" s="1082"/>
      <c r="BP605" s="1082"/>
      <c r="BQ605" s="1082"/>
      <c r="BR605" s="1083"/>
      <c r="BS605" s="1081">
        <f t="shared" si="4"/>
        <v>0</v>
      </c>
      <c r="BT605" s="1082"/>
      <c r="BU605" s="1082"/>
      <c r="BV605" s="1082"/>
      <c r="BW605" s="1084"/>
      <c r="BX605" s="1081">
        <f t="shared" si="5"/>
        <v>0</v>
      </c>
      <c r="BY605" s="1082"/>
      <c r="BZ605" s="1082"/>
      <c r="CA605" s="1082"/>
      <c r="CB605" s="1084"/>
      <c r="CC605" s="1081">
        <f t="shared" si="6"/>
        <v>0</v>
      </c>
      <c r="CD605" s="1082"/>
      <c r="CE605" s="1082"/>
      <c r="CF605" s="1082"/>
      <c r="CG605" s="1084"/>
      <c r="CH605" s="1081">
        <f t="shared" si="7"/>
        <v>0</v>
      </c>
      <c r="CI605" s="1082"/>
      <c r="CJ605" s="1082"/>
      <c r="CK605" s="1082"/>
      <c r="CL605" s="1084"/>
      <c r="CM605" s="1085">
        <f t="shared" si="8"/>
        <v>0</v>
      </c>
      <c r="CN605" s="1086"/>
      <c r="CO605" s="1086"/>
      <c r="CP605" s="1086"/>
      <c r="CQ605" s="1083"/>
      <c r="CS605" s="1078">
        <f t="shared" si="11"/>
        <v>0</v>
      </c>
      <c r="CT605" s="1079"/>
      <c r="CU605" s="1079"/>
      <c r="CV605" s="1079"/>
      <c r="CW605" s="1080"/>
      <c r="CX605" s="1078">
        <f t="shared" si="12"/>
        <v>0</v>
      </c>
      <c r="CY605" s="1079"/>
      <c r="CZ605" s="1079"/>
      <c r="DA605" s="1079"/>
      <c r="DB605" s="1080"/>
      <c r="DC605" s="1078">
        <f t="shared" si="13"/>
        <v>0</v>
      </c>
      <c r="DD605" s="1079"/>
      <c r="DE605" s="1079"/>
      <c r="DF605" s="1079"/>
      <c r="DG605" s="1080"/>
      <c r="DH605" s="1078">
        <f t="shared" si="14"/>
        <v>0</v>
      </c>
      <c r="DI605" s="1079"/>
      <c r="DJ605" s="1079"/>
      <c r="DK605" s="1079"/>
      <c r="DL605" s="1080"/>
      <c r="DM605" s="1078">
        <f t="shared" si="15"/>
        <v>0</v>
      </c>
      <c r="DN605" s="1079"/>
      <c r="DO605" s="1079"/>
      <c r="DP605" s="1079"/>
      <c r="DQ605" s="1080"/>
      <c r="DR605" s="1078">
        <f t="shared" si="16"/>
        <v>0</v>
      </c>
      <c r="DS605" s="1079"/>
      <c r="DT605" s="1079"/>
      <c r="DU605" s="1079"/>
      <c r="DV605" s="1080"/>
    </row>
    <row r="606" spans="1:126" ht="12.9" customHeight="1">
      <c r="A606" s="4"/>
      <c r="B606" t="s">
        <v>832</v>
      </c>
      <c r="C606"/>
      <c r="G606" s="1069"/>
      <c r="H606" s="1069"/>
      <c r="I606" s="1069"/>
      <c r="J606" s="1069"/>
      <c r="K606" s="1069"/>
      <c r="L606" s="1069"/>
      <c r="M606" s="1069"/>
      <c r="N606" s="1069"/>
      <c r="O606" s="1069"/>
      <c r="P606" s="1069"/>
      <c r="Q606" s="1069"/>
      <c r="R606" s="1069"/>
      <c r="T606" s="4"/>
      <c r="U606" t="s">
        <v>832</v>
      </c>
      <c r="Z606" s="1067"/>
      <c r="AA606" s="1067"/>
      <c r="AB606" s="1067"/>
      <c r="AC606" s="1067"/>
      <c r="AD606" s="1067"/>
      <c r="AE606" s="1067"/>
      <c r="AF606" s="1067"/>
      <c r="AG606" s="1067"/>
      <c r="AH606" s="1067"/>
      <c r="AI606" s="1067"/>
      <c r="AJ606" s="1067"/>
      <c r="AK606" s="1067"/>
      <c r="AZ606" s="41"/>
      <c r="BA606" s="41"/>
      <c r="BB606" s="41"/>
      <c r="BC606" s="41"/>
      <c r="BD606" s="41"/>
      <c r="BE606" s="1087">
        <f t="shared" si="9"/>
        <v>0</v>
      </c>
      <c r="BF606" s="1088"/>
      <c r="BG606" s="1081">
        <f t="shared" si="1"/>
        <v>0</v>
      </c>
      <c r="BH606" s="1084"/>
      <c r="BI606" s="1087">
        <f t="shared" si="10"/>
        <v>0</v>
      </c>
      <c r="BJ606" s="1088"/>
      <c r="BK606" s="1081">
        <f t="shared" si="2"/>
        <v>0</v>
      </c>
      <c r="BL606" s="1084"/>
      <c r="BN606" s="1081">
        <f t="shared" si="3"/>
        <v>0</v>
      </c>
      <c r="BO606" s="1082"/>
      <c r="BP606" s="1082"/>
      <c r="BQ606" s="1082"/>
      <c r="BR606" s="1083"/>
      <c r="BS606" s="1081">
        <f t="shared" si="4"/>
        <v>0</v>
      </c>
      <c r="BT606" s="1082"/>
      <c r="BU606" s="1082"/>
      <c r="BV606" s="1082"/>
      <c r="BW606" s="1084"/>
      <c r="BX606" s="1081">
        <f t="shared" si="5"/>
        <v>0</v>
      </c>
      <c r="BY606" s="1082"/>
      <c r="BZ606" s="1082"/>
      <c r="CA606" s="1082"/>
      <c r="CB606" s="1084"/>
      <c r="CC606" s="1081">
        <f t="shared" si="6"/>
        <v>0</v>
      </c>
      <c r="CD606" s="1082"/>
      <c r="CE606" s="1082"/>
      <c r="CF606" s="1082"/>
      <c r="CG606" s="1084"/>
      <c r="CH606" s="1081">
        <f t="shared" si="7"/>
        <v>0</v>
      </c>
      <c r="CI606" s="1082"/>
      <c r="CJ606" s="1082"/>
      <c r="CK606" s="1082"/>
      <c r="CL606" s="1084"/>
      <c r="CM606" s="1085">
        <f t="shared" si="8"/>
        <v>0</v>
      </c>
      <c r="CN606" s="1086"/>
      <c r="CO606" s="1086"/>
      <c r="CP606" s="1086"/>
      <c r="CQ606" s="1083"/>
      <c r="CS606" s="1078">
        <f t="shared" si="11"/>
        <v>0</v>
      </c>
      <c r="CT606" s="1079"/>
      <c r="CU606" s="1079"/>
      <c r="CV606" s="1079"/>
      <c r="CW606" s="1080"/>
      <c r="CX606" s="1078">
        <f t="shared" si="12"/>
        <v>0</v>
      </c>
      <c r="CY606" s="1079"/>
      <c r="CZ606" s="1079"/>
      <c r="DA606" s="1079"/>
      <c r="DB606" s="1080"/>
      <c r="DC606" s="1078">
        <f t="shared" si="13"/>
        <v>0</v>
      </c>
      <c r="DD606" s="1079"/>
      <c r="DE606" s="1079"/>
      <c r="DF606" s="1079"/>
      <c r="DG606" s="1080"/>
      <c r="DH606" s="1078">
        <f t="shared" si="14"/>
        <v>0</v>
      </c>
      <c r="DI606" s="1079"/>
      <c r="DJ606" s="1079"/>
      <c r="DK606" s="1079"/>
      <c r="DL606" s="1080"/>
      <c r="DM606" s="1078">
        <f t="shared" si="15"/>
        <v>0</v>
      </c>
      <c r="DN606" s="1079"/>
      <c r="DO606" s="1079"/>
      <c r="DP606" s="1079"/>
      <c r="DQ606" s="1080"/>
      <c r="DR606" s="1078">
        <f t="shared" si="16"/>
        <v>0</v>
      </c>
      <c r="DS606" s="1079"/>
      <c r="DT606" s="1079"/>
      <c r="DU606" s="1079"/>
      <c r="DV606" s="1080"/>
    </row>
    <row r="607" spans="1:126" ht="12.9" customHeight="1">
      <c r="A607" s="4"/>
      <c r="B607" t="s">
        <v>649</v>
      </c>
      <c r="C607"/>
      <c r="G607" s="1071"/>
      <c r="H607" s="1071"/>
      <c r="I607" s="1071"/>
      <c r="J607" s="1071"/>
      <c r="K607" s="1071"/>
      <c r="L607" s="1071"/>
      <c r="O607" s="42" t="s">
        <v>817</v>
      </c>
      <c r="P607" s="1332"/>
      <c r="Q607" s="1332"/>
      <c r="R607" s="1332"/>
      <c r="T607" s="4"/>
      <c r="U607" t="s">
        <v>649</v>
      </c>
      <c r="Z607" s="1071"/>
      <c r="AA607" s="1071"/>
      <c r="AB607" s="1071"/>
      <c r="AC607" s="1071"/>
      <c r="AD607" s="1071"/>
      <c r="AE607" s="1071"/>
      <c r="AH607" s="42" t="s">
        <v>817</v>
      </c>
      <c r="AI607" s="1332"/>
      <c r="AJ607" s="1332"/>
      <c r="AK607" s="1332"/>
      <c r="AZ607" s="41"/>
      <c r="BA607" s="41"/>
      <c r="BB607" s="41"/>
      <c r="BC607" s="41"/>
      <c r="BD607" s="41"/>
      <c r="BE607" s="1087">
        <f t="shared" si="9"/>
        <v>0</v>
      </c>
      <c r="BF607" s="1088"/>
      <c r="BG607" s="1081">
        <f t="shared" si="1"/>
        <v>0</v>
      </c>
      <c r="BH607" s="1084"/>
      <c r="BI607" s="1087">
        <f t="shared" si="10"/>
        <v>0</v>
      </c>
      <c r="BJ607" s="1088"/>
      <c r="BK607" s="1081">
        <f t="shared" si="2"/>
        <v>0</v>
      </c>
      <c r="BL607" s="1084"/>
      <c r="BN607" s="1081">
        <f t="shared" si="3"/>
        <v>0</v>
      </c>
      <c r="BO607" s="1082"/>
      <c r="BP607" s="1082"/>
      <c r="BQ607" s="1082"/>
      <c r="BR607" s="1083"/>
      <c r="BS607" s="1081">
        <f t="shared" si="4"/>
        <v>0</v>
      </c>
      <c r="BT607" s="1082"/>
      <c r="BU607" s="1082"/>
      <c r="BV607" s="1082"/>
      <c r="BW607" s="1084"/>
      <c r="BX607" s="1081">
        <f t="shared" si="5"/>
        <v>0</v>
      </c>
      <c r="BY607" s="1082"/>
      <c r="BZ607" s="1082"/>
      <c r="CA607" s="1082"/>
      <c r="CB607" s="1084"/>
      <c r="CC607" s="1081">
        <f t="shared" si="6"/>
        <v>0</v>
      </c>
      <c r="CD607" s="1082"/>
      <c r="CE607" s="1082"/>
      <c r="CF607" s="1082"/>
      <c r="CG607" s="1084"/>
      <c r="CH607" s="1081">
        <f t="shared" si="7"/>
        <v>0</v>
      </c>
      <c r="CI607" s="1082"/>
      <c r="CJ607" s="1082"/>
      <c r="CK607" s="1082"/>
      <c r="CL607" s="1084"/>
      <c r="CM607" s="1085">
        <f t="shared" si="8"/>
        <v>0</v>
      </c>
      <c r="CN607" s="1086"/>
      <c r="CO607" s="1086"/>
      <c r="CP607" s="1086"/>
      <c r="CQ607" s="1083"/>
      <c r="CS607" s="1078">
        <f t="shared" si="11"/>
        <v>0</v>
      </c>
      <c r="CT607" s="1079"/>
      <c r="CU607" s="1079"/>
      <c r="CV607" s="1079"/>
      <c r="CW607" s="1080"/>
      <c r="CX607" s="1078">
        <f t="shared" si="12"/>
        <v>0</v>
      </c>
      <c r="CY607" s="1079"/>
      <c r="CZ607" s="1079"/>
      <c r="DA607" s="1079"/>
      <c r="DB607" s="1080"/>
      <c r="DC607" s="1078">
        <f t="shared" si="13"/>
        <v>0</v>
      </c>
      <c r="DD607" s="1079"/>
      <c r="DE607" s="1079"/>
      <c r="DF607" s="1079"/>
      <c r="DG607" s="1080"/>
      <c r="DH607" s="1078">
        <f t="shared" si="14"/>
        <v>0</v>
      </c>
      <c r="DI607" s="1079"/>
      <c r="DJ607" s="1079"/>
      <c r="DK607" s="1079"/>
      <c r="DL607" s="1080"/>
      <c r="DM607" s="1078">
        <f t="shared" si="15"/>
        <v>0</v>
      </c>
      <c r="DN607" s="1079"/>
      <c r="DO607" s="1079"/>
      <c r="DP607" s="1079"/>
      <c r="DQ607" s="1080"/>
      <c r="DR607" s="1078">
        <f t="shared" si="16"/>
        <v>0</v>
      </c>
      <c r="DS607" s="1079"/>
      <c r="DT607" s="1079"/>
      <c r="DU607" s="1079"/>
      <c r="DV607" s="1080"/>
    </row>
    <row r="608" spans="1:126" s="5" customFormat="1" ht="12.9" customHeight="1">
      <c r="A608" s="4"/>
      <c r="B608" t="s">
        <v>833</v>
      </c>
      <c r="C608"/>
      <c r="D608"/>
      <c r="E608"/>
      <c r="F608"/>
      <c r="G608"/>
      <c r="H608" s="1069"/>
      <c r="I608" s="1069"/>
      <c r="J608" s="1069"/>
      <c r="K608" s="1069"/>
      <c r="L608" s="1069"/>
      <c r="M608" s="1069"/>
      <c r="N608" s="1069"/>
      <c r="O608" s="1069"/>
      <c r="P608" s="1069"/>
      <c r="Q608" s="1069"/>
      <c r="R608" s="1069"/>
      <c r="S608"/>
      <c r="T608" s="4"/>
      <c r="U608" t="s">
        <v>833</v>
      </c>
      <c r="V608"/>
      <c r="W608"/>
      <c r="X608"/>
      <c r="Y608"/>
      <c r="Z608"/>
      <c r="AA608" s="1069"/>
      <c r="AB608" s="1069"/>
      <c r="AC608" s="1069"/>
      <c r="AD608" s="1069"/>
      <c r="AE608" s="1069"/>
      <c r="AF608" s="1069"/>
      <c r="AG608" s="1069"/>
      <c r="AH608" s="1069"/>
      <c r="AI608" s="1069"/>
      <c r="AJ608" s="1069"/>
      <c r="AK608" s="1069"/>
      <c r="AL608"/>
      <c r="AZ608" s="41"/>
      <c r="BA608" s="41"/>
      <c r="BB608" s="41"/>
      <c r="BC608" s="41"/>
      <c r="BD608" s="41"/>
      <c r="BE608" s="1087">
        <f t="shared" si="9"/>
        <v>0</v>
      </c>
      <c r="BF608" s="1088"/>
      <c r="BG608" s="1081">
        <f t="shared" si="1"/>
        <v>0</v>
      </c>
      <c r="BH608" s="1084"/>
      <c r="BI608" s="1087">
        <f t="shared" si="10"/>
        <v>0</v>
      </c>
      <c r="BJ608" s="1088"/>
      <c r="BK608" s="1081">
        <f t="shared" si="2"/>
        <v>0</v>
      </c>
      <c r="BL608" s="1084"/>
      <c r="BN608" s="1081">
        <f t="shared" si="3"/>
        <v>0</v>
      </c>
      <c r="BO608" s="1082"/>
      <c r="BP608" s="1082"/>
      <c r="BQ608" s="1082"/>
      <c r="BR608" s="1083"/>
      <c r="BS608" s="1081">
        <f t="shared" si="4"/>
        <v>0</v>
      </c>
      <c r="BT608" s="1082"/>
      <c r="BU608" s="1082"/>
      <c r="BV608" s="1082"/>
      <c r="BW608" s="1084"/>
      <c r="BX608" s="1081">
        <f t="shared" si="5"/>
        <v>0</v>
      </c>
      <c r="BY608" s="1082"/>
      <c r="BZ608" s="1082"/>
      <c r="CA608" s="1082"/>
      <c r="CB608" s="1084"/>
      <c r="CC608" s="1081">
        <f t="shared" si="6"/>
        <v>0</v>
      </c>
      <c r="CD608" s="1082"/>
      <c r="CE608" s="1082"/>
      <c r="CF608" s="1082"/>
      <c r="CG608" s="1084"/>
      <c r="CH608" s="1081">
        <f t="shared" si="7"/>
        <v>0</v>
      </c>
      <c r="CI608" s="1082"/>
      <c r="CJ608" s="1082"/>
      <c r="CK608" s="1082"/>
      <c r="CL608" s="1084"/>
      <c r="CM608" s="1085">
        <f t="shared" si="8"/>
        <v>0</v>
      </c>
      <c r="CN608" s="1086"/>
      <c r="CO608" s="1086"/>
      <c r="CP608" s="1086"/>
      <c r="CQ608" s="1083"/>
      <c r="CS608" s="1078">
        <f t="shared" si="11"/>
        <v>0</v>
      </c>
      <c r="CT608" s="1079"/>
      <c r="CU608" s="1079"/>
      <c r="CV608" s="1079"/>
      <c r="CW608" s="1080"/>
      <c r="CX608" s="1078">
        <f t="shared" si="12"/>
        <v>0</v>
      </c>
      <c r="CY608" s="1079"/>
      <c r="CZ608" s="1079"/>
      <c r="DA608" s="1079"/>
      <c r="DB608" s="1080"/>
      <c r="DC608" s="1078">
        <f t="shared" si="13"/>
        <v>0</v>
      </c>
      <c r="DD608" s="1079"/>
      <c r="DE608" s="1079"/>
      <c r="DF608" s="1079"/>
      <c r="DG608" s="1080"/>
      <c r="DH608" s="1078">
        <f t="shared" si="14"/>
        <v>0</v>
      </c>
      <c r="DI608" s="1079"/>
      <c r="DJ608" s="1079"/>
      <c r="DK608" s="1079"/>
      <c r="DL608" s="1080"/>
      <c r="DM608" s="1078">
        <f t="shared" si="15"/>
        <v>0</v>
      </c>
      <c r="DN608" s="1079"/>
      <c r="DO608" s="1079"/>
      <c r="DP608" s="1079"/>
      <c r="DQ608" s="1080"/>
      <c r="DR608" s="1078">
        <f t="shared" si="16"/>
        <v>0</v>
      </c>
      <c r="DS608" s="1079"/>
      <c r="DT608" s="1079"/>
      <c r="DU608" s="1079"/>
      <c r="DV608" s="1080"/>
    </row>
    <row r="609" spans="1:126" s="5" customFormat="1" ht="12.9" customHeight="1">
      <c r="A609" s="4"/>
      <c r="B609" t="s">
        <v>835</v>
      </c>
      <c r="C609"/>
      <c r="D609"/>
      <c r="E609"/>
      <c r="F609"/>
      <c r="G609"/>
      <c r="H609"/>
      <c r="I609"/>
      <c r="J609"/>
      <c r="K609"/>
      <c r="L609"/>
      <c r="M609"/>
      <c r="N609" s="1140" t="s">
        <v>482</v>
      </c>
      <c r="O609" s="1140"/>
      <c r="P609"/>
      <c r="Q609"/>
      <c r="R609"/>
      <c r="S609"/>
      <c r="T609" s="4"/>
      <c r="U609" t="s">
        <v>835</v>
      </c>
      <c r="V609"/>
      <c r="W609"/>
      <c r="X609"/>
      <c r="Y609"/>
      <c r="Z609"/>
      <c r="AA609"/>
      <c r="AB609"/>
      <c r="AC609"/>
      <c r="AD609"/>
      <c r="AE609"/>
      <c r="AF609"/>
      <c r="AG609" s="1140" t="s">
        <v>482</v>
      </c>
      <c r="AH609" s="1140"/>
      <c r="AI609"/>
      <c r="AJ609"/>
      <c r="AK609"/>
      <c r="AL609"/>
      <c r="AZ609" s="41"/>
      <c r="BA609" s="41"/>
      <c r="BB609" s="41"/>
      <c r="BC609" s="41"/>
      <c r="BD609" s="41"/>
      <c r="BE609" s="1087">
        <f t="shared" si="9"/>
        <v>0</v>
      </c>
      <c r="BF609" s="1088"/>
      <c r="BG609" s="1081">
        <f t="shared" si="1"/>
        <v>0</v>
      </c>
      <c r="BH609" s="1084"/>
      <c r="BI609" s="1087">
        <f t="shared" si="10"/>
        <v>0</v>
      </c>
      <c r="BJ609" s="1088"/>
      <c r="BK609" s="1081">
        <f t="shared" si="2"/>
        <v>0</v>
      </c>
      <c r="BL609" s="1084"/>
      <c r="BN609" s="1081">
        <f t="shared" si="3"/>
        <v>0</v>
      </c>
      <c r="BO609" s="1082"/>
      <c r="BP609" s="1082"/>
      <c r="BQ609" s="1082"/>
      <c r="BR609" s="1083"/>
      <c r="BS609" s="1081">
        <f t="shared" si="4"/>
        <v>0</v>
      </c>
      <c r="BT609" s="1082"/>
      <c r="BU609" s="1082"/>
      <c r="BV609" s="1082"/>
      <c r="BW609" s="1084"/>
      <c r="BX609" s="1081">
        <f t="shared" si="5"/>
        <v>0</v>
      </c>
      <c r="BY609" s="1082"/>
      <c r="BZ609" s="1082"/>
      <c r="CA609" s="1082"/>
      <c r="CB609" s="1084"/>
      <c r="CC609" s="1081">
        <f t="shared" si="6"/>
        <v>0</v>
      </c>
      <c r="CD609" s="1082"/>
      <c r="CE609" s="1082"/>
      <c r="CF609" s="1082"/>
      <c r="CG609" s="1084"/>
      <c r="CH609" s="1081">
        <f t="shared" si="7"/>
        <v>0</v>
      </c>
      <c r="CI609" s="1082"/>
      <c r="CJ609" s="1082"/>
      <c r="CK609" s="1082"/>
      <c r="CL609" s="1084"/>
      <c r="CM609" s="1085">
        <f t="shared" si="8"/>
        <v>0</v>
      </c>
      <c r="CN609" s="1086"/>
      <c r="CO609" s="1086"/>
      <c r="CP609" s="1086"/>
      <c r="CQ609" s="1083"/>
      <c r="CS609" s="1078">
        <f t="shared" si="11"/>
        <v>0</v>
      </c>
      <c r="CT609" s="1079"/>
      <c r="CU609" s="1079"/>
      <c r="CV609" s="1079"/>
      <c r="CW609" s="1080"/>
      <c r="CX609" s="1078">
        <f t="shared" si="12"/>
        <v>0</v>
      </c>
      <c r="CY609" s="1079"/>
      <c r="CZ609" s="1079"/>
      <c r="DA609" s="1079"/>
      <c r="DB609" s="1080"/>
      <c r="DC609" s="1078">
        <f t="shared" si="13"/>
        <v>0</v>
      </c>
      <c r="DD609" s="1079"/>
      <c r="DE609" s="1079"/>
      <c r="DF609" s="1079"/>
      <c r="DG609" s="1080"/>
      <c r="DH609" s="1078">
        <f t="shared" si="14"/>
        <v>0</v>
      </c>
      <c r="DI609" s="1079"/>
      <c r="DJ609" s="1079"/>
      <c r="DK609" s="1079"/>
      <c r="DL609" s="1080"/>
      <c r="DM609" s="1078">
        <f t="shared" si="15"/>
        <v>0</v>
      </c>
      <c r="DN609" s="1079"/>
      <c r="DO609" s="1079"/>
      <c r="DP609" s="1079"/>
      <c r="DQ609" s="1080"/>
      <c r="DR609" s="1078">
        <f t="shared" si="16"/>
        <v>0</v>
      </c>
      <c r="DS609" s="1079"/>
      <c r="DT609" s="1079"/>
      <c r="DU609" s="1079"/>
      <c r="DV609" s="1080"/>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7">
        <f t="shared" si="9"/>
        <v>0</v>
      </c>
      <c r="BF610" s="1088"/>
      <c r="BG610" s="1081">
        <f t="shared" si="1"/>
        <v>0</v>
      </c>
      <c r="BH610" s="1084"/>
      <c r="BI610" s="1087">
        <f t="shared" si="10"/>
        <v>0</v>
      </c>
      <c r="BJ610" s="1088"/>
      <c r="BK610" s="1081">
        <f t="shared" si="2"/>
        <v>0</v>
      </c>
      <c r="BL610" s="1084"/>
      <c r="BN610" s="1081">
        <f t="shared" si="3"/>
        <v>0</v>
      </c>
      <c r="BO610" s="1082"/>
      <c r="BP610" s="1082"/>
      <c r="BQ610" s="1082"/>
      <c r="BR610" s="1083"/>
      <c r="BS610" s="1081">
        <f t="shared" si="4"/>
        <v>0</v>
      </c>
      <c r="BT610" s="1082"/>
      <c r="BU610" s="1082"/>
      <c r="BV610" s="1082"/>
      <c r="BW610" s="1084"/>
      <c r="BX610" s="1081">
        <f t="shared" si="5"/>
        <v>0</v>
      </c>
      <c r="BY610" s="1082"/>
      <c r="BZ610" s="1082"/>
      <c r="CA610" s="1082"/>
      <c r="CB610" s="1084"/>
      <c r="CC610" s="1081">
        <f t="shared" si="6"/>
        <v>0</v>
      </c>
      <c r="CD610" s="1082"/>
      <c r="CE610" s="1082"/>
      <c r="CF610" s="1082"/>
      <c r="CG610" s="1084"/>
      <c r="CH610" s="1081">
        <f t="shared" si="7"/>
        <v>0</v>
      </c>
      <c r="CI610" s="1082"/>
      <c r="CJ610" s="1082"/>
      <c r="CK610" s="1082"/>
      <c r="CL610" s="1084"/>
      <c r="CM610" s="1085">
        <f t="shared" si="8"/>
        <v>0</v>
      </c>
      <c r="CN610" s="1086"/>
      <c r="CO610" s="1086"/>
      <c r="CP610" s="1086"/>
      <c r="CQ610" s="1083"/>
      <c r="CS610" s="1078">
        <f t="shared" si="11"/>
        <v>0</v>
      </c>
      <c r="CT610" s="1079"/>
      <c r="CU610" s="1079"/>
      <c r="CV610" s="1079"/>
      <c r="CW610" s="1080"/>
      <c r="CX610" s="1078">
        <f t="shared" si="12"/>
        <v>0</v>
      </c>
      <c r="CY610" s="1079"/>
      <c r="CZ610" s="1079"/>
      <c r="DA610" s="1079"/>
      <c r="DB610" s="1080"/>
      <c r="DC610" s="1078">
        <f t="shared" si="13"/>
        <v>0</v>
      </c>
      <c r="DD610" s="1079"/>
      <c r="DE610" s="1079"/>
      <c r="DF610" s="1079"/>
      <c r="DG610" s="1080"/>
      <c r="DH610" s="1078">
        <f t="shared" si="14"/>
        <v>0</v>
      </c>
      <c r="DI610" s="1079"/>
      <c r="DJ610" s="1079"/>
      <c r="DK610" s="1079"/>
      <c r="DL610" s="1080"/>
      <c r="DM610" s="1078">
        <f t="shared" si="15"/>
        <v>0</v>
      </c>
      <c r="DN610" s="1079"/>
      <c r="DO610" s="1079"/>
      <c r="DP610" s="1079"/>
      <c r="DQ610" s="1080"/>
      <c r="DR610" s="1078">
        <f t="shared" si="16"/>
        <v>0</v>
      </c>
      <c r="DS610" s="1079"/>
      <c r="DT610" s="1079"/>
      <c r="DU610" s="1079"/>
      <c r="DV610" s="1080"/>
    </row>
    <row r="611" spans="1:126" ht="12.9" customHeight="1">
      <c r="A611" s="61" t="s">
        <v>32</v>
      </c>
      <c r="B611" t="s">
        <v>82</v>
      </c>
      <c r="C611"/>
      <c r="G611" s="1247">
        <f>C567</f>
        <v>0</v>
      </c>
      <c r="H611" s="1247"/>
      <c r="I611" s="1247"/>
      <c r="J611" s="1247"/>
      <c r="K611" s="1247"/>
      <c r="L611" s="1247"/>
      <c r="M611" s="1247"/>
      <c r="N611" s="1247"/>
      <c r="O611" s="1247"/>
      <c r="P611" s="1247"/>
      <c r="Q611" s="1247"/>
      <c r="R611" s="1247"/>
      <c r="T611" s="61" t="s">
        <v>33</v>
      </c>
      <c r="U611" t="s">
        <v>82</v>
      </c>
      <c r="Z611" s="1247">
        <f>C568</f>
        <v>0</v>
      </c>
      <c r="AA611" s="1247"/>
      <c r="AB611" s="1247"/>
      <c r="AC611" s="1247"/>
      <c r="AD611" s="1247"/>
      <c r="AE611" s="1247"/>
      <c r="AF611" s="1247"/>
      <c r="AG611" s="1247"/>
      <c r="AH611" s="1247"/>
      <c r="AI611" s="1247"/>
      <c r="AJ611" s="1247"/>
      <c r="AK611" s="1247"/>
      <c r="AZ611" s="41"/>
      <c r="BA611" s="41"/>
      <c r="BB611" s="41"/>
      <c r="BC611" s="41"/>
      <c r="BD611" s="41"/>
      <c r="BE611" s="1087">
        <f t="shared" si="9"/>
        <v>0</v>
      </c>
      <c r="BF611" s="1088"/>
      <c r="BG611" s="1081">
        <f t="shared" si="1"/>
        <v>0</v>
      </c>
      <c r="BH611" s="1084"/>
      <c r="BI611" s="1087">
        <f t="shared" si="10"/>
        <v>0</v>
      </c>
      <c r="BJ611" s="1088"/>
      <c r="BK611" s="1081">
        <f t="shared" si="2"/>
        <v>0</v>
      </c>
      <c r="BL611" s="1084"/>
      <c r="BN611" s="1081">
        <f t="shared" si="3"/>
        <v>0</v>
      </c>
      <c r="BO611" s="1082"/>
      <c r="BP611" s="1082"/>
      <c r="BQ611" s="1082"/>
      <c r="BR611" s="1083"/>
      <c r="BS611" s="1081">
        <f t="shared" si="4"/>
        <v>0</v>
      </c>
      <c r="BT611" s="1082"/>
      <c r="BU611" s="1082"/>
      <c r="BV611" s="1082"/>
      <c r="BW611" s="1084"/>
      <c r="BX611" s="1081">
        <f t="shared" si="5"/>
        <v>0</v>
      </c>
      <c r="BY611" s="1082"/>
      <c r="BZ611" s="1082"/>
      <c r="CA611" s="1082"/>
      <c r="CB611" s="1084"/>
      <c r="CC611" s="1081">
        <f t="shared" si="6"/>
        <v>0</v>
      </c>
      <c r="CD611" s="1082"/>
      <c r="CE611" s="1082"/>
      <c r="CF611" s="1082"/>
      <c r="CG611" s="1084"/>
      <c r="CH611" s="1081">
        <f t="shared" si="7"/>
        <v>0</v>
      </c>
      <c r="CI611" s="1082"/>
      <c r="CJ611" s="1082"/>
      <c r="CK611" s="1082"/>
      <c r="CL611" s="1084"/>
      <c r="CM611" s="1085">
        <f t="shared" si="8"/>
        <v>0</v>
      </c>
      <c r="CN611" s="1086"/>
      <c r="CO611" s="1086"/>
      <c r="CP611" s="1086"/>
      <c r="CQ611" s="1083"/>
      <c r="CS611" s="1078">
        <f t="shared" si="11"/>
        <v>0</v>
      </c>
      <c r="CT611" s="1079"/>
      <c r="CU611" s="1079"/>
      <c r="CV611" s="1079"/>
      <c r="CW611" s="1080"/>
      <c r="CX611" s="1078">
        <f t="shared" si="12"/>
        <v>0</v>
      </c>
      <c r="CY611" s="1079"/>
      <c r="CZ611" s="1079"/>
      <c r="DA611" s="1079"/>
      <c r="DB611" s="1080"/>
      <c r="DC611" s="1078">
        <f t="shared" si="13"/>
        <v>0</v>
      </c>
      <c r="DD611" s="1079"/>
      <c r="DE611" s="1079"/>
      <c r="DF611" s="1079"/>
      <c r="DG611" s="1080"/>
      <c r="DH611" s="1078">
        <f t="shared" si="14"/>
        <v>0</v>
      </c>
      <c r="DI611" s="1079"/>
      <c r="DJ611" s="1079"/>
      <c r="DK611" s="1079"/>
      <c r="DL611" s="1080"/>
      <c r="DM611" s="1078">
        <f t="shared" si="15"/>
        <v>0</v>
      </c>
      <c r="DN611" s="1079"/>
      <c r="DO611" s="1079"/>
      <c r="DP611" s="1079"/>
      <c r="DQ611" s="1080"/>
      <c r="DR611" s="1078">
        <f t="shared" si="16"/>
        <v>0</v>
      </c>
      <c r="DS611" s="1079"/>
      <c r="DT611" s="1079"/>
      <c r="DU611" s="1079"/>
      <c r="DV611" s="1080"/>
    </row>
    <row r="612" spans="1:126" ht="12.9" customHeight="1">
      <c r="B612" t="s">
        <v>372</v>
      </c>
      <c r="C612"/>
      <c r="G612" s="1069"/>
      <c r="H612" s="1069"/>
      <c r="I612" s="1069"/>
      <c r="J612" s="1069"/>
      <c r="K612" s="1069"/>
      <c r="L612" s="1069"/>
      <c r="M612" s="1069"/>
      <c r="N612" s="1069"/>
      <c r="O612" s="1069"/>
      <c r="P612" s="1069"/>
      <c r="Q612" s="1069"/>
      <c r="R612" s="1069"/>
      <c r="U612" t="s">
        <v>372</v>
      </c>
      <c r="Z612" s="1069"/>
      <c r="AA612" s="1069"/>
      <c r="AB612" s="1069"/>
      <c r="AC612" s="1069"/>
      <c r="AD612" s="1069"/>
      <c r="AE612" s="1069"/>
      <c r="AF612" s="1069"/>
      <c r="AG612" s="1069"/>
      <c r="AH612" s="1069"/>
      <c r="AI612" s="1069"/>
      <c r="AJ612" s="1069"/>
      <c r="AK612" s="1069"/>
      <c r="AZ612" s="41"/>
      <c r="BA612" s="41"/>
      <c r="BB612" s="41"/>
      <c r="BC612" s="41"/>
      <c r="BD612" s="41"/>
      <c r="BE612" s="1087">
        <f t="shared" si="9"/>
        <v>0</v>
      </c>
      <c r="BF612" s="1088"/>
      <c r="BG612" s="1081">
        <f t="shared" si="1"/>
        <v>0</v>
      </c>
      <c r="BH612" s="1084"/>
      <c r="BI612" s="1087">
        <f t="shared" si="10"/>
        <v>0</v>
      </c>
      <c r="BJ612" s="1088"/>
      <c r="BK612" s="1081">
        <f t="shared" si="2"/>
        <v>0</v>
      </c>
      <c r="BL612" s="1084"/>
      <c r="BN612" s="1081">
        <f t="shared" si="3"/>
        <v>0</v>
      </c>
      <c r="BO612" s="1082"/>
      <c r="BP612" s="1082"/>
      <c r="BQ612" s="1082"/>
      <c r="BR612" s="1083"/>
      <c r="BS612" s="1081">
        <f t="shared" si="4"/>
        <v>0</v>
      </c>
      <c r="BT612" s="1082"/>
      <c r="BU612" s="1082"/>
      <c r="BV612" s="1082"/>
      <c r="BW612" s="1084"/>
      <c r="BX612" s="1081">
        <f t="shared" si="5"/>
        <v>0</v>
      </c>
      <c r="BY612" s="1082"/>
      <c r="BZ612" s="1082"/>
      <c r="CA612" s="1082"/>
      <c r="CB612" s="1084"/>
      <c r="CC612" s="1081">
        <f t="shared" si="6"/>
        <v>0</v>
      </c>
      <c r="CD612" s="1082"/>
      <c r="CE612" s="1082"/>
      <c r="CF612" s="1082"/>
      <c r="CG612" s="1084"/>
      <c r="CH612" s="1081">
        <f t="shared" si="7"/>
        <v>0</v>
      </c>
      <c r="CI612" s="1082"/>
      <c r="CJ612" s="1082"/>
      <c r="CK612" s="1082"/>
      <c r="CL612" s="1084"/>
      <c r="CM612" s="1085">
        <f t="shared" si="8"/>
        <v>0</v>
      </c>
      <c r="CN612" s="1086"/>
      <c r="CO612" s="1086"/>
      <c r="CP612" s="1086"/>
      <c r="CQ612" s="1083"/>
      <c r="CS612" s="1078">
        <f t="shared" si="11"/>
        <v>0</v>
      </c>
      <c r="CT612" s="1079"/>
      <c r="CU612" s="1079"/>
      <c r="CV612" s="1079"/>
      <c r="CW612" s="1080"/>
      <c r="CX612" s="1078">
        <f t="shared" si="12"/>
        <v>0</v>
      </c>
      <c r="CY612" s="1079"/>
      <c r="CZ612" s="1079"/>
      <c r="DA612" s="1079"/>
      <c r="DB612" s="1080"/>
      <c r="DC612" s="1078">
        <f t="shared" si="13"/>
        <v>0</v>
      </c>
      <c r="DD612" s="1079"/>
      <c r="DE612" s="1079"/>
      <c r="DF612" s="1079"/>
      <c r="DG612" s="1080"/>
      <c r="DH612" s="1078">
        <f t="shared" si="14"/>
        <v>0</v>
      </c>
      <c r="DI612" s="1079"/>
      <c r="DJ612" s="1079"/>
      <c r="DK612" s="1079"/>
      <c r="DL612" s="1080"/>
      <c r="DM612" s="1078">
        <f t="shared" si="15"/>
        <v>0</v>
      </c>
      <c r="DN612" s="1079"/>
      <c r="DO612" s="1079"/>
      <c r="DP612" s="1079"/>
      <c r="DQ612" s="1080"/>
      <c r="DR612" s="1078">
        <f t="shared" si="16"/>
        <v>0</v>
      </c>
      <c r="DS612" s="1079"/>
      <c r="DT612" s="1079"/>
      <c r="DU612" s="1079"/>
      <c r="DV612" s="1080"/>
    </row>
    <row r="613" spans="1:126" ht="12.9" customHeight="1">
      <c r="B613" t="s">
        <v>430</v>
      </c>
      <c r="C613"/>
      <c r="G613" s="1069"/>
      <c r="H613" s="1069"/>
      <c r="I613" s="1069"/>
      <c r="J613" s="1069"/>
      <c r="K613" s="1069"/>
      <c r="L613" s="1069"/>
      <c r="M613" s="1069"/>
      <c r="N613" s="1069"/>
      <c r="O613" s="1069"/>
      <c r="P613" s="1069"/>
      <c r="Q613" s="1069"/>
      <c r="R613" s="1069"/>
      <c r="U613" t="s">
        <v>430</v>
      </c>
      <c r="Z613" s="1067"/>
      <c r="AA613" s="1067"/>
      <c r="AB613" s="1067"/>
      <c r="AC613" s="1067"/>
      <c r="AD613" s="1067"/>
      <c r="AE613" s="1067"/>
      <c r="AF613" s="1067"/>
      <c r="AG613" s="1067"/>
      <c r="AH613" s="1067"/>
      <c r="AI613" s="1067"/>
      <c r="AJ613" s="1067"/>
      <c r="AK613" s="1067"/>
      <c r="AL613" s="303"/>
      <c r="BA613" s="41"/>
      <c r="BB613" s="41"/>
      <c r="BC613" s="41"/>
      <c r="BD613" s="41"/>
      <c r="BE613" s="1087">
        <f t="shared" si="9"/>
        <v>0</v>
      </c>
      <c r="BF613" s="1088"/>
      <c r="BG613" s="1081">
        <f t="shared" si="1"/>
        <v>0</v>
      </c>
      <c r="BH613" s="1084"/>
      <c r="BI613" s="1087">
        <f t="shared" si="10"/>
        <v>0</v>
      </c>
      <c r="BJ613" s="1088"/>
      <c r="BK613" s="1081">
        <f t="shared" si="2"/>
        <v>0</v>
      </c>
      <c r="BL613" s="1084"/>
      <c r="BN613" s="1081">
        <f t="shared" si="3"/>
        <v>0</v>
      </c>
      <c r="BO613" s="1082"/>
      <c r="BP613" s="1082"/>
      <c r="BQ613" s="1082"/>
      <c r="BR613" s="1083"/>
      <c r="BS613" s="1081">
        <f t="shared" si="4"/>
        <v>0</v>
      </c>
      <c r="BT613" s="1082"/>
      <c r="BU613" s="1082"/>
      <c r="BV613" s="1082"/>
      <c r="BW613" s="1084"/>
      <c r="BX613" s="1081">
        <f t="shared" si="5"/>
        <v>0</v>
      </c>
      <c r="BY613" s="1082"/>
      <c r="BZ613" s="1082"/>
      <c r="CA613" s="1082"/>
      <c r="CB613" s="1084"/>
      <c r="CC613" s="1081">
        <f t="shared" si="6"/>
        <v>0</v>
      </c>
      <c r="CD613" s="1082"/>
      <c r="CE613" s="1082"/>
      <c r="CF613" s="1082"/>
      <c r="CG613" s="1084"/>
      <c r="CH613" s="1081">
        <f t="shared" si="7"/>
        <v>0</v>
      </c>
      <c r="CI613" s="1082"/>
      <c r="CJ613" s="1082"/>
      <c r="CK613" s="1082"/>
      <c r="CL613" s="1084"/>
      <c r="CM613" s="1085">
        <f t="shared" si="8"/>
        <v>0</v>
      </c>
      <c r="CN613" s="1086"/>
      <c r="CO613" s="1086"/>
      <c r="CP613" s="1086"/>
      <c r="CQ613" s="1083"/>
      <c r="CS613" s="1078">
        <f t="shared" si="11"/>
        <v>0</v>
      </c>
      <c r="CT613" s="1079"/>
      <c r="CU613" s="1079"/>
      <c r="CV613" s="1079"/>
      <c r="CW613" s="1080"/>
      <c r="CX613" s="1078">
        <f t="shared" si="12"/>
        <v>0</v>
      </c>
      <c r="CY613" s="1079"/>
      <c r="CZ613" s="1079"/>
      <c r="DA613" s="1079"/>
      <c r="DB613" s="1080"/>
      <c r="DC613" s="1078">
        <f t="shared" si="13"/>
        <v>0</v>
      </c>
      <c r="DD613" s="1079"/>
      <c r="DE613" s="1079"/>
      <c r="DF613" s="1079"/>
      <c r="DG613" s="1080"/>
      <c r="DH613" s="1078">
        <f t="shared" si="14"/>
        <v>0</v>
      </c>
      <c r="DI613" s="1079"/>
      <c r="DJ613" s="1079"/>
      <c r="DK613" s="1079"/>
      <c r="DL613" s="1080"/>
      <c r="DM613" s="1078">
        <f t="shared" si="15"/>
        <v>0</v>
      </c>
      <c r="DN613" s="1079"/>
      <c r="DO613" s="1079"/>
      <c r="DP613" s="1079"/>
      <c r="DQ613" s="1080"/>
      <c r="DR613" s="1078">
        <f t="shared" si="16"/>
        <v>0</v>
      </c>
      <c r="DS613" s="1079"/>
      <c r="DT613" s="1079"/>
      <c r="DU613" s="1079"/>
      <c r="DV613" s="1080"/>
    </row>
    <row r="614" spans="1:126" ht="12.9" customHeight="1">
      <c r="B614" t="s">
        <v>832</v>
      </c>
      <c r="C614"/>
      <c r="G614" s="1069"/>
      <c r="H614" s="1069"/>
      <c r="I614" s="1069"/>
      <c r="J614" s="1069"/>
      <c r="K614" s="1069"/>
      <c r="L614" s="1069"/>
      <c r="M614" s="1069"/>
      <c r="N614" s="1069"/>
      <c r="O614" s="1069"/>
      <c r="P614" s="1069"/>
      <c r="Q614" s="1069"/>
      <c r="R614" s="1069"/>
      <c r="U614" t="s">
        <v>832</v>
      </c>
      <c r="Z614" s="1067"/>
      <c r="AA614" s="1067"/>
      <c r="AB614" s="1067"/>
      <c r="AC614" s="1067"/>
      <c r="AD614" s="1067"/>
      <c r="AE614" s="1067"/>
      <c r="AF614" s="1067"/>
      <c r="AG614" s="1067"/>
      <c r="AH614" s="1067"/>
      <c r="AI614" s="1067"/>
      <c r="AJ614" s="1067"/>
      <c r="AK614" s="1067"/>
      <c r="AL614" s="303"/>
      <c r="BA614" s="41"/>
      <c r="BB614" s="41"/>
      <c r="BC614" s="41"/>
      <c r="BD614" s="41"/>
      <c r="BE614" s="1087">
        <f t="shared" si="9"/>
        <v>0</v>
      </c>
      <c r="BF614" s="1088"/>
      <c r="BG614" s="1081">
        <f t="shared" si="1"/>
        <v>0</v>
      </c>
      <c r="BH614" s="1084"/>
      <c r="BI614" s="1087">
        <f t="shared" si="10"/>
        <v>0</v>
      </c>
      <c r="BJ614" s="1088"/>
      <c r="BK614" s="1081">
        <f t="shared" si="2"/>
        <v>0</v>
      </c>
      <c r="BL614" s="1084"/>
      <c r="BN614" s="1081">
        <f t="shared" si="3"/>
        <v>0</v>
      </c>
      <c r="BO614" s="1082"/>
      <c r="BP614" s="1082"/>
      <c r="BQ614" s="1082"/>
      <c r="BR614" s="1083"/>
      <c r="BS614" s="1081">
        <f t="shared" si="4"/>
        <v>0</v>
      </c>
      <c r="BT614" s="1082"/>
      <c r="BU614" s="1082"/>
      <c r="BV614" s="1082"/>
      <c r="BW614" s="1084"/>
      <c r="BX614" s="1081">
        <f t="shared" si="5"/>
        <v>0</v>
      </c>
      <c r="BY614" s="1082"/>
      <c r="BZ614" s="1082"/>
      <c r="CA614" s="1082"/>
      <c r="CB614" s="1084"/>
      <c r="CC614" s="1081">
        <f t="shared" si="6"/>
        <v>0</v>
      </c>
      <c r="CD614" s="1082"/>
      <c r="CE614" s="1082"/>
      <c r="CF614" s="1082"/>
      <c r="CG614" s="1084"/>
      <c r="CH614" s="1081">
        <f t="shared" si="7"/>
        <v>0</v>
      </c>
      <c r="CI614" s="1082"/>
      <c r="CJ614" s="1082"/>
      <c r="CK614" s="1082"/>
      <c r="CL614" s="1084"/>
      <c r="CM614" s="1085">
        <f t="shared" si="8"/>
        <v>0</v>
      </c>
      <c r="CN614" s="1086"/>
      <c r="CO614" s="1086"/>
      <c r="CP614" s="1086"/>
      <c r="CQ614" s="1083"/>
      <c r="CS614" s="1078">
        <f t="shared" si="11"/>
        <v>0</v>
      </c>
      <c r="CT614" s="1079"/>
      <c r="CU614" s="1079"/>
      <c r="CV614" s="1079"/>
      <c r="CW614" s="1080"/>
      <c r="CX614" s="1078">
        <f t="shared" si="12"/>
        <v>0</v>
      </c>
      <c r="CY614" s="1079"/>
      <c r="CZ614" s="1079"/>
      <c r="DA614" s="1079"/>
      <c r="DB614" s="1080"/>
      <c r="DC614" s="1078">
        <f t="shared" si="13"/>
        <v>0</v>
      </c>
      <c r="DD614" s="1079"/>
      <c r="DE614" s="1079"/>
      <c r="DF614" s="1079"/>
      <c r="DG614" s="1080"/>
      <c r="DH614" s="1078">
        <f t="shared" si="14"/>
        <v>0</v>
      </c>
      <c r="DI614" s="1079"/>
      <c r="DJ614" s="1079"/>
      <c r="DK614" s="1079"/>
      <c r="DL614" s="1080"/>
      <c r="DM614" s="1078">
        <f t="shared" si="15"/>
        <v>0</v>
      </c>
      <c r="DN614" s="1079"/>
      <c r="DO614" s="1079"/>
      <c r="DP614" s="1079"/>
      <c r="DQ614" s="1080"/>
      <c r="DR614" s="1078">
        <f t="shared" si="16"/>
        <v>0</v>
      </c>
      <c r="DS614" s="1079"/>
      <c r="DT614" s="1079"/>
      <c r="DU614" s="1079"/>
      <c r="DV614" s="1080"/>
    </row>
    <row r="615" spans="1:126" ht="12.9" customHeight="1">
      <c r="B615" t="s">
        <v>649</v>
      </c>
      <c r="C615"/>
      <c r="G615" s="1071"/>
      <c r="H615" s="1071"/>
      <c r="I615" s="1071"/>
      <c r="J615" s="1071"/>
      <c r="K615" s="1071"/>
      <c r="L615" s="1071"/>
      <c r="O615" s="42" t="s">
        <v>817</v>
      </c>
      <c r="P615" s="1332"/>
      <c r="Q615" s="1332"/>
      <c r="R615" s="1332"/>
      <c r="U615" t="s">
        <v>649</v>
      </c>
      <c r="Z615" s="1071"/>
      <c r="AA615" s="1071"/>
      <c r="AB615" s="1071"/>
      <c r="AC615" s="1071"/>
      <c r="AD615" s="1071"/>
      <c r="AE615" s="1071"/>
      <c r="AH615" s="42" t="s">
        <v>817</v>
      </c>
      <c r="AI615" s="1332"/>
      <c r="AJ615" s="1332"/>
      <c r="AK615" s="1332"/>
      <c r="AZ615" s="41"/>
      <c r="BA615" s="41"/>
      <c r="BB615" s="41"/>
      <c r="BC615" s="41"/>
      <c r="BD615" s="41"/>
      <c r="BE615" s="1087">
        <f t="shared" si="9"/>
        <v>0</v>
      </c>
      <c r="BF615" s="1088"/>
      <c r="BG615" s="1081">
        <f t="shared" si="1"/>
        <v>0</v>
      </c>
      <c r="BH615" s="1084"/>
      <c r="BI615" s="1087">
        <f t="shared" si="10"/>
        <v>0</v>
      </c>
      <c r="BJ615" s="1088"/>
      <c r="BK615" s="1081">
        <f t="shared" si="2"/>
        <v>0</v>
      </c>
      <c r="BL615" s="1084"/>
      <c r="BN615" s="1081">
        <f t="shared" si="3"/>
        <v>0</v>
      </c>
      <c r="BO615" s="1082"/>
      <c r="BP615" s="1082"/>
      <c r="BQ615" s="1082"/>
      <c r="BR615" s="1083"/>
      <c r="BS615" s="1081">
        <f t="shared" si="4"/>
        <v>0</v>
      </c>
      <c r="BT615" s="1082"/>
      <c r="BU615" s="1082"/>
      <c r="BV615" s="1082"/>
      <c r="BW615" s="1084"/>
      <c r="BX615" s="1081">
        <f t="shared" si="5"/>
        <v>0</v>
      </c>
      <c r="BY615" s="1082"/>
      <c r="BZ615" s="1082"/>
      <c r="CA615" s="1082"/>
      <c r="CB615" s="1084"/>
      <c r="CC615" s="1081">
        <f t="shared" si="6"/>
        <v>0</v>
      </c>
      <c r="CD615" s="1082"/>
      <c r="CE615" s="1082"/>
      <c r="CF615" s="1082"/>
      <c r="CG615" s="1084"/>
      <c r="CH615" s="1081">
        <f t="shared" si="7"/>
        <v>0</v>
      </c>
      <c r="CI615" s="1082"/>
      <c r="CJ615" s="1082"/>
      <c r="CK615" s="1082"/>
      <c r="CL615" s="1084"/>
      <c r="CM615" s="1085">
        <f t="shared" si="8"/>
        <v>0</v>
      </c>
      <c r="CN615" s="1086"/>
      <c r="CO615" s="1086"/>
      <c r="CP615" s="1086"/>
      <c r="CQ615" s="1083"/>
      <c r="CS615" s="1078">
        <f t="shared" si="11"/>
        <v>0</v>
      </c>
      <c r="CT615" s="1079"/>
      <c r="CU615" s="1079"/>
      <c r="CV615" s="1079"/>
      <c r="CW615" s="1080"/>
      <c r="CX615" s="1078">
        <f t="shared" si="12"/>
        <v>0</v>
      </c>
      <c r="CY615" s="1079"/>
      <c r="CZ615" s="1079"/>
      <c r="DA615" s="1079"/>
      <c r="DB615" s="1080"/>
      <c r="DC615" s="1078">
        <f t="shared" si="13"/>
        <v>0</v>
      </c>
      <c r="DD615" s="1079"/>
      <c r="DE615" s="1079"/>
      <c r="DF615" s="1079"/>
      <c r="DG615" s="1080"/>
      <c r="DH615" s="1078">
        <f t="shared" si="14"/>
        <v>0</v>
      </c>
      <c r="DI615" s="1079"/>
      <c r="DJ615" s="1079"/>
      <c r="DK615" s="1079"/>
      <c r="DL615" s="1080"/>
      <c r="DM615" s="1078">
        <f t="shared" si="15"/>
        <v>0</v>
      </c>
      <c r="DN615" s="1079"/>
      <c r="DO615" s="1079"/>
      <c r="DP615" s="1079"/>
      <c r="DQ615" s="1080"/>
      <c r="DR615" s="1078">
        <f t="shared" si="16"/>
        <v>0</v>
      </c>
      <c r="DS615" s="1079"/>
      <c r="DT615" s="1079"/>
      <c r="DU615" s="1079"/>
      <c r="DV615" s="1080"/>
    </row>
    <row r="616" spans="1:126" ht="12.9" customHeight="1">
      <c r="B616" t="s">
        <v>833</v>
      </c>
      <c r="C616"/>
      <c r="H616" s="1069"/>
      <c r="I616" s="1069"/>
      <c r="J616" s="1069"/>
      <c r="K616" s="1069"/>
      <c r="L616" s="1069"/>
      <c r="M616" s="1069"/>
      <c r="N616" s="1069"/>
      <c r="O616" s="1069"/>
      <c r="P616" s="1069"/>
      <c r="Q616" s="1069"/>
      <c r="R616" s="1069"/>
      <c r="U616" t="s">
        <v>833</v>
      </c>
      <c r="AA616" s="1069"/>
      <c r="AB616" s="1069"/>
      <c r="AC616" s="1069"/>
      <c r="AD616" s="1069"/>
      <c r="AE616" s="1069"/>
      <c r="AF616" s="1069"/>
      <c r="AG616" s="1069"/>
      <c r="AH616" s="1069"/>
      <c r="AI616" s="1069"/>
      <c r="AJ616" s="1069"/>
      <c r="AK616" s="1069"/>
      <c r="AZ616" s="41"/>
      <c r="BA616" s="41"/>
      <c r="BB616" s="41"/>
      <c r="BC616" s="41"/>
      <c r="BD616" s="41"/>
      <c r="BE616" s="1087">
        <f t="shared" si="9"/>
        <v>0</v>
      </c>
      <c r="BF616" s="1088"/>
      <c r="BG616" s="1081">
        <f t="shared" si="1"/>
        <v>0</v>
      </c>
      <c r="BH616" s="1084"/>
      <c r="BI616" s="1087">
        <f t="shared" si="10"/>
        <v>0</v>
      </c>
      <c r="BJ616" s="1088"/>
      <c r="BK616" s="1081">
        <f t="shared" si="2"/>
        <v>0</v>
      </c>
      <c r="BL616" s="1084"/>
      <c r="BN616" s="1081">
        <f t="shared" si="3"/>
        <v>0</v>
      </c>
      <c r="BO616" s="1082"/>
      <c r="BP616" s="1082"/>
      <c r="BQ616" s="1082"/>
      <c r="BR616" s="1083"/>
      <c r="BS616" s="1081">
        <f t="shared" si="4"/>
        <v>0</v>
      </c>
      <c r="BT616" s="1082"/>
      <c r="BU616" s="1082"/>
      <c r="BV616" s="1082"/>
      <c r="BW616" s="1084"/>
      <c r="BX616" s="1081">
        <f t="shared" si="5"/>
        <v>0</v>
      </c>
      <c r="BY616" s="1082"/>
      <c r="BZ616" s="1082"/>
      <c r="CA616" s="1082"/>
      <c r="CB616" s="1084"/>
      <c r="CC616" s="1081">
        <f t="shared" si="6"/>
        <v>0</v>
      </c>
      <c r="CD616" s="1082"/>
      <c r="CE616" s="1082"/>
      <c r="CF616" s="1082"/>
      <c r="CG616" s="1084"/>
      <c r="CH616" s="1081">
        <f t="shared" si="7"/>
        <v>0</v>
      </c>
      <c r="CI616" s="1082"/>
      <c r="CJ616" s="1082"/>
      <c r="CK616" s="1082"/>
      <c r="CL616" s="1084"/>
      <c r="CM616" s="1085">
        <f t="shared" si="8"/>
        <v>0</v>
      </c>
      <c r="CN616" s="1086"/>
      <c r="CO616" s="1086"/>
      <c r="CP616" s="1086"/>
      <c r="CQ616" s="1083"/>
      <c r="CS616" s="1078">
        <f t="shared" si="11"/>
        <v>0</v>
      </c>
      <c r="CT616" s="1079"/>
      <c r="CU616" s="1079"/>
      <c r="CV616" s="1079"/>
      <c r="CW616" s="1080"/>
      <c r="CX616" s="1078">
        <f t="shared" si="12"/>
        <v>0</v>
      </c>
      <c r="CY616" s="1079"/>
      <c r="CZ616" s="1079"/>
      <c r="DA616" s="1079"/>
      <c r="DB616" s="1080"/>
      <c r="DC616" s="1078">
        <f t="shared" si="13"/>
        <v>0</v>
      </c>
      <c r="DD616" s="1079"/>
      <c r="DE616" s="1079"/>
      <c r="DF616" s="1079"/>
      <c r="DG616" s="1080"/>
      <c r="DH616" s="1078">
        <f t="shared" si="14"/>
        <v>0</v>
      </c>
      <c r="DI616" s="1079"/>
      <c r="DJ616" s="1079"/>
      <c r="DK616" s="1079"/>
      <c r="DL616" s="1080"/>
      <c r="DM616" s="1078">
        <f t="shared" si="15"/>
        <v>0</v>
      </c>
      <c r="DN616" s="1079"/>
      <c r="DO616" s="1079"/>
      <c r="DP616" s="1079"/>
      <c r="DQ616" s="1080"/>
      <c r="DR616" s="1078">
        <f t="shared" si="16"/>
        <v>0</v>
      </c>
      <c r="DS616" s="1079"/>
      <c r="DT616" s="1079"/>
      <c r="DU616" s="1079"/>
      <c r="DV616" s="1080"/>
    </row>
    <row r="617" spans="1:126" ht="12.9" customHeight="1">
      <c r="B617" t="s">
        <v>835</v>
      </c>
      <c r="C617"/>
      <c r="N617" s="1130" t="s">
        <v>482</v>
      </c>
      <c r="O617" s="1130"/>
      <c r="U617" t="s">
        <v>835</v>
      </c>
      <c r="AG617" s="1130" t="s">
        <v>482</v>
      </c>
      <c r="AH617" s="1130"/>
      <c r="AZ617" s="41"/>
      <c r="BA617" s="41"/>
      <c r="BB617" s="41"/>
      <c r="BC617" s="41"/>
      <c r="BD617" s="41"/>
      <c r="BE617" s="1087">
        <f t="shared" si="9"/>
        <v>0</v>
      </c>
      <c r="BF617" s="1088"/>
      <c r="BG617" s="1081">
        <f t="shared" si="1"/>
        <v>0</v>
      </c>
      <c r="BH617" s="1084"/>
      <c r="BI617" s="1087">
        <f t="shared" si="10"/>
        <v>0</v>
      </c>
      <c r="BJ617" s="1088"/>
      <c r="BK617" s="1081">
        <f t="shared" si="2"/>
        <v>0</v>
      </c>
      <c r="BL617" s="1084"/>
      <c r="BN617" s="1081">
        <f t="shared" si="3"/>
        <v>0</v>
      </c>
      <c r="BO617" s="1082"/>
      <c r="BP617" s="1082"/>
      <c r="BQ617" s="1082"/>
      <c r="BR617" s="1083"/>
      <c r="BS617" s="1081">
        <f t="shared" si="4"/>
        <v>0</v>
      </c>
      <c r="BT617" s="1082"/>
      <c r="BU617" s="1082"/>
      <c r="BV617" s="1082"/>
      <c r="BW617" s="1084"/>
      <c r="BX617" s="1081">
        <f t="shared" si="5"/>
        <v>0</v>
      </c>
      <c r="BY617" s="1082"/>
      <c r="BZ617" s="1082"/>
      <c r="CA617" s="1082"/>
      <c r="CB617" s="1084"/>
      <c r="CC617" s="1081">
        <f t="shared" si="6"/>
        <v>0</v>
      </c>
      <c r="CD617" s="1082"/>
      <c r="CE617" s="1082"/>
      <c r="CF617" s="1082"/>
      <c r="CG617" s="1084"/>
      <c r="CH617" s="1081">
        <f t="shared" si="7"/>
        <v>0</v>
      </c>
      <c r="CI617" s="1082"/>
      <c r="CJ617" s="1082"/>
      <c r="CK617" s="1082"/>
      <c r="CL617" s="1084"/>
      <c r="CM617" s="1085">
        <f t="shared" si="8"/>
        <v>0</v>
      </c>
      <c r="CN617" s="1086"/>
      <c r="CO617" s="1086"/>
      <c r="CP617" s="1086"/>
      <c r="CQ617" s="1083"/>
      <c r="CS617" s="1078">
        <f t="shared" si="11"/>
        <v>0</v>
      </c>
      <c r="CT617" s="1079"/>
      <c r="CU617" s="1079"/>
      <c r="CV617" s="1079"/>
      <c r="CW617" s="1080"/>
      <c r="CX617" s="1078">
        <f t="shared" si="12"/>
        <v>0</v>
      </c>
      <c r="CY617" s="1079"/>
      <c r="CZ617" s="1079"/>
      <c r="DA617" s="1079"/>
      <c r="DB617" s="1080"/>
      <c r="DC617" s="1078">
        <f t="shared" si="13"/>
        <v>0</v>
      </c>
      <c r="DD617" s="1079"/>
      <c r="DE617" s="1079"/>
      <c r="DF617" s="1079"/>
      <c r="DG617" s="1080"/>
      <c r="DH617" s="1078">
        <f t="shared" si="14"/>
        <v>0</v>
      </c>
      <c r="DI617" s="1079"/>
      <c r="DJ617" s="1079"/>
      <c r="DK617" s="1079"/>
      <c r="DL617" s="1080"/>
      <c r="DM617" s="1078">
        <f t="shared" si="15"/>
        <v>0</v>
      </c>
      <c r="DN617" s="1079"/>
      <c r="DO617" s="1079"/>
      <c r="DP617" s="1079"/>
      <c r="DQ617" s="1080"/>
      <c r="DR617" s="1078">
        <f t="shared" si="16"/>
        <v>0</v>
      </c>
      <c r="DS617" s="1079"/>
      <c r="DT617" s="1079"/>
      <c r="DU617" s="1079"/>
      <c r="DV617" s="1080"/>
    </row>
    <row r="618" spans="1:126" ht="12.9" customHeight="1">
      <c r="C618"/>
      <c r="AZ618" s="41"/>
      <c r="BA618" s="41"/>
      <c r="BB618" s="41"/>
      <c r="BC618" s="41"/>
      <c r="BD618" s="41"/>
      <c r="BE618" s="1087">
        <f t="shared" si="9"/>
        <v>0</v>
      </c>
      <c r="BF618" s="1088"/>
      <c r="BG618" s="1081">
        <f t="shared" si="1"/>
        <v>0</v>
      </c>
      <c r="BH618" s="1084"/>
      <c r="BI618" s="1087">
        <f t="shared" si="10"/>
        <v>0</v>
      </c>
      <c r="BJ618" s="1088"/>
      <c r="BK618" s="1081">
        <f t="shared" si="2"/>
        <v>0</v>
      </c>
      <c r="BL618" s="1084"/>
      <c r="BN618" s="1081">
        <f t="shared" si="3"/>
        <v>0</v>
      </c>
      <c r="BO618" s="1082"/>
      <c r="BP618" s="1082"/>
      <c r="BQ618" s="1082"/>
      <c r="BR618" s="1083"/>
      <c r="BS618" s="1081">
        <f t="shared" si="4"/>
        <v>0</v>
      </c>
      <c r="BT618" s="1082"/>
      <c r="BU618" s="1082"/>
      <c r="BV618" s="1082"/>
      <c r="BW618" s="1084"/>
      <c r="BX618" s="1081">
        <f t="shared" si="5"/>
        <v>0</v>
      </c>
      <c r="BY618" s="1082"/>
      <c r="BZ618" s="1082"/>
      <c r="CA618" s="1082"/>
      <c r="CB618" s="1084"/>
      <c r="CC618" s="1081">
        <f t="shared" si="6"/>
        <v>0</v>
      </c>
      <c r="CD618" s="1082"/>
      <c r="CE618" s="1082"/>
      <c r="CF618" s="1082"/>
      <c r="CG618" s="1084"/>
      <c r="CH618" s="1081">
        <f t="shared" si="7"/>
        <v>0</v>
      </c>
      <c r="CI618" s="1082"/>
      <c r="CJ618" s="1082"/>
      <c r="CK618" s="1082"/>
      <c r="CL618" s="1084"/>
      <c r="CM618" s="1085">
        <f t="shared" si="8"/>
        <v>0</v>
      </c>
      <c r="CN618" s="1086"/>
      <c r="CO618" s="1086"/>
      <c r="CP618" s="1086"/>
      <c r="CQ618" s="1083"/>
      <c r="CS618" s="1078">
        <f t="shared" si="11"/>
        <v>0</v>
      </c>
      <c r="CT618" s="1079"/>
      <c r="CU618" s="1079"/>
      <c r="CV618" s="1079"/>
      <c r="CW618" s="1080"/>
      <c r="CX618" s="1078">
        <f t="shared" si="12"/>
        <v>0</v>
      </c>
      <c r="CY618" s="1079"/>
      <c r="CZ618" s="1079"/>
      <c r="DA618" s="1079"/>
      <c r="DB618" s="1080"/>
      <c r="DC618" s="1078">
        <f t="shared" si="13"/>
        <v>0</v>
      </c>
      <c r="DD618" s="1079"/>
      <c r="DE618" s="1079"/>
      <c r="DF618" s="1079"/>
      <c r="DG618" s="1080"/>
      <c r="DH618" s="1078">
        <f t="shared" si="14"/>
        <v>0</v>
      </c>
      <c r="DI618" s="1079"/>
      <c r="DJ618" s="1079"/>
      <c r="DK618" s="1079"/>
      <c r="DL618" s="1080"/>
      <c r="DM618" s="1078">
        <f t="shared" si="15"/>
        <v>0</v>
      </c>
      <c r="DN618" s="1079"/>
      <c r="DO618" s="1079"/>
      <c r="DP618" s="1079"/>
      <c r="DQ618" s="1080"/>
      <c r="DR618" s="1078">
        <f t="shared" si="16"/>
        <v>0</v>
      </c>
      <c r="DS618" s="1079"/>
      <c r="DT618" s="1079"/>
      <c r="DU618" s="1079"/>
      <c r="DV618" s="1080"/>
    </row>
    <row r="619" spans="1:126" ht="12.9"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87">
        <f t="shared" si="9"/>
        <v>0</v>
      </c>
      <c r="BF619" s="1088"/>
      <c r="BG619" s="1081">
        <f t="shared" si="1"/>
        <v>0</v>
      </c>
      <c r="BH619" s="1084"/>
      <c r="BI619" s="1087">
        <f t="shared" si="10"/>
        <v>0</v>
      </c>
      <c r="BJ619" s="1088"/>
      <c r="BK619" s="1081">
        <f t="shared" si="2"/>
        <v>0</v>
      </c>
      <c r="BL619" s="1084"/>
      <c r="BN619" s="1081">
        <f t="shared" si="3"/>
        <v>0</v>
      </c>
      <c r="BO619" s="1082"/>
      <c r="BP619" s="1082"/>
      <c r="BQ619" s="1082"/>
      <c r="BR619" s="1083"/>
      <c r="BS619" s="1081">
        <f t="shared" si="4"/>
        <v>0</v>
      </c>
      <c r="BT619" s="1082"/>
      <c r="BU619" s="1082"/>
      <c r="BV619" s="1082"/>
      <c r="BW619" s="1084"/>
      <c r="BX619" s="1081">
        <f t="shared" si="5"/>
        <v>0</v>
      </c>
      <c r="BY619" s="1082"/>
      <c r="BZ619" s="1082"/>
      <c r="CA619" s="1082"/>
      <c r="CB619" s="1084"/>
      <c r="CC619" s="1081">
        <f t="shared" si="6"/>
        <v>0</v>
      </c>
      <c r="CD619" s="1082"/>
      <c r="CE619" s="1082"/>
      <c r="CF619" s="1082"/>
      <c r="CG619" s="1084"/>
      <c r="CH619" s="1081">
        <f t="shared" si="7"/>
        <v>0</v>
      </c>
      <c r="CI619" s="1082"/>
      <c r="CJ619" s="1082"/>
      <c r="CK619" s="1082"/>
      <c r="CL619" s="1084"/>
      <c r="CM619" s="1085">
        <f t="shared" si="8"/>
        <v>0</v>
      </c>
      <c r="CN619" s="1086"/>
      <c r="CO619" s="1086"/>
      <c r="CP619" s="1086"/>
      <c r="CQ619" s="1083"/>
      <c r="CS619" s="1078">
        <f t="shared" si="11"/>
        <v>0</v>
      </c>
      <c r="CT619" s="1079"/>
      <c r="CU619" s="1079"/>
      <c r="CV619" s="1079"/>
      <c r="CW619" s="1080"/>
      <c r="CX619" s="1078">
        <f t="shared" si="12"/>
        <v>0</v>
      </c>
      <c r="CY619" s="1079"/>
      <c r="CZ619" s="1079"/>
      <c r="DA619" s="1079"/>
      <c r="DB619" s="1080"/>
      <c r="DC619" s="1078">
        <f t="shared" si="13"/>
        <v>0</v>
      </c>
      <c r="DD619" s="1079"/>
      <c r="DE619" s="1079"/>
      <c r="DF619" s="1079"/>
      <c r="DG619" s="1080"/>
      <c r="DH619" s="1078">
        <f t="shared" si="14"/>
        <v>0</v>
      </c>
      <c r="DI619" s="1079"/>
      <c r="DJ619" s="1079"/>
      <c r="DK619" s="1079"/>
      <c r="DL619" s="1080"/>
      <c r="DM619" s="1078">
        <f t="shared" si="15"/>
        <v>0</v>
      </c>
      <c r="DN619" s="1079"/>
      <c r="DO619" s="1079"/>
      <c r="DP619" s="1079"/>
      <c r="DQ619" s="1080"/>
      <c r="DR619" s="1078">
        <f t="shared" si="16"/>
        <v>0</v>
      </c>
      <c r="DS619" s="1079"/>
      <c r="DT619" s="1079"/>
      <c r="DU619" s="1079"/>
      <c r="DV619" s="1080"/>
    </row>
    <row r="620" spans="1:126" ht="12.9"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87">
        <f t="shared" si="9"/>
        <v>0</v>
      </c>
      <c r="BF620" s="1088"/>
      <c r="BG620" s="1081">
        <f t="shared" si="1"/>
        <v>0</v>
      </c>
      <c r="BH620" s="1084"/>
      <c r="BI620" s="1087">
        <f t="shared" si="10"/>
        <v>0</v>
      </c>
      <c r="BJ620" s="1088"/>
      <c r="BK620" s="1081">
        <f t="shared" si="2"/>
        <v>0</v>
      </c>
      <c r="BL620" s="1084"/>
      <c r="BN620" s="1081">
        <f t="shared" si="3"/>
        <v>0</v>
      </c>
      <c r="BO620" s="1082"/>
      <c r="BP620" s="1082"/>
      <c r="BQ620" s="1082"/>
      <c r="BR620" s="1083"/>
      <c r="BS620" s="1081">
        <f t="shared" si="4"/>
        <v>0</v>
      </c>
      <c r="BT620" s="1082"/>
      <c r="BU620" s="1082"/>
      <c r="BV620" s="1082"/>
      <c r="BW620" s="1084"/>
      <c r="BX620" s="1081">
        <f t="shared" si="5"/>
        <v>0</v>
      </c>
      <c r="BY620" s="1082"/>
      <c r="BZ620" s="1082"/>
      <c r="CA620" s="1082"/>
      <c r="CB620" s="1084"/>
      <c r="CC620" s="1081">
        <f t="shared" si="6"/>
        <v>0</v>
      </c>
      <c r="CD620" s="1082"/>
      <c r="CE620" s="1082"/>
      <c r="CF620" s="1082"/>
      <c r="CG620" s="1084"/>
      <c r="CH620" s="1081">
        <f t="shared" si="7"/>
        <v>0</v>
      </c>
      <c r="CI620" s="1082"/>
      <c r="CJ620" s="1082"/>
      <c r="CK620" s="1082"/>
      <c r="CL620" s="1084"/>
      <c r="CM620" s="1085">
        <f t="shared" si="8"/>
        <v>0</v>
      </c>
      <c r="CN620" s="1086"/>
      <c r="CO620" s="1086"/>
      <c r="CP620" s="1086"/>
      <c r="CQ620" s="1083"/>
      <c r="CS620" s="1078">
        <f t="shared" si="11"/>
        <v>0</v>
      </c>
      <c r="CT620" s="1079"/>
      <c r="CU620" s="1079"/>
      <c r="CV620" s="1079"/>
      <c r="CW620" s="1080"/>
      <c r="CX620" s="1078">
        <f t="shared" si="12"/>
        <v>0</v>
      </c>
      <c r="CY620" s="1079"/>
      <c r="CZ620" s="1079"/>
      <c r="DA620" s="1079"/>
      <c r="DB620" s="1080"/>
      <c r="DC620" s="1078">
        <f t="shared" si="13"/>
        <v>0</v>
      </c>
      <c r="DD620" s="1079"/>
      <c r="DE620" s="1079"/>
      <c r="DF620" s="1079"/>
      <c r="DG620" s="1080"/>
      <c r="DH620" s="1078">
        <f t="shared" si="14"/>
        <v>0</v>
      </c>
      <c r="DI620" s="1079"/>
      <c r="DJ620" s="1079"/>
      <c r="DK620" s="1079"/>
      <c r="DL620" s="1080"/>
      <c r="DM620" s="1078">
        <f t="shared" si="15"/>
        <v>0</v>
      </c>
      <c r="DN620" s="1079"/>
      <c r="DO620" s="1079"/>
      <c r="DP620" s="1079"/>
      <c r="DQ620" s="1080"/>
      <c r="DR620" s="1078">
        <f t="shared" si="16"/>
        <v>0</v>
      </c>
      <c r="DS620" s="1079"/>
      <c r="DT620" s="1079"/>
      <c r="DU620" s="1079"/>
      <c r="DV620" s="1080"/>
    </row>
    <row r="621" spans="1:126" ht="12.9" customHeight="1">
      <c r="C621"/>
      <c r="AZ621" s="41"/>
      <c r="BA621" s="41"/>
      <c r="BB621" s="41"/>
      <c r="BC621" s="41"/>
      <c r="BD621" s="41"/>
      <c r="BE621" s="1087">
        <f t="shared" si="9"/>
        <v>0</v>
      </c>
      <c r="BF621" s="1088"/>
      <c r="BG621" s="1081">
        <f t="shared" si="1"/>
        <v>0</v>
      </c>
      <c r="BH621" s="1084"/>
      <c r="BI621" s="1087">
        <f t="shared" si="10"/>
        <v>0</v>
      </c>
      <c r="BJ621" s="1088"/>
      <c r="BK621" s="1081">
        <f t="shared" si="2"/>
        <v>0</v>
      </c>
      <c r="BL621" s="1084"/>
      <c r="BN621" s="1081">
        <f t="shared" si="3"/>
        <v>0</v>
      </c>
      <c r="BO621" s="1082"/>
      <c r="BP621" s="1082"/>
      <c r="BQ621" s="1082"/>
      <c r="BR621" s="1083"/>
      <c r="BS621" s="1081">
        <f t="shared" si="4"/>
        <v>0</v>
      </c>
      <c r="BT621" s="1082"/>
      <c r="BU621" s="1082"/>
      <c r="BV621" s="1082"/>
      <c r="BW621" s="1084"/>
      <c r="BX621" s="1081">
        <f t="shared" si="5"/>
        <v>0</v>
      </c>
      <c r="BY621" s="1082"/>
      <c r="BZ621" s="1082"/>
      <c r="CA621" s="1082"/>
      <c r="CB621" s="1084"/>
      <c r="CC621" s="1081">
        <f t="shared" si="6"/>
        <v>0</v>
      </c>
      <c r="CD621" s="1082"/>
      <c r="CE621" s="1082"/>
      <c r="CF621" s="1082"/>
      <c r="CG621" s="1084"/>
      <c r="CH621" s="1081">
        <f t="shared" si="7"/>
        <v>0</v>
      </c>
      <c r="CI621" s="1082"/>
      <c r="CJ621" s="1082"/>
      <c r="CK621" s="1082"/>
      <c r="CL621" s="1084"/>
      <c r="CM621" s="1085">
        <f t="shared" si="8"/>
        <v>0</v>
      </c>
      <c r="CN621" s="1086"/>
      <c r="CO621" s="1086"/>
      <c r="CP621" s="1086"/>
      <c r="CQ621" s="1083"/>
      <c r="CS621" s="1078">
        <f t="shared" si="11"/>
        <v>0</v>
      </c>
      <c r="CT621" s="1079"/>
      <c r="CU621" s="1079"/>
      <c r="CV621" s="1079"/>
      <c r="CW621" s="1080"/>
      <c r="CX621" s="1078">
        <f t="shared" si="12"/>
        <v>0</v>
      </c>
      <c r="CY621" s="1079"/>
      <c r="CZ621" s="1079"/>
      <c r="DA621" s="1079"/>
      <c r="DB621" s="1080"/>
      <c r="DC621" s="1078">
        <f t="shared" si="13"/>
        <v>0</v>
      </c>
      <c r="DD621" s="1079"/>
      <c r="DE621" s="1079"/>
      <c r="DF621" s="1079"/>
      <c r="DG621" s="1080"/>
      <c r="DH621" s="1078">
        <f t="shared" si="14"/>
        <v>0</v>
      </c>
      <c r="DI621" s="1079"/>
      <c r="DJ621" s="1079"/>
      <c r="DK621" s="1079"/>
      <c r="DL621" s="1080"/>
      <c r="DM621" s="1078">
        <f t="shared" si="15"/>
        <v>0</v>
      </c>
      <c r="DN621" s="1079"/>
      <c r="DO621" s="1079"/>
      <c r="DP621" s="1079"/>
      <c r="DQ621" s="1080"/>
      <c r="DR621" s="1078">
        <f t="shared" si="16"/>
        <v>0</v>
      </c>
      <c r="DS621" s="1079"/>
      <c r="DT621" s="1079"/>
      <c r="DU621" s="1079"/>
      <c r="DV621" s="1080"/>
    </row>
    <row r="622" spans="1:126" ht="12.9" customHeight="1">
      <c r="A622" s="3" t="s">
        <v>652</v>
      </c>
      <c r="B622" s="3"/>
      <c r="C622" s="3" t="s">
        <v>836</v>
      </c>
      <c r="AZ622" s="41"/>
      <c r="BA622" s="41"/>
      <c r="BB622" s="41"/>
      <c r="BC622" s="41"/>
      <c r="BD622" s="41"/>
      <c r="BE622" s="1087">
        <f t="shared" si="9"/>
        <v>0</v>
      </c>
      <c r="BF622" s="1088"/>
      <c r="BG622" s="1081">
        <f t="shared" si="1"/>
        <v>0</v>
      </c>
      <c r="BH622" s="1084"/>
      <c r="BI622" s="1087">
        <f t="shared" si="10"/>
        <v>0</v>
      </c>
      <c r="BJ622" s="1088"/>
      <c r="BK622" s="1081">
        <f t="shared" si="2"/>
        <v>0</v>
      </c>
      <c r="BL622" s="1084"/>
      <c r="BN622" s="1081">
        <f t="shared" si="3"/>
        <v>0</v>
      </c>
      <c r="BO622" s="1082"/>
      <c r="BP622" s="1082"/>
      <c r="BQ622" s="1082"/>
      <c r="BR622" s="1083"/>
      <c r="BS622" s="1081">
        <f t="shared" si="4"/>
        <v>0</v>
      </c>
      <c r="BT622" s="1082"/>
      <c r="BU622" s="1082"/>
      <c r="BV622" s="1082"/>
      <c r="BW622" s="1084"/>
      <c r="BX622" s="1081">
        <f t="shared" si="5"/>
        <v>0</v>
      </c>
      <c r="BY622" s="1082"/>
      <c r="BZ622" s="1082"/>
      <c r="CA622" s="1082"/>
      <c r="CB622" s="1084"/>
      <c r="CC622" s="1081">
        <f t="shared" si="6"/>
        <v>0</v>
      </c>
      <c r="CD622" s="1082"/>
      <c r="CE622" s="1082"/>
      <c r="CF622" s="1082"/>
      <c r="CG622" s="1084"/>
      <c r="CH622" s="1081">
        <f t="shared" si="7"/>
        <v>0</v>
      </c>
      <c r="CI622" s="1082"/>
      <c r="CJ622" s="1082"/>
      <c r="CK622" s="1082"/>
      <c r="CL622" s="1084"/>
      <c r="CM622" s="1085">
        <f t="shared" si="8"/>
        <v>0</v>
      </c>
      <c r="CN622" s="1086"/>
      <c r="CO622" s="1086"/>
      <c r="CP622" s="1086"/>
      <c r="CQ622" s="1083"/>
      <c r="CS622" s="1078">
        <f t="shared" si="11"/>
        <v>0</v>
      </c>
      <c r="CT622" s="1079"/>
      <c r="CU622" s="1079"/>
      <c r="CV622" s="1079"/>
      <c r="CW622" s="1080"/>
      <c r="CX622" s="1078">
        <f t="shared" si="12"/>
        <v>0</v>
      </c>
      <c r="CY622" s="1079"/>
      <c r="CZ622" s="1079"/>
      <c r="DA622" s="1079"/>
      <c r="DB622" s="1080"/>
      <c r="DC622" s="1078">
        <f t="shared" si="13"/>
        <v>0</v>
      </c>
      <c r="DD622" s="1079"/>
      <c r="DE622" s="1079"/>
      <c r="DF622" s="1079"/>
      <c r="DG622" s="1080"/>
      <c r="DH622" s="1078">
        <f t="shared" si="14"/>
        <v>0</v>
      </c>
      <c r="DI622" s="1079"/>
      <c r="DJ622" s="1079"/>
      <c r="DK622" s="1079"/>
      <c r="DL622" s="1080"/>
      <c r="DM622" s="1078">
        <f t="shared" si="15"/>
        <v>0</v>
      </c>
      <c r="DN622" s="1079"/>
      <c r="DO622" s="1079"/>
      <c r="DP622" s="1079"/>
      <c r="DQ622" s="1080"/>
      <c r="DR622" s="1078">
        <f t="shared" si="16"/>
        <v>0</v>
      </c>
      <c r="DS622" s="1079"/>
      <c r="DT622" s="1079"/>
      <c r="DU622" s="1079"/>
      <c r="DV622" s="1080"/>
    </row>
    <row r="623" spans="1:126" ht="12.9" customHeight="1">
      <c r="A623" s="3"/>
      <c r="B623" s="3"/>
      <c r="C623" s="3"/>
      <c r="AZ623" s="41"/>
      <c r="BA623" s="41"/>
      <c r="BB623" s="41"/>
      <c r="BC623" s="41"/>
      <c r="BD623" s="41"/>
      <c r="BE623" s="1087">
        <f t="shared" si="9"/>
        <v>0</v>
      </c>
      <c r="BF623" s="1088"/>
      <c r="BG623" s="1081">
        <f t="shared" si="1"/>
        <v>0</v>
      </c>
      <c r="BH623" s="1084"/>
      <c r="BI623" s="1087">
        <f t="shared" si="10"/>
        <v>0</v>
      </c>
      <c r="BJ623" s="1088"/>
      <c r="BK623" s="1081">
        <f t="shared" si="2"/>
        <v>0</v>
      </c>
      <c r="BL623" s="1084"/>
      <c r="BN623" s="1081">
        <f t="shared" si="3"/>
        <v>0</v>
      </c>
      <c r="BO623" s="1082"/>
      <c r="BP623" s="1082"/>
      <c r="BQ623" s="1082"/>
      <c r="BR623" s="1083"/>
      <c r="BS623" s="1081">
        <f t="shared" si="4"/>
        <v>0</v>
      </c>
      <c r="BT623" s="1082"/>
      <c r="BU623" s="1082"/>
      <c r="BV623" s="1082"/>
      <c r="BW623" s="1084"/>
      <c r="BX623" s="1081">
        <f t="shared" si="5"/>
        <v>0</v>
      </c>
      <c r="BY623" s="1082"/>
      <c r="BZ623" s="1082"/>
      <c r="CA623" s="1082"/>
      <c r="CB623" s="1084"/>
      <c r="CC623" s="1081">
        <f t="shared" si="6"/>
        <v>0</v>
      </c>
      <c r="CD623" s="1082"/>
      <c r="CE623" s="1082"/>
      <c r="CF623" s="1082"/>
      <c r="CG623" s="1084"/>
      <c r="CH623" s="1081">
        <f t="shared" si="7"/>
        <v>0</v>
      </c>
      <c r="CI623" s="1082"/>
      <c r="CJ623" s="1082"/>
      <c r="CK623" s="1082"/>
      <c r="CL623" s="1084"/>
      <c r="CM623" s="1085">
        <f t="shared" si="8"/>
        <v>0</v>
      </c>
      <c r="CN623" s="1086"/>
      <c r="CO623" s="1086"/>
      <c r="CP623" s="1086"/>
      <c r="CQ623" s="1083"/>
      <c r="CS623" s="1078">
        <f t="shared" si="11"/>
        <v>0</v>
      </c>
      <c r="CT623" s="1079"/>
      <c r="CU623" s="1079"/>
      <c r="CV623" s="1079"/>
      <c r="CW623" s="1080"/>
      <c r="CX623" s="1078">
        <f t="shared" si="12"/>
        <v>0</v>
      </c>
      <c r="CY623" s="1079"/>
      <c r="CZ623" s="1079"/>
      <c r="DA623" s="1079"/>
      <c r="DB623" s="1080"/>
      <c r="DC623" s="1078">
        <f t="shared" si="13"/>
        <v>0</v>
      </c>
      <c r="DD623" s="1079"/>
      <c r="DE623" s="1079"/>
      <c r="DF623" s="1079"/>
      <c r="DG623" s="1080"/>
      <c r="DH623" s="1078">
        <f t="shared" si="14"/>
        <v>0</v>
      </c>
      <c r="DI623" s="1079"/>
      <c r="DJ623" s="1079"/>
      <c r="DK623" s="1079"/>
      <c r="DL623" s="1080"/>
      <c r="DM623" s="1078">
        <f t="shared" si="15"/>
        <v>0</v>
      </c>
      <c r="DN623" s="1079"/>
      <c r="DO623" s="1079"/>
      <c r="DP623" s="1079"/>
      <c r="DQ623" s="1080"/>
      <c r="DR623" s="1078">
        <f t="shared" si="16"/>
        <v>0</v>
      </c>
      <c r="DS623" s="1079"/>
      <c r="DT623" s="1079"/>
      <c r="DU623" s="1079"/>
      <c r="DV623" s="1080"/>
    </row>
    <row r="624" spans="1:126" ht="12.9" customHeight="1">
      <c r="C624" s="3" t="s">
        <v>2110</v>
      </c>
      <c r="AZ624" s="41"/>
      <c r="BA624" s="41"/>
      <c r="BB624" s="41"/>
      <c r="BC624" s="41"/>
      <c r="BD624" s="41"/>
      <c r="BE624" s="1087">
        <f t="shared" ref="BE624:BE633" si="17">IF(AND(AH727&lt;=0.5,AH727&gt;=0.36),1,0)</f>
        <v>0</v>
      </c>
      <c r="BF624" s="1088"/>
      <c r="BG624" s="1081">
        <f t="shared" ref="BG624:BG633" si="18">IF(BE624=1,G727,0)</f>
        <v>0</v>
      </c>
      <c r="BH624" s="1084"/>
      <c r="BI624" s="1087">
        <f t="shared" ref="BI624:BI633" si="19">IF(AND(AH727&lt;=0.35,AH727&gt;0),1,0)</f>
        <v>0</v>
      </c>
      <c r="BJ624" s="1088"/>
      <c r="BK624" s="1081">
        <f t="shared" ref="BK624:BK633" si="20">IF(BI624=1,G727,0)</f>
        <v>0</v>
      </c>
      <c r="BL624" s="1084"/>
      <c r="BN624" s="1081">
        <f t="shared" si="3"/>
        <v>0</v>
      </c>
      <c r="BO624" s="1082"/>
      <c r="BP624" s="1082"/>
      <c r="BQ624" s="1082"/>
      <c r="BR624" s="1083"/>
      <c r="BS624" s="1081">
        <f t="shared" si="4"/>
        <v>0</v>
      </c>
      <c r="BT624" s="1082"/>
      <c r="BU624" s="1082"/>
      <c r="BV624" s="1082"/>
      <c r="BW624" s="1084"/>
      <c r="BX624" s="1081">
        <f t="shared" si="5"/>
        <v>0</v>
      </c>
      <c r="BY624" s="1082"/>
      <c r="BZ624" s="1082"/>
      <c r="CA624" s="1082"/>
      <c r="CB624" s="1084"/>
      <c r="CC624" s="1081">
        <f t="shared" si="6"/>
        <v>0</v>
      </c>
      <c r="CD624" s="1082"/>
      <c r="CE624" s="1082"/>
      <c r="CF624" s="1082"/>
      <c r="CG624" s="1084"/>
      <c r="CH624" s="1081">
        <f t="shared" si="7"/>
        <v>0</v>
      </c>
      <c r="CI624" s="1082"/>
      <c r="CJ624" s="1082"/>
      <c r="CK624" s="1082"/>
      <c r="CL624" s="1084"/>
      <c r="CM624" s="1085">
        <f t="shared" si="8"/>
        <v>0</v>
      </c>
      <c r="CN624" s="1086"/>
      <c r="CO624" s="1086"/>
      <c r="CP624" s="1086"/>
      <c r="CQ624" s="1083"/>
      <c r="CS624" s="1078">
        <f t="shared" ref="CS624:CS633" si="21">IF(AND(B727="SRO/Studio",AH727&lt;=0.3),G727,0)</f>
        <v>0</v>
      </c>
      <c r="CT624" s="1079"/>
      <c r="CU624" s="1079"/>
      <c r="CV624" s="1079"/>
      <c r="CW624" s="1080"/>
      <c r="CX624" s="1078">
        <f t="shared" ref="CX624:CX633" si="22">IF(AND(B727="1 Bedroom",AH727&lt;=0.3),G727,0)</f>
        <v>0</v>
      </c>
      <c r="CY624" s="1079"/>
      <c r="CZ624" s="1079"/>
      <c r="DA624" s="1079"/>
      <c r="DB624" s="1080"/>
      <c r="DC624" s="1078">
        <f t="shared" ref="DC624:DC633" si="23">IF(AND(B727="2 Bedrooms",AH727&lt;=0.3),G727,0)</f>
        <v>0</v>
      </c>
      <c r="DD624" s="1079"/>
      <c r="DE624" s="1079"/>
      <c r="DF624" s="1079"/>
      <c r="DG624" s="1080"/>
      <c r="DH624" s="1078">
        <f t="shared" ref="DH624:DH633" si="24">IF(AND(B727="3 Bedrooms",AH727&lt;=0.3),G727,0)</f>
        <v>0</v>
      </c>
      <c r="DI624" s="1079"/>
      <c r="DJ624" s="1079"/>
      <c r="DK624" s="1079"/>
      <c r="DL624" s="1080"/>
      <c r="DM624" s="1078">
        <f t="shared" ref="DM624:DM633" si="25">IF(AND(B727="4 Bedrooms",AH727&lt;=0.3),G727,0)</f>
        <v>0</v>
      </c>
      <c r="DN624" s="1079"/>
      <c r="DO624" s="1079"/>
      <c r="DP624" s="1079"/>
      <c r="DQ624" s="1080"/>
      <c r="DR624" s="1078">
        <f t="shared" ref="DR624:DR633" si="26">IF(AND(B727="5 Bedrooms",AH727&lt;=0.3),G727,0)</f>
        <v>0</v>
      </c>
      <c r="DS624" s="1079"/>
      <c r="DT624" s="1079"/>
      <c r="DU624" s="1079"/>
      <c r="DV624" s="1080"/>
    </row>
    <row r="625" spans="2:126" ht="12.9" customHeight="1">
      <c r="B625" s="836"/>
      <c r="C625" s="3"/>
      <c r="AZ625" s="41"/>
      <c r="BA625" s="41"/>
      <c r="BB625" s="41"/>
      <c r="BC625" s="41"/>
      <c r="BD625" s="41"/>
      <c r="BE625" s="1087">
        <f t="shared" si="17"/>
        <v>0</v>
      </c>
      <c r="BF625" s="1088"/>
      <c r="BG625" s="1081">
        <f t="shared" si="18"/>
        <v>0</v>
      </c>
      <c r="BH625" s="1084"/>
      <c r="BI625" s="1087">
        <f t="shared" si="19"/>
        <v>0</v>
      </c>
      <c r="BJ625" s="1088"/>
      <c r="BK625" s="1081">
        <f t="shared" si="20"/>
        <v>0</v>
      </c>
      <c r="BL625" s="1084"/>
      <c r="BN625" s="1081">
        <f t="shared" si="3"/>
        <v>0</v>
      </c>
      <c r="BO625" s="1082"/>
      <c r="BP625" s="1082"/>
      <c r="BQ625" s="1082"/>
      <c r="BR625" s="1083"/>
      <c r="BS625" s="1081">
        <f t="shared" si="4"/>
        <v>0</v>
      </c>
      <c r="BT625" s="1082"/>
      <c r="BU625" s="1082"/>
      <c r="BV625" s="1082"/>
      <c r="BW625" s="1084"/>
      <c r="BX625" s="1081">
        <f t="shared" si="5"/>
        <v>0</v>
      </c>
      <c r="BY625" s="1082"/>
      <c r="BZ625" s="1082"/>
      <c r="CA625" s="1082"/>
      <c r="CB625" s="1084"/>
      <c r="CC625" s="1081">
        <f t="shared" si="6"/>
        <v>0</v>
      </c>
      <c r="CD625" s="1082"/>
      <c r="CE625" s="1082"/>
      <c r="CF625" s="1082"/>
      <c r="CG625" s="1084"/>
      <c r="CH625" s="1081">
        <f t="shared" si="7"/>
        <v>0</v>
      </c>
      <c r="CI625" s="1082"/>
      <c r="CJ625" s="1082"/>
      <c r="CK625" s="1082"/>
      <c r="CL625" s="1084"/>
      <c r="CM625" s="1085">
        <f t="shared" si="8"/>
        <v>0</v>
      </c>
      <c r="CN625" s="1086"/>
      <c r="CO625" s="1086"/>
      <c r="CP625" s="1086"/>
      <c r="CQ625" s="1083"/>
      <c r="CS625" s="1078">
        <f t="shared" si="21"/>
        <v>0</v>
      </c>
      <c r="CT625" s="1079"/>
      <c r="CU625" s="1079"/>
      <c r="CV625" s="1079"/>
      <c r="CW625" s="1080"/>
      <c r="CX625" s="1078">
        <f t="shared" si="22"/>
        <v>0</v>
      </c>
      <c r="CY625" s="1079"/>
      <c r="CZ625" s="1079"/>
      <c r="DA625" s="1079"/>
      <c r="DB625" s="1080"/>
      <c r="DC625" s="1078">
        <f t="shared" si="23"/>
        <v>0</v>
      </c>
      <c r="DD625" s="1079"/>
      <c r="DE625" s="1079"/>
      <c r="DF625" s="1079"/>
      <c r="DG625" s="1080"/>
      <c r="DH625" s="1078">
        <f t="shared" si="24"/>
        <v>0</v>
      </c>
      <c r="DI625" s="1079"/>
      <c r="DJ625" s="1079"/>
      <c r="DK625" s="1079"/>
      <c r="DL625" s="1080"/>
      <c r="DM625" s="1078">
        <f t="shared" si="25"/>
        <v>0</v>
      </c>
      <c r="DN625" s="1079"/>
      <c r="DO625" s="1079"/>
      <c r="DP625" s="1079"/>
      <c r="DQ625" s="1080"/>
      <c r="DR625" s="1078">
        <f t="shared" si="26"/>
        <v>0</v>
      </c>
      <c r="DS625" s="1079"/>
      <c r="DT625" s="1079"/>
      <c r="DU625" s="1079"/>
      <c r="DV625" s="1080"/>
    </row>
    <row r="626" spans="2:126" ht="12.9" customHeight="1">
      <c r="B626" s="1297" t="s">
        <v>2178</v>
      </c>
      <c r="C626" s="1298"/>
      <c r="D626" s="1298"/>
      <c r="E626" s="1298"/>
      <c r="F626" s="1298"/>
      <c r="G626" s="1298"/>
      <c r="H626" s="1298"/>
      <c r="I626" s="1298"/>
      <c r="J626" s="1298"/>
      <c r="K626" s="1298"/>
      <c r="L626" s="1298"/>
      <c r="M626" s="1176" t="s">
        <v>2152</v>
      </c>
      <c r="N626" s="1176"/>
      <c r="O626" s="1176"/>
      <c r="P626" s="1176"/>
      <c r="Q626" s="1156" t="s">
        <v>2182</v>
      </c>
      <c r="R626" s="1157"/>
      <c r="S626" s="1158"/>
      <c r="T626" s="1156" t="s">
        <v>2181</v>
      </c>
      <c r="U626" s="1157"/>
      <c r="V626" s="1158"/>
      <c r="W626" s="1407" t="s">
        <v>739</v>
      </c>
      <c r="X626" s="1407"/>
      <c r="Y626" s="1408"/>
      <c r="Z626" s="1176" t="s">
        <v>2179</v>
      </c>
      <c r="AA626" s="1176"/>
      <c r="AB626" s="1176"/>
      <c r="AC626" s="1398" t="s">
        <v>1977</v>
      </c>
      <c r="AD626" s="1399"/>
      <c r="AE626" s="1400"/>
      <c r="AF626" s="1156" t="s">
        <v>2111</v>
      </c>
      <c r="AG626" s="1157"/>
      <c r="AH626" s="1157"/>
      <c r="AI626" s="1157"/>
      <c r="AJ626" s="1158"/>
      <c r="AK626" s="1413" t="s">
        <v>2112</v>
      </c>
      <c r="AL626" s="1414"/>
      <c r="AM626" s="1414"/>
      <c r="AN626" s="1415"/>
      <c r="AO626" s="1176" t="s">
        <v>740</v>
      </c>
      <c r="AP626" s="1176"/>
      <c r="AQ626" s="1176"/>
      <c r="AR626" s="1176"/>
      <c r="AS626" s="1176"/>
      <c r="AT626" s="41"/>
      <c r="AU626" s="41"/>
      <c r="AV626" s="41"/>
      <c r="AW626" s="41"/>
      <c r="AX626" s="41"/>
      <c r="AY626" s="41"/>
      <c r="AZ626" s="41"/>
      <c r="BE626" s="1087">
        <f t="shared" si="17"/>
        <v>0</v>
      </c>
      <c r="BF626" s="1088"/>
      <c r="BG626" s="1081">
        <f t="shared" si="18"/>
        <v>0</v>
      </c>
      <c r="BH626" s="1084"/>
      <c r="BI626" s="1087">
        <f t="shared" si="19"/>
        <v>0</v>
      </c>
      <c r="BJ626" s="1088"/>
      <c r="BK626" s="1081">
        <f t="shared" si="20"/>
        <v>0</v>
      </c>
      <c r="BL626" s="1084"/>
      <c r="BN626" s="1081">
        <f t="shared" si="3"/>
        <v>0</v>
      </c>
      <c r="BO626" s="1082"/>
      <c r="BP626" s="1082"/>
      <c r="BQ626" s="1082"/>
      <c r="BR626" s="1083"/>
      <c r="BS626" s="1081">
        <f t="shared" si="4"/>
        <v>0</v>
      </c>
      <c r="BT626" s="1082"/>
      <c r="BU626" s="1082"/>
      <c r="BV626" s="1082"/>
      <c r="BW626" s="1084"/>
      <c r="BX626" s="1081">
        <f t="shared" si="5"/>
        <v>0</v>
      </c>
      <c r="BY626" s="1082"/>
      <c r="BZ626" s="1082"/>
      <c r="CA626" s="1082"/>
      <c r="CB626" s="1084"/>
      <c r="CC626" s="1081">
        <f t="shared" si="6"/>
        <v>0</v>
      </c>
      <c r="CD626" s="1082"/>
      <c r="CE626" s="1082"/>
      <c r="CF626" s="1082"/>
      <c r="CG626" s="1084"/>
      <c r="CH626" s="1081">
        <f t="shared" si="7"/>
        <v>0</v>
      </c>
      <c r="CI626" s="1082"/>
      <c r="CJ626" s="1082"/>
      <c r="CK626" s="1082"/>
      <c r="CL626" s="1084"/>
      <c r="CM626" s="1085">
        <f t="shared" si="8"/>
        <v>0</v>
      </c>
      <c r="CN626" s="1086"/>
      <c r="CO626" s="1086"/>
      <c r="CP626" s="1086"/>
      <c r="CQ626" s="1083"/>
      <c r="CS626" s="1078">
        <f t="shared" si="21"/>
        <v>0</v>
      </c>
      <c r="CT626" s="1079"/>
      <c r="CU626" s="1079"/>
      <c r="CV626" s="1079"/>
      <c r="CW626" s="1080"/>
      <c r="CX626" s="1078">
        <f t="shared" si="22"/>
        <v>0</v>
      </c>
      <c r="CY626" s="1079"/>
      <c r="CZ626" s="1079"/>
      <c r="DA626" s="1079"/>
      <c r="DB626" s="1080"/>
      <c r="DC626" s="1078">
        <f t="shared" si="23"/>
        <v>0</v>
      </c>
      <c r="DD626" s="1079"/>
      <c r="DE626" s="1079"/>
      <c r="DF626" s="1079"/>
      <c r="DG626" s="1080"/>
      <c r="DH626" s="1078">
        <f t="shared" si="24"/>
        <v>0</v>
      </c>
      <c r="DI626" s="1079"/>
      <c r="DJ626" s="1079"/>
      <c r="DK626" s="1079"/>
      <c r="DL626" s="1080"/>
      <c r="DM626" s="1078">
        <f t="shared" si="25"/>
        <v>0</v>
      </c>
      <c r="DN626" s="1079"/>
      <c r="DO626" s="1079"/>
      <c r="DP626" s="1079"/>
      <c r="DQ626" s="1080"/>
      <c r="DR626" s="1078">
        <f t="shared" si="26"/>
        <v>0</v>
      </c>
      <c r="DS626" s="1079"/>
      <c r="DT626" s="1079"/>
      <c r="DU626" s="1079"/>
      <c r="DV626" s="1080"/>
    </row>
    <row r="627" spans="2:126" ht="12.9" customHeight="1">
      <c r="B627" s="1299"/>
      <c r="C627" s="1300"/>
      <c r="D627" s="1300"/>
      <c r="E627" s="1300"/>
      <c r="F627" s="1300"/>
      <c r="G627" s="1300"/>
      <c r="H627" s="1300"/>
      <c r="I627" s="1300"/>
      <c r="J627" s="1300"/>
      <c r="K627" s="1300"/>
      <c r="L627" s="1300"/>
      <c r="M627" s="1176"/>
      <c r="N627" s="1176"/>
      <c r="O627" s="1176"/>
      <c r="P627" s="1176"/>
      <c r="Q627" s="1159"/>
      <c r="R627" s="1160"/>
      <c r="S627" s="1161"/>
      <c r="T627" s="1159"/>
      <c r="U627" s="1160"/>
      <c r="V627" s="1161"/>
      <c r="W627" s="1409"/>
      <c r="X627" s="1409"/>
      <c r="Y627" s="1410"/>
      <c r="Z627" s="1176"/>
      <c r="AA627" s="1176"/>
      <c r="AB627" s="1176"/>
      <c r="AC627" s="1401"/>
      <c r="AD627" s="1402"/>
      <c r="AE627" s="1403"/>
      <c r="AF627" s="1159"/>
      <c r="AG627" s="1160"/>
      <c r="AH627" s="1160"/>
      <c r="AI627" s="1160"/>
      <c r="AJ627" s="1161"/>
      <c r="AK627" s="1416"/>
      <c r="AL627" s="1417"/>
      <c r="AM627" s="1417"/>
      <c r="AN627" s="1418"/>
      <c r="AO627" s="1176"/>
      <c r="AP627" s="1176"/>
      <c r="AQ627" s="1176"/>
      <c r="AR627" s="1176"/>
      <c r="AS627" s="1176"/>
      <c r="AT627" s="41"/>
      <c r="AU627" s="41"/>
      <c r="AV627" s="41"/>
      <c r="AW627" s="41"/>
      <c r="AX627" s="41"/>
      <c r="AY627" s="41"/>
      <c r="AZ627" s="41"/>
      <c r="BE627" s="1087">
        <f t="shared" si="17"/>
        <v>0</v>
      </c>
      <c r="BF627" s="1088"/>
      <c r="BG627" s="1081">
        <f t="shared" si="18"/>
        <v>0</v>
      </c>
      <c r="BH627" s="1084"/>
      <c r="BI627" s="1087">
        <f t="shared" si="19"/>
        <v>0</v>
      </c>
      <c r="BJ627" s="1088"/>
      <c r="BK627" s="1081">
        <f t="shared" si="20"/>
        <v>0</v>
      </c>
      <c r="BL627" s="1084"/>
      <c r="BN627" s="1081">
        <f t="shared" si="3"/>
        <v>0</v>
      </c>
      <c r="BO627" s="1082"/>
      <c r="BP627" s="1082"/>
      <c r="BQ627" s="1082"/>
      <c r="BR627" s="1083"/>
      <c r="BS627" s="1081">
        <f t="shared" si="4"/>
        <v>0</v>
      </c>
      <c r="BT627" s="1082"/>
      <c r="BU627" s="1082"/>
      <c r="BV627" s="1082"/>
      <c r="BW627" s="1084"/>
      <c r="BX627" s="1081">
        <f t="shared" si="5"/>
        <v>0</v>
      </c>
      <c r="BY627" s="1082"/>
      <c r="BZ627" s="1082"/>
      <c r="CA627" s="1082"/>
      <c r="CB627" s="1084"/>
      <c r="CC627" s="1081">
        <f t="shared" si="6"/>
        <v>0</v>
      </c>
      <c r="CD627" s="1082"/>
      <c r="CE627" s="1082"/>
      <c r="CF627" s="1082"/>
      <c r="CG627" s="1084"/>
      <c r="CH627" s="1081">
        <f t="shared" si="7"/>
        <v>0</v>
      </c>
      <c r="CI627" s="1082"/>
      <c r="CJ627" s="1082"/>
      <c r="CK627" s="1082"/>
      <c r="CL627" s="1084"/>
      <c r="CM627" s="1085">
        <f t="shared" si="8"/>
        <v>0</v>
      </c>
      <c r="CN627" s="1086"/>
      <c r="CO627" s="1086"/>
      <c r="CP627" s="1086"/>
      <c r="CQ627" s="1083"/>
      <c r="CS627" s="1078">
        <f t="shared" si="21"/>
        <v>0</v>
      </c>
      <c r="CT627" s="1079"/>
      <c r="CU627" s="1079"/>
      <c r="CV627" s="1079"/>
      <c r="CW627" s="1080"/>
      <c r="CX627" s="1078">
        <f t="shared" si="22"/>
        <v>0</v>
      </c>
      <c r="CY627" s="1079"/>
      <c r="CZ627" s="1079"/>
      <c r="DA627" s="1079"/>
      <c r="DB627" s="1080"/>
      <c r="DC627" s="1078">
        <f t="shared" si="23"/>
        <v>0</v>
      </c>
      <c r="DD627" s="1079"/>
      <c r="DE627" s="1079"/>
      <c r="DF627" s="1079"/>
      <c r="DG627" s="1080"/>
      <c r="DH627" s="1078">
        <f t="shared" si="24"/>
        <v>0</v>
      </c>
      <c r="DI627" s="1079"/>
      <c r="DJ627" s="1079"/>
      <c r="DK627" s="1079"/>
      <c r="DL627" s="1080"/>
      <c r="DM627" s="1078">
        <f t="shared" si="25"/>
        <v>0</v>
      </c>
      <c r="DN627" s="1079"/>
      <c r="DO627" s="1079"/>
      <c r="DP627" s="1079"/>
      <c r="DQ627" s="1080"/>
      <c r="DR627" s="1078">
        <f t="shared" si="26"/>
        <v>0</v>
      </c>
      <c r="DS627" s="1079"/>
      <c r="DT627" s="1079"/>
      <c r="DU627" s="1079"/>
      <c r="DV627" s="1080"/>
    </row>
    <row r="628" spans="2:126" ht="12.9" customHeight="1">
      <c r="B628" s="1301"/>
      <c r="C628" s="1302"/>
      <c r="D628" s="1302"/>
      <c r="E628" s="1302"/>
      <c r="F628" s="1302"/>
      <c r="G628" s="1302"/>
      <c r="H628" s="1302"/>
      <c r="I628" s="1302"/>
      <c r="J628" s="1302"/>
      <c r="K628" s="1302"/>
      <c r="L628" s="1302"/>
      <c r="M628" s="1176"/>
      <c r="N628" s="1176"/>
      <c r="O628" s="1176"/>
      <c r="P628" s="1176"/>
      <c r="Q628" s="1162"/>
      <c r="R628" s="1163"/>
      <c r="S628" s="1164"/>
      <c r="T628" s="1162"/>
      <c r="U628" s="1163"/>
      <c r="V628" s="1164"/>
      <c r="W628" s="1411"/>
      <c r="X628" s="1411"/>
      <c r="Y628" s="1412"/>
      <c r="Z628" s="1176"/>
      <c r="AA628" s="1176"/>
      <c r="AB628" s="1176"/>
      <c r="AC628" s="1404"/>
      <c r="AD628" s="1405"/>
      <c r="AE628" s="1406"/>
      <c r="AF628" s="1162"/>
      <c r="AG628" s="1163"/>
      <c r="AH628" s="1163"/>
      <c r="AI628" s="1163"/>
      <c r="AJ628" s="1164"/>
      <c r="AK628" s="1419"/>
      <c r="AL628" s="1420"/>
      <c r="AM628" s="1420"/>
      <c r="AN628" s="1421"/>
      <c r="AO628" s="1176"/>
      <c r="AP628" s="1176"/>
      <c r="AQ628" s="1176"/>
      <c r="AR628" s="1176"/>
      <c r="AS628" s="1176"/>
      <c r="AT628" s="43"/>
      <c r="AU628" s="43"/>
      <c r="AV628" s="43"/>
      <c r="AW628" s="43"/>
      <c r="AX628" s="43"/>
      <c r="AY628" s="43"/>
      <c r="AZ628" s="43"/>
      <c r="BE628" s="1087">
        <f t="shared" si="17"/>
        <v>0</v>
      </c>
      <c r="BF628" s="1088"/>
      <c r="BG628" s="1081">
        <f t="shared" si="18"/>
        <v>0</v>
      </c>
      <c r="BH628" s="1084"/>
      <c r="BI628" s="1087">
        <f t="shared" si="19"/>
        <v>0</v>
      </c>
      <c r="BJ628" s="1088"/>
      <c r="BK628" s="1081">
        <f t="shared" si="20"/>
        <v>0</v>
      </c>
      <c r="BL628" s="1084"/>
      <c r="BN628" s="1081">
        <f t="shared" si="3"/>
        <v>0</v>
      </c>
      <c r="BO628" s="1082"/>
      <c r="BP628" s="1082"/>
      <c r="BQ628" s="1082"/>
      <c r="BR628" s="1083"/>
      <c r="BS628" s="1081">
        <f t="shared" si="4"/>
        <v>0</v>
      </c>
      <c r="BT628" s="1082"/>
      <c r="BU628" s="1082"/>
      <c r="BV628" s="1082"/>
      <c r="BW628" s="1084"/>
      <c r="BX628" s="1081">
        <f t="shared" si="5"/>
        <v>0</v>
      </c>
      <c r="BY628" s="1082"/>
      <c r="BZ628" s="1082"/>
      <c r="CA628" s="1082"/>
      <c r="CB628" s="1084"/>
      <c r="CC628" s="1081">
        <f t="shared" si="6"/>
        <v>0</v>
      </c>
      <c r="CD628" s="1082"/>
      <c r="CE628" s="1082"/>
      <c r="CF628" s="1082"/>
      <c r="CG628" s="1084"/>
      <c r="CH628" s="1081">
        <f t="shared" si="7"/>
        <v>0</v>
      </c>
      <c r="CI628" s="1082"/>
      <c r="CJ628" s="1082"/>
      <c r="CK628" s="1082"/>
      <c r="CL628" s="1084"/>
      <c r="CM628" s="1085">
        <f t="shared" si="8"/>
        <v>0</v>
      </c>
      <c r="CN628" s="1086"/>
      <c r="CO628" s="1086"/>
      <c r="CP628" s="1086"/>
      <c r="CQ628" s="1083"/>
      <c r="CS628" s="1078">
        <f t="shared" si="21"/>
        <v>0</v>
      </c>
      <c r="CT628" s="1079"/>
      <c r="CU628" s="1079"/>
      <c r="CV628" s="1079"/>
      <c r="CW628" s="1080"/>
      <c r="CX628" s="1078">
        <f t="shared" si="22"/>
        <v>0</v>
      </c>
      <c r="CY628" s="1079"/>
      <c r="CZ628" s="1079"/>
      <c r="DA628" s="1079"/>
      <c r="DB628" s="1080"/>
      <c r="DC628" s="1078">
        <f t="shared" si="23"/>
        <v>0</v>
      </c>
      <c r="DD628" s="1079"/>
      <c r="DE628" s="1079"/>
      <c r="DF628" s="1079"/>
      <c r="DG628" s="1080"/>
      <c r="DH628" s="1078">
        <f t="shared" si="24"/>
        <v>0</v>
      </c>
      <c r="DI628" s="1079"/>
      <c r="DJ628" s="1079"/>
      <c r="DK628" s="1079"/>
      <c r="DL628" s="1080"/>
      <c r="DM628" s="1078">
        <f t="shared" si="25"/>
        <v>0</v>
      </c>
      <c r="DN628" s="1079"/>
      <c r="DO628" s="1079"/>
      <c r="DP628" s="1079"/>
      <c r="DQ628" s="1080"/>
      <c r="DR628" s="1078">
        <f t="shared" si="26"/>
        <v>0</v>
      </c>
      <c r="DS628" s="1079"/>
      <c r="DT628" s="1079"/>
      <c r="DU628" s="1079"/>
      <c r="DV628" s="1080"/>
    </row>
    <row r="629" spans="2:126" ht="12.9" customHeight="1">
      <c r="B629" s="57" t="s">
        <v>899</v>
      </c>
      <c r="C629" s="1113" t="s">
        <v>2448</v>
      </c>
      <c r="D629" s="1113"/>
      <c r="E629" s="1113"/>
      <c r="F629" s="1113"/>
      <c r="G629" s="1113"/>
      <c r="H629" s="1113"/>
      <c r="I629" s="1113"/>
      <c r="J629" s="1113"/>
      <c r="K629" s="1113"/>
      <c r="L629" s="1113"/>
      <c r="M629" s="1125" t="s">
        <v>2162</v>
      </c>
      <c r="N629" s="1125"/>
      <c r="O629" s="1125"/>
      <c r="P629" s="1125"/>
      <c r="Q629" s="1126">
        <v>360</v>
      </c>
      <c r="R629" s="1127"/>
      <c r="S629" s="1128"/>
      <c r="T629" s="1122">
        <v>360</v>
      </c>
      <c r="U629" s="1123"/>
      <c r="V629" s="1124"/>
      <c r="W629" s="1294">
        <f>+W558</f>
        <v>6.6000000000000003E-2</v>
      </c>
      <c r="X629" s="1295"/>
      <c r="Y629" s="1296"/>
      <c r="Z629" s="1381" t="s">
        <v>2180</v>
      </c>
      <c r="AA629" s="1382"/>
      <c r="AB629" s="1383"/>
      <c r="AC629" s="1165">
        <v>1</v>
      </c>
      <c r="AD629" s="1166"/>
      <c r="AE629" s="1167">
        <v>1</v>
      </c>
      <c r="AF629" s="1194">
        <f>-PMT(W629,T629/12,AO629)</f>
        <v>270805.31264246581</v>
      </c>
      <c r="AG629" s="1195"/>
      <c r="AH629" s="1195"/>
      <c r="AI629" s="1195">
        <f>-PMT(W629,T629/12,AM629)</f>
        <v>270805.31264246581</v>
      </c>
      <c r="AJ629" s="1196"/>
      <c r="AK629" s="1303">
        <v>0</v>
      </c>
      <c r="AL629" s="1304"/>
      <c r="AM629" s="1304">
        <v>3500000</v>
      </c>
      <c r="AN629" s="1305"/>
      <c r="AO629" s="1129">
        <v>3500000</v>
      </c>
      <c r="AP629" s="1129"/>
      <c r="AQ629" s="1129"/>
      <c r="AR629" s="1129"/>
      <c r="AS629" s="1129"/>
      <c r="AT629" s="942" t="str">
        <f t="shared" ref="AT629:AT640" si="27">IF(AND(NOT(C628=""),C629="",NOT(C630="")),"!","")</f>
        <v/>
      </c>
      <c r="AU629" s="43"/>
      <c r="AV629" s="43"/>
      <c r="AW629" s="43"/>
      <c r="AX629" s="43"/>
      <c r="AY629" s="43"/>
      <c r="BA629" s="41" t="s">
        <v>1964</v>
      </c>
      <c r="BC629" s="43"/>
      <c r="BD629" s="43"/>
      <c r="BE629" s="1087">
        <f t="shared" si="17"/>
        <v>0</v>
      </c>
      <c r="BF629" s="1088"/>
      <c r="BG629" s="1081">
        <f t="shared" si="18"/>
        <v>0</v>
      </c>
      <c r="BH629" s="1084"/>
      <c r="BI629" s="1087">
        <f t="shared" si="19"/>
        <v>0</v>
      </c>
      <c r="BJ629" s="1088"/>
      <c r="BK629" s="1081">
        <f t="shared" si="20"/>
        <v>0</v>
      </c>
      <c r="BL629" s="1084"/>
      <c r="BN629" s="1081">
        <f t="shared" si="3"/>
        <v>0</v>
      </c>
      <c r="BO629" s="1082"/>
      <c r="BP629" s="1082"/>
      <c r="BQ629" s="1082"/>
      <c r="BR629" s="1083"/>
      <c r="BS629" s="1081">
        <f t="shared" si="4"/>
        <v>0</v>
      </c>
      <c r="BT629" s="1082"/>
      <c r="BU629" s="1082"/>
      <c r="BV629" s="1082"/>
      <c r="BW629" s="1084"/>
      <c r="BX629" s="1081">
        <f t="shared" si="5"/>
        <v>0</v>
      </c>
      <c r="BY629" s="1082"/>
      <c r="BZ629" s="1082"/>
      <c r="CA629" s="1082"/>
      <c r="CB629" s="1084"/>
      <c r="CC629" s="1081">
        <f t="shared" si="6"/>
        <v>0</v>
      </c>
      <c r="CD629" s="1082"/>
      <c r="CE629" s="1082"/>
      <c r="CF629" s="1082"/>
      <c r="CG629" s="1084"/>
      <c r="CH629" s="1081">
        <f t="shared" si="7"/>
        <v>0</v>
      </c>
      <c r="CI629" s="1082"/>
      <c r="CJ629" s="1082"/>
      <c r="CK629" s="1082"/>
      <c r="CL629" s="1084"/>
      <c r="CM629" s="1085">
        <f t="shared" si="8"/>
        <v>0</v>
      </c>
      <c r="CN629" s="1086"/>
      <c r="CO629" s="1086"/>
      <c r="CP629" s="1086"/>
      <c r="CQ629" s="1083"/>
      <c r="CS629" s="1078">
        <f t="shared" si="21"/>
        <v>0</v>
      </c>
      <c r="CT629" s="1079"/>
      <c r="CU629" s="1079"/>
      <c r="CV629" s="1079"/>
      <c r="CW629" s="1080"/>
      <c r="CX629" s="1078">
        <f t="shared" si="22"/>
        <v>0</v>
      </c>
      <c r="CY629" s="1079"/>
      <c r="CZ629" s="1079"/>
      <c r="DA629" s="1079"/>
      <c r="DB629" s="1080"/>
      <c r="DC629" s="1078">
        <f t="shared" si="23"/>
        <v>0</v>
      </c>
      <c r="DD629" s="1079"/>
      <c r="DE629" s="1079"/>
      <c r="DF629" s="1079"/>
      <c r="DG629" s="1080"/>
      <c r="DH629" s="1078">
        <f t="shared" si="24"/>
        <v>0</v>
      </c>
      <c r="DI629" s="1079"/>
      <c r="DJ629" s="1079"/>
      <c r="DK629" s="1079"/>
      <c r="DL629" s="1080"/>
      <c r="DM629" s="1078">
        <f t="shared" si="25"/>
        <v>0</v>
      </c>
      <c r="DN629" s="1079"/>
      <c r="DO629" s="1079"/>
      <c r="DP629" s="1079"/>
      <c r="DQ629" s="1080"/>
      <c r="DR629" s="1078">
        <f t="shared" si="26"/>
        <v>0</v>
      </c>
      <c r="DS629" s="1079"/>
      <c r="DT629" s="1079"/>
      <c r="DU629" s="1079"/>
      <c r="DV629" s="1080"/>
    </row>
    <row r="630" spans="2:126" ht="12.9" customHeight="1">
      <c r="B630" s="58" t="s">
        <v>900</v>
      </c>
      <c r="C630" s="1113" t="s">
        <v>2447</v>
      </c>
      <c r="D630" s="1113"/>
      <c r="E630" s="1113"/>
      <c r="F630" s="1113"/>
      <c r="G630" s="1113"/>
      <c r="H630" s="1113"/>
      <c r="I630" s="1113"/>
      <c r="J630" s="1113"/>
      <c r="K630" s="1113"/>
      <c r="L630" s="1113"/>
      <c r="M630" s="1125" t="s">
        <v>2162</v>
      </c>
      <c r="N630" s="1125"/>
      <c r="O630" s="1125"/>
      <c r="P630" s="1125"/>
      <c r="Q630" s="1126">
        <v>360</v>
      </c>
      <c r="R630" s="1127"/>
      <c r="S630" s="1128"/>
      <c r="T630" s="1122">
        <v>600</v>
      </c>
      <c r="U630" s="1123"/>
      <c r="V630" s="1124"/>
      <c r="W630" s="1294">
        <v>0.01</v>
      </c>
      <c r="X630" s="1295"/>
      <c r="Y630" s="1296"/>
      <c r="Z630" s="1381" t="s">
        <v>2180</v>
      </c>
      <c r="AA630" s="1382"/>
      <c r="AB630" s="1383"/>
      <c r="AC630" s="1165">
        <v>2</v>
      </c>
      <c r="AD630" s="1166"/>
      <c r="AE630" s="1167">
        <v>2</v>
      </c>
      <c r="AF630" s="1194">
        <f>-PMT(W630,T630/12,AO630)</f>
        <v>83486.585052796261</v>
      </c>
      <c r="AG630" s="1195"/>
      <c r="AH630" s="1195"/>
      <c r="AI630" s="1195">
        <f>-PMT(W630,T630/12,AM630)</f>
        <v>83486.585052796261</v>
      </c>
      <c r="AJ630" s="1196"/>
      <c r="AK630" s="1303">
        <v>0</v>
      </c>
      <c r="AL630" s="1304"/>
      <c r="AM630" s="1304">
        <v>3272350</v>
      </c>
      <c r="AN630" s="1305"/>
      <c r="AO630" s="1129">
        <v>3272350</v>
      </c>
      <c r="AP630" s="1129"/>
      <c r="AQ630" s="1129"/>
      <c r="AR630" s="1129"/>
      <c r="AS630" s="1129"/>
      <c r="AT630" s="942" t="str">
        <f t="shared" si="27"/>
        <v/>
      </c>
      <c r="AU630" s="43"/>
      <c r="AV630" s="43"/>
      <c r="AW630" s="43"/>
      <c r="AX630" s="43"/>
      <c r="AY630" s="43"/>
      <c r="BA630" s="41" t="s">
        <v>788</v>
      </c>
      <c r="BC630" s="43"/>
      <c r="BD630" s="43"/>
      <c r="BE630" s="1087">
        <f t="shared" si="17"/>
        <v>0</v>
      </c>
      <c r="BF630" s="1088"/>
      <c r="BG630" s="1081">
        <f t="shared" si="18"/>
        <v>0</v>
      </c>
      <c r="BH630" s="1084"/>
      <c r="BI630" s="1087">
        <f t="shared" si="19"/>
        <v>0</v>
      </c>
      <c r="BJ630" s="1088"/>
      <c r="BK630" s="1081">
        <f t="shared" si="20"/>
        <v>0</v>
      </c>
      <c r="BL630" s="1084"/>
      <c r="BN630" s="1081">
        <f t="shared" si="3"/>
        <v>0</v>
      </c>
      <c r="BO630" s="1082"/>
      <c r="BP630" s="1082"/>
      <c r="BQ630" s="1082"/>
      <c r="BR630" s="1083"/>
      <c r="BS630" s="1081">
        <f t="shared" si="4"/>
        <v>0</v>
      </c>
      <c r="BT630" s="1082"/>
      <c r="BU630" s="1082"/>
      <c r="BV630" s="1082"/>
      <c r="BW630" s="1084"/>
      <c r="BX630" s="1081">
        <f t="shared" si="5"/>
        <v>0</v>
      </c>
      <c r="BY630" s="1082"/>
      <c r="BZ630" s="1082"/>
      <c r="CA630" s="1082"/>
      <c r="CB630" s="1084"/>
      <c r="CC630" s="1081">
        <f t="shared" si="6"/>
        <v>0</v>
      </c>
      <c r="CD630" s="1082"/>
      <c r="CE630" s="1082"/>
      <c r="CF630" s="1082"/>
      <c r="CG630" s="1084"/>
      <c r="CH630" s="1081">
        <f t="shared" si="7"/>
        <v>0</v>
      </c>
      <c r="CI630" s="1082"/>
      <c r="CJ630" s="1082"/>
      <c r="CK630" s="1082"/>
      <c r="CL630" s="1084"/>
      <c r="CM630" s="1085">
        <f t="shared" si="8"/>
        <v>0</v>
      </c>
      <c r="CN630" s="1086"/>
      <c r="CO630" s="1086"/>
      <c r="CP630" s="1086"/>
      <c r="CQ630" s="1083"/>
      <c r="CS630" s="1078">
        <f t="shared" si="21"/>
        <v>0</v>
      </c>
      <c r="CT630" s="1079"/>
      <c r="CU630" s="1079"/>
      <c r="CV630" s="1079"/>
      <c r="CW630" s="1080"/>
      <c r="CX630" s="1078">
        <f t="shared" si="22"/>
        <v>0</v>
      </c>
      <c r="CY630" s="1079"/>
      <c r="CZ630" s="1079"/>
      <c r="DA630" s="1079"/>
      <c r="DB630" s="1080"/>
      <c r="DC630" s="1078">
        <f t="shared" si="23"/>
        <v>0</v>
      </c>
      <c r="DD630" s="1079"/>
      <c r="DE630" s="1079"/>
      <c r="DF630" s="1079"/>
      <c r="DG630" s="1080"/>
      <c r="DH630" s="1078">
        <f t="shared" si="24"/>
        <v>0</v>
      </c>
      <c r="DI630" s="1079"/>
      <c r="DJ630" s="1079"/>
      <c r="DK630" s="1079"/>
      <c r="DL630" s="1080"/>
      <c r="DM630" s="1078">
        <f t="shared" si="25"/>
        <v>0</v>
      </c>
      <c r="DN630" s="1079"/>
      <c r="DO630" s="1079"/>
      <c r="DP630" s="1079"/>
      <c r="DQ630" s="1080"/>
      <c r="DR630" s="1078">
        <f t="shared" si="26"/>
        <v>0</v>
      </c>
      <c r="DS630" s="1079"/>
      <c r="DT630" s="1079"/>
      <c r="DU630" s="1079"/>
      <c r="DV630" s="1080"/>
    </row>
    <row r="631" spans="2:126" ht="12.9" customHeight="1">
      <c r="B631" s="58" t="s">
        <v>906</v>
      </c>
      <c r="C631" s="1113" t="s">
        <v>2468</v>
      </c>
      <c r="D631" s="1113"/>
      <c r="E631" s="1113"/>
      <c r="F631" s="1113"/>
      <c r="G631" s="1113"/>
      <c r="H631" s="1113"/>
      <c r="I631" s="1113"/>
      <c r="J631" s="1113"/>
      <c r="K631" s="1113"/>
      <c r="L631" s="1113"/>
      <c r="M631" s="1125" t="s">
        <v>2172</v>
      </c>
      <c r="N631" s="1125"/>
      <c r="O631" s="1125"/>
      <c r="P631" s="1125"/>
      <c r="Q631" s="1126"/>
      <c r="R631" s="1127"/>
      <c r="S631" s="1128"/>
      <c r="T631" s="1122"/>
      <c r="U631" s="1123"/>
      <c r="V631" s="1124"/>
      <c r="W631" s="1294"/>
      <c r="X631" s="1295"/>
      <c r="Y631" s="1296"/>
      <c r="Z631" s="1381" t="s">
        <v>1964</v>
      </c>
      <c r="AA631" s="1382"/>
      <c r="AB631" s="1383"/>
      <c r="AC631" s="1165"/>
      <c r="AD631" s="1166"/>
      <c r="AE631" s="1167"/>
      <c r="AF631" s="1194"/>
      <c r="AG631" s="1195"/>
      <c r="AH631" s="1195"/>
      <c r="AI631" s="1195"/>
      <c r="AJ631" s="1196"/>
      <c r="AK631" s="1303"/>
      <c r="AL631" s="1304"/>
      <c r="AM631" s="1304"/>
      <c r="AN631" s="1305"/>
      <c r="AO631" s="1129">
        <v>75855</v>
      </c>
      <c r="AP631" s="1129"/>
      <c r="AQ631" s="1129"/>
      <c r="AR631" s="1129"/>
      <c r="AS631" s="1129"/>
      <c r="AT631" s="942" t="str">
        <f t="shared" si="27"/>
        <v/>
      </c>
      <c r="AU631" s="43"/>
      <c r="AV631" s="43"/>
      <c r="AW631" s="43"/>
      <c r="AX631" s="43"/>
      <c r="AY631" s="43"/>
      <c r="AZ631" s="43"/>
      <c r="BA631" s="41" t="s">
        <v>787</v>
      </c>
      <c r="BB631" s="43"/>
      <c r="BC631" s="43"/>
      <c r="BD631" s="43"/>
      <c r="BE631" s="1087">
        <f t="shared" si="17"/>
        <v>0</v>
      </c>
      <c r="BF631" s="1088"/>
      <c r="BG631" s="1081">
        <f t="shared" si="18"/>
        <v>0</v>
      </c>
      <c r="BH631" s="1084"/>
      <c r="BI631" s="1087">
        <f t="shared" si="19"/>
        <v>0</v>
      </c>
      <c r="BJ631" s="1088"/>
      <c r="BK631" s="1081">
        <f t="shared" si="20"/>
        <v>0</v>
      </c>
      <c r="BL631" s="1084"/>
      <c r="BN631" s="1081">
        <f t="shared" si="3"/>
        <v>0</v>
      </c>
      <c r="BO631" s="1082"/>
      <c r="BP631" s="1082"/>
      <c r="BQ631" s="1082"/>
      <c r="BR631" s="1083"/>
      <c r="BS631" s="1081">
        <f t="shared" si="4"/>
        <v>0</v>
      </c>
      <c r="BT631" s="1082"/>
      <c r="BU631" s="1082"/>
      <c r="BV631" s="1082"/>
      <c r="BW631" s="1084"/>
      <c r="BX631" s="1081">
        <f t="shared" si="5"/>
        <v>0</v>
      </c>
      <c r="BY631" s="1082"/>
      <c r="BZ631" s="1082"/>
      <c r="CA631" s="1082"/>
      <c r="CB631" s="1084"/>
      <c r="CC631" s="1081">
        <f t="shared" si="6"/>
        <v>0</v>
      </c>
      <c r="CD631" s="1082"/>
      <c r="CE631" s="1082"/>
      <c r="CF631" s="1082"/>
      <c r="CG631" s="1084"/>
      <c r="CH631" s="1081">
        <f t="shared" si="7"/>
        <v>0</v>
      </c>
      <c r="CI631" s="1082"/>
      <c r="CJ631" s="1082"/>
      <c r="CK631" s="1082"/>
      <c r="CL631" s="1084"/>
      <c r="CM631" s="1085">
        <f t="shared" si="8"/>
        <v>0</v>
      </c>
      <c r="CN631" s="1086"/>
      <c r="CO631" s="1086"/>
      <c r="CP631" s="1086"/>
      <c r="CQ631" s="1083"/>
      <c r="CS631" s="1078">
        <f t="shared" si="21"/>
        <v>0</v>
      </c>
      <c r="CT631" s="1079"/>
      <c r="CU631" s="1079"/>
      <c r="CV631" s="1079"/>
      <c r="CW631" s="1080"/>
      <c r="CX631" s="1078">
        <f t="shared" si="22"/>
        <v>0</v>
      </c>
      <c r="CY631" s="1079"/>
      <c r="CZ631" s="1079"/>
      <c r="DA631" s="1079"/>
      <c r="DB631" s="1080"/>
      <c r="DC631" s="1078">
        <f t="shared" si="23"/>
        <v>0</v>
      </c>
      <c r="DD631" s="1079"/>
      <c r="DE631" s="1079"/>
      <c r="DF631" s="1079"/>
      <c r="DG631" s="1080"/>
      <c r="DH631" s="1078">
        <f t="shared" si="24"/>
        <v>0</v>
      </c>
      <c r="DI631" s="1079"/>
      <c r="DJ631" s="1079"/>
      <c r="DK631" s="1079"/>
      <c r="DL631" s="1080"/>
      <c r="DM631" s="1078">
        <f t="shared" si="25"/>
        <v>0</v>
      </c>
      <c r="DN631" s="1079"/>
      <c r="DO631" s="1079"/>
      <c r="DP631" s="1079"/>
      <c r="DQ631" s="1080"/>
      <c r="DR631" s="1078">
        <f t="shared" si="26"/>
        <v>0</v>
      </c>
      <c r="DS631" s="1079"/>
      <c r="DT631" s="1079"/>
      <c r="DU631" s="1079"/>
      <c r="DV631" s="1080"/>
    </row>
    <row r="632" spans="2:126" ht="12.9" customHeight="1">
      <c r="B632" s="58" t="s">
        <v>431</v>
      </c>
      <c r="C632" s="1113" t="s">
        <v>2518</v>
      </c>
      <c r="D632" s="1113"/>
      <c r="E632" s="1113"/>
      <c r="F632" s="1113"/>
      <c r="G632" s="1113"/>
      <c r="H632" s="1113"/>
      <c r="I632" s="1113"/>
      <c r="J632" s="1113"/>
      <c r="K632" s="1113"/>
      <c r="L632" s="1113"/>
      <c r="M632" s="1125" t="s">
        <v>2155</v>
      </c>
      <c r="N632" s="1125"/>
      <c r="O632" s="1125"/>
      <c r="P632" s="1125"/>
      <c r="Q632" s="1126">
        <f>58*12</f>
        <v>696</v>
      </c>
      <c r="R632" s="1127"/>
      <c r="S632" s="1128"/>
      <c r="T632" s="1122"/>
      <c r="U632" s="1123"/>
      <c r="V632" s="1124"/>
      <c r="W632" s="1294">
        <v>0.01</v>
      </c>
      <c r="X632" s="1295"/>
      <c r="Y632" s="1296"/>
      <c r="Z632" s="1381" t="s">
        <v>787</v>
      </c>
      <c r="AA632" s="1382"/>
      <c r="AB632" s="1383"/>
      <c r="AC632" s="1165"/>
      <c r="AD632" s="1166"/>
      <c r="AE632" s="1167"/>
      <c r="AF632" s="1194"/>
      <c r="AG632" s="1195"/>
      <c r="AH632" s="1195"/>
      <c r="AI632" s="1195"/>
      <c r="AJ632" s="1196"/>
      <c r="AK632" s="1303"/>
      <c r="AL632" s="1304"/>
      <c r="AM632" s="1304"/>
      <c r="AN632" s="1305"/>
      <c r="AO632" s="1129">
        <v>1500000</v>
      </c>
      <c r="AP632" s="1129"/>
      <c r="AQ632" s="1129"/>
      <c r="AR632" s="1129"/>
      <c r="AS632" s="1129"/>
      <c r="AT632" s="942" t="str">
        <f t="shared" si="27"/>
        <v/>
      </c>
      <c r="AU632" s="43"/>
      <c r="AV632" s="43"/>
      <c r="AW632" s="43"/>
      <c r="AX632" s="43"/>
      <c r="AY632" s="43"/>
      <c r="AZ632" s="43"/>
      <c r="BA632" s="41" t="s">
        <v>2180</v>
      </c>
      <c r="BE632" s="1087">
        <f t="shared" si="17"/>
        <v>0</v>
      </c>
      <c r="BF632" s="1088"/>
      <c r="BG632" s="1081">
        <f t="shared" si="18"/>
        <v>0</v>
      </c>
      <c r="BH632" s="1084"/>
      <c r="BI632" s="1087">
        <f t="shared" si="19"/>
        <v>0</v>
      </c>
      <c r="BJ632" s="1088"/>
      <c r="BK632" s="1081">
        <f t="shared" si="20"/>
        <v>0</v>
      </c>
      <c r="BL632" s="1084"/>
      <c r="BN632" s="1081">
        <f t="shared" si="3"/>
        <v>0</v>
      </c>
      <c r="BO632" s="1082"/>
      <c r="BP632" s="1082"/>
      <c r="BQ632" s="1082"/>
      <c r="BR632" s="1083"/>
      <c r="BS632" s="1081">
        <f t="shared" si="4"/>
        <v>0</v>
      </c>
      <c r="BT632" s="1082"/>
      <c r="BU632" s="1082"/>
      <c r="BV632" s="1082"/>
      <c r="BW632" s="1084"/>
      <c r="BX632" s="1081">
        <f t="shared" si="5"/>
        <v>0</v>
      </c>
      <c r="BY632" s="1082"/>
      <c r="BZ632" s="1082"/>
      <c r="CA632" s="1082"/>
      <c r="CB632" s="1084"/>
      <c r="CC632" s="1081">
        <f t="shared" si="6"/>
        <v>0</v>
      </c>
      <c r="CD632" s="1082"/>
      <c r="CE632" s="1082"/>
      <c r="CF632" s="1082"/>
      <c r="CG632" s="1084"/>
      <c r="CH632" s="1081">
        <f t="shared" si="7"/>
        <v>0</v>
      </c>
      <c r="CI632" s="1082"/>
      <c r="CJ632" s="1082"/>
      <c r="CK632" s="1082"/>
      <c r="CL632" s="1084"/>
      <c r="CM632" s="1085">
        <f t="shared" si="8"/>
        <v>0</v>
      </c>
      <c r="CN632" s="1086"/>
      <c r="CO632" s="1086"/>
      <c r="CP632" s="1086"/>
      <c r="CQ632" s="1083"/>
      <c r="CS632" s="1078">
        <f t="shared" si="21"/>
        <v>0</v>
      </c>
      <c r="CT632" s="1079"/>
      <c r="CU632" s="1079"/>
      <c r="CV632" s="1079"/>
      <c r="CW632" s="1080"/>
      <c r="CX632" s="1078">
        <f t="shared" si="22"/>
        <v>0</v>
      </c>
      <c r="CY632" s="1079"/>
      <c r="CZ632" s="1079"/>
      <c r="DA632" s="1079"/>
      <c r="DB632" s="1080"/>
      <c r="DC632" s="1078">
        <f t="shared" si="23"/>
        <v>0</v>
      </c>
      <c r="DD632" s="1079"/>
      <c r="DE632" s="1079"/>
      <c r="DF632" s="1079"/>
      <c r="DG632" s="1080"/>
      <c r="DH632" s="1078">
        <f t="shared" si="24"/>
        <v>0</v>
      </c>
      <c r="DI632" s="1079"/>
      <c r="DJ632" s="1079"/>
      <c r="DK632" s="1079"/>
      <c r="DL632" s="1080"/>
      <c r="DM632" s="1078">
        <f t="shared" si="25"/>
        <v>0</v>
      </c>
      <c r="DN632" s="1079"/>
      <c r="DO632" s="1079"/>
      <c r="DP632" s="1079"/>
      <c r="DQ632" s="1080"/>
      <c r="DR632" s="1078">
        <f t="shared" si="26"/>
        <v>0</v>
      </c>
      <c r="DS632" s="1079"/>
      <c r="DT632" s="1079"/>
      <c r="DU632" s="1079"/>
      <c r="DV632" s="1080"/>
    </row>
    <row r="633" spans="2:126" ht="12.9" customHeight="1">
      <c r="B633" s="58" t="s">
        <v>171</v>
      </c>
      <c r="C633" s="1113"/>
      <c r="D633" s="1113"/>
      <c r="E633" s="1113"/>
      <c r="F633" s="1113"/>
      <c r="G633" s="1113"/>
      <c r="H633" s="1113"/>
      <c r="I633" s="1113"/>
      <c r="J633" s="1113"/>
      <c r="K633" s="1113"/>
      <c r="L633" s="1113"/>
      <c r="M633" s="1125" t="s">
        <v>2164</v>
      </c>
      <c r="N633" s="1125"/>
      <c r="O633" s="1125"/>
      <c r="P633" s="1125"/>
      <c r="Q633" s="1126"/>
      <c r="R633" s="1127"/>
      <c r="S633" s="1128"/>
      <c r="T633" s="1122"/>
      <c r="U633" s="1123"/>
      <c r="V633" s="1124"/>
      <c r="W633" s="1294"/>
      <c r="X633" s="1295"/>
      <c r="Y633" s="1296"/>
      <c r="Z633" s="1381" t="s">
        <v>2451</v>
      </c>
      <c r="AA633" s="1382"/>
      <c r="AB633" s="1383"/>
      <c r="AC633" s="1165"/>
      <c r="AD633" s="1166"/>
      <c r="AE633" s="1167">
        <v>5</v>
      </c>
      <c r="AF633" s="1194"/>
      <c r="AG633" s="1195"/>
      <c r="AH633" s="1195"/>
      <c r="AI633" s="1195"/>
      <c r="AJ633" s="1196"/>
      <c r="AK633" s="1303"/>
      <c r="AL633" s="1304"/>
      <c r="AM633" s="1304">
        <v>1500000</v>
      </c>
      <c r="AN633" s="1305"/>
      <c r="AO633" s="1129"/>
      <c r="AP633" s="1129"/>
      <c r="AQ633" s="1129"/>
      <c r="AR633" s="1129"/>
      <c r="AS633" s="1129"/>
      <c r="AT633" s="942" t="str">
        <f t="shared" si="27"/>
        <v/>
      </c>
      <c r="AU633" s="43"/>
      <c r="AV633" s="43"/>
      <c r="AW633" s="43"/>
      <c r="AX633" s="43"/>
      <c r="AY633" s="43"/>
      <c r="AZ633" s="43"/>
      <c r="BA633" s="41" t="s">
        <v>499</v>
      </c>
      <c r="BE633" s="1087">
        <f t="shared" si="17"/>
        <v>0</v>
      </c>
      <c r="BF633" s="1088"/>
      <c r="BG633" s="1081">
        <f t="shared" si="18"/>
        <v>0</v>
      </c>
      <c r="BH633" s="1084"/>
      <c r="BI633" s="1087">
        <f t="shared" si="19"/>
        <v>0</v>
      </c>
      <c r="BJ633" s="1088"/>
      <c r="BK633" s="1081">
        <f t="shared" si="20"/>
        <v>0</v>
      </c>
      <c r="BL633" s="1084"/>
      <c r="BN633" s="1081">
        <f t="shared" si="3"/>
        <v>0</v>
      </c>
      <c r="BO633" s="1082"/>
      <c r="BP633" s="1082"/>
      <c r="BQ633" s="1082"/>
      <c r="BR633" s="1083"/>
      <c r="BS633" s="1081">
        <f t="shared" si="4"/>
        <v>0</v>
      </c>
      <c r="BT633" s="1082"/>
      <c r="BU633" s="1082"/>
      <c r="BV633" s="1082"/>
      <c r="BW633" s="1084"/>
      <c r="BX633" s="1081">
        <f t="shared" si="5"/>
        <v>0</v>
      </c>
      <c r="BY633" s="1082"/>
      <c r="BZ633" s="1082"/>
      <c r="CA633" s="1082"/>
      <c r="CB633" s="1084"/>
      <c r="CC633" s="1081">
        <f t="shared" si="6"/>
        <v>0</v>
      </c>
      <c r="CD633" s="1082"/>
      <c r="CE633" s="1082"/>
      <c r="CF633" s="1082"/>
      <c r="CG633" s="1084"/>
      <c r="CH633" s="1081">
        <f t="shared" si="7"/>
        <v>0</v>
      </c>
      <c r="CI633" s="1082"/>
      <c r="CJ633" s="1082"/>
      <c r="CK633" s="1082"/>
      <c r="CL633" s="1084"/>
      <c r="CM633" s="1085">
        <f t="shared" si="8"/>
        <v>0</v>
      </c>
      <c r="CN633" s="1086"/>
      <c r="CO633" s="1086"/>
      <c r="CP633" s="1086"/>
      <c r="CQ633" s="1083"/>
      <c r="CS633" s="1078">
        <f t="shared" si="21"/>
        <v>0</v>
      </c>
      <c r="CT633" s="1079"/>
      <c r="CU633" s="1079"/>
      <c r="CV633" s="1079"/>
      <c r="CW633" s="1080"/>
      <c r="CX633" s="1078">
        <f t="shared" si="22"/>
        <v>0</v>
      </c>
      <c r="CY633" s="1079"/>
      <c r="CZ633" s="1079"/>
      <c r="DA633" s="1079"/>
      <c r="DB633" s="1080"/>
      <c r="DC633" s="1078">
        <f t="shared" si="23"/>
        <v>0</v>
      </c>
      <c r="DD633" s="1079"/>
      <c r="DE633" s="1079"/>
      <c r="DF633" s="1079"/>
      <c r="DG633" s="1080"/>
      <c r="DH633" s="1078">
        <f t="shared" si="24"/>
        <v>0</v>
      </c>
      <c r="DI633" s="1079"/>
      <c r="DJ633" s="1079"/>
      <c r="DK633" s="1079"/>
      <c r="DL633" s="1080"/>
      <c r="DM633" s="1078">
        <f t="shared" si="25"/>
        <v>0</v>
      </c>
      <c r="DN633" s="1079"/>
      <c r="DO633" s="1079"/>
      <c r="DP633" s="1079"/>
      <c r="DQ633" s="1080"/>
      <c r="DR633" s="1078">
        <f t="shared" si="26"/>
        <v>0</v>
      </c>
      <c r="DS633" s="1079"/>
      <c r="DT633" s="1079"/>
      <c r="DU633" s="1079"/>
      <c r="DV633" s="1080"/>
    </row>
    <row r="634" spans="2:126" ht="12.9" customHeight="1">
      <c r="B634" s="58" t="s">
        <v>434</v>
      </c>
      <c r="C634" s="1113"/>
      <c r="D634" s="1113"/>
      <c r="E634" s="1113"/>
      <c r="F634" s="1113"/>
      <c r="G634" s="1113"/>
      <c r="H634" s="1113"/>
      <c r="I634" s="1113"/>
      <c r="J634" s="1113"/>
      <c r="K634" s="1113"/>
      <c r="L634" s="1113"/>
      <c r="M634" s="1125" t="s">
        <v>1964</v>
      </c>
      <c r="N634" s="1125"/>
      <c r="O634" s="1125"/>
      <c r="P634" s="1125"/>
      <c r="Q634" s="1126"/>
      <c r="R634" s="1127"/>
      <c r="S634" s="1128"/>
      <c r="T634" s="1122"/>
      <c r="U634" s="1123"/>
      <c r="V634" s="1124"/>
      <c r="W634" s="1294"/>
      <c r="X634" s="1295"/>
      <c r="Y634" s="1296"/>
      <c r="Z634" s="1381" t="s">
        <v>1964</v>
      </c>
      <c r="AA634" s="1382"/>
      <c r="AB634" s="1383"/>
      <c r="AC634" s="1165"/>
      <c r="AD634" s="1166"/>
      <c r="AE634" s="1167"/>
      <c r="AF634" s="1194"/>
      <c r="AG634" s="1195"/>
      <c r="AH634" s="1195"/>
      <c r="AI634" s="1195"/>
      <c r="AJ634" s="1196"/>
      <c r="AK634" s="1303"/>
      <c r="AL634" s="1304"/>
      <c r="AM634" s="1304"/>
      <c r="AN634" s="1305"/>
      <c r="AO634" s="1129"/>
      <c r="AP634" s="1129"/>
      <c r="AQ634" s="1129"/>
      <c r="AR634" s="1129"/>
      <c r="AS634" s="1129"/>
      <c r="AT634" s="942" t="str">
        <f t="shared" si="27"/>
        <v/>
      </c>
      <c r="AU634" s="43"/>
      <c r="AV634" s="43"/>
      <c r="AW634" s="43"/>
      <c r="AX634" s="43"/>
      <c r="AY634" s="43"/>
      <c r="AZ634" s="43"/>
      <c r="BE634" s="1087">
        <f>IF(AND(AH737&lt;=0.5,AH737&gt;=0.36),1,0)</f>
        <v>0</v>
      </c>
      <c r="BF634" s="1088"/>
      <c r="BG634" s="1081">
        <f>IF(BE634=1,G737,0)</f>
        <v>0</v>
      </c>
      <c r="BH634" s="1084"/>
      <c r="BI634" s="1087">
        <f>IF(AND(AH737&lt;=0.35,AH737&gt;0),1,0)</f>
        <v>0</v>
      </c>
      <c r="BJ634" s="1088"/>
      <c r="BK634" s="1081">
        <f>IF(BI634=1,G737,0)</f>
        <v>0</v>
      </c>
      <c r="BL634" s="1084"/>
      <c r="BN634" s="1087">
        <f>SUM(BN599:BR633)</f>
        <v>0</v>
      </c>
      <c r="BO634" s="1253"/>
      <c r="BP634" s="1253"/>
      <c r="BQ634" s="1253"/>
      <c r="BR634" s="1088"/>
      <c r="BS634" s="1087">
        <f>SUM(BS599:BW633)</f>
        <v>100</v>
      </c>
      <c r="BT634" s="1253"/>
      <c r="BU634" s="1253"/>
      <c r="BV634" s="1253"/>
      <c r="BW634" s="1088"/>
      <c r="BX634" s="1087">
        <f>SUM(BX599:CB633)</f>
        <v>0</v>
      </c>
      <c r="BY634" s="1253"/>
      <c r="BZ634" s="1253"/>
      <c r="CA634" s="1253"/>
      <c r="CB634" s="1088"/>
      <c r="CC634" s="1087">
        <f>SUM(CC599:CG633)</f>
        <v>0</v>
      </c>
      <c r="CD634" s="1253"/>
      <c r="CE634" s="1253"/>
      <c r="CF634" s="1253"/>
      <c r="CG634" s="1088"/>
      <c r="CH634" s="1087">
        <f>SUM(CH599:CL633)</f>
        <v>0</v>
      </c>
      <c r="CI634" s="1253"/>
      <c r="CJ634" s="1253"/>
      <c r="CK634" s="1253"/>
      <c r="CL634" s="1088"/>
      <c r="CM634" s="1087">
        <f>SUM(CM599:CQ633)</f>
        <v>0</v>
      </c>
      <c r="CN634" s="1253"/>
      <c r="CO634" s="1253"/>
      <c r="CP634" s="1253"/>
      <c r="CQ634" s="1088"/>
      <c r="CS634" s="1078">
        <f>IF(AND(B737="SRO/Studio",AH737&lt;=0.3),G737,0)</f>
        <v>0</v>
      </c>
      <c r="CT634" s="1079"/>
      <c r="CU634" s="1079"/>
      <c r="CV634" s="1079"/>
      <c r="CW634" s="1080"/>
      <c r="CX634" s="1078">
        <f>IF(AND(B737="1 Bedroom",AH737&lt;=0.3),G737,0)</f>
        <v>0</v>
      </c>
      <c r="CY634" s="1079"/>
      <c r="CZ634" s="1079"/>
      <c r="DA634" s="1079"/>
      <c r="DB634" s="1080"/>
      <c r="DC634" s="1078">
        <f>IF(AND(B737="2 Bedrooms",AH737&lt;=0.3),G737,0)</f>
        <v>0</v>
      </c>
      <c r="DD634" s="1079"/>
      <c r="DE634" s="1079"/>
      <c r="DF634" s="1079"/>
      <c r="DG634" s="1080"/>
      <c r="DH634" s="1078">
        <f>IF(AND(B737="3 Bedrooms",AH737&lt;=0.3),G737,0)</f>
        <v>0</v>
      </c>
      <c r="DI634" s="1079"/>
      <c r="DJ634" s="1079"/>
      <c r="DK634" s="1079"/>
      <c r="DL634" s="1080"/>
      <c r="DM634" s="1078">
        <f>IF(AND(B737="4 Bedrooms",AH737&lt;=0.3),G737,0)</f>
        <v>0</v>
      </c>
      <c r="DN634" s="1079"/>
      <c r="DO634" s="1079"/>
      <c r="DP634" s="1079"/>
      <c r="DQ634" s="1080"/>
      <c r="DR634" s="1078">
        <f>IF(AND(B737="5 Bedrooms",AH737&lt;=0.3),G737,0)</f>
        <v>0</v>
      </c>
      <c r="DS634" s="1079"/>
      <c r="DT634" s="1079"/>
      <c r="DU634" s="1079"/>
      <c r="DV634" s="1080"/>
    </row>
    <row r="635" spans="2:126" ht="12.9" customHeight="1" thickBot="1">
      <c r="B635" s="58" t="s">
        <v>741</v>
      </c>
      <c r="C635" s="1113"/>
      <c r="D635" s="1113"/>
      <c r="E635" s="1113"/>
      <c r="F635" s="1113"/>
      <c r="G635" s="1113"/>
      <c r="H635" s="1113"/>
      <c r="I635" s="1113"/>
      <c r="J635" s="1113"/>
      <c r="K635" s="1113"/>
      <c r="L635" s="1113"/>
      <c r="M635" s="1125" t="s">
        <v>1964</v>
      </c>
      <c r="N635" s="1125"/>
      <c r="O635" s="1125"/>
      <c r="P635" s="1125"/>
      <c r="Q635" s="1126"/>
      <c r="R635" s="1127"/>
      <c r="S635" s="1128"/>
      <c r="T635" s="1122"/>
      <c r="U635" s="1123"/>
      <c r="V635" s="1124"/>
      <c r="W635" s="1294"/>
      <c r="X635" s="1295"/>
      <c r="Y635" s="1296"/>
      <c r="Z635" s="1381" t="s">
        <v>1964</v>
      </c>
      <c r="AA635" s="1382"/>
      <c r="AB635" s="1383"/>
      <c r="AC635" s="1165"/>
      <c r="AD635" s="1166"/>
      <c r="AE635" s="1167"/>
      <c r="AF635" s="1194"/>
      <c r="AG635" s="1195"/>
      <c r="AH635" s="1195"/>
      <c r="AI635" s="1195"/>
      <c r="AJ635" s="1196"/>
      <c r="AK635" s="1303"/>
      <c r="AL635" s="1304"/>
      <c r="AM635" s="1304"/>
      <c r="AN635" s="1305"/>
      <c r="AO635" s="1129"/>
      <c r="AP635" s="1129"/>
      <c r="AQ635" s="1129"/>
      <c r="AR635" s="1129"/>
      <c r="AS635" s="1129"/>
      <c r="AT635" s="942" t="str">
        <f t="shared" si="27"/>
        <v/>
      </c>
      <c r="AU635" s="43"/>
      <c r="AV635" s="43"/>
      <c r="AW635" s="43"/>
      <c r="AX635" s="43"/>
      <c r="AY635" s="43"/>
      <c r="AZ635" s="43"/>
      <c r="BE635" s="41"/>
      <c r="BF635" s="41"/>
      <c r="BG635" s="1087">
        <f>SUM(BG600:BH634)</f>
        <v>50</v>
      </c>
      <c r="BH635" s="1088"/>
      <c r="BI635" s="41"/>
      <c r="BJ635" s="41"/>
      <c r="BK635" s="1087">
        <f>SUM(BK600:BL634)</f>
        <v>15</v>
      </c>
      <c r="BL635" s="1088"/>
      <c r="BN635" s="41" t="s">
        <v>1715</v>
      </c>
      <c r="BO635" s="41"/>
      <c r="BP635" s="41"/>
      <c r="BQ635" s="41"/>
      <c r="BR635" s="464">
        <f>BN634*1</f>
        <v>0</v>
      </c>
      <c r="BS635" s="41"/>
      <c r="BT635" s="41"/>
      <c r="BU635" s="41"/>
      <c r="BV635" s="41"/>
      <c r="BW635" s="464">
        <f>BS634*1</f>
        <v>100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7">
        <f>SUM(CS600:CW634)</f>
        <v>0</v>
      </c>
      <c r="CT635" s="1253"/>
      <c r="CU635" s="1253"/>
      <c r="CV635" s="1253"/>
      <c r="CW635" s="1088"/>
      <c r="CX635" s="1087">
        <f>SUM(CX600:DB634)</f>
        <v>15</v>
      </c>
      <c r="CY635" s="1253"/>
      <c r="CZ635" s="1253"/>
      <c r="DA635" s="1253"/>
      <c r="DB635" s="1088"/>
      <c r="DC635" s="1087">
        <f>SUM(DC600:DG634)</f>
        <v>0</v>
      </c>
      <c r="DD635" s="1253"/>
      <c r="DE635" s="1253"/>
      <c r="DF635" s="1253"/>
      <c r="DG635" s="1088"/>
      <c r="DH635" s="1087">
        <f>SUM(DH600:DL634)</f>
        <v>0</v>
      </c>
      <c r="DI635" s="1253"/>
      <c r="DJ635" s="1253"/>
      <c r="DK635" s="1253"/>
      <c r="DL635" s="1088"/>
      <c r="DM635" s="1087">
        <f>SUM(DM600:DQ634)</f>
        <v>0</v>
      </c>
      <c r="DN635" s="1253"/>
      <c r="DO635" s="1253"/>
      <c r="DP635" s="1253"/>
      <c r="DQ635" s="1088"/>
      <c r="DR635" s="1087">
        <f>SUM(DR600:DV634)</f>
        <v>0</v>
      </c>
      <c r="DS635" s="1253"/>
      <c r="DT635" s="1253"/>
      <c r="DU635" s="1253"/>
      <c r="DV635" s="1088"/>
    </row>
    <row r="636" spans="2:126" ht="12.9" customHeight="1" thickBot="1">
      <c r="B636" s="58" t="s">
        <v>742</v>
      </c>
      <c r="C636" s="1113"/>
      <c r="D636" s="1113"/>
      <c r="E636" s="1113"/>
      <c r="F636" s="1113"/>
      <c r="G636" s="1113"/>
      <c r="H636" s="1113"/>
      <c r="I636" s="1113"/>
      <c r="J636" s="1113"/>
      <c r="K636" s="1113"/>
      <c r="L636" s="1113"/>
      <c r="M636" s="1125" t="s">
        <v>1964</v>
      </c>
      <c r="N636" s="1125"/>
      <c r="O636" s="1125"/>
      <c r="P636" s="1125"/>
      <c r="Q636" s="1126"/>
      <c r="R636" s="1127"/>
      <c r="S636" s="1128"/>
      <c r="T636" s="1122"/>
      <c r="U636" s="1123"/>
      <c r="V636" s="1124"/>
      <c r="W636" s="1294"/>
      <c r="X636" s="1295"/>
      <c r="Y636" s="1296"/>
      <c r="Z636" s="1381" t="s">
        <v>1964</v>
      </c>
      <c r="AA636" s="1382"/>
      <c r="AB636" s="1383"/>
      <c r="AC636" s="1165"/>
      <c r="AD636" s="1166"/>
      <c r="AE636" s="1167"/>
      <c r="AF636" s="1194"/>
      <c r="AG636" s="1195"/>
      <c r="AH636" s="1195"/>
      <c r="AI636" s="1195"/>
      <c r="AJ636" s="1196"/>
      <c r="AK636" s="1303"/>
      <c r="AL636" s="1304"/>
      <c r="AM636" s="1304"/>
      <c r="AN636" s="1305"/>
      <c r="AO636" s="1129"/>
      <c r="AP636" s="1129"/>
      <c r="AQ636" s="1129"/>
      <c r="AR636" s="1129"/>
      <c r="AS636" s="1129"/>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100</v>
      </c>
      <c r="CR636" s="41"/>
      <c r="CS636" s="41"/>
    </row>
    <row r="637" spans="2:126" ht="12.9" customHeight="1">
      <c r="B637" s="58" t="s">
        <v>545</v>
      </c>
      <c r="C637" s="1113"/>
      <c r="D637" s="1113"/>
      <c r="E637" s="1113"/>
      <c r="F637" s="1113"/>
      <c r="G637" s="1113"/>
      <c r="H637" s="1113"/>
      <c r="I637" s="1113"/>
      <c r="J637" s="1113"/>
      <c r="K637" s="1113"/>
      <c r="L637" s="1113"/>
      <c r="M637" s="1125" t="s">
        <v>1964</v>
      </c>
      <c r="N637" s="1125"/>
      <c r="O637" s="1125"/>
      <c r="P637" s="1125"/>
      <c r="Q637" s="1126"/>
      <c r="R637" s="1127"/>
      <c r="S637" s="1128"/>
      <c r="T637" s="1122"/>
      <c r="U637" s="1123"/>
      <c r="V637" s="1124"/>
      <c r="W637" s="1294"/>
      <c r="X637" s="1295"/>
      <c r="Y637" s="1296"/>
      <c r="Z637" s="1381" t="s">
        <v>1964</v>
      </c>
      <c r="AA637" s="1382"/>
      <c r="AB637" s="1383"/>
      <c r="AC637" s="1165"/>
      <c r="AD637" s="1166"/>
      <c r="AE637" s="1167"/>
      <c r="AF637" s="1194"/>
      <c r="AG637" s="1195"/>
      <c r="AH637" s="1195"/>
      <c r="AI637" s="1195"/>
      <c r="AJ637" s="1196"/>
      <c r="AK637" s="1303"/>
      <c r="AL637" s="1304"/>
      <c r="AM637" s="1304"/>
      <c r="AN637" s="1305"/>
      <c r="AO637" s="1129"/>
      <c r="AP637" s="1129"/>
      <c r="AQ637" s="1129"/>
      <c r="AR637" s="1129"/>
      <c r="AS637" s="1129"/>
      <c r="AT637" s="942" t="str">
        <f t="shared" si="27"/>
        <v/>
      </c>
      <c r="AU637" s="41"/>
      <c r="AV637" s="41"/>
      <c r="AW637" s="41"/>
      <c r="AX637" s="41"/>
      <c r="AY637" s="41"/>
      <c r="AZ637" s="41"/>
      <c r="BN637" s="1081">
        <f>IF(J760="SRO/Studio",O760,0)</f>
        <v>0</v>
      </c>
      <c r="BO637" s="1082"/>
      <c r="BP637" s="1082"/>
      <c r="BQ637" s="1082"/>
      <c r="BR637" s="1084"/>
      <c r="BS637" s="1081">
        <f>IF(J760="1 Bedroom",O760,0)</f>
        <v>0</v>
      </c>
      <c r="BT637" s="1082"/>
      <c r="BU637" s="1082"/>
      <c r="BV637" s="1082"/>
      <c r="BW637" s="1084"/>
      <c r="BX637" s="1081">
        <f>IF(J760="2 Bedrooms",O760,0)</f>
        <v>1</v>
      </c>
      <c r="BY637" s="1082"/>
      <c r="BZ637" s="1082"/>
      <c r="CA637" s="1082"/>
      <c r="CB637" s="1084"/>
      <c r="CC637" s="1081">
        <f>IF(J760="3 Bedrooms",O760,0)</f>
        <v>0</v>
      </c>
      <c r="CD637" s="1082"/>
      <c r="CE637" s="1082"/>
      <c r="CF637" s="1082"/>
      <c r="CG637" s="1084"/>
      <c r="CH637" s="1081">
        <f>IF(J760="4 Bedrooms",O760,0)</f>
        <v>0</v>
      </c>
      <c r="CI637" s="1082"/>
      <c r="CJ637" s="1082"/>
      <c r="CK637" s="1082"/>
      <c r="CL637" s="1084"/>
      <c r="CM637" s="1085">
        <f>IF(J760="5 Bedrooms",O760,0)</f>
        <v>0</v>
      </c>
      <c r="CN637" s="1086"/>
      <c r="CO637" s="1086"/>
      <c r="CP637" s="1086"/>
      <c r="CQ637" s="1083"/>
      <c r="CR637" s="41"/>
      <c r="CS637" s="41"/>
    </row>
    <row r="638" spans="2:126" ht="12.9" customHeight="1">
      <c r="B638" s="58" t="s">
        <v>174</v>
      </c>
      <c r="C638" s="1113"/>
      <c r="D638" s="1113"/>
      <c r="E638" s="1113"/>
      <c r="F638" s="1113"/>
      <c r="G638" s="1113"/>
      <c r="H638" s="1113"/>
      <c r="I638" s="1113"/>
      <c r="J638" s="1113"/>
      <c r="K638" s="1113"/>
      <c r="L638" s="1113"/>
      <c r="M638" s="1125" t="s">
        <v>1964</v>
      </c>
      <c r="N638" s="1125"/>
      <c r="O638" s="1125"/>
      <c r="P638" s="1125"/>
      <c r="Q638" s="1126"/>
      <c r="R638" s="1127"/>
      <c r="S638" s="1128"/>
      <c r="T638" s="1122"/>
      <c r="U638" s="1123"/>
      <c r="V638" s="1124"/>
      <c r="W638" s="1294"/>
      <c r="X638" s="1295"/>
      <c r="Y638" s="1296"/>
      <c r="Z638" s="1381" t="s">
        <v>1964</v>
      </c>
      <c r="AA638" s="1382"/>
      <c r="AB638" s="1383"/>
      <c r="AC638" s="1165"/>
      <c r="AD638" s="1166"/>
      <c r="AE638" s="1167"/>
      <c r="AF638" s="1194"/>
      <c r="AG638" s="1195"/>
      <c r="AH638" s="1195"/>
      <c r="AI638" s="1195"/>
      <c r="AJ638" s="1196"/>
      <c r="AK638" s="1303"/>
      <c r="AL638" s="1304"/>
      <c r="AM638" s="1304"/>
      <c r="AN638" s="1305"/>
      <c r="AO638" s="1129"/>
      <c r="AP638" s="1129"/>
      <c r="AQ638" s="1129"/>
      <c r="AR638" s="1129"/>
      <c r="AS638" s="1129"/>
      <c r="AT638" s="942" t="str">
        <f t="shared" si="27"/>
        <v/>
      </c>
      <c r="AU638" s="41"/>
      <c r="AV638" s="41"/>
      <c r="AW638" s="41"/>
      <c r="AX638" s="41"/>
      <c r="AY638" s="41"/>
      <c r="AZ638" s="41"/>
      <c r="BN638" s="1081">
        <f>IF(J761="SRO/Studio",O761,0)</f>
        <v>0</v>
      </c>
      <c r="BO638" s="1082"/>
      <c r="BP638" s="1082"/>
      <c r="BQ638" s="1082"/>
      <c r="BR638" s="1084"/>
      <c r="BS638" s="1081">
        <f>IF(J761="1 Bedroom",O761,0)</f>
        <v>0</v>
      </c>
      <c r="BT638" s="1082"/>
      <c r="BU638" s="1082"/>
      <c r="BV638" s="1082"/>
      <c r="BW638" s="1084"/>
      <c r="BX638" s="1081">
        <f>IF(J761="2 Bedrooms",O761,0)</f>
        <v>0</v>
      </c>
      <c r="BY638" s="1082"/>
      <c r="BZ638" s="1082"/>
      <c r="CA638" s="1082"/>
      <c r="CB638" s="1084"/>
      <c r="CC638" s="1081">
        <f>IF(J761="3 Bedrooms",O761,0)</f>
        <v>0</v>
      </c>
      <c r="CD638" s="1082"/>
      <c r="CE638" s="1082"/>
      <c r="CF638" s="1082"/>
      <c r="CG638" s="1084"/>
      <c r="CH638" s="1081">
        <f>IF(J761="4 Bedrooms",O761,0)</f>
        <v>0</v>
      </c>
      <c r="CI638" s="1082"/>
      <c r="CJ638" s="1082"/>
      <c r="CK638" s="1082"/>
      <c r="CL638" s="1084"/>
      <c r="CM638" s="1085">
        <f>IF(J761="5 Bedrooms",O761,0)</f>
        <v>0</v>
      </c>
      <c r="CN638" s="1086"/>
      <c r="CO638" s="1086"/>
      <c r="CP638" s="1086"/>
      <c r="CQ638" s="1083"/>
      <c r="CR638" s="41"/>
      <c r="CS638" s="41"/>
    </row>
    <row r="639" spans="2:126" ht="12.9" customHeight="1">
      <c r="B639" s="58" t="s">
        <v>32</v>
      </c>
      <c r="C639" s="1113"/>
      <c r="D639" s="1113"/>
      <c r="E639" s="1113"/>
      <c r="F639" s="1113"/>
      <c r="G639" s="1113"/>
      <c r="H639" s="1113"/>
      <c r="I639" s="1113"/>
      <c r="J639" s="1113"/>
      <c r="K639" s="1113"/>
      <c r="L639" s="1113"/>
      <c r="M639" s="1125" t="s">
        <v>1964</v>
      </c>
      <c r="N639" s="1125"/>
      <c r="O639" s="1125"/>
      <c r="P639" s="1125"/>
      <c r="Q639" s="1126"/>
      <c r="R639" s="1127"/>
      <c r="S639" s="1128"/>
      <c r="T639" s="1122"/>
      <c r="U639" s="1123"/>
      <c r="V639" s="1124"/>
      <c r="W639" s="1294"/>
      <c r="X639" s="1295"/>
      <c r="Y639" s="1296"/>
      <c r="Z639" s="1381" t="s">
        <v>1964</v>
      </c>
      <c r="AA639" s="1382"/>
      <c r="AB639" s="1383"/>
      <c r="AC639" s="1165"/>
      <c r="AD639" s="1166"/>
      <c r="AE639" s="1167"/>
      <c r="AF639" s="1194"/>
      <c r="AG639" s="1195"/>
      <c r="AH639" s="1195"/>
      <c r="AI639" s="1195"/>
      <c r="AJ639" s="1196"/>
      <c r="AK639" s="1303"/>
      <c r="AL639" s="1304"/>
      <c r="AM639" s="1304"/>
      <c r="AN639" s="1305"/>
      <c r="AO639" s="1129"/>
      <c r="AP639" s="1129"/>
      <c r="AQ639" s="1129"/>
      <c r="AR639" s="1129"/>
      <c r="AS639" s="1129"/>
      <c r="AT639" s="942" t="str">
        <f t="shared" si="27"/>
        <v/>
      </c>
      <c r="AU639" s="41"/>
      <c r="AV639" s="41"/>
      <c r="AW639" s="41"/>
      <c r="AX639" s="41"/>
      <c r="AY639" s="41"/>
      <c r="AZ639" s="41"/>
      <c r="BN639" s="1081">
        <f>IF(J762="SRO/Studio",O762,0)</f>
        <v>0</v>
      </c>
      <c r="BO639" s="1082"/>
      <c r="BP639" s="1082"/>
      <c r="BQ639" s="1082"/>
      <c r="BR639" s="1084"/>
      <c r="BS639" s="1081">
        <f>IF(J762="1 Bedroom",O762,0)</f>
        <v>0</v>
      </c>
      <c r="BT639" s="1082"/>
      <c r="BU639" s="1082"/>
      <c r="BV639" s="1082"/>
      <c r="BW639" s="1084"/>
      <c r="BX639" s="1081">
        <f>IF(J762="2 Bedrooms",O762,0)</f>
        <v>0</v>
      </c>
      <c r="BY639" s="1082"/>
      <c r="BZ639" s="1082"/>
      <c r="CA639" s="1082"/>
      <c r="CB639" s="1084"/>
      <c r="CC639" s="1081">
        <f>IF(J762="3 Bedrooms",O762,0)</f>
        <v>0</v>
      </c>
      <c r="CD639" s="1082"/>
      <c r="CE639" s="1082"/>
      <c r="CF639" s="1082"/>
      <c r="CG639" s="1084"/>
      <c r="CH639" s="1081">
        <f>IF(J762="4 Bedrooms",O762,0)</f>
        <v>0</v>
      </c>
      <c r="CI639" s="1082"/>
      <c r="CJ639" s="1082"/>
      <c r="CK639" s="1082"/>
      <c r="CL639" s="1084"/>
      <c r="CM639" s="1085">
        <f>IF(J762="5 Bedrooms",O762,0)</f>
        <v>0</v>
      </c>
      <c r="CN639" s="1086"/>
      <c r="CO639" s="1086"/>
      <c r="CP639" s="1086"/>
      <c r="CQ639" s="1083"/>
      <c r="CR639" s="41"/>
      <c r="CS639" s="41"/>
    </row>
    <row r="640" spans="2:126" ht="12.9" customHeight="1">
      <c r="B640" s="58" t="s">
        <v>33</v>
      </c>
      <c r="C640" s="1113"/>
      <c r="D640" s="1113"/>
      <c r="E640" s="1113"/>
      <c r="F640" s="1113"/>
      <c r="G640" s="1113"/>
      <c r="H640" s="1113"/>
      <c r="I640" s="1113"/>
      <c r="J640" s="1113"/>
      <c r="K640" s="1113"/>
      <c r="L640" s="1113"/>
      <c r="M640" s="1125" t="s">
        <v>1964</v>
      </c>
      <c r="N640" s="1125"/>
      <c r="O640" s="1125"/>
      <c r="P640" s="1125"/>
      <c r="Q640" s="1126"/>
      <c r="R640" s="1127"/>
      <c r="S640" s="1128"/>
      <c r="T640" s="1122"/>
      <c r="U640" s="1123"/>
      <c r="V640" s="1124"/>
      <c r="W640" s="1294"/>
      <c r="X640" s="1295"/>
      <c r="Y640" s="1296"/>
      <c r="Z640" s="1381" t="s">
        <v>1964</v>
      </c>
      <c r="AA640" s="1382"/>
      <c r="AB640" s="1383"/>
      <c r="AC640" s="1165"/>
      <c r="AD640" s="1166"/>
      <c r="AE640" s="1167"/>
      <c r="AF640" s="1194"/>
      <c r="AG640" s="1195"/>
      <c r="AH640" s="1195"/>
      <c r="AI640" s="1195"/>
      <c r="AJ640" s="1196"/>
      <c r="AK640" s="1303"/>
      <c r="AL640" s="1304"/>
      <c r="AM640" s="1304"/>
      <c r="AN640" s="1305"/>
      <c r="AO640" s="1129"/>
      <c r="AP640" s="1129"/>
      <c r="AQ640" s="1129"/>
      <c r="AR640" s="1129"/>
      <c r="AS640" s="1129"/>
      <c r="AT640" s="942" t="str">
        <f t="shared" si="27"/>
        <v/>
      </c>
      <c r="AU640" s="43"/>
      <c r="AV640" s="43"/>
      <c r="AW640" s="43"/>
      <c r="AX640" s="43"/>
      <c r="AY640" s="43"/>
      <c r="AZ640" s="43"/>
      <c r="BN640" s="1081">
        <f>IF(J763="SRO/Studio",O763,0)</f>
        <v>0</v>
      </c>
      <c r="BO640" s="1082"/>
      <c r="BP640" s="1082"/>
      <c r="BQ640" s="1082"/>
      <c r="BR640" s="1084"/>
      <c r="BS640" s="1081">
        <f>IF(J763="1 Bedroom",O763,0)</f>
        <v>0</v>
      </c>
      <c r="BT640" s="1082"/>
      <c r="BU640" s="1082"/>
      <c r="BV640" s="1082"/>
      <c r="BW640" s="1084"/>
      <c r="BX640" s="1081">
        <f>IF(J763="2 Bedrooms",O763,0)</f>
        <v>0</v>
      </c>
      <c r="BY640" s="1082"/>
      <c r="BZ640" s="1082"/>
      <c r="CA640" s="1082"/>
      <c r="CB640" s="1084"/>
      <c r="CC640" s="1081">
        <f>IF(J763="3 Bedrooms",O763,0)</f>
        <v>0</v>
      </c>
      <c r="CD640" s="1082"/>
      <c r="CE640" s="1082"/>
      <c r="CF640" s="1082"/>
      <c r="CG640" s="1084"/>
      <c r="CH640" s="1081">
        <f>IF(J763="4 Bedrooms",O763,0)</f>
        <v>0</v>
      </c>
      <c r="CI640" s="1082"/>
      <c r="CJ640" s="1082"/>
      <c r="CK640" s="1082"/>
      <c r="CL640" s="1084"/>
      <c r="CM640" s="1085">
        <f>IF(J763="5 Bedrooms",O763,0)</f>
        <v>0</v>
      </c>
      <c r="CN640" s="1086"/>
      <c r="CO640" s="1086"/>
      <c r="CP640" s="1086"/>
      <c r="CQ640" s="1083"/>
      <c r="CR640" s="41"/>
      <c r="CS640" s="41"/>
    </row>
    <row r="641" spans="1:99" ht="12.9" customHeight="1">
      <c r="B641" s="1118" t="s">
        <v>358</v>
      </c>
      <c r="C641" s="1119"/>
      <c r="D641" s="1119"/>
      <c r="E641" s="1119"/>
      <c r="F641" s="1119"/>
      <c r="G641" s="1119"/>
      <c r="H641" s="1119"/>
      <c r="I641" s="1119"/>
      <c r="J641" s="1119"/>
      <c r="K641" s="1119"/>
      <c r="L641" s="1119"/>
      <c r="M641" s="1119"/>
      <c r="N641" s="1119"/>
      <c r="O641" s="1119"/>
      <c r="P641" s="1119"/>
      <c r="Q641" s="1119"/>
      <c r="R641" s="1119"/>
      <c r="S641" s="1119"/>
      <c r="T641" s="1119"/>
      <c r="U641" s="1119"/>
      <c r="V641" s="1119"/>
      <c r="W641" s="1119"/>
      <c r="X641" s="1119"/>
      <c r="Y641" s="1119"/>
      <c r="Z641" s="1119"/>
      <c r="AA641" s="1119"/>
      <c r="AB641" s="1119"/>
      <c r="AC641" s="1119"/>
      <c r="AD641" s="1119"/>
      <c r="AE641" s="1119"/>
      <c r="AF641" s="1119"/>
      <c r="AG641" s="1119"/>
      <c r="AH641" s="1119"/>
      <c r="AI641" s="1119"/>
      <c r="AJ641" s="1119"/>
      <c r="AK641" s="1119"/>
      <c r="AL641" s="1119"/>
      <c r="AM641" s="1119"/>
      <c r="AN641" s="1121"/>
      <c r="AO641" s="1239">
        <f>SUM(AO629:AS640)</f>
        <v>8348205</v>
      </c>
      <c r="AP641" s="1240"/>
      <c r="AQ641" s="1240"/>
      <c r="AR641" s="1240"/>
      <c r="AS641" s="1241"/>
      <c r="AT641" s="43"/>
      <c r="AU641" s="43"/>
      <c r="AV641" s="43"/>
      <c r="AW641" s="43"/>
      <c r="AX641" s="43"/>
      <c r="AY641" s="43"/>
      <c r="AZ641" s="43"/>
      <c r="BN641" s="1513">
        <f>SUM(BN637:BR640)</f>
        <v>0</v>
      </c>
      <c r="BO641" s="1514"/>
      <c r="BP641" s="1514"/>
      <c r="BQ641" s="1514"/>
      <c r="BR641" s="1515"/>
      <c r="BS641" s="1513">
        <f>SUM(BS637:BW640)</f>
        <v>0</v>
      </c>
      <c r="BT641" s="1514"/>
      <c r="BU641" s="1514"/>
      <c r="BV641" s="1514"/>
      <c r="BW641" s="1515"/>
      <c r="BX641" s="1513">
        <f>SUM(BX637:CB640)</f>
        <v>1</v>
      </c>
      <c r="BY641" s="1514"/>
      <c r="BZ641" s="1514"/>
      <c r="CA641" s="1514"/>
      <c r="CB641" s="1515"/>
      <c r="CC641" s="1513">
        <f>SUM(CC637:CG640)</f>
        <v>0</v>
      </c>
      <c r="CD641" s="1514"/>
      <c r="CE641" s="1514"/>
      <c r="CF641" s="1514"/>
      <c r="CG641" s="1515"/>
      <c r="CH641" s="1513">
        <f>SUM(CH637:CL640)</f>
        <v>0</v>
      </c>
      <c r="CI641" s="1514"/>
      <c r="CJ641" s="1514"/>
      <c r="CK641" s="1514"/>
      <c r="CL641" s="1515"/>
      <c r="CM641" s="1513">
        <f>SUM(CM637:CQ640)</f>
        <v>0</v>
      </c>
      <c r="CN641" s="1514"/>
      <c r="CO641" s="1514"/>
      <c r="CP641" s="1514"/>
      <c r="CQ641" s="1515"/>
      <c r="CS641" s="464">
        <f>BN641+BS641+BX641+CC641+CH641+CM641</f>
        <v>1</v>
      </c>
      <c r="CT641" s="63" t="s">
        <v>1968</v>
      </c>
      <c r="CU641" s="41"/>
    </row>
    <row r="642" spans="1:99" ht="12.9" customHeight="1">
      <c r="B642" s="1118" t="s">
        <v>359</v>
      </c>
      <c r="C642" s="1119"/>
      <c r="D642" s="1119"/>
      <c r="E642" s="1119"/>
      <c r="F642" s="1119"/>
      <c r="G642" s="1119"/>
      <c r="H642" s="1119"/>
      <c r="I642" s="1119"/>
      <c r="J642" s="1119"/>
      <c r="K642" s="1119"/>
      <c r="L642" s="1119"/>
      <c r="M642" s="1119"/>
      <c r="N642" s="1119"/>
      <c r="O642" s="1119"/>
      <c r="P642" s="1119"/>
      <c r="Q642" s="1119"/>
      <c r="R642" s="1119"/>
      <c r="S642" s="1119"/>
      <c r="T642" s="1119"/>
      <c r="U642" s="1119"/>
      <c r="V642" s="1119"/>
      <c r="W642" s="1119"/>
      <c r="X642" s="1119"/>
      <c r="Y642" s="1119"/>
      <c r="Z642" s="1119"/>
      <c r="AA642" s="1119"/>
      <c r="AB642" s="1119"/>
      <c r="AC642" s="1119"/>
      <c r="AD642" s="1119"/>
      <c r="AE642" s="1119"/>
      <c r="AF642" s="1119"/>
      <c r="AG642" s="1119"/>
      <c r="AH642" s="1119"/>
      <c r="AI642" s="1119"/>
      <c r="AJ642" s="1119"/>
      <c r="AK642" s="1119"/>
      <c r="AL642" s="1119"/>
      <c r="AM642" s="1119"/>
      <c r="AN642" s="1121"/>
      <c r="AO642" s="1243">
        <f>'Basis &amp; Credits'!AB56+'Basis &amp; Credits'!AB77</f>
        <v>9689275</v>
      </c>
      <c r="AP642" s="1244"/>
      <c r="AQ642" s="1244"/>
      <c r="AR642" s="1244"/>
      <c r="AS642" s="1245"/>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306" t="s">
        <v>939</v>
      </c>
      <c r="C643" s="1120"/>
      <c r="D643" s="1120"/>
      <c r="E643" s="1120"/>
      <c r="F643" s="1120"/>
      <c r="G643" s="1120"/>
      <c r="H643" s="1120"/>
      <c r="I643" s="1120"/>
      <c r="J643" s="1120"/>
      <c r="K643" s="1120"/>
      <c r="L643" s="1120"/>
      <c r="M643" s="1120"/>
      <c r="N643" s="1120"/>
      <c r="O643" s="1120"/>
      <c r="P643" s="1120"/>
      <c r="Q643" s="1120"/>
      <c r="R643" s="1120"/>
      <c r="S643" s="1120"/>
      <c r="T643" s="1120"/>
      <c r="U643" s="1120"/>
      <c r="V643" s="1120"/>
      <c r="W643" s="1120"/>
      <c r="X643" s="1120"/>
      <c r="Y643" s="1120"/>
      <c r="Z643" s="1120"/>
      <c r="AA643" s="1120"/>
      <c r="AB643" s="1120"/>
      <c r="AC643" s="1120"/>
      <c r="AD643" s="1120"/>
      <c r="AE643" s="1120"/>
      <c r="AF643" s="1120"/>
      <c r="AG643" s="1120"/>
      <c r="AH643" s="1120"/>
      <c r="AI643" s="1120"/>
      <c r="AJ643" s="1120"/>
      <c r="AK643" s="1120"/>
      <c r="AL643" s="1120"/>
      <c r="AM643" s="1120"/>
      <c r="AN643" s="1307"/>
      <c r="AO643" s="1239">
        <f>AO641+AO642</f>
        <v>18037480</v>
      </c>
      <c r="AP643" s="1240"/>
      <c r="AQ643" s="1240"/>
      <c r="AR643" s="1240"/>
      <c r="AS643" s="1241"/>
      <c r="AT643" s="43"/>
      <c r="AU643" s="43"/>
      <c r="AV643" s="43"/>
      <c r="AW643" s="43"/>
      <c r="AX643" s="43"/>
      <c r="AY643" s="43"/>
      <c r="AZ643" s="43"/>
      <c r="BN643" s="1081">
        <f t="shared" ref="BN643:BN652" si="28">IF(J774="SRO/Studio",O774,0)</f>
        <v>0</v>
      </c>
      <c r="BO643" s="1082"/>
      <c r="BP643" s="1082"/>
      <c r="BQ643" s="1082"/>
      <c r="BR643" s="1084"/>
      <c r="BS643" s="1081">
        <f t="shared" ref="BS643:BS652" si="29">IF(J774="1 Bedroom",O774,0)</f>
        <v>0</v>
      </c>
      <c r="BT643" s="1082"/>
      <c r="BU643" s="1082"/>
      <c r="BV643" s="1082"/>
      <c r="BW643" s="1084"/>
      <c r="BX643" s="1081">
        <f t="shared" ref="BX643:BX652" si="30">IF(J774="2 Bedrooms",O774,0)</f>
        <v>0</v>
      </c>
      <c r="BY643" s="1082"/>
      <c r="BZ643" s="1082"/>
      <c r="CA643" s="1082"/>
      <c r="CB643" s="1084"/>
      <c r="CC643" s="1081">
        <f t="shared" ref="CC643:CC652" si="31">IF(J774="3 Bedrooms",O774,0)</f>
        <v>0</v>
      </c>
      <c r="CD643" s="1082"/>
      <c r="CE643" s="1082"/>
      <c r="CF643" s="1082"/>
      <c r="CG643" s="1084"/>
      <c r="CH643" s="1081">
        <f t="shared" ref="CH643:CH652" si="32">IF(J774="4 Bedrooms",O774,0)</f>
        <v>0</v>
      </c>
      <c r="CI643" s="1082"/>
      <c r="CJ643" s="1082"/>
      <c r="CK643" s="1082"/>
      <c r="CL643" s="1084"/>
      <c r="CM643" s="1081">
        <f t="shared" ref="CM643:CM652" si="33">IF(J774="5 Bedrooms",O774,0)</f>
        <v>0</v>
      </c>
      <c r="CN643" s="1082"/>
      <c r="CO643" s="1082"/>
      <c r="CP643" s="1082"/>
      <c r="CQ643" s="1084"/>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1">
        <f t="shared" si="28"/>
        <v>0</v>
      </c>
      <c r="BO644" s="1082"/>
      <c r="BP644" s="1082"/>
      <c r="BQ644" s="1082"/>
      <c r="BR644" s="1084"/>
      <c r="BS644" s="1081">
        <f t="shared" si="29"/>
        <v>0</v>
      </c>
      <c r="BT644" s="1082"/>
      <c r="BU644" s="1082"/>
      <c r="BV644" s="1082"/>
      <c r="BW644" s="1084"/>
      <c r="BX644" s="1081">
        <f t="shared" si="30"/>
        <v>0</v>
      </c>
      <c r="BY644" s="1082"/>
      <c r="BZ644" s="1082"/>
      <c r="CA644" s="1082"/>
      <c r="CB644" s="1084"/>
      <c r="CC644" s="1081">
        <f t="shared" si="31"/>
        <v>0</v>
      </c>
      <c r="CD644" s="1082"/>
      <c r="CE644" s="1082"/>
      <c r="CF644" s="1082"/>
      <c r="CG644" s="1084"/>
      <c r="CH644" s="1081">
        <f t="shared" si="32"/>
        <v>0</v>
      </c>
      <c r="CI644" s="1082"/>
      <c r="CJ644" s="1082"/>
      <c r="CK644" s="1082"/>
      <c r="CL644" s="1084"/>
      <c r="CM644" s="1081">
        <f t="shared" si="33"/>
        <v>0</v>
      </c>
      <c r="CN644" s="1082"/>
      <c r="CO644" s="1082"/>
      <c r="CP644" s="1082"/>
      <c r="CQ644" s="1084"/>
      <c r="CR644" s="41"/>
      <c r="CS644" s="41"/>
    </row>
    <row r="645" spans="1:99" ht="12.9" customHeight="1">
      <c r="A645" s="61" t="s">
        <v>899</v>
      </c>
      <c r="B645" t="s">
        <v>82</v>
      </c>
      <c r="C645"/>
      <c r="G645" s="1247" t="str">
        <f>C629</f>
        <v>Merchants Bank of Indiana</v>
      </c>
      <c r="H645" s="1247"/>
      <c r="I645" s="1247"/>
      <c r="J645" s="1247"/>
      <c r="K645" s="1247"/>
      <c r="L645" s="1247"/>
      <c r="M645" s="1247"/>
      <c r="N645" s="1247"/>
      <c r="O645" s="1247"/>
      <c r="P645" s="1247"/>
      <c r="Q645" s="1247"/>
      <c r="R645" s="1247"/>
      <c r="S645" s="12"/>
      <c r="T645" s="61" t="s">
        <v>900</v>
      </c>
      <c r="U645" t="s">
        <v>82</v>
      </c>
      <c r="Z645" s="1247" t="str">
        <f>C630</f>
        <v>USDA 515 Loan</v>
      </c>
      <c r="AA645" s="1247"/>
      <c r="AB645" s="1247"/>
      <c r="AC645" s="1247"/>
      <c r="AD645" s="1247"/>
      <c r="AE645" s="1247"/>
      <c r="AF645" s="1247"/>
      <c r="AG645" s="1247"/>
      <c r="AH645" s="1247"/>
      <c r="AI645" s="1247"/>
      <c r="AJ645" s="1247"/>
      <c r="AK645" s="1247"/>
      <c r="AM645" s="43"/>
      <c r="AN645" s="43"/>
      <c r="AO645" s="43"/>
      <c r="AP645" s="43"/>
      <c r="AQ645" s="43"/>
      <c r="AR645" s="43"/>
      <c r="AS645" s="43"/>
      <c r="AT645" s="43"/>
      <c r="AU645" s="43"/>
      <c r="AV645" s="43"/>
      <c r="AW645" s="43"/>
      <c r="AX645" s="43"/>
      <c r="AY645" s="43"/>
      <c r="AZ645" s="43"/>
      <c r="BN645" s="1081">
        <f t="shared" si="28"/>
        <v>0</v>
      </c>
      <c r="BO645" s="1082"/>
      <c r="BP645" s="1082"/>
      <c r="BQ645" s="1082"/>
      <c r="BR645" s="1084"/>
      <c r="BS645" s="1081">
        <f t="shared" si="29"/>
        <v>0</v>
      </c>
      <c r="BT645" s="1082"/>
      <c r="BU645" s="1082"/>
      <c r="BV645" s="1082"/>
      <c r="BW645" s="1084"/>
      <c r="BX645" s="1081">
        <f t="shared" si="30"/>
        <v>0</v>
      </c>
      <c r="BY645" s="1082"/>
      <c r="BZ645" s="1082"/>
      <c r="CA645" s="1082"/>
      <c r="CB645" s="1084"/>
      <c r="CC645" s="1081">
        <f t="shared" si="31"/>
        <v>0</v>
      </c>
      <c r="CD645" s="1082"/>
      <c r="CE645" s="1082"/>
      <c r="CF645" s="1082"/>
      <c r="CG645" s="1084"/>
      <c r="CH645" s="1081">
        <f t="shared" si="32"/>
        <v>0</v>
      </c>
      <c r="CI645" s="1082"/>
      <c r="CJ645" s="1082"/>
      <c r="CK645" s="1082"/>
      <c r="CL645" s="1084"/>
      <c r="CM645" s="1081">
        <f t="shared" si="33"/>
        <v>0</v>
      </c>
      <c r="CN645" s="1082"/>
      <c r="CO645" s="1082"/>
      <c r="CP645" s="1082"/>
      <c r="CQ645" s="1084"/>
      <c r="CR645" s="41"/>
      <c r="CS645" s="41"/>
    </row>
    <row r="646" spans="1:99" ht="12.9" customHeight="1">
      <c r="A646" s="4"/>
      <c r="B646" t="s">
        <v>372</v>
      </c>
      <c r="C646"/>
      <c r="G646" s="1069" t="s">
        <v>2453</v>
      </c>
      <c r="H646" s="1069"/>
      <c r="I646" s="1069"/>
      <c r="J646" s="1069"/>
      <c r="K646" s="1069"/>
      <c r="L646" s="1069"/>
      <c r="M646" s="1069"/>
      <c r="N646" s="1069"/>
      <c r="O646" s="1069"/>
      <c r="P646" s="1069"/>
      <c r="Q646" s="1069"/>
      <c r="R646" s="1069"/>
      <c r="S646" s="12"/>
      <c r="T646" s="4"/>
      <c r="U646" t="s">
        <v>372</v>
      </c>
      <c r="Z646" s="1069" t="s">
        <v>2463</v>
      </c>
      <c r="AA646" s="1069"/>
      <c r="AB646" s="1069"/>
      <c r="AC646" s="1069"/>
      <c r="AD646" s="1069"/>
      <c r="AE646" s="1069"/>
      <c r="AF646" s="1069"/>
      <c r="AG646" s="1069"/>
      <c r="AH646" s="1069"/>
      <c r="AI646" s="1069"/>
      <c r="AJ646" s="1069"/>
      <c r="AK646" s="1069"/>
      <c r="AM646" s="43"/>
      <c r="AN646" s="43"/>
      <c r="AO646" s="43"/>
      <c r="AP646" s="43"/>
      <c r="AQ646" s="43"/>
      <c r="AR646" s="43"/>
      <c r="AS646" s="43"/>
      <c r="AT646" s="43"/>
      <c r="AU646" s="43"/>
      <c r="AV646" s="43"/>
      <c r="AW646" s="43"/>
      <c r="AX646" s="43"/>
      <c r="AY646" s="43"/>
      <c r="AZ646" s="43"/>
      <c r="BN646" s="1081">
        <f t="shared" si="28"/>
        <v>0</v>
      </c>
      <c r="BO646" s="1082"/>
      <c r="BP646" s="1082"/>
      <c r="BQ646" s="1082"/>
      <c r="BR646" s="1084"/>
      <c r="BS646" s="1081">
        <f t="shared" si="29"/>
        <v>0</v>
      </c>
      <c r="BT646" s="1082"/>
      <c r="BU646" s="1082"/>
      <c r="BV646" s="1082"/>
      <c r="BW646" s="1084"/>
      <c r="BX646" s="1081">
        <f t="shared" si="30"/>
        <v>0</v>
      </c>
      <c r="BY646" s="1082"/>
      <c r="BZ646" s="1082"/>
      <c r="CA646" s="1082"/>
      <c r="CB646" s="1084"/>
      <c r="CC646" s="1081">
        <f t="shared" si="31"/>
        <v>0</v>
      </c>
      <c r="CD646" s="1082"/>
      <c r="CE646" s="1082"/>
      <c r="CF646" s="1082"/>
      <c r="CG646" s="1084"/>
      <c r="CH646" s="1081">
        <f t="shared" si="32"/>
        <v>0</v>
      </c>
      <c r="CI646" s="1082"/>
      <c r="CJ646" s="1082"/>
      <c r="CK646" s="1082"/>
      <c r="CL646" s="1084"/>
      <c r="CM646" s="1081">
        <f t="shared" si="33"/>
        <v>0</v>
      </c>
      <c r="CN646" s="1082"/>
      <c r="CO646" s="1082"/>
      <c r="CP646" s="1082"/>
      <c r="CQ646" s="1084"/>
      <c r="CR646" s="41"/>
      <c r="CS646" s="41"/>
    </row>
    <row r="647" spans="1:99" ht="12.9" customHeight="1">
      <c r="A647" s="4"/>
      <c r="B647" t="s">
        <v>430</v>
      </c>
      <c r="C647"/>
      <c r="G647" s="1069" t="s">
        <v>2454</v>
      </c>
      <c r="H647" s="1069"/>
      <c r="I647" s="1069"/>
      <c r="J647" s="1069"/>
      <c r="K647" s="1069"/>
      <c r="L647" s="1069"/>
      <c r="M647" s="1069"/>
      <c r="N647" s="1069"/>
      <c r="O647" s="1069"/>
      <c r="P647" s="1069"/>
      <c r="Q647" s="1069"/>
      <c r="R647" s="1069"/>
      <c r="T647" s="4"/>
      <c r="U647" t="s">
        <v>430</v>
      </c>
      <c r="Z647" s="1067" t="s">
        <v>391</v>
      </c>
      <c r="AA647" s="1067"/>
      <c r="AB647" s="1067"/>
      <c r="AC647" s="1067"/>
      <c r="AD647" s="1067"/>
      <c r="AE647" s="1067"/>
      <c r="AF647" s="1067"/>
      <c r="AG647" s="1067"/>
      <c r="AH647" s="1067"/>
      <c r="AI647" s="1067"/>
      <c r="AJ647" s="1067"/>
      <c r="AK647" s="1067"/>
      <c r="AM647" s="43"/>
      <c r="AN647" s="43"/>
      <c r="AO647" s="43"/>
      <c r="AP647" s="43"/>
      <c r="AQ647" s="43"/>
      <c r="AR647" s="43"/>
      <c r="AS647" s="43"/>
      <c r="AT647" s="43"/>
      <c r="AU647" s="43"/>
      <c r="AV647" s="43"/>
      <c r="AW647" s="43"/>
      <c r="AX647" s="43"/>
      <c r="AY647" s="43"/>
      <c r="AZ647" s="43"/>
      <c r="BN647" s="1081">
        <f t="shared" si="28"/>
        <v>0</v>
      </c>
      <c r="BO647" s="1082"/>
      <c r="BP647" s="1082"/>
      <c r="BQ647" s="1082"/>
      <c r="BR647" s="1084"/>
      <c r="BS647" s="1081">
        <f t="shared" si="29"/>
        <v>0</v>
      </c>
      <c r="BT647" s="1082"/>
      <c r="BU647" s="1082"/>
      <c r="BV647" s="1082"/>
      <c r="BW647" s="1084"/>
      <c r="BX647" s="1081">
        <f t="shared" si="30"/>
        <v>0</v>
      </c>
      <c r="BY647" s="1082"/>
      <c r="BZ647" s="1082"/>
      <c r="CA647" s="1082"/>
      <c r="CB647" s="1084"/>
      <c r="CC647" s="1081">
        <f t="shared" si="31"/>
        <v>0</v>
      </c>
      <c r="CD647" s="1082"/>
      <c r="CE647" s="1082"/>
      <c r="CF647" s="1082"/>
      <c r="CG647" s="1084"/>
      <c r="CH647" s="1081">
        <f t="shared" si="32"/>
        <v>0</v>
      </c>
      <c r="CI647" s="1082"/>
      <c r="CJ647" s="1082"/>
      <c r="CK647" s="1082"/>
      <c r="CL647" s="1084"/>
      <c r="CM647" s="1081">
        <f t="shared" si="33"/>
        <v>0</v>
      </c>
      <c r="CN647" s="1082"/>
      <c r="CO647" s="1082"/>
      <c r="CP647" s="1082"/>
      <c r="CQ647" s="1084"/>
      <c r="CR647" s="41"/>
      <c r="CS647" s="41"/>
    </row>
    <row r="648" spans="1:99" ht="12.9" customHeight="1">
      <c r="A648" s="4"/>
      <c r="B648" t="s">
        <v>832</v>
      </c>
      <c r="C648"/>
      <c r="G648" s="1069" t="s">
        <v>2455</v>
      </c>
      <c r="H648" s="1069"/>
      <c r="I648" s="1069"/>
      <c r="J648" s="1069"/>
      <c r="K648" s="1069"/>
      <c r="L648" s="1069"/>
      <c r="M648" s="1069"/>
      <c r="N648" s="1069"/>
      <c r="O648" s="1069"/>
      <c r="P648" s="1069"/>
      <c r="Q648" s="1069"/>
      <c r="R648" s="1069"/>
      <c r="S648" s="12"/>
      <c r="T648" s="4"/>
      <c r="U648" t="s">
        <v>832</v>
      </c>
      <c r="Z648" s="1067" t="s">
        <v>2464</v>
      </c>
      <c r="AA648" s="1067"/>
      <c r="AB648" s="1067"/>
      <c r="AC648" s="1067"/>
      <c r="AD648" s="1067"/>
      <c r="AE648" s="1067"/>
      <c r="AF648" s="1067"/>
      <c r="AG648" s="1067"/>
      <c r="AH648" s="1067"/>
      <c r="AI648" s="1067"/>
      <c r="AJ648" s="1067"/>
      <c r="AK648" s="1067"/>
      <c r="AM648" s="43"/>
      <c r="AN648" s="43"/>
      <c r="AO648" s="43"/>
      <c r="AP648" s="43"/>
      <c r="AQ648" s="43"/>
      <c r="AR648" s="43"/>
      <c r="AS648" s="43"/>
      <c r="AT648" s="43"/>
      <c r="AU648" s="43"/>
      <c r="AV648" s="43"/>
      <c r="AW648" s="43"/>
      <c r="AX648" s="43"/>
      <c r="AY648" s="43"/>
      <c r="AZ648" s="43"/>
      <c r="BN648" s="1081">
        <f t="shared" si="28"/>
        <v>0</v>
      </c>
      <c r="BO648" s="1082"/>
      <c r="BP648" s="1082"/>
      <c r="BQ648" s="1082"/>
      <c r="BR648" s="1084"/>
      <c r="BS648" s="1081">
        <f t="shared" si="29"/>
        <v>0</v>
      </c>
      <c r="BT648" s="1082"/>
      <c r="BU648" s="1082"/>
      <c r="BV648" s="1082"/>
      <c r="BW648" s="1084"/>
      <c r="BX648" s="1081">
        <f t="shared" si="30"/>
        <v>0</v>
      </c>
      <c r="BY648" s="1082"/>
      <c r="BZ648" s="1082"/>
      <c r="CA648" s="1082"/>
      <c r="CB648" s="1084"/>
      <c r="CC648" s="1081">
        <f t="shared" si="31"/>
        <v>0</v>
      </c>
      <c r="CD648" s="1082"/>
      <c r="CE648" s="1082"/>
      <c r="CF648" s="1082"/>
      <c r="CG648" s="1084"/>
      <c r="CH648" s="1081">
        <f t="shared" si="32"/>
        <v>0</v>
      </c>
      <c r="CI648" s="1082"/>
      <c r="CJ648" s="1082"/>
      <c r="CK648" s="1082"/>
      <c r="CL648" s="1084"/>
      <c r="CM648" s="1081">
        <f t="shared" si="33"/>
        <v>0</v>
      </c>
      <c r="CN648" s="1082"/>
      <c r="CO648" s="1082"/>
      <c r="CP648" s="1082"/>
      <c r="CQ648" s="1084"/>
      <c r="CR648" s="41"/>
      <c r="CS648" s="41"/>
    </row>
    <row r="649" spans="1:99" ht="12.9" customHeight="1">
      <c r="A649" s="4"/>
      <c r="B649" t="s">
        <v>649</v>
      </c>
      <c r="C649"/>
      <c r="G649" s="1071">
        <v>3173451837</v>
      </c>
      <c r="H649" s="1071"/>
      <c r="I649" s="1071"/>
      <c r="J649" s="1071"/>
      <c r="K649" s="1071"/>
      <c r="L649" s="1071"/>
      <c r="O649" s="42" t="s">
        <v>817</v>
      </c>
      <c r="P649" s="1332"/>
      <c r="Q649" s="1332"/>
      <c r="R649" s="1332"/>
      <c r="S649" s="14"/>
      <c r="T649" s="4"/>
      <c r="U649" t="s">
        <v>649</v>
      </c>
      <c r="Z649" s="1071" t="s">
        <v>2465</v>
      </c>
      <c r="AA649" s="1071"/>
      <c r="AB649" s="1071"/>
      <c r="AC649" s="1071"/>
      <c r="AD649" s="1071"/>
      <c r="AE649" s="1071"/>
      <c r="AH649" s="42" t="s">
        <v>817</v>
      </c>
      <c r="AI649" s="1332"/>
      <c r="AJ649" s="1332"/>
      <c r="AK649" s="1332"/>
      <c r="AM649" s="43"/>
      <c r="AN649" s="43"/>
      <c r="AO649" s="43"/>
      <c r="AP649" s="43"/>
      <c r="AQ649" s="43"/>
      <c r="AR649" s="43"/>
      <c r="AS649" s="43"/>
      <c r="AT649" s="43"/>
      <c r="AU649" s="43"/>
      <c r="AV649" s="43"/>
      <c r="AW649" s="43"/>
      <c r="AX649" s="43"/>
      <c r="AY649" s="43"/>
      <c r="AZ649" s="43"/>
      <c r="BN649" s="1081">
        <f t="shared" si="28"/>
        <v>0</v>
      </c>
      <c r="BO649" s="1082"/>
      <c r="BP649" s="1082"/>
      <c r="BQ649" s="1082"/>
      <c r="BR649" s="1084"/>
      <c r="BS649" s="1081">
        <f t="shared" si="29"/>
        <v>0</v>
      </c>
      <c r="BT649" s="1082"/>
      <c r="BU649" s="1082"/>
      <c r="BV649" s="1082"/>
      <c r="BW649" s="1084"/>
      <c r="BX649" s="1081">
        <f t="shared" si="30"/>
        <v>0</v>
      </c>
      <c r="BY649" s="1082"/>
      <c r="BZ649" s="1082"/>
      <c r="CA649" s="1082"/>
      <c r="CB649" s="1084"/>
      <c r="CC649" s="1081">
        <f t="shared" si="31"/>
        <v>0</v>
      </c>
      <c r="CD649" s="1082"/>
      <c r="CE649" s="1082"/>
      <c r="CF649" s="1082"/>
      <c r="CG649" s="1084"/>
      <c r="CH649" s="1081">
        <f t="shared" si="32"/>
        <v>0</v>
      </c>
      <c r="CI649" s="1082"/>
      <c r="CJ649" s="1082"/>
      <c r="CK649" s="1082"/>
      <c r="CL649" s="1084"/>
      <c r="CM649" s="1081">
        <f t="shared" si="33"/>
        <v>0</v>
      </c>
      <c r="CN649" s="1082"/>
      <c r="CO649" s="1082"/>
      <c r="CP649" s="1082"/>
      <c r="CQ649" s="1084"/>
      <c r="CR649" s="41"/>
      <c r="CS649" s="41"/>
    </row>
    <row r="650" spans="1:99" ht="12.9" customHeight="1">
      <c r="A650" s="4"/>
      <c r="B650" t="s">
        <v>833</v>
      </c>
      <c r="C650"/>
      <c r="H650" s="1069" t="s">
        <v>2457</v>
      </c>
      <c r="I650" s="1069"/>
      <c r="J650" s="1069"/>
      <c r="K650" s="1069"/>
      <c r="L650" s="1069"/>
      <c r="M650" s="1069"/>
      <c r="N650" s="1069"/>
      <c r="O650" s="1069"/>
      <c r="P650" s="1069"/>
      <c r="Q650" s="1069"/>
      <c r="R650" s="1069"/>
      <c r="S650" s="12"/>
      <c r="T650" s="4"/>
      <c r="U650" t="s">
        <v>833</v>
      </c>
      <c r="AA650" s="1069" t="s">
        <v>2466</v>
      </c>
      <c r="AB650" s="1069"/>
      <c r="AC650" s="1069"/>
      <c r="AD650" s="1069"/>
      <c r="AE650" s="1069"/>
      <c r="AF650" s="1069"/>
      <c r="AG650" s="1069"/>
      <c r="AH650" s="1069"/>
      <c r="AI650" s="1069"/>
      <c r="AJ650" s="1069"/>
      <c r="AK650" s="1069"/>
      <c r="AM650" s="43"/>
      <c r="AN650" s="43"/>
      <c r="AO650" s="43"/>
      <c r="AP650" s="43"/>
      <c r="AQ650" s="43"/>
      <c r="AR650" s="43"/>
      <c r="AS650" s="43"/>
      <c r="AT650" s="43"/>
      <c r="AU650" s="43"/>
      <c r="AV650" s="43"/>
      <c r="AW650" s="43"/>
      <c r="AX650" s="43"/>
      <c r="AY650" s="43"/>
      <c r="AZ650" s="43"/>
      <c r="BN650" s="1081">
        <f t="shared" si="28"/>
        <v>0</v>
      </c>
      <c r="BO650" s="1082"/>
      <c r="BP650" s="1082"/>
      <c r="BQ650" s="1082"/>
      <c r="BR650" s="1084"/>
      <c r="BS650" s="1081">
        <f t="shared" si="29"/>
        <v>0</v>
      </c>
      <c r="BT650" s="1082"/>
      <c r="BU650" s="1082"/>
      <c r="BV650" s="1082"/>
      <c r="BW650" s="1084"/>
      <c r="BX650" s="1081">
        <f t="shared" si="30"/>
        <v>0</v>
      </c>
      <c r="BY650" s="1082"/>
      <c r="BZ650" s="1082"/>
      <c r="CA650" s="1082"/>
      <c r="CB650" s="1084"/>
      <c r="CC650" s="1081">
        <f t="shared" si="31"/>
        <v>0</v>
      </c>
      <c r="CD650" s="1082"/>
      <c r="CE650" s="1082"/>
      <c r="CF650" s="1082"/>
      <c r="CG650" s="1084"/>
      <c r="CH650" s="1081">
        <f t="shared" si="32"/>
        <v>0</v>
      </c>
      <c r="CI650" s="1082"/>
      <c r="CJ650" s="1082"/>
      <c r="CK650" s="1082"/>
      <c r="CL650" s="1084"/>
      <c r="CM650" s="1081">
        <f t="shared" si="33"/>
        <v>0</v>
      </c>
      <c r="CN650" s="1082"/>
      <c r="CO650" s="1082"/>
      <c r="CP650" s="1082"/>
      <c r="CQ650" s="1084"/>
      <c r="CR650" s="41"/>
      <c r="CS650" s="41"/>
    </row>
    <row r="651" spans="1:99" ht="12.9" customHeight="1">
      <c r="A651" s="5"/>
      <c r="B651" t="s">
        <v>835</v>
      </c>
      <c r="C651"/>
      <c r="N651" s="1130" t="s">
        <v>108</v>
      </c>
      <c r="O651" s="1130"/>
      <c r="T651" s="4"/>
      <c r="U651" t="s">
        <v>835</v>
      </c>
      <c r="AG651" s="1130" t="s">
        <v>108</v>
      </c>
      <c r="AH651" s="1130"/>
      <c r="AM651" s="43"/>
      <c r="AN651" s="43"/>
      <c r="AO651" s="43"/>
      <c r="AP651" s="43"/>
      <c r="AQ651" s="43"/>
      <c r="AR651" s="43"/>
      <c r="AS651" s="43"/>
      <c r="AT651" s="43"/>
      <c r="AU651" s="43"/>
      <c r="AV651" s="43"/>
      <c r="AW651" s="43"/>
      <c r="AX651" s="43"/>
      <c r="AY651" s="43"/>
      <c r="AZ651" s="43"/>
      <c r="BA651" s="43"/>
      <c r="BB651" s="41"/>
      <c r="BC651" s="41"/>
      <c r="BD651" s="41"/>
      <c r="BN651" s="1081">
        <f t="shared" si="28"/>
        <v>0</v>
      </c>
      <c r="BO651" s="1082"/>
      <c r="BP651" s="1082"/>
      <c r="BQ651" s="1082"/>
      <c r="BR651" s="1084"/>
      <c r="BS651" s="1081">
        <f t="shared" si="29"/>
        <v>0</v>
      </c>
      <c r="BT651" s="1082"/>
      <c r="BU651" s="1082"/>
      <c r="BV651" s="1082"/>
      <c r="BW651" s="1084"/>
      <c r="BX651" s="1081">
        <f t="shared" si="30"/>
        <v>0</v>
      </c>
      <c r="BY651" s="1082"/>
      <c r="BZ651" s="1082"/>
      <c r="CA651" s="1082"/>
      <c r="CB651" s="1084"/>
      <c r="CC651" s="1081">
        <f t="shared" si="31"/>
        <v>0</v>
      </c>
      <c r="CD651" s="1082"/>
      <c r="CE651" s="1082"/>
      <c r="CF651" s="1082"/>
      <c r="CG651" s="1084"/>
      <c r="CH651" s="1081">
        <f t="shared" si="32"/>
        <v>0</v>
      </c>
      <c r="CI651" s="1082"/>
      <c r="CJ651" s="1082"/>
      <c r="CK651" s="1082"/>
      <c r="CL651" s="1084"/>
      <c r="CM651" s="1081">
        <f t="shared" si="33"/>
        <v>0</v>
      </c>
      <c r="CN651" s="1082"/>
      <c r="CO651" s="1082"/>
      <c r="CP651" s="1082"/>
      <c r="CQ651" s="1084"/>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1">
        <f t="shared" si="28"/>
        <v>0</v>
      </c>
      <c r="BO652" s="1082"/>
      <c r="BP652" s="1082"/>
      <c r="BQ652" s="1082"/>
      <c r="BR652" s="1084"/>
      <c r="BS652" s="1081">
        <f t="shared" si="29"/>
        <v>0</v>
      </c>
      <c r="BT652" s="1082"/>
      <c r="BU652" s="1082"/>
      <c r="BV652" s="1082"/>
      <c r="BW652" s="1084"/>
      <c r="BX652" s="1081">
        <f t="shared" si="30"/>
        <v>0</v>
      </c>
      <c r="BY652" s="1082"/>
      <c r="BZ652" s="1082"/>
      <c r="CA652" s="1082"/>
      <c r="CB652" s="1084"/>
      <c r="CC652" s="1081">
        <f t="shared" si="31"/>
        <v>0</v>
      </c>
      <c r="CD652" s="1082"/>
      <c r="CE652" s="1082"/>
      <c r="CF652" s="1082"/>
      <c r="CG652" s="1084"/>
      <c r="CH652" s="1081">
        <f t="shared" si="32"/>
        <v>0</v>
      </c>
      <c r="CI652" s="1082"/>
      <c r="CJ652" s="1082"/>
      <c r="CK652" s="1082"/>
      <c r="CL652" s="1084"/>
      <c r="CM652" s="1081">
        <f t="shared" si="33"/>
        <v>0</v>
      </c>
      <c r="CN652" s="1082"/>
      <c r="CO652" s="1082"/>
      <c r="CP652" s="1082"/>
      <c r="CQ652" s="1084"/>
      <c r="CR652" s="41"/>
      <c r="CS652" s="41"/>
    </row>
    <row r="653" spans="1:99" ht="12.9" customHeight="1">
      <c r="A653" s="61" t="s">
        <v>906</v>
      </c>
      <c r="B653" t="s">
        <v>82</v>
      </c>
      <c r="C653"/>
      <c r="G653" s="1247" t="str">
        <f>C631</f>
        <v>Existing Replacement Reserves</v>
      </c>
      <c r="H653" s="1247"/>
      <c r="I653" s="1247"/>
      <c r="J653" s="1247"/>
      <c r="K653" s="1247"/>
      <c r="L653" s="1247"/>
      <c r="M653" s="1247"/>
      <c r="N653" s="1247"/>
      <c r="O653" s="1247"/>
      <c r="P653" s="1247"/>
      <c r="Q653" s="1247"/>
      <c r="R653" s="1247"/>
      <c r="T653" s="61" t="s">
        <v>431</v>
      </c>
      <c r="U653" t="s">
        <v>82</v>
      </c>
      <c r="Z653" s="1247" t="str">
        <f>C632</f>
        <v>County of Fresno</v>
      </c>
      <c r="AA653" s="1247"/>
      <c r="AB653" s="1247"/>
      <c r="AC653" s="1247"/>
      <c r="AD653" s="1247"/>
      <c r="AE653" s="1247"/>
      <c r="AF653" s="1247"/>
      <c r="AG653" s="1247"/>
      <c r="AH653" s="1247"/>
      <c r="AI653" s="1247"/>
      <c r="AJ653" s="1247"/>
      <c r="AK653" s="1247"/>
      <c r="AM653" s="43"/>
      <c r="AN653" s="43"/>
      <c r="AO653" s="43"/>
      <c r="AP653" s="43"/>
      <c r="AQ653" s="43"/>
      <c r="AR653" s="43"/>
      <c r="AS653" s="43"/>
      <c r="AT653" s="43"/>
      <c r="AU653" s="43"/>
      <c r="AV653" s="43"/>
      <c r="AW653" s="43"/>
      <c r="AX653" s="43"/>
      <c r="AY653" s="43"/>
      <c r="AZ653" s="43"/>
      <c r="BA653" s="43"/>
      <c r="BB653" s="41"/>
      <c r="BC653" s="41"/>
      <c r="BD653" s="41"/>
      <c r="BN653" s="1513">
        <f>SUM(BN643:BR652)</f>
        <v>0</v>
      </c>
      <c r="BO653" s="1514"/>
      <c r="BP653" s="1514"/>
      <c r="BQ653" s="1514"/>
      <c r="BR653" s="1515"/>
      <c r="BS653" s="1513">
        <f>SUM(BS643:BW652)</f>
        <v>0</v>
      </c>
      <c r="BT653" s="1514"/>
      <c r="BU653" s="1514"/>
      <c r="BV653" s="1514"/>
      <c r="BW653" s="1515"/>
      <c r="BX653" s="1513">
        <f>SUM(BX643:CB652)</f>
        <v>0</v>
      </c>
      <c r="BY653" s="1514"/>
      <c r="BZ653" s="1514"/>
      <c r="CA653" s="1514"/>
      <c r="CB653" s="1515"/>
      <c r="CC653" s="1513">
        <f>SUM(CC643:CG652)</f>
        <v>0</v>
      </c>
      <c r="CD653" s="1514"/>
      <c r="CE653" s="1514"/>
      <c r="CF653" s="1514"/>
      <c r="CG653" s="1515"/>
      <c r="CH653" s="1513">
        <f>SUM(CH643:CL652)</f>
        <v>0</v>
      </c>
      <c r="CI653" s="1514"/>
      <c r="CJ653" s="1514"/>
      <c r="CK653" s="1514"/>
      <c r="CL653" s="1515"/>
      <c r="CM653" s="1513">
        <f>SUM(CM643:CQ652)</f>
        <v>0</v>
      </c>
      <c r="CN653" s="1514"/>
      <c r="CO653" s="1514"/>
      <c r="CP653" s="1514"/>
      <c r="CQ653" s="1515"/>
      <c r="CR653" s="41"/>
      <c r="CS653" s="41"/>
    </row>
    <row r="654" spans="1:99" ht="12.9" customHeight="1" thickBot="1">
      <c r="A654" s="4"/>
      <c r="B654" t="s">
        <v>372</v>
      </c>
      <c r="C654"/>
      <c r="G654" s="1069" t="s">
        <v>2469</v>
      </c>
      <c r="H654" s="1069"/>
      <c r="I654" s="1069"/>
      <c r="J654" s="1069"/>
      <c r="K654" s="1069"/>
      <c r="L654" s="1069"/>
      <c r="M654" s="1069"/>
      <c r="N654" s="1069"/>
      <c r="O654" s="1069"/>
      <c r="P654" s="1069"/>
      <c r="Q654" s="1069"/>
      <c r="R654" s="1069"/>
      <c r="T654" s="4"/>
      <c r="U654" t="s">
        <v>372</v>
      </c>
      <c r="Z654" s="1069" t="s">
        <v>2519</v>
      </c>
      <c r="AA654" s="1069"/>
      <c r="AB654" s="1069"/>
      <c r="AC654" s="1069"/>
      <c r="AD654" s="1069"/>
      <c r="AE654" s="1069"/>
      <c r="AF654" s="1069"/>
      <c r="AG654" s="1069"/>
      <c r="AH654" s="1069"/>
      <c r="AI654" s="1069"/>
      <c r="AJ654" s="1069"/>
      <c r="AK654" s="1069"/>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430</v>
      </c>
      <c r="C655"/>
      <c r="G655" s="1067" t="s">
        <v>2470</v>
      </c>
      <c r="H655" s="1067"/>
      <c r="I655" s="1067"/>
      <c r="J655" s="1067"/>
      <c r="K655" s="1067"/>
      <c r="L655" s="1067"/>
      <c r="M655" s="1067"/>
      <c r="N655" s="1067"/>
      <c r="O655" s="1067"/>
      <c r="P655" s="1067"/>
      <c r="Q655" s="1067"/>
      <c r="R655" s="1067"/>
      <c r="T655" s="4"/>
      <c r="U655" t="s">
        <v>430</v>
      </c>
      <c r="Z655" s="1067" t="s">
        <v>391</v>
      </c>
      <c r="AA655" s="1067"/>
      <c r="AB655" s="1067"/>
      <c r="AC655" s="1067"/>
      <c r="AD655" s="1067"/>
      <c r="AE655" s="1067"/>
      <c r="AF655" s="1067"/>
      <c r="AG655" s="1067"/>
      <c r="AH655" s="1067"/>
      <c r="AI655" s="1067"/>
      <c r="AJ655" s="1067"/>
      <c r="AK655" s="1067"/>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 customHeight="1" thickBot="1">
      <c r="A656" s="4"/>
      <c r="B656" t="s">
        <v>832</v>
      </c>
      <c r="C656"/>
      <c r="G656" s="1067" t="s">
        <v>2434</v>
      </c>
      <c r="H656" s="1067"/>
      <c r="I656" s="1067"/>
      <c r="J656" s="1067"/>
      <c r="K656" s="1067"/>
      <c r="L656" s="1067"/>
      <c r="M656" s="1067"/>
      <c r="N656" s="1067"/>
      <c r="O656" s="1067"/>
      <c r="P656" s="1067"/>
      <c r="Q656" s="1067"/>
      <c r="R656" s="1067"/>
      <c r="T656" s="4"/>
      <c r="U656" t="s">
        <v>832</v>
      </c>
      <c r="Z656" s="1067" t="s">
        <v>2520</v>
      </c>
      <c r="AA656" s="1067"/>
      <c r="AB656" s="1067"/>
      <c r="AC656" s="1067"/>
      <c r="AD656" s="1067"/>
      <c r="AE656" s="1067"/>
      <c r="AF656" s="1067"/>
      <c r="AG656" s="1067"/>
      <c r="AH656" s="1067"/>
      <c r="AI656" s="1067"/>
      <c r="AJ656" s="1067"/>
      <c r="AK656" s="10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649</v>
      </c>
      <c r="C657"/>
      <c r="G657" s="1071" t="s">
        <v>2437</v>
      </c>
      <c r="H657" s="1071"/>
      <c r="I657" s="1071"/>
      <c r="J657" s="1071"/>
      <c r="K657" s="1071"/>
      <c r="L657" s="1071"/>
      <c r="O657" s="42" t="s">
        <v>817</v>
      </c>
      <c r="P657" s="1332"/>
      <c r="Q657" s="1332"/>
      <c r="R657" s="1332"/>
      <c r="T657" s="4"/>
      <c r="U657" t="s">
        <v>649</v>
      </c>
      <c r="Z657" s="1071" t="s">
        <v>2521</v>
      </c>
      <c r="AA657" s="1071"/>
      <c r="AB657" s="1071"/>
      <c r="AC657" s="1071"/>
      <c r="AD657" s="1071"/>
      <c r="AE657" s="1071"/>
      <c r="AH657" s="42" t="s">
        <v>817</v>
      </c>
      <c r="AI657" s="1332"/>
      <c r="AJ657" s="1332"/>
      <c r="AK657" s="1332"/>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100</v>
      </c>
      <c r="CR657" s="41"/>
      <c r="CS657" s="41"/>
    </row>
    <row r="658" spans="1:97" ht="12.9" customHeight="1">
      <c r="A658" s="4"/>
      <c r="B658" t="s">
        <v>833</v>
      </c>
      <c r="C658"/>
      <c r="H658" s="1069" t="s">
        <v>2471</v>
      </c>
      <c r="I658" s="1069"/>
      <c r="J658" s="1069"/>
      <c r="K658" s="1069"/>
      <c r="L658" s="1069"/>
      <c r="M658" s="1069"/>
      <c r="N658" s="1069"/>
      <c r="O658" s="1069"/>
      <c r="P658" s="1069"/>
      <c r="Q658" s="1069"/>
      <c r="R658" s="1069"/>
      <c r="T658" s="4"/>
      <c r="U658" t="s">
        <v>833</v>
      </c>
      <c r="AA658" s="1069" t="s">
        <v>2522</v>
      </c>
      <c r="AB658" s="1069"/>
      <c r="AC658" s="1069"/>
      <c r="AD658" s="1069"/>
      <c r="AE658" s="1069"/>
      <c r="AF658" s="1069"/>
      <c r="AG658" s="1069"/>
      <c r="AH658" s="1069"/>
      <c r="AI658" s="1069"/>
      <c r="AJ658" s="1069"/>
      <c r="AK658" s="106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C659"/>
      <c r="N659" s="1130" t="s">
        <v>108</v>
      </c>
      <c r="O659" s="1130"/>
      <c r="T659" s="4"/>
      <c r="U659" t="s">
        <v>835</v>
      </c>
      <c r="AG659" s="1130" t="s">
        <v>108</v>
      </c>
      <c r="AH659" s="1130"/>
      <c r="AM659" s="41"/>
      <c r="AN659" s="41"/>
      <c r="AO659" s="41"/>
      <c r="AP659" s="41"/>
      <c r="AQ659" s="41"/>
      <c r="AR659" s="41"/>
      <c r="AS659" s="41"/>
      <c r="AT659" s="41"/>
      <c r="AU659" s="41"/>
      <c r="AV659" s="41"/>
      <c r="AW659" s="41"/>
      <c r="AX659" s="41"/>
      <c r="AY659" s="41"/>
      <c r="AZ659" s="41"/>
      <c r="BA659" s="41"/>
      <c r="BB659" s="41"/>
      <c r="BC659" s="41"/>
      <c r="BD659" s="41"/>
      <c r="BN659" s="1513">
        <f>BN634+BN641+BN653</f>
        <v>0</v>
      </c>
      <c r="BO659" s="1514"/>
      <c r="BP659" s="1514"/>
      <c r="BQ659" s="1514"/>
      <c r="BR659" s="1515"/>
      <c r="BS659" s="1513">
        <f>BS634+BS641+BS653</f>
        <v>100</v>
      </c>
      <c r="BT659" s="1514"/>
      <c r="BU659" s="1514"/>
      <c r="BV659" s="1514"/>
      <c r="BW659" s="1515"/>
      <c r="BX659" s="1513">
        <f>BX634+BX641+BX653</f>
        <v>1</v>
      </c>
      <c r="BY659" s="1514"/>
      <c r="BZ659" s="1514"/>
      <c r="CA659" s="1514"/>
      <c r="CB659" s="1515"/>
      <c r="CC659" s="1513">
        <f>CC634+CC641+CC653</f>
        <v>0</v>
      </c>
      <c r="CD659" s="1514"/>
      <c r="CE659" s="1514"/>
      <c r="CF659" s="1514"/>
      <c r="CG659" s="1515"/>
      <c r="CH659" s="1513">
        <f>CH634+CH641+CH653</f>
        <v>0</v>
      </c>
      <c r="CI659" s="1514"/>
      <c r="CJ659" s="1514"/>
      <c r="CK659" s="1514"/>
      <c r="CL659" s="1515"/>
      <c r="CM659" s="1087">
        <f>CM653+CM641+CM634</f>
        <v>0</v>
      </c>
      <c r="CN659" s="1253"/>
      <c r="CO659" s="1253"/>
      <c r="CP659" s="1253"/>
      <c r="CQ659" s="1088"/>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47">
        <f>C633</f>
        <v>0</v>
      </c>
      <c r="H661" s="1247"/>
      <c r="I661" s="1247"/>
      <c r="J661" s="1247"/>
      <c r="K661" s="1247"/>
      <c r="L661" s="1247"/>
      <c r="M661" s="1247"/>
      <c r="N661" s="1247"/>
      <c r="O661" s="1247"/>
      <c r="P661" s="1247"/>
      <c r="Q661" s="1247"/>
      <c r="R661" s="1247"/>
      <c r="T661" s="61" t="s">
        <v>434</v>
      </c>
      <c r="U661" t="s">
        <v>82</v>
      </c>
      <c r="Z661" s="1247">
        <f>C634</f>
        <v>0</v>
      </c>
      <c r="AA661" s="1247"/>
      <c r="AB661" s="1247"/>
      <c r="AC661" s="1247"/>
      <c r="AD661" s="1247"/>
      <c r="AE661" s="1247"/>
      <c r="AF661" s="1247"/>
      <c r="AG661" s="1247"/>
      <c r="AH661" s="1247"/>
      <c r="AI661" s="1247"/>
      <c r="AJ661" s="1247"/>
      <c r="AK661" s="124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069"/>
      <c r="H662" s="1069"/>
      <c r="I662" s="1069"/>
      <c r="J662" s="1069"/>
      <c r="K662" s="1069"/>
      <c r="L662" s="1069"/>
      <c r="M662" s="1069"/>
      <c r="N662" s="1069"/>
      <c r="O662" s="1069"/>
      <c r="P662" s="1069"/>
      <c r="Q662" s="1069"/>
      <c r="R662" s="1069"/>
      <c r="T662" s="4"/>
      <c r="U662" t="s">
        <v>372</v>
      </c>
      <c r="Z662" s="1069"/>
      <c r="AA662" s="1069"/>
      <c r="AB662" s="1069"/>
      <c r="AC662" s="1069"/>
      <c r="AD662" s="1069"/>
      <c r="AE662" s="1069"/>
      <c r="AF662" s="1069"/>
      <c r="AG662" s="1069"/>
      <c r="AH662" s="1069"/>
      <c r="AI662" s="1069"/>
      <c r="AJ662" s="1069"/>
      <c r="AK662" s="10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C663"/>
      <c r="G663" s="1069"/>
      <c r="H663" s="1069"/>
      <c r="I663" s="1069"/>
      <c r="J663" s="1069"/>
      <c r="K663" s="1069"/>
      <c r="L663" s="1069"/>
      <c r="M663" s="1069"/>
      <c r="N663" s="1069"/>
      <c r="O663" s="1069"/>
      <c r="P663" s="1069"/>
      <c r="Q663" s="1069"/>
      <c r="R663" s="1069"/>
      <c r="T663" s="4"/>
      <c r="U663" t="s">
        <v>430</v>
      </c>
      <c r="Z663" s="1067"/>
      <c r="AA663" s="1067"/>
      <c r="AB663" s="1067"/>
      <c r="AC663" s="1067"/>
      <c r="AD663" s="1067"/>
      <c r="AE663" s="1067"/>
      <c r="AF663" s="1067"/>
      <c r="AG663" s="1067"/>
      <c r="AH663" s="1067"/>
      <c r="AI663" s="1067"/>
      <c r="AJ663" s="1067"/>
      <c r="AK663" s="10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C664"/>
      <c r="G664" s="1069"/>
      <c r="H664" s="1069"/>
      <c r="I664" s="1069"/>
      <c r="J664" s="1069"/>
      <c r="K664" s="1069"/>
      <c r="L664" s="1069"/>
      <c r="M664" s="1069"/>
      <c r="N664" s="1069"/>
      <c r="O664" s="1069"/>
      <c r="P664" s="1069"/>
      <c r="Q664" s="1069"/>
      <c r="R664" s="1069"/>
      <c r="T664" s="4"/>
      <c r="U664" t="s">
        <v>832</v>
      </c>
      <c r="Z664" s="1067"/>
      <c r="AA664" s="1067"/>
      <c r="AB664" s="1067"/>
      <c r="AC664" s="1067"/>
      <c r="AD664" s="1067"/>
      <c r="AE664" s="1067"/>
      <c r="AF664" s="1067"/>
      <c r="AG664" s="1067"/>
      <c r="AH664" s="1067"/>
      <c r="AI664" s="1067"/>
      <c r="AJ664" s="1067"/>
      <c r="AK664" s="10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C665"/>
      <c r="G665" s="1071"/>
      <c r="H665" s="1071"/>
      <c r="I665" s="1071"/>
      <c r="J665" s="1071"/>
      <c r="K665" s="1071"/>
      <c r="L665" s="1071"/>
      <c r="O665" s="42" t="s">
        <v>817</v>
      </c>
      <c r="P665" s="1332"/>
      <c r="Q665" s="1332"/>
      <c r="R665" s="1332"/>
      <c r="T665" s="4"/>
      <c r="U665" t="s">
        <v>649</v>
      </c>
      <c r="Z665" s="1071"/>
      <c r="AA665" s="1071"/>
      <c r="AB665" s="1071"/>
      <c r="AC665" s="1071"/>
      <c r="AD665" s="1071"/>
      <c r="AE665" s="1071"/>
      <c r="AH665" s="42" t="s">
        <v>817</v>
      </c>
      <c r="AI665" s="1332"/>
      <c r="AJ665" s="1332"/>
      <c r="AK665" s="1332"/>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C666"/>
      <c r="H666" s="1069"/>
      <c r="I666" s="1069"/>
      <c r="J666" s="1069"/>
      <c r="K666" s="1069"/>
      <c r="L666" s="1069"/>
      <c r="M666" s="1069"/>
      <c r="N666" s="1069"/>
      <c r="O666" s="1069"/>
      <c r="P666" s="1069"/>
      <c r="Q666" s="1069"/>
      <c r="R666" s="1069"/>
      <c r="T666" s="4"/>
      <c r="U666" t="s">
        <v>833</v>
      </c>
      <c r="AA666" s="1069"/>
      <c r="AB666" s="1069"/>
      <c r="AC666" s="1069"/>
      <c r="AD666" s="1069"/>
      <c r="AE666" s="1069"/>
      <c r="AF666" s="1069"/>
      <c r="AG666" s="1069"/>
      <c r="AH666" s="1069"/>
      <c r="AI666" s="1069"/>
      <c r="AJ666" s="1069"/>
      <c r="AK666" s="10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C667"/>
      <c r="N667" s="1130" t="s">
        <v>482</v>
      </c>
      <c r="O667" s="1130"/>
      <c r="T667" s="4"/>
      <c r="U667" t="s">
        <v>835</v>
      </c>
      <c r="AG667" s="1130" t="s">
        <v>482</v>
      </c>
      <c r="AH667" s="113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741</v>
      </c>
      <c r="B669" t="s">
        <v>82</v>
      </c>
      <c r="C669"/>
      <c r="G669" s="1247">
        <f>C635</f>
        <v>0</v>
      </c>
      <c r="H669" s="1247"/>
      <c r="I669" s="1247"/>
      <c r="J669" s="1247"/>
      <c r="K669" s="1247"/>
      <c r="L669" s="1247"/>
      <c r="M669" s="1247"/>
      <c r="N669" s="1247"/>
      <c r="O669" s="1247"/>
      <c r="P669" s="1247"/>
      <c r="Q669" s="1247"/>
      <c r="R669" s="1247"/>
      <c r="T669" s="61" t="s">
        <v>742</v>
      </c>
      <c r="U669" t="s">
        <v>82</v>
      </c>
      <c r="Z669" s="1247">
        <f>C636</f>
        <v>0</v>
      </c>
      <c r="AA669" s="1247"/>
      <c r="AB669" s="1247"/>
      <c r="AC669" s="1247"/>
      <c r="AD669" s="1247"/>
      <c r="AE669" s="1247"/>
      <c r="AF669" s="1247"/>
      <c r="AG669" s="1247"/>
      <c r="AH669" s="1247"/>
      <c r="AI669" s="1247"/>
      <c r="AJ669" s="1247"/>
      <c r="AK669" s="124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069"/>
      <c r="H670" s="1069"/>
      <c r="I670" s="1069"/>
      <c r="J670" s="1069"/>
      <c r="K670" s="1069"/>
      <c r="L670" s="1069"/>
      <c r="M670" s="1069"/>
      <c r="N670" s="1069"/>
      <c r="O670" s="1069"/>
      <c r="P670" s="1069"/>
      <c r="Q670" s="1069"/>
      <c r="R670" s="1069"/>
      <c r="T670" s="4"/>
      <c r="U670" t="s">
        <v>372</v>
      </c>
      <c r="Z670" s="1069"/>
      <c r="AA670" s="1069"/>
      <c r="AB670" s="1069"/>
      <c r="AC670" s="1069"/>
      <c r="AD670" s="1069"/>
      <c r="AE670" s="1069"/>
      <c r="AF670" s="1069"/>
      <c r="AG670" s="1069"/>
      <c r="AH670" s="1069"/>
      <c r="AI670" s="1069"/>
      <c r="AJ670" s="1069"/>
      <c r="AK670" s="106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C671"/>
      <c r="G671" s="1069"/>
      <c r="H671" s="1069"/>
      <c r="I671" s="1069"/>
      <c r="J671" s="1069"/>
      <c r="K671" s="1069"/>
      <c r="L671" s="1069"/>
      <c r="M671" s="1069"/>
      <c r="N671" s="1069"/>
      <c r="O671" s="1069"/>
      <c r="P671" s="1069"/>
      <c r="Q671" s="1069"/>
      <c r="R671" s="1069"/>
      <c r="T671" s="4"/>
      <c r="U671" t="s">
        <v>430</v>
      </c>
      <c r="Z671" s="1067"/>
      <c r="AA671" s="1067"/>
      <c r="AB671" s="1067"/>
      <c r="AC671" s="1067"/>
      <c r="AD671" s="1067"/>
      <c r="AE671" s="1067"/>
      <c r="AF671" s="1067"/>
      <c r="AG671" s="1067"/>
      <c r="AH671" s="1067"/>
      <c r="AI671" s="1067"/>
      <c r="AJ671" s="1067"/>
      <c r="AK671" s="10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C672"/>
      <c r="G672" s="1069"/>
      <c r="H672" s="1069"/>
      <c r="I672" s="1069"/>
      <c r="J672" s="1069"/>
      <c r="K672" s="1069"/>
      <c r="L672" s="1069"/>
      <c r="M672" s="1069"/>
      <c r="N672" s="1069"/>
      <c r="O672" s="1069"/>
      <c r="P672" s="1069"/>
      <c r="Q672" s="1069"/>
      <c r="R672" s="1069"/>
      <c r="T672" s="4"/>
      <c r="U672" t="s">
        <v>832</v>
      </c>
      <c r="Z672" s="1067"/>
      <c r="AA672" s="1067"/>
      <c r="AB672" s="1067"/>
      <c r="AC672" s="1067"/>
      <c r="AD672" s="1067"/>
      <c r="AE672" s="1067"/>
      <c r="AF672" s="1067"/>
      <c r="AG672" s="1067"/>
      <c r="AH672" s="1067"/>
      <c r="AI672" s="1067"/>
      <c r="AJ672" s="1067"/>
      <c r="AK672" s="10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C673"/>
      <c r="G673" s="1071"/>
      <c r="H673" s="1071"/>
      <c r="I673" s="1071"/>
      <c r="J673" s="1071"/>
      <c r="K673" s="1071"/>
      <c r="L673" s="1071"/>
      <c r="O673" s="42" t="s">
        <v>817</v>
      </c>
      <c r="P673" s="1332"/>
      <c r="Q673" s="1332"/>
      <c r="R673" s="1332"/>
      <c r="T673" s="4"/>
      <c r="U673" t="s">
        <v>649</v>
      </c>
      <c r="Z673" s="1071"/>
      <c r="AA673" s="1071"/>
      <c r="AB673" s="1071"/>
      <c r="AC673" s="1071"/>
      <c r="AD673" s="1071"/>
      <c r="AE673" s="1071"/>
      <c r="AH673" s="42" t="s">
        <v>817</v>
      </c>
      <c r="AI673" s="1332"/>
      <c r="AJ673" s="1332"/>
      <c r="AK673" s="133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C674"/>
      <c r="H674" s="1069"/>
      <c r="I674" s="1069"/>
      <c r="J674" s="1069"/>
      <c r="K674" s="1069"/>
      <c r="L674" s="1069"/>
      <c r="M674" s="1069"/>
      <c r="N674" s="1069"/>
      <c r="O674" s="1069"/>
      <c r="P674" s="1069"/>
      <c r="Q674" s="1069"/>
      <c r="R674" s="1069"/>
      <c r="T674" s="4"/>
      <c r="U674" t="s">
        <v>833</v>
      </c>
      <c r="AA674" s="1069"/>
      <c r="AB674" s="1069"/>
      <c r="AC674" s="1069"/>
      <c r="AD674" s="1069"/>
      <c r="AE674" s="1069"/>
      <c r="AF674" s="1069"/>
      <c r="AG674" s="1069"/>
      <c r="AH674" s="1069"/>
      <c r="AI674" s="1069"/>
      <c r="AJ674" s="1069"/>
      <c r="AK674" s="106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C675"/>
      <c r="N675" s="1130" t="s">
        <v>482</v>
      </c>
      <c r="O675" s="1130"/>
      <c r="T675" s="4"/>
      <c r="U675" t="s">
        <v>835</v>
      </c>
      <c r="AG675" s="1130" t="s">
        <v>482</v>
      </c>
      <c r="AH675" s="113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545</v>
      </c>
      <c r="B677" t="s">
        <v>82</v>
      </c>
      <c r="C677"/>
      <c r="G677" s="1247">
        <f>C637</f>
        <v>0</v>
      </c>
      <c r="H677" s="1247"/>
      <c r="I677" s="1247"/>
      <c r="J677" s="1247"/>
      <c r="K677" s="1247"/>
      <c r="L677" s="1247"/>
      <c r="M677" s="1247"/>
      <c r="N677" s="1247"/>
      <c r="O677" s="1247"/>
      <c r="P677" s="1247"/>
      <c r="Q677" s="1247"/>
      <c r="R677" s="1247"/>
      <c r="T677" s="61" t="s">
        <v>174</v>
      </c>
      <c r="U677" t="s">
        <v>82</v>
      </c>
      <c r="Z677" s="1247">
        <f>C638</f>
        <v>0</v>
      </c>
      <c r="AA677" s="1247"/>
      <c r="AB677" s="1247"/>
      <c r="AC677" s="1247"/>
      <c r="AD677" s="1247"/>
      <c r="AE677" s="1247"/>
      <c r="AF677" s="1247"/>
      <c r="AG677" s="1247"/>
      <c r="AH677" s="1247"/>
      <c r="AI677" s="1247"/>
      <c r="AJ677" s="1247"/>
      <c r="AK677" s="124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069"/>
      <c r="H678" s="1069"/>
      <c r="I678" s="1069"/>
      <c r="J678" s="1069"/>
      <c r="K678" s="1069"/>
      <c r="L678" s="1069"/>
      <c r="M678" s="1069"/>
      <c r="N678" s="1069"/>
      <c r="O678" s="1069"/>
      <c r="P678" s="1069"/>
      <c r="Q678" s="1069"/>
      <c r="R678" s="1069"/>
      <c r="T678" s="4"/>
      <c r="U678" t="s">
        <v>372</v>
      </c>
      <c r="Z678" s="1069"/>
      <c r="AA678" s="1069"/>
      <c r="AB678" s="1069"/>
      <c r="AC678" s="1069"/>
      <c r="AD678" s="1069"/>
      <c r="AE678" s="1069"/>
      <c r="AF678" s="1069"/>
      <c r="AG678" s="1069"/>
      <c r="AH678" s="1069"/>
      <c r="AI678" s="1069"/>
      <c r="AJ678" s="1069"/>
      <c r="AK678" s="106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430</v>
      </c>
      <c r="C679"/>
      <c r="G679" s="1069"/>
      <c r="H679" s="1069"/>
      <c r="I679" s="1069"/>
      <c r="J679" s="1069"/>
      <c r="K679" s="1069"/>
      <c r="L679" s="1069"/>
      <c r="M679" s="1069"/>
      <c r="N679" s="1069"/>
      <c r="O679" s="1069"/>
      <c r="P679" s="1069"/>
      <c r="Q679" s="1069"/>
      <c r="R679" s="1069"/>
      <c r="T679" s="4"/>
      <c r="U679" t="s">
        <v>430</v>
      </c>
      <c r="Z679" s="1067"/>
      <c r="AA679" s="1067"/>
      <c r="AB679" s="1067"/>
      <c r="AC679" s="1067"/>
      <c r="AD679" s="1067"/>
      <c r="AE679" s="1067"/>
      <c r="AF679" s="1067"/>
      <c r="AG679" s="1067"/>
      <c r="AH679" s="1067"/>
      <c r="AI679" s="1067"/>
      <c r="AJ679" s="1067"/>
      <c r="AK679" s="10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832</v>
      </c>
      <c r="C680"/>
      <c r="G680" s="1069"/>
      <c r="H680" s="1069"/>
      <c r="I680" s="1069"/>
      <c r="J680" s="1069"/>
      <c r="K680" s="1069"/>
      <c r="L680" s="1069"/>
      <c r="M680" s="1069"/>
      <c r="N680" s="1069"/>
      <c r="O680" s="1069"/>
      <c r="P680" s="1069"/>
      <c r="Q680" s="1069"/>
      <c r="R680" s="1069"/>
      <c r="T680" s="4"/>
      <c r="U680" t="s">
        <v>832</v>
      </c>
      <c r="Z680" s="1067"/>
      <c r="AA680" s="1067"/>
      <c r="AB680" s="1067"/>
      <c r="AC680" s="1067"/>
      <c r="AD680" s="1067"/>
      <c r="AE680" s="1067"/>
      <c r="AF680" s="1067"/>
      <c r="AG680" s="1067"/>
      <c r="AH680" s="1067"/>
      <c r="AI680" s="1067"/>
      <c r="AJ680" s="1067"/>
      <c r="AK680" s="10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649</v>
      </c>
      <c r="C681"/>
      <c r="G681" s="1071"/>
      <c r="H681" s="1071"/>
      <c r="I681" s="1071"/>
      <c r="J681" s="1071"/>
      <c r="K681" s="1071"/>
      <c r="L681" s="1071"/>
      <c r="O681" s="42" t="s">
        <v>817</v>
      </c>
      <c r="P681" s="1332"/>
      <c r="Q681" s="1332"/>
      <c r="R681" s="1332"/>
      <c r="T681" s="4"/>
      <c r="U681" t="s">
        <v>649</v>
      </c>
      <c r="Z681" s="1071"/>
      <c r="AA681" s="1071"/>
      <c r="AB681" s="1071"/>
      <c r="AC681" s="1071"/>
      <c r="AD681" s="1071"/>
      <c r="AE681" s="1071"/>
      <c r="AH681" s="42" t="s">
        <v>817</v>
      </c>
      <c r="AI681" s="1332"/>
      <c r="AJ681" s="1332"/>
      <c r="AK681" s="1332"/>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833</v>
      </c>
      <c r="C682"/>
      <c r="H682" s="1069"/>
      <c r="I682" s="1069"/>
      <c r="J682" s="1069"/>
      <c r="K682" s="1069"/>
      <c r="L682" s="1069"/>
      <c r="M682" s="1069"/>
      <c r="N682" s="1069"/>
      <c r="O682" s="1069"/>
      <c r="P682" s="1069"/>
      <c r="Q682" s="1069"/>
      <c r="R682" s="1069"/>
      <c r="T682" s="4"/>
      <c r="U682" t="s">
        <v>833</v>
      </c>
      <c r="AA682" s="1069"/>
      <c r="AB682" s="1069"/>
      <c r="AC682" s="1069"/>
      <c r="AD682" s="1069"/>
      <c r="AE682" s="1069"/>
      <c r="AF682" s="1069"/>
      <c r="AG682" s="1069"/>
      <c r="AH682" s="1069"/>
      <c r="AI682" s="1069"/>
      <c r="AJ682" s="1069"/>
      <c r="AK682" s="106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C683"/>
      <c r="N683" s="1130" t="s">
        <v>482</v>
      </c>
      <c r="O683" s="1130"/>
      <c r="T683" s="4"/>
      <c r="U683" t="s">
        <v>835</v>
      </c>
      <c r="AG683" s="1130" t="s">
        <v>482</v>
      </c>
      <c r="AH683" s="113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47">
        <f>C639</f>
        <v>0</v>
      </c>
      <c r="H685" s="1247"/>
      <c r="I685" s="1247"/>
      <c r="J685" s="1247"/>
      <c r="K685" s="1247"/>
      <c r="L685" s="1247"/>
      <c r="M685" s="1247"/>
      <c r="N685" s="1247"/>
      <c r="O685" s="1247"/>
      <c r="P685" s="1247"/>
      <c r="Q685" s="1247"/>
      <c r="R685" s="1247"/>
      <c r="T685" s="61" t="s">
        <v>33</v>
      </c>
      <c r="U685" t="s">
        <v>82</v>
      </c>
      <c r="Z685" s="1247">
        <f>C640</f>
        <v>0</v>
      </c>
      <c r="AA685" s="1247"/>
      <c r="AB685" s="1247"/>
      <c r="AC685" s="1247"/>
      <c r="AD685" s="1247"/>
      <c r="AE685" s="1247"/>
      <c r="AF685" s="1247"/>
      <c r="AG685" s="1247"/>
      <c r="AH685" s="1247"/>
      <c r="AI685" s="1247"/>
      <c r="AJ685" s="1247"/>
      <c r="AK685" s="124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069"/>
      <c r="H686" s="1069"/>
      <c r="I686" s="1069"/>
      <c r="J686" s="1069"/>
      <c r="K686" s="1069"/>
      <c r="L686" s="1069"/>
      <c r="M686" s="1069"/>
      <c r="N686" s="1069"/>
      <c r="O686" s="1069"/>
      <c r="P686" s="1069"/>
      <c r="Q686" s="1069"/>
      <c r="R686" s="1069"/>
      <c r="T686" s="4"/>
      <c r="U686" t="s">
        <v>372</v>
      </c>
      <c r="Z686" s="1069"/>
      <c r="AA686" s="1069"/>
      <c r="AB686" s="1069"/>
      <c r="AC686" s="1069"/>
      <c r="AD686" s="1069"/>
      <c r="AE686" s="1069"/>
      <c r="AF686" s="1069"/>
      <c r="AG686" s="1069"/>
      <c r="AH686" s="1069"/>
      <c r="AI686" s="1069"/>
      <c r="AJ686" s="1069"/>
      <c r="AK686" s="106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430</v>
      </c>
      <c r="C687"/>
      <c r="G687" s="1069"/>
      <c r="H687" s="1069"/>
      <c r="I687" s="1069"/>
      <c r="J687" s="1069"/>
      <c r="K687" s="1069"/>
      <c r="L687" s="1069"/>
      <c r="M687" s="1069"/>
      <c r="N687" s="1069"/>
      <c r="O687" s="1069"/>
      <c r="P687" s="1069"/>
      <c r="Q687" s="1069"/>
      <c r="R687" s="1069"/>
      <c r="U687" t="s">
        <v>430</v>
      </c>
      <c r="Z687" s="1067"/>
      <c r="AA687" s="1067"/>
      <c r="AB687" s="1067"/>
      <c r="AC687" s="1067"/>
      <c r="AD687" s="1067"/>
      <c r="AE687" s="1067"/>
      <c r="AF687" s="1067"/>
      <c r="AG687" s="1067"/>
      <c r="AH687" s="1067"/>
      <c r="AI687" s="1067"/>
      <c r="AJ687" s="1067"/>
      <c r="AK687" s="10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832</v>
      </c>
      <c r="C688"/>
      <c r="G688" s="1069"/>
      <c r="H688" s="1069"/>
      <c r="I688" s="1069"/>
      <c r="J688" s="1069"/>
      <c r="K688" s="1069"/>
      <c r="L688" s="1069"/>
      <c r="M688" s="1069"/>
      <c r="N688" s="1069"/>
      <c r="O688" s="1069"/>
      <c r="P688" s="1069"/>
      <c r="Q688" s="1069"/>
      <c r="R688" s="1069"/>
      <c r="U688" t="s">
        <v>832</v>
      </c>
      <c r="Z688" s="1067"/>
      <c r="AA688" s="1067"/>
      <c r="AB688" s="1067"/>
      <c r="AC688" s="1067"/>
      <c r="AD688" s="1067"/>
      <c r="AE688" s="1067"/>
      <c r="AF688" s="1067"/>
      <c r="AG688" s="1067"/>
      <c r="AH688" s="1067"/>
      <c r="AI688" s="1067"/>
      <c r="AJ688" s="1067"/>
      <c r="AK688" s="10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649</v>
      </c>
      <c r="C689"/>
      <c r="G689" s="1071"/>
      <c r="H689" s="1071"/>
      <c r="I689" s="1071"/>
      <c r="J689" s="1071"/>
      <c r="K689" s="1071"/>
      <c r="L689" s="1071"/>
      <c r="O689" s="42" t="s">
        <v>817</v>
      </c>
      <c r="P689" s="1332"/>
      <c r="Q689" s="1332"/>
      <c r="R689" s="1332"/>
      <c r="U689" t="s">
        <v>649</v>
      </c>
      <c r="Z689" s="1071"/>
      <c r="AA689" s="1071"/>
      <c r="AB689" s="1071"/>
      <c r="AC689" s="1071"/>
      <c r="AD689" s="1071"/>
      <c r="AE689" s="1071"/>
      <c r="AH689" s="42" t="s">
        <v>817</v>
      </c>
      <c r="AI689" s="1332"/>
      <c r="AJ689" s="1332"/>
      <c r="AK689" s="1332"/>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833</v>
      </c>
      <c r="C690"/>
      <c r="H690" s="1069"/>
      <c r="I690" s="1069"/>
      <c r="J690" s="1069"/>
      <c r="K690" s="1069"/>
      <c r="L690" s="1069"/>
      <c r="M690" s="1069"/>
      <c r="N690" s="1069"/>
      <c r="O690" s="1069"/>
      <c r="P690" s="1069"/>
      <c r="Q690" s="1069"/>
      <c r="R690" s="1069"/>
      <c r="U690" t="s">
        <v>833</v>
      </c>
      <c r="AA690" s="1069"/>
      <c r="AB690" s="1069"/>
      <c r="AC690" s="1069"/>
      <c r="AD690" s="1069"/>
      <c r="AE690" s="1069"/>
      <c r="AF690" s="1069"/>
      <c r="AG690" s="1069"/>
      <c r="AH690" s="1069"/>
      <c r="AI690" s="1069"/>
      <c r="AJ690" s="1069"/>
      <c r="AK690" s="106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835</v>
      </c>
      <c r="C691"/>
      <c r="N691" s="1130" t="s">
        <v>482</v>
      </c>
      <c r="O691" s="1130"/>
      <c r="U691" t="s">
        <v>835</v>
      </c>
      <c r="AG691" s="1130" t="s">
        <v>482</v>
      </c>
      <c r="AH691" s="113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68" t="s">
        <v>127</v>
      </c>
      <c r="B694" s="1068"/>
      <c r="C694" s="1068"/>
      <c r="D694" s="1068"/>
      <c r="E694" s="1068"/>
      <c r="F694" s="1068"/>
      <c r="G694" s="1068"/>
      <c r="H694" s="1068"/>
      <c r="I694" s="1068"/>
      <c r="J694" s="1068"/>
      <c r="K694" s="1068"/>
      <c r="L694" s="1068"/>
      <c r="M694" s="1068"/>
      <c r="N694" s="1068"/>
      <c r="O694" s="1068"/>
      <c r="P694" s="1068"/>
      <c r="Q694" s="1068"/>
      <c r="R694" s="1068"/>
      <c r="S694" s="1068"/>
      <c r="T694" s="1068"/>
      <c r="U694" s="1068"/>
      <c r="V694" s="1068"/>
      <c r="W694" s="1068"/>
      <c r="X694" s="1068"/>
      <c r="Y694" s="1068"/>
      <c r="Z694" s="1068"/>
      <c r="AA694" s="1068"/>
      <c r="AB694" s="1068"/>
      <c r="AC694" s="1068"/>
      <c r="AD694" s="1068"/>
      <c r="AE694" s="1068"/>
      <c r="AF694" s="1068"/>
      <c r="AG694" s="1068"/>
      <c r="AH694" s="1068"/>
      <c r="AI694" s="1068"/>
      <c r="AJ694" s="1068"/>
      <c r="AK694" s="1068"/>
      <c r="AL694" s="1068"/>
      <c r="AM694" s="1068"/>
      <c r="AN694" s="1068"/>
      <c r="AO694" s="1068"/>
      <c r="AP694" s="1068"/>
      <c r="AQ694" s="1068"/>
      <c r="AR694" s="1068"/>
      <c r="AS694" s="1068"/>
      <c r="AT694" s="106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68"/>
      <c r="B695" s="1068"/>
      <c r="C695" s="1068"/>
      <c r="D695" s="1068"/>
      <c r="E695" s="1068"/>
      <c r="F695" s="1068"/>
      <c r="G695" s="1068"/>
      <c r="H695" s="1068"/>
      <c r="I695" s="1068"/>
      <c r="J695" s="1068"/>
      <c r="K695" s="1068"/>
      <c r="L695" s="1068"/>
      <c r="M695" s="1068"/>
      <c r="N695" s="1068"/>
      <c r="O695" s="1068"/>
      <c r="P695" s="1068"/>
      <c r="Q695" s="1068"/>
      <c r="R695" s="1068"/>
      <c r="S695" s="1068"/>
      <c r="T695" s="1068"/>
      <c r="U695" s="1068"/>
      <c r="V695" s="1068"/>
      <c r="W695" s="1068"/>
      <c r="X695" s="1068"/>
      <c r="Y695" s="1068"/>
      <c r="Z695" s="1068"/>
      <c r="AA695" s="1068"/>
      <c r="AB695" s="1068"/>
      <c r="AC695" s="1068"/>
      <c r="AD695" s="1068"/>
      <c r="AE695" s="1068"/>
      <c r="AF695" s="1068"/>
      <c r="AG695" s="1068"/>
      <c r="AH695" s="1068"/>
      <c r="AI695" s="1068"/>
      <c r="AJ695" s="1068"/>
      <c r="AK695" s="1068"/>
      <c r="AL695" s="1068"/>
      <c r="AM695" s="1068"/>
      <c r="AN695" s="1068"/>
      <c r="AO695" s="1068"/>
      <c r="AP695" s="1068"/>
      <c r="AQ695" s="1068"/>
      <c r="AR695" s="1068"/>
      <c r="AS695" s="1068"/>
      <c r="AT695" s="1068"/>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68"/>
      <c r="B696" s="1068"/>
      <c r="C696" s="1068"/>
      <c r="D696" s="1068"/>
      <c r="E696" s="1068"/>
      <c r="F696" s="1068"/>
      <c r="G696" s="1068"/>
      <c r="H696" s="1068"/>
      <c r="I696" s="1068"/>
      <c r="J696" s="1068"/>
      <c r="K696" s="1068"/>
      <c r="L696" s="1068"/>
      <c r="M696" s="1068"/>
      <c r="N696" s="1068"/>
      <c r="O696" s="1068"/>
      <c r="P696" s="1068"/>
      <c r="Q696" s="1068"/>
      <c r="R696" s="1068"/>
      <c r="S696" s="1068"/>
      <c r="T696" s="1068"/>
      <c r="U696" s="1068"/>
      <c r="V696" s="1068"/>
      <c r="W696" s="1068"/>
      <c r="X696" s="1068"/>
      <c r="Y696" s="1068"/>
      <c r="Z696" s="1068"/>
      <c r="AA696" s="1068"/>
      <c r="AB696" s="1068"/>
      <c r="AC696" s="1068"/>
      <c r="AD696" s="1068"/>
      <c r="AE696" s="1068"/>
      <c r="AF696" s="1068"/>
      <c r="AG696" s="1068"/>
      <c r="AH696" s="1068"/>
      <c r="AI696" s="1068"/>
      <c r="AJ696" s="1068"/>
      <c r="AK696" s="1068"/>
      <c r="AL696" s="1068"/>
      <c r="AM696" s="1068"/>
      <c r="AN696" s="1068"/>
      <c r="AO696" s="1068"/>
      <c r="AP696" s="1068"/>
      <c r="AQ696" s="1068"/>
      <c r="AR696" s="1068"/>
      <c r="AS696" s="1068"/>
      <c r="AT696" s="1068"/>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308" t="s">
        <v>54</v>
      </c>
      <c r="C699" s="1309"/>
      <c r="D699" s="1309"/>
      <c r="E699" s="1309"/>
      <c r="F699" s="1310"/>
      <c r="G699" s="1308" t="s">
        <v>256</v>
      </c>
      <c r="H699" s="1309"/>
      <c r="I699" s="1309"/>
      <c r="J699" s="1310"/>
      <c r="K699" s="1457" t="s">
        <v>1980</v>
      </c>
      <c r="L699" s="1458"/>
      <c r="M699" s="1458"/>
      <c r="N699" s="1459"/>
      <c r="O699" s="1308" t="s">
        <v>588</v>
      </c>
      <c r="P699" s="1309"/>
      <c r="Q699" s="1309"/>
      <c r="R699" s="1309"/>
      <c r="S699" s="1310"/>
      <c r="T699" s="1308" t="s">
        <v>257</v>
      </c>
      <c r="U699" s="1309"/>
      <c r="V699" s="1309"/>
      <c r="W699" s="1309"/>
      <c r="X699" s="1310"/>
      <c r="Y699" s="1308" t="s">
        <v>258</v>
      </c>
      <c r="Z699" s="1309"/>
      <c r="AA699" s="1309"/>
      <c r="AB699" s="1310"/>
      <c r="AC699" s="1308" t="s">
        <v>259</v>
      </c>
      <c r="AD699" s="1309"/>
      <c r="AE699" s="1309"/>
      <c r="AF699" s="1309"/>
      <c r="AG699" s="1310"/>
      <c r="AH699" s="1308" t="s">
        <v>1981</v>
      </c>
      <c r="AI699" s="1309"/>
      <c r="AJ699" s="1309"/>
      <c r="AK699" s="1309"/>
      <c r="AL699" s="1310"/>
      <c r="AM699" s="1308" t="s">
        <v>1982</v>
      </c>
      <c r="AN699" s="1309"/>
      <c r="AO699" s="1310"/>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311"/>
      <c r="C700" s="1312"/>
      <c r="D700" s="1312"/>
      <c r="E700" s="1312"/>
      <c r="F700" s="1313"/>
      <c r="G700" s="1311"/>
      <c r="H700" s="1312"/>
      <c r="I700" s="1312"/>
      <c r="J700" s="1313"/>
      <c r="K700" s="1460"/>
      <c r="L700" s="1461"/>
      <c r="M700" s="1461"/>
      <c r="N700" s="1462"/>
      <c r="O700" s="1311"/>
      <c r="P700" s="1312"/>
      <c r="Q700" s="1312"/>
      <c r="R700" s="1312"/>
      <c r="S700" s="1313"/>
      <c r="T700" s="1311"/>
      <c r="U700" s="1312"/>
      <c r="V700" s="1312"/>
      <c r="W700" s="1312"/>
      <c r="X700" s="1313"/>
      <c r="Y700" s="1311"/>
      <c r="Z700" s="1312"/>
      <c r="AA700" s="1312"/>
      <c r="AB700" s="1313"/>
      <c r="AC700" s="1311"/>
      <c r="AD700" s="1312"/>
      <c r="AE700" s="1312"/>
      <c r="AF700" s="1312"/>
      <c r="AG700" s="1313"/>
      <c r="AH700" s="1311"/>
      <c r="AI700" s="1312"/>
      <c r="AJ700" s="1312"/>
      <c r="AK700" s="1312"/>
      <c r="AL700" s="1313"/>
      <c r="AM700" s="1311"/>
      <c r="AN700" s="1312"/>
      <c r="AO700" s="1313"/>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311"/>
      <c r="C701" s="1312"/>
      <c r="D701" s="1312"/>
      <c r="E701" s="1312"/>
      <c r="F701" s="1313"/>
      <c r="G701" s="1311"/>
      <c r="H701" s="1312"/>
      <c r="I701" s="1312"/>
      <c r="J701" s="1313"/>
      <c r="K701" s="1460"/>
      <c r="L701" s="1461"/>
      <c r="M701" s="1461"/>
      <c r="N701" s="1462"/>
      <c r="O701" s="1311"/>
      <c r="P701" s="1312"/>
      <c r="Q701" s="1312"/>
      <c r="R701" s="1312"/>
      <c r="S701" s="1313"/>
      <c r="T701" s="1311"/>
      <c r="U701" s="1312"/>
      <c r="V701" s="1312"/>
      <c r="W701" s="1312"/>
      <c r="X701" s="1313"/>
      <c r="Y701" s="1311"/>
      <c r="Z701" s="1312"/>
      <c r="AA701" s="1312"/>
      <c r="AB701" s="1313"/>
      <c r="AC701" s="1311"/>
      <c r="AD701" s="1312"/>
      <c r="AE701" s="1312"/>
      <c r="AF701" s="1312"/>
      <c r="AG701" s="1313"/>
      <c r="AH701" s="1311"/>
      <c r="AI701" s="1312"/>
      <c r="AJ701" s="1312"/>
      <c r="AK701" s="1312"/>
      <c r="AL701" s="1313"/>
      <c r="AM701" s="1311"/>
      <c r="AN701" s="1312"/>
      <c r="AO701" s="1313"/>
      <c r="AX701" s="43"/>
      <c r="AY701" s="3" t="s">
        <v>1134</v>
      </c>
      <c r="AZ701" s="43"/>
      <c r="BA701" s="43"/>
      <c r="BB701" s="41"/>
      <c r="BC701" s="41"/>
      <c r="BD701" s="41"/>
      <c r="BE701" s="843" t="s">
        <v>1983</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314"/>
      <c r="C702" s="1315"/>
      <c r="D702" s="1315"/>
      <c r="E702" s="1315"/>
      <c r="F702" s="1316"/>
      <c r="G702" s="1314"/>
      <c r="H702" s="1315"/>
      <c r="I702" s="1315"/>
      <c r="J702" s="1316"/>
      <c r="K702" s="1460"/>
      <c r="L702" s="1461"/>
      <c r="M702" s="1461"/>
      <c r="N702" s="1462"/>
      <c r="O702" s="1314"/>
      <c r="P702" s="1315"/>
      <c r="Q702" s="1315"/>
      <c r="R702" s="1315"/>
      <c r="S702" s="1316"/>
      <c r="T702" s="1314"/>
      <c r="U702" s="1315"/>
      <c r="V702" s="1315"/>
      <c r="W702" s="1315"/>
      <c r="X702" s="1316"/>
      <c r="Y702" s="1314"/>
      <c r="Z702" s="1315"/>
      <c r="AA702" s="1315"/>
      <c r="AB702" s="1316"/>
      <c r="AC702" s="1314"/>
      <c r="AD702" s="1315"/>
      <c r="AE702" s="1315"/>
      <c r="AF702" s="1315"/>
      <c r="AG702" s="1316"/>
      <c r="AH702" s="1314"/>
      <c r="AI702" s="1315"/>
      <c r="AJ702" s="1315"/>
      <c r="AK702" s="1315"/>
      <c r="AL702" s="1316"/>
      <c r="AM702" s="1314"/>
      <c r="AN702" s="1315"/>
      <c r="AO702" s="1316"/>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089" t="s">
        <v>442</v>
      </c>
      <c r="C703" s="1090"/>
      <c r="D703" s="1090"/>
      <c r="E703" s="1090"/>
      <c r="F703" s="1091"/>
      <c r="G703" s="1092">
        <v>15</v>
      </c>
      <c r="H703" s="1093"/>
      <c r="I703" s="1093"/>
      <c r="J703" s="1094"/>
      <c r="K703" s="1095">
        <v>576</v>
      </c>
      <c r="L703" s="1096"/>
      <c r="M703" s="1096"/>
      <c r="N703" s="1097"/>
      <c r="O703" s="1098">
        <v>495</v>
      </c>
      <c r="P703" s="1099"/>
      <c r="Q703" s="1099"/>
      <c r="R703" s="1099"/>
      <c r="S703" s="1100"/>
      <c r="T703" s="1101">
        <f t="shared" ref="T703:T737" si="34">G703*O703</f>
        <v>7425</v>
      </c>
      <c r="U703" s="1102"/>
      <c r="V703" s="1102"/>
      <c r="W703" s="1102"/>
      <c r="X703" s="1103"/>
      <c r="Y703" s="1098">
        <v>0</v>
      </c>
      <c r="Z703" s="1099"/>
      <c r="AA703" s="1099"/>
      <c r="AB703" s="1100"/>
      <c r="AC703" s="1101">
        <f t="shared" ref="AC703:AC737" si="35">O703+Y703</f>
        <v>495</v>
      </c>
      <c r="AD703" s="1102"/>
      <c r="AE703" s="1102"/>
      <c r="AF703" s="1102"/>
      <c r="AG703" s="1103"/>
      <c r="AH703" s="1454">
        <v>0.3</v>
      </c>
      <c r="AI703" s="1455"/>
      <c r="AJ703" s="1455"/>
      <c r="AK703" s="1455"/>
      <c r="AL703" s="1456"/>
      <c r="AM703" s="1107">
        <f>IF($AH703&gt;0,($AC703/$AV703),"")</f>
        <v>0.3</v>
      </c>
      <c r="AN703" s="1108"/>
      <c r="AO703" s="1109"/>
      <c r="AV703" s="43">
        <f t="shared" ref="AV703:AV737" si="36">IF($G703=0,"N/A",VLOOKUP($T$189,TC_Rent,(MATCH($B703,bedrooms,FALSE))))</f>
        <v>1650</v>
      </c>
      <c r="AX703" s="43"/>
      <c r="AY703" s="442">
        <f t="shared" ref="AY703:AY726" si="37">G703</f>
        <v>15</v>
      </c>
      <c r="AZ703" s="449">
        <f t="shared" ref="AZ703:AZ726" si="38">IF($AY$738=0,"",AY703/$AY$738)</f>
        <v>0.15</v>
      </c>
      <c r="BA703" s="450">
        <f t="shared" ref="BA703:BA726" si="39">IF(AZ703="","",AZ703*AH703)</f>
        <v>4.4999999999999998E-2</v>
      </c>
      <c r="BB703" s="41"/>
      <c r="BC703" s="41"/>
      <c r="BD703" s="41"/>
      <c r="BE703" s="848">
        <f t="shared" ref="BE703:BE726" si="40">G703</f>
        <v>15</v>
      </c>
      <c r="BF703" s="852">
        <f t="shared" ref="BF703:BF726" si="41">IF(BE703=0,"",BE703/$BE$738)</f>
        <v>0.15</v>
      </c>
      <c r="BG703" s="853">
        <f t="shared" ref="BG703:BG726" si="42">IF(BF703="","",BF703*AM703)</f>
        <v>4.4999999999999998E-2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089" t="s">
        <v>442</v>
      </c>
      <c r="C704" s="1090"/>
      <c r="D704" s="1090"/>
      <c r="E704" s="1090"/>
      <c r="F704" s="1091"/>
      <c r="G704" s="1092">
        <v>25</v>
      </c>
      <c r="H704" s="1093"/>
      <c r="I704" s="1093"/>
      <c r="J704" s="1094"/>
      <c r="K704" s="1095">
        <v>576</v>
      </c>
      <c r="L704" s="1096"/>
      <c r="M704" s="1096"/>
      <c r="N704" s="1097"/>
      <c r="O704" s="1098">
        <v>660</v>
      </c>
      <c r="P704" s="1099"/>
      <c r="Q704" s="1099"/>
      <c r="R704" s="1099"/>
      <c r="S704" s="1100"/>
      <c r="T704" s="1101">
        <f t="shared" si="34"/>
        <v>16500</v>
      </c>
      <c r="U704" s="1102"/>
      <c r="V704" s="1102"/>
      <c r="W704" s="1102"/>
      <c r="X704" s="1103"/>
      <c r="Y704" s="1098">
        <v>0</v>
      </c>
      <c r="Z704" s="1099"/>
      <c r="AA704" s="1099"/>
      <c r="AB704" s="1100"/>
      <c r="AC704" s="1101">
        <f t="shared" si="35"/>
        <v>660</v>
      </c>
      <c r="AD704" s="1102"/>
      <c r="AE704" s="1102"/>
      <c r="AF704" s="1102"/>
      <c r="AG704" s="1103"/>
      <c r="AH704" s="1104">
        <v>0.4</v>
      </c>
      <c r="AI704" s="1105"/>
      <c r="AJ704" s="1105"/>
      <c r="AK704" s="1105"/>
      <c r="AL704" s="1106"/>
      <c r="AM704" s="1107">
        <f t="shared" ref="AM704:AM726" si="43">IF($AH704&gt;0,($AC704/$AV704), "")</f>
        <v>0.4</v>
      </c>
      <c r="AN704" s="1108"/>
      <c r="AO704" s="1109"/>
      <c r="AV704" s="43">
        <f t="shared" si="36"/>
        <v>1650</v>
      </c>
      <c r="AX704" s="43"/>
      <c r="AY704" s="443">
        <f t="shared" si="37"/>
        <v>25</v>
      </c>
      <c r="AZ704" s="449">
        <f t="shared" si="38"/>
        <v>0.25</v>
      </c>
      <c r="BA704" s="450">
        <f t="shared" si="39"/>
        <v>0.1</v>
      </c>
      <c r="BB704" s="41"/>
      <c r="BC704" s="41"/>
      <c r="BD704" s="41"/>
      <c r="BE704" s="848">
        <f t="shared" si="40"/>
        <v>25</v>
      </c>
      <c r="BF704" s="852">
        <f t="shared" si="41"/>
        <v>0.25</v>
      </c>
      <c r="BG704" s="853">
        <f t="shared" si="42"/>
        <v>0.1</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089" t="s">
        <v>442</v>
      </c>
      <c r="C705" s="1090"/>
      <c r="D705" s="1090"/>
      <c r="E705" s="1090"/>
      <c r="F705" s="1091"/>
      <c r="G705" s="1092">
        <v>25</v>
      </c>
      <c r="H705" s="1093"/>
      <c r="I705" s="1093"/>
      <c r="J705" s="1094"/>
      <c r="K705" s="1095">
        <v>576</v>
      </c>
      <c r="L705" s="1096"/>
      <c r="M705" s="1096"/>
      <c r="N705" s="1097"/>
      <c r="O705" s="1098">
        <v>825</v>
      </c>
      <c r="P705" s="1099"/>
      <c r="Q705" s="1099"/>
      <c r="R705" s="1099"/>
      <c r="S705" s="1100"/>
      <c r="T705" s="1101">
        <f t="shared" si="34"/>
        <v>20625</v>
      </c>
      <c r="U705" s="1102"/>
      <c r="V705" s="1102"/>
      <c r="W705" s="1102"/>
      <c r="X705" s="1103"/>
      <c r="Y705" s="1098">
        <v>0</v>
      </c>
      <c r="Z705" s="1099"/>
      <c r="AA705" s="1099"/>
      <c r="AB705" s="1100"/>
      <c r="AC705" s="1101">
        <f t="shared" si="35"/>
        <v>825</v>
      </c>
      <c r="AD705" s="1102"/>
      <c r="AE705" s="1102"/>
      <c r="AF705" s="1102"/>
      <c r="AG705" s="1103"/>
      <c r="AH705" s="1104">
        <v>0.5</v>
      </c>
      <c r="AI705" s="1105"/>
      <c r="AJ705" s="1105"/>
      <c r="AK705" s="1105"/>
      <c r="AL705" s="1106"/>
      <c r="AM705" s="1107">
        <f t="shared" si="43"/>
        <v>0.5</v>
      </c>
      <c r="AN705" s="1108"/>
      <c r="AO705" s="1109"/>
      <c r="AV705" s="43">
        <f t="shared" si="36"/>
        <v>1650</v>
      </c>
      <c r="AX705" s="41"/>
      <c r="AY705" s="443">
        <f t="shared" si="37"/>
        <v>25</v>
      </c>
      <c r="AZ705" s="449">
        <f t="shared" si="38"/>
        <v>0.25</v>
      </c>
      <c r="BA705" s="450">
        <f t="shared" si="39"/>
        <v>0.125</v>
      </c>
      <c r="BB705" s="41"/>
      <c r="BC705" s="41"/>
      <c r="BD705" s="41"/>
      <c r="BE705" s="848">
        <f t="shared" si="40"/>
        <v>25</v>
      </c>
      <c r="BF705" s="852">
        <f t="shared" si="41"/>
        <v>0.25</v>
      </c>
      <c r="BG705" s="853">
        <f t="shared" si="42"/>
        <v>0.125</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089" t="s">
        <v>442</v>
      </c>
      <c r="C706" s="1090"/>
      <c r="D706" s="1090"/>
      <c r="E706" s="1090"/>
      <c r="F706" s="1091"/>
      <c r="G706" s="1092">
        <v>25</v>
      </c>
      <c r="H706" s="1093"/>
      <c r="I706" s="1093"/>
      <c r="J706" s="1094"/>
      <c r="K706" s="1095">
        <v>576</v>
      </c>
      <c r="L706" s="1096"/>
      <c r="M706" s="1096"/>
      <c r="N706" s="1097"/>
      <c r="O706" s="1098">
        <v>990</v>
      </c>
      <c r="P706" s="1099"/>
      <c r="Q706" s="1099"/>
      <c r="R706" s="1099"/>
      <c r="S706" s="1100"/>
      <c r="T706" s="1101">
        <f t="shared" si="34"/>
        <v>24750</v>
      </c>
      <c r="U706" s="1102"/>
      <c r="V706" s="1102"/>
      <c r="W706" s="1102"/>
      <c r="X706" s="1103"/>
      <c r="Y706" s="1098">
        <v>0</v>
      </c>
      <c r="Z706" s="1099"/>
      <c r="AA706" s="1099"/>
      <c r="AB706" s="1100"/>
      <c r="AC706" s="1101">
        <f t="shared" si="35"/>
        <v>990</v>
      </c>
      <c r="AD706" s="1102"/>
      <c r="AE706" s="1102"/>
      <c r="AF706" s="1102"/>
      <c r="AG706" s="1103"/>
      <c r="AH706" s="1104">
        <v>0.6</v>
      </c>
      <c r="AI706" s="1105"/>
      <c r="AJ706" s="1105"/>
      <c r="AK706" s="1105"/>
      <c r="AL706" s="1106"/>
      <c r="AM706" s="1107">
        <f t="shared" si="43"/>
        <v>0.6</v>
      </c>
      <c r="AN706" s="1108"/>
      <c r="AO706" s="1109"/>
      <c r="AV706" s="43">
        <f t="shared" si="36"/>
        <v>1650</v>
      </c>
      <c r="AX706" s="41"/>
      <c r="AY706" s="443">
        <f t="shared" si="37"/>
        <v>25</v>
      </c>
      <c r="AZ706" s="449">
        <f t="shared" si="38"/>
        <v>0.25</v>
      </c>
      <c r="BA706" s="450">
        <f t="shared" si="39"/>
        <v>0.15</v>
      </c>
      <c r="BB706" s="41"/>
      <c r="BC706" s="41"/>
      <c r="BD706" s="41"/>
      <c r="BE706" s="848">
        <f t="shared" si="40"/>
        <v>25</v>
      </c>
      <c r="BF706" s="852">
        <f t="shared" si="41"/>
        <v>0.25</v>
      </c>
      <c r="BG706" s="853">
        <f t="shared" si="42"/>
        <v>0.15</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089" t="s">
        <v>442</v>
      </c>
      <c r="C707" s="1090"/>
      <c r="D707" s="1090"/>
      <c r="E707" s="1090"/>
      <c r="F707" s="1091"/>
      <c r="G707" s="1092">
        <v>2</v>
      </c>
      <c r="H707" s="1093"/>
      <c r="I707" s="1093"/>
      <c r="J707" s="1094"/>
      <c r="K707" s="1095">
        <v>576</v>
      </c>
      <c r="L707" s="1096"/>
      <c r="M707" s="1096"/>
      <c r="N707" s="1097"/>
      <c r="O707" s="1098">
        <v>990</v>
      </c>
      <c r="P707" s="1099"/>
      <c r="Q707" s="1099"/>
      <c r="R707" s="1099"/>
      <c r="S707" s="1100"/>
      <c r="T707" s="1101">
        <f t="shared" si="34"/>
        <v>1980</v>
      </c>
      <c r="U707" s="1102"/>
      <c r="V707" s="1102"/>
      <c r="W707" s="1102"/>
      <c r="X707" s="1103"/>
      <c r="Y707" s="1098">
        <v>0</v>
      </c>
      <c r="Z707" s="1099"/>
      <c r="AA707" s="1099"/>
      <c r="AB707" s="1100"/>
      <c r="AC707" s="1101">
        <f t="shared" si="35"/>
        <v>990</v>
      </c>
      <c r="AD707" s="1102"/>
      <c r="AE707" s="1102"/>
      <c r="AF707" s="1102"/>
      <c r="AG707" s="1103"/>
      <c r="AH707" s="1104">
        <v>0.8</v>
      </c>
      <c r="AI707" s="1105"/>
      <c r="AJ707" s="1105"/>
      <c r="AK707" s="1105"/>
      <c r="AL707" s="1106"/>
      <c r="AM707" s="1107">
        <f t="shared" si="43"/>
        <v>0.6</v>
      </c>
      <c r="AN707" s="1108"/>
      <c r="AO707" s="1109"/>
      <c r="AV707" s="43">
        <f t="shared" si="36"/>
        <v>1650</v>
      </c>
      <c r="AX707" s="41"/>
      <c r="AY707" s="443">
        <f t="shared" si="37"/>
        <v>2</v>
      </c>
      <c r="AZ707" s="449">
        <f t="shared" si="38"/>
        <v>0.02</v>
      </c>
      <c r="BA707" s="450">
        <f t="shared" si="39"/>
        <v>1.6E-2</v>
      </c>
      <c r="BB707" s="41"/>
      <c r="BC707" s="41"/>
      <c r="BD707" s="41"/>
      <c r="BE707" s="848">
        <f t="shared" si="40"/>
        <v>2</v>
      </c>
      <c r="BF707" s="852">
        <f t="shared" si="41"/>
        <v>0.02</v>
      </c>
      <c r="BG707" s="853">
        <f t="shared" si="42"/>
        <v>1.2E-2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089" t="s">
        <v>442</v>
      </c>
      <c r="C708" s="1090"/>
      <c r="D708" s="1090"/>
      <c r="E708" s="1090"/>
      <c r="F708" s="1091"/>
      <c r="G708" s="1092">
        <v>8</v>
      </c>
      <c r="H708" s="1093"/>
      <c r="I708" s="1093"/>
      <c r="J708" s="1094"/>
      <c r="K708" s="1095">
        <v>576</v>
      </c>
      <c r="L708" s="1096"/>
      <c r="M708" s="1096"/>
      <c r="N708" s="1097"/>
      <c r="O708" s="1098">
        <v>990</v>
      </c>
      <c r="P708" s="1099"/>
      <c r="Q708" s="1099"/>
      <c r="R708" s="1099"/>
      <c r="S708" s="1100"/>
      <c r="T708" s="1101">
        <f t="shared" si="34"/>
        <v>7920</v>
      </c>
      <c r="U708" s="1102"/>
      <c r="V708" s="1102"/>
      <c r="W708" s="1102"/>
      <c r="X708" s="1103"/>
      <c r="Y708" s="1098">
        <v>0</v>
      </c>
      <c r="Z708" s="1099"/>
      <c r="AA708" s="1099"/>
      <c r="AB708" s="1100"/>
      <c r="AC708" s="1101">
        <f t="shared" si="35"/>
        <v>990</v>
      </c>
      <c r="AD708" s="1102"/>
      <c r="AE708" s="1102"/>
      <c r="AF708" s="1102"/>
      <c r="AG708" s="1103"/>
      <c r="AH708" s="1104">
        <v>0.8</v>
      </c>
      <c r="AI708" s="1105"/>
      <c r="AJ708" s="1105"/>
      <c r="AK708" s="1105"/>
      <c r="AL708" s="1106"/>
      <c r="AM708" s="1107">
        <f t="shared" si="43"/>
        <v>0.6</v>
      </c>
      <c r="AN708" s="1108"/>
      <c r="AO708" s="1109"/>
      <c r="AV708" s="43">
        <f t="shared" si="36"/>
        <v>1650</v>
      </c>
      <c r="AX708" s="41"/>
      <c r="AY708" s="443">
        <f t="shared" si="37"/>
        <v>8</v>
      </c>
      <c r="AZ708" s="449">
        <f t="shared" si="38"/>
        <v>0.08</v>
      </c>
      <c r="BA708" s="450">
        <f t="shared" si="39"/>
        <v>6.4000000000000001E-2</v>
      </c>
      <c r="BB708" s="41"/>
      <c r="BC708" s="41"/>
      <c r="BD708" s="41"/>
      <c r="BE708" s="848">
        <f t="shared" si="40"/>
        <v>8</v>
      </c>
      <c r="BF708" s="852">
        <f t="shared" si="41"/>
        <v>0.08</v>
      </c>
      <c r="BG708" s="853">
        <f t="shared" si="42"/>
        <v>4.8000000000000001E-2</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089"/>
      <c r="C709" s="1090"/>
      <c r="D709" s="1090"/>
      <c r="E709" s="1090"/>
      <c r="F709" s="1091"/>
      <c r="G709" s="1092"/>
      <c r="H709" s="1093"/>
      <c r="I709" s="1093"/>
      <c r="J709" s="1094"/>
      <c r="K709" s="1095"/>
      <c r="L709" s="1096"/>
      <c r="M709" s="1096"/>
      <c r="N709" s="1097"/>
      <c r="O709" s="1098"/>
      <c r="P709" s="1099"/>
      <c r="Q709" s="1099"/>
      <c r="R709" s="1099"/>
      <c r="S709" s="1100"/>
      <c r="T709" s="1101">
        <f t="shared" si="34"/>
        <v>0</v>
      </c>
      <c r="U709" s="1102"/>
      <c r="V709" s="1102"/>
      <c r="W709" s="1102"/>
      <c r="X709" s="1103"/>
      <c r="Y709" s="1098"/>
      <c r="Z709" s="1099"/>
      <c r="AA709" s="1099"/>
      <c r="AB709" s="1100"/>
      <c r="AC709" s="1101">
        <f t="shared" si="35"/>
        <v>0</v>
      </c>
      <c r="AD709" s="1102"/>
      <c r="AE709" s="1102"/>
      <c r="AF709" s="1102"/>
      <c r="AG709" s="1103"/>
      <c r="AH709" s="1104"/>
      <c r="AI709" s="1105"/>
      <c r="AJ709" s="1105"/>
      <c r="AK709" s="1105"/>
      <c r="AL709" s="1106"/>
      <c r="AM709" s="1107" t="str">
        <f t="shared" si="43"/>
        <v/>
      </c>
      <c r="AN709" s="1108"/>
      <c r="AO709" s="1109"/>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089"/>
      <c r="C710" s="1090"/>
      <c r="D710" s="1090"/>
      <c r="E710" s="1090"/>
      <c r="F710" s="1091"/>
      <c r="G710" s="1092"/>
      <c r="H710" s="1093"/>
      <c r="I710" s="1093"/>
      <c r="J710" s="1094"/>
      <c r="K710" s="1095"/>
      <c r="L710" s="1096"/>
      <c r="M710" s="1096"/>
      <c r="N710" s="1097"/>
      <c r="O710" s="1098"/>
      <c r="P710" s="1099"/>
      <c r="Q710" s="1099"/>
      <c r="R710" s="1099"/>
      <c r="S710" s="1100"/>
      <c r="T710" s="1101">
        <f t="shared" si="34"/>
        <v>0</v>
      </c>
      <c r="U710" s="1102"/>
      <c r="V710" s="1102"/>
      <c r="W710" s="1102"/>
      <c r="X710" s="1103"/>
      <c r="Y710" s="1098"/>
      <c r="Z710" s="1099"/>
      <c r="AA710" s="1099"/>
      <c r="AB710" s="1100"/>
      <c r="AC710" s="1101">
        <f t="shared" si="35"/>
        <v>0</v>
      </c>
      <c r="AD710" s="1102"/>
      <c r="AE710" s="1102"/>
      <c r="AF710" s="1102"/>
      <c r="AG710" s="1103"/>
      <c r="AH710" s="1104"/>
      <c r="AI710" s="1105"/>
      <c r="AJ710" s="1105"/>
      <c r="AK710" s="1105"/>
      <c r="AL710" s="1106"/>
      <c r="AM710" s="1107" t="str">
        <f t="shared" si="43"/>
        <v/>
      </c>
      <c r="AN710" s="1108"/>
      <c r="AO710" s="1109"/>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089"/>
      <c r="C711" s="1090"/>
      <c r="D711" s="1090"/>
      <c r="E711" s="1090"/>
      <c r="F711" s="1091"/>
      <c r="G711" s="1092"/>
      <c r="H711" s="1093"/>
      <c r="I711" s="1093"/>
      <c r="J711" s="1094"/>
      <c r="K711" s="1095"/>
      <c r="L711" s="1096"/>
      <c r="M711" s="1096"/>
      <c r="N711" s="1097"/>
      <c r="O711" s="1098"/>
      <c r="P711" s="1099"/>
      <c r="Q711" s="1099"/>
      <c r="R711" s="1099"/>
      <c r="S711" s="1100"/>
      <c r="T711" s="1101">
        <f t="shared" si="34"/>
        <v>0</v>
      </c>
      <c r="U711" s="1102"/>
      <c r="V711" s="1102"/>
      <c r="W711" s="1102"/>
      <c r="X711" s="1103"/>
      <c r="Y711" s="1098"/>
      <c r="Z711" s="1099"/>
      <c r="AA711" s="1099"/>
      <c r="AB711" s="1100"/>
      <c r="AC711" s="1101">
        <f t="shared" si="35"/>
        <v>0</v>
      </c>
      <c r="AD711" s="1102"/>
      <c r="AE711" s="1102"/>
      <c r="AF711" s="1102"/>
      <c r="AG711" s="1103"/>
      <c r="AH711" s="1104"/>
      <c r="AI711" s="1105"/>
      <c r="AJ711" s="1105"/>
      <c r="AK711" s="1105"/>
      <c r="AL711" s="1106"/>
      <c r="AM711" s="1107" t="str">
        <f t="shared" si="43"/>
        <v/>
      </c>
      <c r="AN711" s="1108"/>
      <c r="AO711" s="1109"/>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089"/>
      <c r="C712" s="1090"/>
      <c r="D712" s="1090"/>
      <c r="E712" s="1090"/>
      <c r="F712" s="1091"/>
      <c r="G712" s="1092"/>
      <c r="H712" s="1093"/>
      <c r="I712" s="1093"/>
      <c r="J712" s="1094"/>
      <c r="K712" s="1095"/>
      <c r="L712" s="1096"/>
      <c r="M712" s="1096"/>
      <c r="N712" s="1097"/>
      <c r="O712" s="1098"/>
      <c r="P712" s="1099"/>
      <c r="Q712" s="1099"/>
      <c r="R712" s="1099"/>
      <c r="S712" s="1100"/>
      <c r="T712" s="1101">
        <f t="shared" si="34"/>
        <v>0</v>
      </c>
      <c r="U712" s="1102"/>
      <c r="V712" s="1102"/>
      <c r="W712" s="1102"/>
      <c r="X712" s="1103"/>
      <c r="Y712" s="1098"/>
      <c r="Z712" s="1099"/>
      <c r="AA712" s="1099"/>
      <c r="AB712" s="1100"/>
      <c r="AC712" s="1101">
        <f t="shared" si="35"/>
        <v>0</v>
      </c>
      <c r="AD712" s="1102"/>
      <c r="AE712" s="1102"/>
      <c r="AF712" s="1102"/>
      <c r="AG712" s="1103"/>
      <c r="AH712" s="1104"/>
      <c r="AI712" s="1105"/>
      <c r="AJ712" s="1105"/>
      <c r="AK712" s="1105"/>
      <c r="AL712" s="1106"/>
      <c r="AM712" s="1107" t="str">
        <f t="shared" si="43"/>
        <v/>
      </c>
      <c r="AN712" s="1108"/>
      <c r="AO712" s="1109"/>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089"/>
      <c r="C713" s="1090"/>
      <c r="D713" s="1090"/>
      <c r="E713" s="1090"/>
      <c r="F713" s="1091"/>
      <c r="G713" s="1092"/>
      <c r="H713" s="1093"/>
      <c r="I713" s="1093"/>
      <c r="J713" s="1094"/>
      <c r="K713" s="1095"/>
      <c r="L713" s="1096"/>
      <c r="M713" s="1096"/>
      <c r="N713" s="1097"/>
      <c r="O713" s="1098"/>
      <c r="P713" s="1099"/>
      <c r="Q713" s="1099"/>
      <c r="R713" s="1099"/>
      <c r="S713" s="1100"/>
      <c r="T713" s="1101">
        <f t="shared" si="34"/>
        <v>0</v>
      </c>
      <c r="U713" s="1102"/>
      <c r="V713" s="1102"/>
      <c r="W713" s="1102"/>
      <c r="X713" s="1103"/>
      <c r="Y713" s="1098"/>
      <c r="Z713" s="1099"/>
      <c r="AA713" s="1099"/>
      <c r="AB713" s="1100"/>
      <c r="AC713" s="1101">
        <f t="shared" si="35"/>
        <v>0</v>
      </c>
      <c r="AD713" s="1102"/>
      <c r="AE713" s="1102"/>
      <c r="AF713" s="1102"/>
      <c r="AG713" s="1103"/>
      <c r="AH713" s="1104"/>
      <c r="AI713" s="1105"/>
      <c r="AJ713" s="1105"/>
      <c r="AK713" s="1105"/>
      <c r="AL713" s="1106"/>
      <c r="AM713" s="1107" t="str">
        <f t="shared" si="43"/>
        <v/>
      </c>
      <c r="AN713" s="1108"/>
      <c r="AO713" s="1109"/>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089"/>
      <c r="C714" s="1090"/>
      <c r="D714" s="1090"/>
      <c r="E714" s="1090"/>
      <c r="F714" s="1091"/>
      <c r="G714" s="1092"/>
      <c r="H714" s="1093"/>
      <c r="I714" s="1093"/>
      <c r="J714" s="1094"/>
      <c r="K714" s="1095"/>
      <c r="L714" s="1096"/>
      <c r="M714" s="1096"/>
      <c r="N714" s="1097"/>
      <c r="O714" s="1098"/>
      <c r="P714" s="1099"/>
      <c r="Q714" s="1099"/>
      <c r="R714" s="1099"/>
      <c r="S714" s="1100"/>
      <c r="T714" s="1101">
        <f t="shared" si="34"/>
        <v>0</v>
      </c>
      <c r="U714" s="1102"/>
      <c r="V714" s="1102"/>
      <c r="W714" s="1102"/>
      <c r="X714" s="1103"/>
      <c r="Y714" s="1098"/>
      <c r="Z714" s="1099"/>
      <c r="AA714" s="1099"/>
      <c r="AB714" s="1100"/>
      <c r="AC714" s="1101">
        <f t="shared" si="35"/>
        <v>0</v>
      </c>
      <c r="AD714" s="1102"/>
      <c r="AE714" s="1102"/>
      <c r="AF714" s="1102"/>
      <c r="AG714" s="1103"/>
      <c r="AH714" s="1104"/>
      <c r="AI714" s="1105"/>
      <c r="AJ714" s="1105"/>
      <c r="AK714" s="1105"/>
      <c r="AL714" s="1106"/>
      <c r="AM714" s="1107" t="str">
        <f t="shared" si="43"/>
        <v/>
      </c>
      <c r="AN714" s="1108"/>
      <c r="AO714" s="1109"/>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089"/>
      <c r="C715" s="1090"/>
      <c r="D715" s="1090"/>
      <c r="E715" s="1090"/>
      <c r="F715" s="1091"/>
      <c r="G715" s="1092"/>
      <c r="H715" s="1093"/>
      <c r="I715" s="1093"/>
      <c r="J715" s="1094"/>
      <c r="K715" s="1095"/>
      <c r="L715" s="1096"/>
      <c r="M715" s="1096"/>
      <c r="N715" s="1097"/>
      <c r="O715" s="1098"/>
      <c r="P715" s="1099"/>
      <c r="Q715" s="1099"/>
      <c r="R715" s="1099"/>
      <c r="S715" s="1100"/>
      <c r="T715" s="1101">
        <f t="shared" si="34"/>
        <v>0</v>
      </c>
      <c r="U715" s="1102"/>
      <c r="V715" s="1102"/>
      <c r="W715" s="1102"/>
      <c r="X715" s="1103"/>
      <c r="Y715" s="1098"/>
      <c r="Z715" s="1099"/>
      <c r="AA715" s="1099"/>
      <c r="AB715" s="1100"/>
      <c r="AC715" s="1101">
        <f t="shared" si="35"/>
        <v>0</v>
      </c>
      <c r="AD715" s="1102"/>
      <c r="AE715" s="1102"/>
      <c r="AF715" s="1102"/>
      <c r="AG715" s="1103"/>
      <c r="AH715" s="1104"/>
      <c r="AI715" s="1105"/>
      <c r="AJ715" s="1105"/>
      <c r="AK715" s="1105"/>
      <c r="AL715" s="1106"/>
      <c r="AM715" s="1107" t="str">
        <f t="shared" si="43"/>
        <v/>
      </c>
      <c r="AN715" s="1108"/>
      <c r="AO715" s="1109"/>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089"/>
      <c r="C716" s="1090"/>
      <c r="D716" s="1090"/>
      <c r="E716" s="1090"/>
      <c r="F716" s="1091"/>
      <c r="G716" s="1092"/>
      <c r="H716" s="1093"/>
      <c r="I716" s="1093"/>
      <c r="J716" s="1094"/>
      <c r="K716" s="1095"/>
      <c r="L716" s="1096"/>
      <c r="M716" s="1096"/>
      <c r="N716" s="1097"/>
      <c r="O716" s="1098"/>
      <c r="P716" s="1099"/>
      <c r="Q716" s="1099"/>
      <c r="R716" s="1099"/>
      <c r="S716" s="1100"/>
      <c r="T716" s="1101">
        <f t="shared" si="34"/>
        <v>0</v>
      </c>
      <c r="U716" s="1102"/>
      <c r="V716" s="1102"/>
      <c r="W716" s="1102"/>
      <c r="X716" s="1103"/>
      <c r="Y716" s="1098"/>
      <c r="Z716" s="1099"/>
      <c r="AA716" s="1099"/>
      <c r="AB716" s="1100"/>
      <c r="AC716" s="1101">
        <f t="shared" si="35"/>
        <v>0</v>
      </c>
      <c r="AD716" s="1102"/>
      <c r="AE716" s="1102"/>
      <c r="AF716" s="1102"/>
      <c r="AG716" s="1103"/>
      <c r="AH716" s="1104"/>
      <c r="AI716" s="1105"/>
      <c r="AJ716" s="1105"/>
      <c r="AK716" s="1105"/>
      <c r="AL716" s="1106"/>
      <c r="AM716" s="1107" t="str">
        <f t="shared" si="43"/>
        <v/>
      </c>
      <c r="AN716" s="1108"/>
      <c r="AO716" s="1109"/>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089"/>
      <c r="C717" s="1090"/>
      <c r="D717" s="1090"/>
      <c r="E717" s="1090"/>
      <c r="F717" s="1091"/>
      <c r="G717" s="1092"/>
      <c r="H717" s="1093"/>
      <c r="I717" s="1093"/>
      <c r="J717" s="1094"/>
      <c r="K717" s="1095"/>
      <c r="L717" s="1096"/>
      <c r="M717" s="1096"/>
      <c r="N717" s="1097"/>
      <c r="O717" s="1098"/>
      <c r="P717" s="1099"/>
      <c r="Q717" s="1099"/>
      <c r="R717" s="1099"/>
      <c r="S717" s="1100"/>
      <c r="T717" s="1101">
        <f t="shared" si="34"/>
        <v>0</v>
      </c>
      <c r="U717" s="1102"/>
      <c r="V717" s="1102"/>
      <c r="W717" s="1102"/>
      <c r="X717" s="1103"/>
      <c r="Y717" s="1098"/>
      <c r="Z717" s="1099"/>
      <c r="AA717" s="1099"/>
      <c r="AB717" s="1100"/>
      <c r="AC717" s="1101">
        <f t="shared" si="35"/>
        <v>0</v>
      </c>
      <c r="AD717" s="1102"/>
      <c r="AE717" s="1102"/>
      <c r="AF717" s="1102"/>
      <c r="AG717" s="1103"/>
      <c r="AH717" s="1104"/>
      <c r="AI717" s="1105"/>
      <c r="AJ717" s="1105"/>
      <c r="AK717" s="1105"/>
      <c r="AL717" s="1106"/>
      <c r="AM717" s="1107" t="str">
        <f t="shared" si="43"/>
        <v/>
      </c>
      <c r="AN717" s="1108"/>
      <c r="AO717" s="1109"/>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089"/>
      <c r="C718" s="1090"/>
      <c r="D718" s="1090"/>
      <c r="E718" s="1090"/>
      <c r="F718" s="1091"/>
      <c r="G718" s="1092"/>
      <c r="H718" s="1093"/>
      <c r="I718" s="1093"/>
      <c r="J718" s="1094"/>
      <c r="K718" s="1095"/>
      <c r="L718" s="1096"/>
      <c r="M718" s="1096"/>
      <c r="N718" s="1097"/>
      <c r="O718" s="1098"/>
      <c r="P718" s="1099"/>
      <c r="Q718" s="1099"/>
      <c r="R718" s="1099"/>
      <c r="S718" s="1100"/>
      <c r="T718" s="1101">
        <f t="shared" si="34"/>
        <v>0</v>
      </c>
      <c r="U718" s="1102"/>
      <c r="V718" s="1102"/>
      <c r="W718" s="1102"/>
      <c r="X718" s="1103"/>
      <c r="Y718" s="1098"/>
      <c r="Z718" s="1099"/>
      <c r="AA718" s="1099"/>
      <c r="AB718" s="1100"/>
      <c r="AC718" s="1101">
        <f t="shared" si="35"/>
        <v>0</v>
      </c>
      <c r="AD718" s="1102"/>
      <c r="AE718" s="1102"/>
      <c r="AF718" s="1102"/>
      <c r="AG718" s="1103"/>
      <c r="AH718" s="1104"/>
      <c r="AI718" s="1105"/>
      <c r="AJ718" s="1105"/>
      <c r="AK718" s="1105"/>
      <c r="AL718" s="1106"/>
      <c r="AM718" s="1107" t="str">
        <f t="shared" si="43"/>
        <v/>
      </c>
      <c r="AN718" s="1108"/>
      <c r="AO718" s="1109"/>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089"/>
      <c r="C719" s="1090"/>
      <c r="D719" s="1090"/>
      <c r="E719" s="1090"/>
      <c r="F719" s="1091"/>
      <c r="G719" s="1092"/>
      <c r="H719" s="1093"/>
      <c r="I719" s="1093"/>
      <c r="J719" s="1094"/>
      <c r="K719" s="1095"/>
      <c r="L719" s="1096"/>
      <c r="M719" s="1096"/>
      <c r="N719" s="1097"/>
      <c r="O719" s="1098"/>
      <c r="P719" s="1099"/>
      <c r="Q719" s="1099"/>
      <c r="R719" s="1099"/>
      <c r="S719" s="1100"/>
      <c r="T719" s="1101">
        <f t="shared" si="34"/>
        <v>0</v>
      </c>
      <c r="U719" s="1102"/>
      <c r="V719" s="1102"/>
      <c r="W719" s="1102"/>
      <c r="X719" s="1103"/>
      <c r="Y719" s="1098"/>
      <c r="Z719" s="1099"/>
      <c r="AA719" s="1099"/>
      <c r="AB719" s="1100"/>
      <c r="AC719" s="1101">
        <f t="shared" si="35"/>
        <v>0</v>
      </c>
      <c r="AD719" s="1102"/>
      <c r="AE719" s="1102"/>
      <c r="AF719" s="1102"/>
      <c r="AG719" s="1103"/>
      <c r="AH719" s="1104"/>
      <c r="AI719" s="1105"/>
      <c r="AJ719" s="1105"/>
      <c r="AK719" s="1105"/>
      <c r="AL719" s="1106"/>
      <c r="AM719" s="1107" t="str">
        <f t="shared" si="43"/>
        <v/>
      </c>
      <c r="AN719" s="1108"/>
      <c r="AO719" s="1109"/>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089"/>
      <c r="C720" s="1090"/>
      <c r="D720" s="1090"/>
      <c r="E720" s="1090"/>
      <c r="F720" s="1091"/>
      <c r="G720" s="1092"/>
      <c r="H720" s="1093"/>
      <c r="I720" s="1093"/>
      <c r="J720" s="1094"/>
      <c r="K720" s="1095"/>
      <c r="L720" s="1096"/>
      <c r="M720" s="1096"/>
      <c r="N720" s="1097"/>
      <c r="O720" s="1098"/>
      <c r="P720" s="1099"/>
      <c r="Q720" s="1099"/>
      <c r="R720" s="1099"/>
      <c r="S720" s="1100"/>
      <c r="T720" s="1101">
        <f t="shared" si="34"/>
        <v>0</v>
      </c>
      <c r="U720" s="1102"/>
      <c r="V720" s="1102"/>
      <c r="W720" s="1102"/>
      <c r="X720" s="1103"/>
      <c r="Y720" s="1098"/>
      <c r="Z720" s="1099"/>
      <c r="AA720" s="1099"/>
      <c r="AB720" s="1100"/>
      <c r="AC720" s="1101">
        <f t="shared" si="35"/>
        <v>0</v>
      </c>
      <c r="AD720" s="1102"/>
      <c r="AE720" s="1102"/>
      <c r="AF720" s="1102"/>
      <c r="AG720" s="1103"/>
      <c r="AH720" s="1104"/>
      <c r="AI720" s="1105"/>
      <c r="AJ720" s="1105"/>
      <c r="AK720" s="1105"/>
      <c r="AL720" s="1106"/>
      <c r="AM720" s="1107" t="str">
        <f t="shared" si="43"/>
        <v/>
      </c>
      <c r="AN720" s="1108"/>
      <c r="AO720" s="1109"/>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089"/>
      <c r="C721" s="1090"/>
      <c r="D721" s="1090"/>
      <c r="E721" s="1090"/>
      <c r="F721" s="1091"/>
      <c r="G721" s="1092"/>
      <c r="H721" s="1093"/>
      <c r="I721" s="1093"/>
      <c r="J721" s="1094"/>
      <c r="K721" s="1095"/>
      <c r="L721" s="1096"/>
      <c r="M721" s="1096"/>
      <c r="N721" s="1097"/>
      <c r="O721" s="1098"/>
      <c r="P721" s="1099"/>
      <c r="Q721" s="1099"/>
      <c r="R721" s="1099"/>
      <c r="S721" s="1100"/>
      <c r="T721" s="1101">
        <f t="shared" si="34"/>
        <v>0</v>
      </c>
      <c r="U721" s="1102"/>
      <c r="V721" s="1102"/>
      <c r="W721" s="1102"/>
      <c r="X721" s="1103"/>
      <c r="Y721" s="1098"/>
      <c r="Z721" s="1099"/>
      <c r="AA721" s="1099"/>
      <c r="AB721" s="1100"/>
      <c r="AC721" s="1101">
        <f t="shared" si="35"/>
        <v>0</v>
      </c>
      <c r="AD721" s="1102"/>
      <c r="AE721" s="1102"/>
      <c r="AF721" s="1102"/>
      <c r="AG721" s="1103"/>
      <c r="AH721" s="1104"/>
      <c r="AI721" s="1105"/>
      <c r="AJ721" s="1105"/>
      <c r="AK721" s="1105"/>
      <c r="AL721" s="1106"/>
      <c r="AM721" s="1107" t="str">
        <f t="shared" si="43"/>
        <v/>
      </c>
      <c r="AN721" s="1108"/>
      <c r="AO721" s="1109"/>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089"/>
      <c r="C722" s="1090"/>
      <c r="D722" s="1090"/>
      <c r="E722" s="1090"/>
      <c r="F722" s="1091"/>
      <c r="G722" s="1092"/>
      <c r="H722" s="1093"/>
      <c r="I722" s="1093"/>
      <c r="J722" s="1094"/>
      <c r="K722" s="1095"/>
      <c r="L722" s="1096"/>
      <c r="M722" s="1096"/>
      <c r="N722" s="1097"/>
      <c r="O722" s="1098"/>
      <c r="P722" s="1099"/>
      <c r="Q722" s="1099"/>
      <c r="R722" s="1099"/>
      <c r="S722" s="1100"/>
      <c r="T722" s="1101">
        <f t="shared" si="34"/>
        <v>0</v>
      </c>
      <c r="U722" s="1102"/>
      <c r="V722" s="1102"/>
      <c r="W722" s="1102"/>
      <c r="X722" s="1103"/>
      <c r="Y722" s="1098"/>
      <c r="Z722" s="1099"/>
      <c r="AA722" s="1099"/>
      <c r="AB722" s="1100"/>
      <c r="AC722" s="1101">
        <f t="shared" si="35"/>
        <v>0</v>
      </c>
      <c r="AD722" s="1102"/>
      <c r="AE722" s="1102"/>
      <c r="AF722" s="1102"/>
      <c r="AG722" s="1103"/>
      <c r="AH722" s="1104"/>
      <c r="AI722" s="1105"/>
      <c r="AJ722" s="1105"/>
      <c r="AK722" s="1105"/>
      <c r="AL722" s="1106"/>
      <c r="AM722" s="1107" t="str">
        <f t="shared" si="43"/>
        <v/>
      </c>
      <c r="AN722" s="1108"/>
      <c r="AO722" s="1109"/>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089"/>
      <c r="C723" s="1090"/>
      <c r="D723" s="1090"/>
      <c r="E723" s="1090"/>
      <c r="F723" s="1091"/>
      <c r="G723" s="1092"/>
      <c r="H723" s="1093"/>
      <c r="I723" s="1093"/>
      <c r="J723" s="1094"/>
      <c r="K723" s="1095"/>
      <c r="L723" s="1096"/>
      <c r="M723" s="1096"/>
      <c r="N723" s="1097"/>
      <c r="O723" s="1098"/>
      <c r="P723" s="1099"/>
      <c r="Q723" s="1099"/>
      <c r="R723" s="1099"/>
      <c r="S723" s="1100"/>
      <c r="T723" s="1101">
        <f t="shared" si="34"/>
        <v>0</v>
      </c>
      <c r="U723" s="1102"/>
      <c r="V723" s="1102"/>
      <c r="W723" s="1102"/>
      <c r="X723" s="1103"/>
      <c r="Y723" s="1098"/>
      <c r="Z723" s="1099"/>
      <c r="AA723" s="1099"/>
      <c r="AB723" s="1100"/>
      <c r="AC723" s="1101">
        <f t="shared" si="35"/>
        <v>0</v>
      </c>
      <c r="AD723" s="1102"/>
      <c r="AE723" s="1102"/>
      <c r="AF723" s="1102"/>
      <c r="AG723" s="1103"/>
      <c r="AH723" s="1104"/>
      <c r="AI723" s="1105"/>
      <c r="AJ723" s="1105"/>
      <c r="AK723" s="1105"/>
      <c r="AL723" s="1106"/>
      <c r="AM723" s="1107" t="str">
        <f t="shared" si="43"/>
        <v/>
      </c>
      <c r="AN723" s="1108"/>
      <c r="AO723" s="1109"/>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089"/>
      <c r="C724" s="1090"/>
      <c r="D724" s="1090"/>
      <c r="E724" s="1090"/>
      <c r="F724" s="1091"/>
      <c r="G724" s="1092"/>
      <c r="H724" s="1093"/>
      <c r="I724" s="1093"/>
      <c r="J724" s="1094"/>
      <c r="K724" s="1095"/>
      <c r="L724" s="1096"/>
      <c r="M724" s="1096"/>
      <c r="N724" s="1097"/>
      <c r="O724" s="1098"/>
      <c r="P724" s="1099"/>
      <c r="Q724" s="1099"/>
      <c r="R724" s="1099"/>
      <c r="S724" s="1100"/>
      <c r="T724" s="1101">
        <f t="shared" si="34"/>
        <v>0</v>
      </c>
      <c r="U724" s="1102"/>
      <c r="V724" s="1102"/>
      <c r="W724" s="1102"/>
      <c r="X724" s="1103"/>
      <c r="Y724" s="1098"/>
      <c r="Z724" s="1099"/>
      <c r="AA724" s="1099"/>
      <c r="AB724" s="1100"/>
      <c r="AC724" s="1101">
        <f t="shared" si="35"/>
        <v>0</v>
      </c>
      <c r="AD724" s="1102"/>
      <c r="AE724" s="1102"/>
      <c r="AF724" s="1102"/>
      <c r="AG724" s="1103"/>
      <c r="AH724" s="1104"/>
      <c r="AI724" s="1105"/>
      <c r="AJ724" s="1105"/>
      <c r="AK724" s="1105"/>
      <c r="AL724" s="1106"/>
      <c r="AM724" s="1107" t="str">
        <f t="shared" si="43"/>
        <v/>
      </c>
      <c r="AN724" s="1108"/>
      <c r="AO724" s="1109"/>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089"/>
      <c r="C725" s="1090"/>
      <c r="D725" s="1090"/>
      <c r="E725" s="1090"/>
      <c r="F725" s="1091"/>
      <c r="G725" s="1092"/>
      <c r="H725" s="1093"/>
      <c r="I725" s="1093"/>
      <c r="J725" s="1094"/>
      <c r="K725" s="1095"/>
      <c r="L725" s="1096"/>
      <c r="M725" s="1096"/>
      <c r="N725" s="1097"/>
      <c r="O725" s="1098"/>
      <c r="P725" s="1099"/>
      <c r="Q725" s="1099"/>
      <c r="R725" s="1099"/>
      <c r="S725" s="1100"/>
      <c r="T725" s="1101">
        <f t="shared" si="34"/>
        <v>0</v>
      </c>
      <c r="U725" s="1102"/>
      <c r="V725" s="1102"/>
      <c r="W725" s="1102"/>
      <c r="X725" s="1103"/>
      <c r="Y725" s="1098"/>
      <c r="Z725" s="1099"/>
      <c r="AA725" s="1099"/>
      <c r="AB725" s="1100"/>
      <c r="AC725" s="1101">
        <f t="shared" si="35"/>
        <v>0</v>
      </c>
      <c r="AD725" s="1102"/>
      <c r="AE725" s="1102"/>
      <c r="AF725" s="1102"/>
      <c r="AG725" s="1103"/>
      <c r="AH725" s="1104"/>
      <c r="AI725" s="1105"/>
      <c r="AJ725" s="1105"/>
      <c r="AK725" s="1105"/>
      <c r="AL725" s="1106"/>
      <c r="AM725" s="1107" t="str">
        <f t="shared" si="43"/>
        <v/>
      </c>
      <c r="AN725" s="1108"/>
      <c r="AO725" s="1109"/>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089"/>
      <c r="C726" s="1090"/>
      <c r="D726" s="1090"/>
      <c r="E726" s="1090"/>
      <c r="F726" s="1091"/>
      <c r="G726" s="1092"/>
      <c r="H726" s="1093"/>
      <c r="I726" s="1093"/>
      <c r="J726" s="1094"/>
      <c r="K726" s="1095"/>
      <c r="L726" s="1096"/>
      <c r="M726" s="1096"/>
      <c r="N726" s="1097"/>
      <c r="O726" s="1098"/>
      <c r="P726" s="1099"/>
      <c r="Q726" s="1099"/>
      <c r="R726" s="1099"/>
      <c r="S726" s="1100"/>
      <c r="T726" s="1101">
        <f t="shared" si="34"/>
        <v>0</v>
      </c>
      <c r="U726" s="1102"/>
      <c r="V726" s="1102"/>
      <c r="W726" s="1102"/>
      <c r="X726" s="1103"/>
      <c r="Y726" s="1098"/>
      <c r="Z726" s="1099"/>
      <c r="AA726" s="1099"/>
      <c r="AB726" s="1100"/>
      <c r="AC726" s="1101">
        <f t="shared" si="35"/>
        <v>0</v>
      </c>
      <c r="AD726" s="1102"/>
      <c r="AE726" s="1102"/>
      <c r="AF726" s="1102"/>
      <c r="AG726" s="1103"/>
      <c r="AH726" s="1104"/>
      <c r="AI726" s="1105"/>
      <c r="AJ726" s="1105"/>
      <c r="AK726" s="1105"/>
      <c r="AL726" s="1106"/>
      <c r="AM726" s="1107" t="str">
        <f t="shared" si="43"/>
        <v/>
      </c>
      <c r="AN726" s="1108"/>
      <c r="AO726" s="1109"/>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089"/>
      <c r="C727" s="1090"/>
      <c r="D727" s="1090"/>
      <c r="E727" s="1090"/>
      <c r="F727" s="1091"/>
      <c r="G727" s="1092"/>
      <c r="H727" s="1093"/>
      <c r="I727" s="1093"/>
      <c r="J727" s="1094"/>
      <c r="K727" s="1095"/>
      <c r="L727" s="1096"/>
      <c r="M727" s="1096"/>
      <c r="N727" s="1097"/>
      <c r="O727" s="1098"/>
      <c r="P727" s="1099"/>
      <c r="Q727" s="1099"/>
      <c r="R727" s="1099"/>
      <c r="S727" s="1100"/>
      <c r="T727" s="1101">
        <f t="shared" ref="T727:T736" si="44">G727*O727</f>
        <v>0</v>
      </c>
      <c r="U727" s="1102"/>
      <c r="V727" s="1102"/>
      <c r="W727" s="1102"/>
      <c r="X727" s="1103"/>
      <c r="Y727" s="1098"/>
      <c r="Z727" s="1099"/>
      <c r="AA727" s="1099"/>
      <c r="AB727" s="1100"/>
      <c r="AC727" s="1101">
        <f t="shared" ref="AC727:AC736" si="45">O727+Y727</f>
        <v>0</v>
      </c>
      <c r="AD727" s="1102"/>
      <c r="AE727" s="1102"/>
      <c r="AF727" s="1102"/>
      <c r="AG727" s="1103"/>
      <c r="AH727" s="1104"/>
      <c r="AI727" s="1105"/>
      <c r="AJ727" s="1105"/>
      <c r="AK727" s="1105"/>
      <c r="AL727" s="1106"/>
      <c r="AM727" s="1107" t="str">
        <f t="shared" ref="AM727:AM736" si="46">IF($AH727&gt;0,($AC727/$AV727), "")</f>
        <v/>
      </c>
      <c r="AN727" s="1108"/>
      <c r="AO727" s="1109"/>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089"/>
      <c r="C728" s="1090"/>
      <c r="D728" s="1090"/>
      <c r="E728" s="1090"/>
      <c r="F728" s="1091"/>
      <c r="G728" s="1092"/>
      <c r="H728" s="1093"/>
      <c r="I728" s="1093"/>
      <c r="J728" s="1094"/>
      <c r="K728" s="1095"/>
      <c r="L728" s="1096"/>
      <c r="M728" s="1096"/>
      <c r="N728" s="1097"/>
      <c r="O728" s="1098"/>
      <c r="P728" s="1099"/>
      <c r="Q728" s="1099"/>
      <c r="R728" s="1099"/>
      <c r="S728" s="1100"/>
      <c r="T728" s="1101">
        <f t="shared" si="44"/>
        <v>0</v>
      </c>
      <c r="U728" s="1102"/>
      <c r="V728" s="1102"/>
      <c r="W728" s="1102"/>
      <c r="X728" s="1103"/>
      <c r="Y728" s="1098"/>
      <c r="Z728" s="1099"/>
      <c r="AA728" s="1099"/>
      <c r="AB728" s="1100"/>
      <c r="AC728" s="1101">
        <f t="shared" si="45"/>
        <v>0</v>
      </c>
      <c r="AD728" s="1102"/>
      <c r="AE728" s="1102"/>
      <c r="AF728" s="1102"/>
      <c r="AG728" s="1103"/>
      <c r="AH728" s="1104"/>
      <c r="AI728" s="1105"/>
      <c r="AJ728" s="1105"/>
      <c r="AK728" s="1105"/>
      <c r="AL728" s="1106"/>
      <c r="AM728" s="1107" t="str">
        <f t="shared" si="46"/>
        <v/>
      </c>
      <c r="AN728" s="1108"/>
      <c r="AO728" s="1109"/>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9"/>
      <c r="C729" s="1090"/>
      <c r="D729" s="1090"/>
      <c r="E729" s="1090"/>
      <c r="F729" s="1091"/>
      <c r="G729" s="1092"/>
      <c r="H729" s="1093"/>
      <c r="I729" s="1093"/>
      <c r="J729" s="1094"/>
      <c r="K729" s="1095"/>
      <c r="L729" s="1096"/>
      <c r="M729" s="1096"/>
      <c r="N729" s="1097"/>
      <c r="O729" s="1098"/>
      <c r="P729" s="1099"/>
      <c r="Q729" s="1099"/>
      <c r="R729" s="1099"/>
      <c r="S729" s="1100"/>
      <c r="T729" s="1101">
        <f t="shared" si="44"/>
        <v>0</v>
      </c>
      <c r="U729" s="1102"/>
      <c r="V729" s="1102"/>
      <c r="W729" s="1102"/>
      <c r="X729" s="1103"/>
      <c r="Y729" s="1098"/>
      <c r="Z729" s="1099"/>
      <c r="AA729" s="1099"/>
      <c r="AB729" s="1100"/>
      <c r="AC729" s="1101">
        <f t="shared" si="45"/>
        <v>0</v>
      </c>
      <c r="AD729" s="1102"/>
      <c r="AE729" s="1102"/>
      <c r="AF729" s="1102"/>
      <c r="AG729" s="1103"/>
      <c r="AH729" s="1104"/>
      <c r="AI729" s="1105"/>
      <c r="AJ729" s="1105"/>
      <c r="AK729" s="1105"/>
      <c r="AL729" s="1106"/>
      <c r="AM729" s="1107" t="str">
        <f t="shared" si="46"/>
        <v/>
      </c>
      <c r="AN729" s="1108"/>
      <c r="AO729" s="1109"/>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89"/>
      <c r="C730" s="1090"/>
      <c r="D730" s="1090"/>
      <c r="E730" s="1090"/>
      <c r="F730" s="1091"/>
      <c r="G730" s="1092"/>
      <c r="H730" s="1093"/>
      <c r="I730" s="1093"/>
      <c r="J730" s="1094"/>
      <c r="K730" s="1095"/>
      <c r="L730" s="1096"/>
      <c r="M730" s="1096"/>
      <c r="N730" s="1097"/>
      <c r="O730" s="1098"/>
      <c r="P730" s="1099"/>
      <c r="Q730" s="1099"/>
      <c r="R730" s="1099"/>
      <c r="S730" s="1100"/>
      <c r="T730" s="1101">
        <f t="shared" si="44"/>
        <v>0</v>
      </c>
      <c r="U730" s="1102"/>
      <c r="V730" s="1102"/>
      <c r="W730" s="1102"/>
      <c r="X730" s="1103"/>
      <c r="Y730" s="1098"/>
      <c r="Z730" s="1099"/>
      <c r="AA730" s="1099"/>
      <c r="AB730" s="1100"/>
      <c r="AC730" s="1101">
        <f t="shared" si="45"/>
        <v>0</v>
      </c>
      <c r="AD730" s="1102"/>
      <c r="AE730" s="1102"/>
      <c r="AF730" s="1102"/>
      <c r="AG730" s="1103"/>
      <c r="AH730" s="1104"/>
      <c r="AI730" s="1105"/>
      <c r="AJ730" s="1105"/>
      <c r="AK730" s="1105"/>
      <c r="AL730" s="1106"/>
      <c r="AM730" s="1107" t="str">
        <f t="shared" si="46"/>
        <v/>
      </c>
      <c r="AN730" s="1108"/>
      <c r="AO730" s="1109"/>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089"/>
      <c r="C731" s="1090"/>
      <c r="D731" s="1090"/>
      <c r="E731" s="1090"/>
      <c r="F731" s="1091"/>
      <c r="G731" s="1092"/>
      <c r="H731" s="1093"/>
      <c r="I731" s="1093"/>
      <c r="J731" s="1094"/>
      <c r="K731" s="1095"/>
      <c r="L731" s="1096"/>
      <c r="M731" s="1096"/>
      <c r="N731" s="1097"/>
      <c r="O731" s="1098"/>
      <c r="P731" s="1099"/>
      <c r="Q731" s="1099"/>
      <c r="R731" s="1099"/>
      <c r="S731" s="1100"/>
      <c r="T731" s="1101">
        <f t="shared" si="44"/>
        <v>0</v>
      </c>
      <c r="U731" s="1102"/>
      <c r="V731" s="1102"/>
      <c r="W731" s="1102"/>
      <c r="X731" s="1103"/>
      <c r="Y731" s="1098"/>
      <c r="Z731" s="1099"/>
      <c r="AA731" s="1099"/>
      <c r="AB731" s="1100"/>
      <c r="AC731" s="1101">
        <f t="shared" si="45"/>
        <v>0</v>
      </c>
      <c r="AD731" s="1102"/>
      <c r="AE731" s="1102"/>
      <c r="AF731" s="1102"/>
      <c r="AG731" s="1103"/>
      <c r="AH731" s="1104"/>
      <c r="AI731" s="1105"/>
      <c r="AJ731" s="1105"/>
      <c r="AK731" s="1105"/>
      <c r="AL731" s="1106"/>
      <c r="AM731" s="1107" t="str">
        <f t="shared" si="46"/>
        <v/>
      </c>
      <c r="AN731" s="1108"/>
      <c r="AO731" s="1109"/>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089"/>
      <c r="C732" s="1090"/>
      <c r="D732" s="1090"/>
      <c r="E732" s="1090"/>
      <c r="F732" s="1091"/>
      <c r="G732" s="1092"/>
      <c r="H732" s="1093"/>
      <c r="I732" s="1093"/>
      <c r="J732" s="1094"/>
      <c r="K732" s="1095"/>
      <c r="L732" s="1096"/>
      <c r="M732" s="1096"/>
      <c r="N732" s="1097"/>
      <c r="O732" s="1098"/>
      <c r="P732" s="1099"/>
      <c r="Q732" s="1099"/>
      <c r="R732" s="1099"/>
      <c r="S732" s="1100"/>
      <c r="T732" s="1101">
        <f t="shared" si="44"/>
        <v>0</v>
      </c>
      <c r="U732" s="1102"/>
      <c r="V732" s="1102"/>
      <c r="W732" s="1102"/>
      <c r="X732" s="1103"/>
      <c r="Y732" s="1098"/>
      <c r="Z732" s="1099"/>
      <c r="AA732" s="1099"/>
      <c r="AB732" s="1100"/>
      <c r="AC732" s="1101">
        <f t="shared" si="45"/>
        <v>0</v>
      </c>
      <c r="AD732" s="1102"/>
      <c r="AE732" s="1102"/>
      <c r="AF732" s="1102"/>
      <c r="AG732" s="1103"/>
      <c r="AH732" s="1104"/>
      <c r="AI732" s="1105"/>
      <c r="AJ732" s="1105"/>
      <c r="AK732" s="1105"/>
      <c r="AL732" s="1106"/>
      <c r="AM732" s="1107" t="str">
        <f t="shared" si="46"/>
        <v/>
      </c>
      <c r="AN732" s="1108"/>
      <c r="AO732" s="1109"/>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089"/>
      <c r="C733" s="1090"/>
      <c r="D733" s="1090"/>
      <c r="E733" s="1090"/>
      <c r="F733" s="1091"/>
      <c r="G733" s="1092"/>
      <c r="H733" s="1093"/>
      <c r="I733" s="1093"/>
      <c r="J733" s="1094"/>
      <c r="K733" s="1095"/>
      <c r="L733" s="1096"/>
      <c r="M733" s="1096"/>
      <c r="N733" s="1097"/>
      <c r="O733" s="1098"/>
      <c r="P733" s="1099"/>
      <c r="Q733" s="1099"/>
      <c r="R733" s="1099"/>
      <c r="S733" s="1100"/>
      <c r="T733" s="1101">
        <f t="shared" si="44"/>
        <v>0</v>
      </c>
      <c r="U733" s="1102"/>
      <c r="V733" s="1102"/>
      <c r="W733" s="1102"/>
      <c r="X733" s="1103"/>
      <c r="Y733" s="1098"/>
      <c r="Z733" s="1099"/>
      <c r="AA733" s="1099"/>
      <c r="AB733" s="1100"/>
      <c r="AC733" s="1101">
        <f t="shared" si="45"/>
        <v>0</v>
      </c>
      <c r="AD733" s="1102"/>
      <c r="AE733" s="1102"/>
      <c r="AF733" s="1102"/>
      <c r="AG733" s="1103"/>
      <c r="AH733" s="1104"/>
      <c r="AI733" s="1105"/>
      <c r="AJ733" s="1105"/>
      <c r="AK733" s="1105"/>
      <c r="AL733" s="1106"/>
      <c r="AM733" s="1107" t="str">
        <f t="shared" si="46"/>
        <v/>
      </c>
      <c r="AN733" s="1108"/>
      <c r="AO733" s="1109"/>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089"/>
      <c r="C734" s="1090"/>
      <c r="D734" s="1090"/>
      <c r="E734" s="1090"/>
      <c r="F734" s="1091"/>
      <c r="G734" s="1092"/>
      <c r="H734" s="1093"/>
      <c r="I734" s="1093"/>
      <c r="J734" s="1094"/>
      <c r="K734" s="1095"/>
      <c r="L734" s="1096"/>
      <c r="M734" s="1096"/>
      <c r="N734" s="1097"/>
      <c r="O734" s="1098"/>
      <c r="P734" s="1099"/>
      <c r="Q734" s="1099"/>
      <c r="R734" s="1099"/>
      <c r="S734" s="1100"/>
      <c r="T734" s="1101">
        <f t="shared" si="44"/>
        <v>0</v>
      </c>
      <c r="U734" s="1102"/>
      <c r="V734" s="1102"/>
      <c r="W734" s="1102"/>
      <c r="X734" s="1103"/>
      <c r="Y734" s="1098"/>
      <c r="Z734" s="1099"/>
      <c r="AA734" s="1099"/>
      <c r="AB734" s="1100"/>
      <c r="AC734" s="1101">
        <f t="shared" si="45"/>
        <v>0</v>
      </c>
      <c r="AD734" s="1102"/>
      <c r="AE734" s="1102"/>
      <c r="AF734" s="1102"/>
      <c r="AG734" s="1103"/>
      <c r="AH734" s="1104"/>
      <c r="AI734" s="1105"/>
      <c r="AJ734" s="1105"/>
      <c r="AK734" s="1105"/>
      <c r="AL734" s="1106"/>
      <c r="AM734" s="1107" t="str">
        <f t="shared" si="46"/>
        <v/>
      </c>
      <c r="AN734" s="1108"/>
      <c r="AO734" s="1109"/>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089"/>
      <c r="C735" s="1090"/>
      <c r="D735" s="1090"/>
      <c r="E735" s="1090"/>
      <c r="F735" s="1091"/>
      <c r="G735" s="1092"/>
      <c r="H735" s="1093"/>
      <c r="I735" s="1093"/>
      <c r="J735" s="1094"/>
      <c r="K735" s="1095"/>
      <c r="L735" s="1096"/>
      <c r="M735" s="1096"/>
      <c r="N735" s="1097"/>
      <c r="O735" s="1098"/>
      <c r="P735" s="1099"/>
      <c r="Q735" s="1099"/>
      <c r="R735" s="1099"/>
      <c r="S735" s="1100"/>
      <c r="T735" s="1101">
        <f t="shared" si="44"/>
        <v>0</v>
      </c>
      <c r="U735" s="1102"/>
      <c r="V735" s="1102"/>
      <c r="W735" s="1102"/>
      <c r="X735" s="1103"/>
      <c r="Y735" s="1098"/>
      <c r="Z735" s="1099"/>
      <c r="AA735" s="1099"/>
      <c r="AB735" s="1100"/>
      <c r="AC735" s="1101">
        <f t="shared" si="45"/>
        <v>0</v>
      </c>
      <c r="AD735" s="1102"/>
      <c r="AE735" s="1102"/>
      <c r="AF735" s="1102"/>
      <c r="AG735" s="1103"/>
      <c r="AH735" s="1104"/>
      <c r="AI735" s="1105"/>
      <c r="AJ735" s="1105"/>
      <c r="AK735" s="1105"/>
      <c r="AL735" s="1106"/>
      <c r="AM735" s="1107" t="str">
        <f t="shared" si="46"/>
        <v/>
      </c>
      <c r="AN735" s="1108"/>
      <c r="AO735" s="1109"/>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089"/>
      <c r="C736" s="1090"/>
      <c r="D736" s="1090"/>
      <c r="E736" s="1090"/>
      <c r="F736" s="1091"/>
      <c r="G736" s="1092"/>
      <c r="H736" s="1093"/>
      <c r="I736" s="1093"/>
      <c r="J736" s="1094"/>
      <c r="K736" s="1095"/>
      <c r="L736" s="1096"/>
      <c r="M736" s="1096"/>
      <c r="N736" s="1097"/>
      <c r="O736" s="1098"/>
      <c r="P736" s="1099"/>
      <c r="Q736" s="1099"/>
      <c r="R736" s="1099"/>
      <c r="S736" s="1100"/>
      <c r="T736" s="1101">
        <f t="shared" si="44"/>
        <v>0</v>
      </c>
      <c r="U736" s="1102"/>
      <c r="V736" s="1102"/>
      <c r="W736" s="1102"/>
      <c r="X736" s="1103"/>
      <c r="Y736" s="1098"/>
      <c r="Z736" s="1099"/>
      <c r="AA736" s="1099"/>
      <c r="AB736" s="1100"/>
      <c r="AC736" s="1101">
        <f t="shared" si="45"/>
        <v>0</v>
      </c>
      <c r="AD736" s="1102"/>
      <c r="AE736" s="1102"/>
      <c r="AF736" s="1102"/>
      <c r="AG736" s="1103"/>
      <c r="AH736" s="1104"/>
      <c r="AI736" s="1105"/>
      <c r="AJ736" s="1105"/>
      <c r="AK736" s="1105"/>
      <c r="AL736" s="1106"/>
      <c r="AM736" s="1107" t="str">
        <f t="shared" si="46"/>
        <v/>
      </c>
      <c r="AN736" s="1108"/>
      <c r="AO736" s="1109"/>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089"/>
      <c r="C737" s="1090"/>
      <c r="D737" s="1090"/>
      <c r="E737" s="1090"/>
      <c r="F737" s="1091"/>
      <c r="G737" s="1092"/>
      <c r="H737" s="1093"/>
      <c r="I737" s="1093"/>
      <c r="J737" s="1094"/>
      <c r="K737" s="1095"/>
      <c r="L737" s="1096"/>
      <c r="M737" s="1096"/>
      <c r="N737" s="1097"/>
      <c r="O737" s="1098"/>
      <c r="P737" s="1099"/>
      <c r="Q737" s="1099"/>
      <c r="R737" s="1099"/>
      <c r="S737" s="1100"/>
      <c r="T737" s="1101">
        <f t="shared" si="34"/>
        <v>0</v>
      </c>
      <c r="U737" s="1102"/>
      <c r="V737" s="1102"/>
      <c r="W737" s="1102"/>
      <c r="X737" s="1103"/>
      <c r="Y737" s="1098"/>
      <c r="Z737" s="1099"/>
      <c r="AA737" s="1099"/>
      <c r="AB737" s="1100"/>
      <c r="AC737" s="1101">
        <f t="shared" si="35"/>
        <v>0</v>
      </c>
      <c r="AD737" s="1102"/>
      <c r="AE737" s="1102"/>
      <c r="AF737" s="1102"/>
      <c r="AG737" s="1103"/>
      <c r="AH737" s="1104"/>
      <c r="AI737" s="1105"/>
      <c r="AJ737" s="1105"/>
      <c r="AK737" s="1105"/>
      <c r="AL737" s="1106"/>
      <c r="AM737" s="1107" t="str">
        <f>IF($AH737&gt;0,($AC737/$AV737), "")</f>
        <v/>
      </c>
      <c r="AN737" s="1108"/>
      <c r="AO737" s="1109"/>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18" t="s">
        <v>876</v>
      </c>
      <c r="C738" s="1119"/>
      <c r="D738" s="1119"/>
      <c r="E738" s="1119"/>
      <c r="F738" s="1121"/>
      <c r="G738" s="1317">
        <f>SUM(G703:J737)</f>
        <v>100</v>
      </c>
      <c r="H738" s="1318"/>
      <c r="I738" s="1318"/>
      <c r="J738" s="1319"/>
      <c r="O738" s="427" t="s">
        <v>875</v>
      </c>
      <c r="P738" s="166"/>
      <c r="Q738" s="166"/>
      <c r="R738" s="166"/>
      <c r="S738" s="839"/>
      <c r="T738" s="1101">
        <f>SUM(T703:X737)</f>
        <v>79200</v>
      </c>
      <c r="U738" s="1102"/>
      <c r="V738" s="1102"/>
      <c r="W738" s="1102"/>
      <c r="X738" s="1103"/>
      <c r="AC738" s="840" t="s">
        <v>1138</v>
      </c>
      <c r="AD738" s="841"/>
      <c r="AE738" s="841"/>
      <c r="AF738" s="841"/>
      <c r="AG738" s="842"/>
      <c r="AH738" s="1516">
        <f>BA738</f>
        <v>0.5</v>
      </c>
      <c r="AI738" s="1517"/>
      <c r="AJ738" s="1517"/>
      <c r="AK738" s="1517"/>
      <c r="AL738" s="1518"/>
      <c r="AM738" s="1516">
        <f>IFERROR(BG738,0)</f>
        <v>0.48000000000000004</v>
      </c>
      <c r="AN738" s="1517"/>
      <c r="AO738" s="1518"/>
      <c r="AX738" s="62" t="s">
        <v>874</v>
      </c>
      <c r="AY738" s="451">
        <f>SUM(AY703:AY737)</f>
        <v>100</v>
      </c>
      <c r="AZ738" s="452">
        <f>SUM(AZ703:AZ737)</f>
        <v>1</v>
      </c>
      <c r="BA738" s="452">
        <f>SUM(BA703:BA737)</f>
        <v>0.5</v>
      </c>
      <c r="BB738" s="41"/>
      <c r="BC738" s="41"/>
      <c r="BD738" s="41"/>
      <c r="BE738" s="849">
        <f>SUM(BE703:BE737)</f>
        <v>100</v>
      </c>
      <c r="BF738" s="850">
        <f>SUM(BF703:BF737)</f>
        <v>1</v>
      </c>
      <c r="BG738" s="850">
        <f>SUM(BG703:BG737)</f>
        <v>0.48000000000000004</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300" t="s">
        <v>2046</v>
      </c>
      <c r="D739" s="1300"/>
      <c r="E739" s="1300"/>
      <c r="F739" s="1300"/>
      <c r="G739" s="1300"/>
      <c r="H739" s="1300"/>
      <c r="I739" s="1300"/>
      <c r="J739" s="1300"/>
      <c r="K739" s="1300"/>
      <c r="L739" s="1300"/>
      <c r="M739" s="1300"/>
      <c r="N739" s="1300"/>
      <c r="O739" s="1300"/>
      <c r="P739" s="1300"/>
      <c r="Q739" s="1300"/>
      <c r="R739" s="1300"/>
      <c r="S739" s="1300"/>
      <c r="T739" s="1300"/>
      <c r="U739" s="1300"/>
      <c r="V739" s="1300"/>
      <c r="W739" s="1300"/>
      <c r="X739" s="1300"/>
      <c r="Y739" s="1300"/>
      <c r="Z739" s="1300"/>
      <c r="AA739" s="1300"/>
      <c r="AB739" s="1300"/>
      <c r="AC739" s="1300"/>
      <c r="AD739" s="1300"/>
      <c r="AE739" s="1300"/>
      <c r="AF739" s="1300"/>
      <c r="AG739" s="1300"/>
      <c r="AH739" s="1300"/>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300"/>
      <c r="D740" s="1300"/>
      <c r="E740" s="1300"/>
      <c r="F740" s="1300"/>
      <c r="G740" s="1300"/>
      <c r="H740" s="1300"/>
      <c r="I740" s="1300"/>
      <c r="J740" s="1300"/>
      <c r="K740" s="1300"/>
      <c r="L740" s="1300"/>
      <c r="M740" s="1300"/>
      <c r="N740" s="1300"/>
      <c r="O740" s="1300"/>
      <c r="P740" s="1300"/>
      <c r="Q740" s="1300"/>
      <c r="R740" s="1300"/>
      <c r="S740" s="1300"/>
      <c r="T740" s="1300"/>
      <c r="U740" s="1300"/>
      <c r="V740" s="1300"/>
      <c r="W740" s="1300"/>
      <c r="X740" s="1300"/>
      <c r="Y740" s="1300"/>
      <c r="Z740" s="1300"/>
      <c r="AA740" s="1300"/>
      <c r="AB740" s="1300"/>
      <c r="AC740" s="1300"/>
      <c r="AD740" s="1300"/>
      <c r="AE740" s="1300"/>
      <c r="AF740" s="1300"/>
      <c r="AG740" s="1300"/>
      <c r="AH740" s="1300"/>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2047</v>
      </c>
      <c r="D741" s="918"/>
      <c r="E741" s="918"/>
      <c r="F741" s="918"/>
      <c r="G741" s="919"/>
      <c r="H741" s="919"/>
      <c r="I741" s="919"/>
      <c r="J741" s="919"/>
      <c r="K741" s="918"/>
      <c r="L741" s="918"/>
      <c r="M741" s="918"/>
      <c r="N741" s="918"/>
      <c r="O741" s="1256">
        <f>CQ636</f>
        <v>100</v>
      </c>
      <c r="P741" s="1256"/>
      <c r="Q741" s="1256"/>
      <c r="R741" s="1256"/>
      <c r="S741" s="920"/>
      <c r="T741" s="920"/>
      <c r="U741" s="268" t="s">
        <v>2048</v>
      </c>
      <c r="V741" s="918"/>
      <c r="W741" s="918"/>
      <c r="X741" s="918"/>
      <c r="Y741" s="919"/>
      <c r="Z741" s="919"/>
      <c r="AA741" s="919"/>
      <c r="AB741" s="919"/>
      <c r="AC741" s="918"/>
      <c r="AD741" s="918"/>
      <c r="AE741" s="918"/>
      <c r="AF741" s="918"/>
      <c r="AG741" s="1321">
        <v>0</v>
      </c>
      <c r="AH741" s="1321"/>
      <c r="AI741" s="1321"/>
      <c r="AJ741" s="1321"/>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582" t="str">
        <f>IF(G738&lt;&gt;AG441,"! Total Low-Income Units in the Unit Mix Table above does not match the number of Total Low-Income Units on row #"&amp;TEXT(ROW(AG441),"#"),"")</f>
        <v/>
      </c>
      <c r="D742" s="1582"/>
      <c r="E742" s="1582"/>
      <c r="F742" s="1582"/>
      <c r="G742" s="1582"/>
      <c r="H742" s="1582"/>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c r="AF742" s="1582"/>
      <c r="AG742" s="1582"/>
      <c r="AH742" s="1582"/>
      <c r="AI742" s="1582"/>
      <c r="AJ742" s="1582"/>
      <c r="AK742" s="1582"/>
      <c r="AL742" s="1582"/>
      <c r="AM742" s="1582"/>
      <c r="AN742" s="1582"/>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582"/>
      <c r="D743" s="1582"/>
      <c r="E743" s="1582"/>
      <c r="F743" s="1582"/>
      <c r="G743" s="1582"/>
      <c r="H743" s="1582"/>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c r="AF743" s="1582"/>
      <c r="AG743" s="1582"/>
      <c r="AH743" s="1582"/>
      <c r="AI743" s="1582"/>
      <c r="AJ743" s="1582"/>
      <c r="AK743" s="1582"/>
      <c r="AL743" s="1582"/>
      <c r="AM743" s="1582"/>
      <c r="AN743" s="1582"/>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2" t="s">
        <v>124</v>
      </c>
      <c r="AA744" s="1522"/>
      <c r="AB744" s="1522"/>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82" t="s">
        <v>2044</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82" t="s">
        <v>1515</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308" t="s">
        <v>54</v>
      </c>
      <c r="K756" s="1309"/>
      <c r="L756" s="1309"/>
      <c r="M756" s="1309"/>
      <c r="N756" s="1310"/>
      <c r="O756" s="1235" t="s">
        <v>256</v>
      </c>
      <c r="P756" s="1235"/>
      <c r="Q756" s="1235"/>
      <c r="R756" s="1235"/>
      <c r="S756" s="1235"/>
      <c r="T756" s="1457" t="s">
        <v>1980</v>
      </c>
      <c r="U756" s="1458"/>
      <c r="V756" s="1458"/>
      <c r="W756" s="1459"/>
      <c r="X756" s="1308" t="s">
        <v>588</v>
      </c>
      <c r="Y756" s="1309"/>
      <c r="Z756" s="1309"/>
      <c r="AA756" s="1309"/>
      <c r="AB756" s="1310"/>
      <c r="AC756" s="1308" t="s">
        <v>257</v>
      </c>
      <c r="AD756" s="1309"/>
      <c r="AE756" s="1309"/>
      <c r="AF756" s="1309"/>
      <c r="AG756" s="131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311"/>
      <c r="K757" s="1312"/>
      <c r="L757" s="1312"/>
      <c r="M757" s="1312"/>
      <c r="N757" s="1313"/>
      <c r="O757" s="1235"/>
      <c r="P757" s="1235"/>
      <c r="Q757" s="1235"/>
      <c r="R757" s="1235"/>
      <c r="S757" s="1235"/>
      <c r="T757" s="1460"/>
      <c r="U757" s="1461"/>
      <c r="V757" s="1461"/>
      <c r="W757" s="1462"/>
      <c r="X757" s="1311"/>
      <c r="Y757" s="1312"/>
      <c r="Z757" s="1312"/>
      <c r="AA757" s="1312"/>
      <c r="AB757" s="1313"/>
      <c r="AC757" s="1311"/>
      <c r="AD757" s="1312"/>
      <c r="AE757" s="1312"/>
      <c r="AF757" s="1312"/>
      <c r="AG757" s="131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311"/>
      <c r="K758" s="1312"/>
      <c r="L758" s="1312"/>
      <c r="M758" s="1312"/>
      <c r="N758" s="1313"/>
      <c r="O758" s="1235"/>
      <c r="P758" s="1235"/>
      <c r="Q758" s="1235"/>
      <c r="R758" s="1235"/>
      <c r="S758" s="1235"/>
      <c r="T758" s="1460"/>
      <c r="U758" s="1461"/>
      <c r="V758" s="1461"/>
      <c r="W758" s="1462"/>
      <c r="X758" s="1311"/>
      <c r="Y758" s="1312"/>
      <c r="Z758" s="1312"/>
      <c r="AA758" s="1312"/>
      <c r="AB758" s="1313"/>
      <c r="AC758" s="1311"/>
      <c r="AD758" s="1312"/>
      <c r="AE758" s="1312"/>
      <c r="AF758" s="1312"/>
      <c r="AG758" s="131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314"/>
      <c r="K759" s="1315"/>
      <c r="L759" s="1315"/>
      <c r="M759" s="1315"/>
      <c r="N759" s="1316"/>
      <c r="O759" s="1235"/>
      <c r="P759" s="1235"/>
      <c r="Q759" s="1235"/>
      <c r="R759" s="1235"/>
      <c r="S759" s="1235"/>
      <c r="T759" s="1519"/>
      <c r="U759" s="1520"/>
      <c r="V759" s="1520"/>
      <c r="W759" s="1521"/>
      <c r="X759" s="1314"/>
      <c r="Y759" s="1315"/>
      <c r="Z759" s="1315"/>
      <c r="AA759" s="1315"/>
      <c r="AB759" s="1316"/>
      <c r="AC759" s="1314"/>
      <c r="AD759" s="1315"/>
      <c r="AE759" s="1315"/>
      <c r="AF759" s="1315"/>
      <c r="AG759" s="131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089" t="s">
        <v>779</v>
      </c>
      <c r="K760" s="1090"/>
      <c r="L760" s="1090"/>
      <c r="M760" s="1090"/>
      <c r="N760" s="1091"/>
      <c r="O760" s="1254">
        <v>1</v>
      </c>
      <c r="P760" s="1254"/>
      <c r="Q760" s="1254"/>
      <c r="R760" s="1254"/>
      <c r="S760" s="1254"/>
      <c r="T760" s="1095">
        <v>864</v>
      </c>
      <c r="U760" s="1096"/>
      <c r="V760" s="1096"/>
      <c r="W760" s="1097"/>
      <c r="X760" s="1098">
        <v>0</v>
      </c>
      <c r="Y760" s="1099"/>
      <c r="Z760" s="1099"/>
      <c r="AA760" s="1099"/>
      <c r="AB760" s="1100"/>
      <c r="AC760" s="1101">
        <f>X760*O760</f>
        <v>0</v>
      </c>
      <c r="AD760" s="1102"/>
      <c r="AE760" s="1102"/>
      <c r="AF760" s="1102"/>
      <c r="AG760" s="110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089"/>
      <c r="K761" s="1090"/>
      <c r="L761" s="1090"/>
      <c r="M761" s="1090"/>
      <c r="N761" s="1091"/>
      <c r="O761" s="1254"/>
      <c r="P761" s="1254"/>
      <c r="Q761" s="1254"/>
      <c r="R761" s="1254"/>
      <c r="S761" s="1254"/>
      <c r="T761" s="1095"/>
      <c r="U761" s="1096"/>
      <c r="V761" s="1096"/>
      <c r="W761" s="1097"/>
      <c r="X761" s="1098"/>
      <c r="Y761" s="1099"/>
      <c r="Z761" s="1099"/>
      <c r="AA761" s="1099"/>
      <c r="AB761" s="1100"/>
      <c r="AC761" s="1101">
        <f>X761*O761</f>
        <v>0</v>
      </c>
      <c r="AD761" s="1102"/>
      <c r="AE761" s="1102"/>
      <c r="AF761" s="1102"/>
      <c r="AG761" s="110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089"/>
      <c r="K762" s="1090"/>
      <c r="L762" s="1090"/>
      <c r="M762" s="1090"/>
      <c r="N762" s="1091"/>
      <c r="O762" s="1254"/>
      <c r="P762" s="1254"/>
      <c r="Q762" s="1254"/>
      <c r="R762" s="1254"/>
      <c r="S762" s="1254"/>
      <c r="T762" s="1095"/>
      <c r="U762" s="1096"/>
      <c r="V762" s="1096"/>
      <c r="W762" s="1097"/>
      <c r="X762" s="1098"/>
      <c r="Y762" s="1099"/>
      <c r="Z762" s="1099"/>
      <c r="AA762" s="1099"/>
      <c r="AB762" s="1100"/>
      <c r="AC762" s="1101">
        <f>X762*O762</f>
        <v>0</v>
      </c>
      <c r="AD762" s="1102"/>
      <c r="AE762" s="1102"/>
      <c r="AF762" s="1102"/>
      <c r="AG762" s="110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089"/>
      <c r="K763" s="1090"/>
      <c r="L763" s="1090"/>
      <c r="M763" s="1090"/>
      <c r="N763" s="1091"/>
      <c r="O763" s="1254"/>
      <c r="P763" s="1254"/>
      <c r="Q763" s="1254"/>
      <c r="R763" s="1254"/>
      <c r="S763" s="1254"/>
      <c r="T763" s="1095"/>
      <c r="U763" s="1096"/>
      <c r="V763" s="1096"/>
      <c r="W763" s="1097"/>
      <c r="X763" s="1098"/>
      <c r="Y763" s="1099"/>
      <c r="Z763" s="1099"/>
      <c r="AA763" s="1099"/>
      <c r="AB763" s="1100"/>
      <c r="AC763" s="1101">
        <f>X763*O763</f>
        <v>0</v>
      </c>
      <c r="AD763" s="1102"/>
      <c r="AE763" s="1102"/>
      <c r="AF763" s="1102"/>
      <c r="AG763" s="110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18" t="s">
        <v>876</v>
      </c>
      <c r="K764" s="1119"/>
      <c r="L764" s="1119"/>
      <c r="M764" s="1119"/>
      <c r="N764" s="1121"/>
      <c r="O764" s="1087">
        <f>SUM(O760:S763)</f>
        <v>1</v>
      </c>
      <c r="P764" s="1253"/>
      <c r="Q764" s="1253"/>
      <c r="R764" s="1253"/>
      <c r="S764" s="1088"/>
      <c r="X764" s="1118" t="s">
        <v>875</v>
      </c>
      <c r="Y764" s="1119"/>
      <c r="Z764" s="1119"/>
      <c r="AA764" s="1119"/>
      <c r="AB764" s="1121"/>
      <c r="AC764" s="1101">
        <f>SUM(AC760:AG763)</f>
        <v>0</v>
      </c>
      <c r="AD764" s="1102"/>
      <c r="AE764" s="1102"/>
      <c r="AF764" s="1102"/>
      <c r="AG764" s="110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11" t="s">
        <v>482</v>
      </c>
      <c r="K766" s="1111"/>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308" t="s">
        <v>54</v>
      </c>
      <c r="K770" s="1309"/>
      <c r="L770" s="1309"/>
      <c r="M770" s="1309"/>
      <c r="N770" s="1310"/>
      <c r="O770" s="1235" t="s">
        <v>256</v>
      </c>
      <c r="P770" s="1235"/>
      <c r="Q770" s="1235"/>
      <c r="R770" s="1235"/>
      <c r="S770" s="1235"/>
      <c r="T770" s="1457" t="s">
        <v>1980</v>
      </c>
      <c r="U770" s="1458"/>
      <c r="V770" s="1458"/>
      <c r="W770" s="1459"/>
      <c r="X770" s="1308" t="s">
        <v>588</v>
      </c>
      <c r="Y770" s="1309"/>
      <c r="Z770" s="1309"/>
      <c r="AA770" s="1309"/>
      <c r="AB770" s="1310"/>
      <c r="AC770" s="1308" t="s">
        <v>257</v>
      </c>
      <c r="AD770" s="1309"/>
      <c r="AE770" s="1309"/>
      <c r="AF770" s="1309"/>
      <c r="AG770" s="131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311"/>
      <c r="K771" s="1312"/>
      <c r="L771" s="1312"/>
      <c r="M771" s="1312"/>
      <c r="N771" s="1313"/>
      <c r="O771" s="1235"/>
      <c r="P771" s="1235"/>
      <c r="Q771" s="1235"/>
      <c r="R771" s="1235"/>
      <c r="S771" s="1235"/>
      <c r="T771" s="1460"/>
      <c r="U771" s="1461"/>
      <c r="V771" s="1461"/>
      <c r="W771" s="1462"/>
      <c r="X771" s="1311"/>
      <c r="Y771" s="1312"/>
      <c r="Z771" s="1312"/>
      <c r="AA771" s="1312"/>
      <c r="AB771" s="1313"/>
      <c r="AC771" s="1311"/>
      <c r="AD771" s="1312"/>
      <c r="AE771" s="1312"/>
      <c r="AF771" s="1312"/>
      <c r="AG771" s="131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311"/>
      <c r="K772" s="1312"/>
      <c r="L772" s="1312"/>
      <c r="M772" s="1312"/>
      <c r="N772" s="1313"/>
      <c r="O772" s="1235"/>
      <c r="P772" s="1235"/>
      <c r="Q772" s="1235"/>
      <c r="R772" s="1235"/>
      <c r="S772" s="1235"/>
      <c r="T772" s="1460"/>
      <c r="U772" s="1461"/>
      <c r="V772" s="1461"/>
      <c r="W772" s="1462"/>
      <c r="X772" s="1311"/>
      <c r="Y772" s="1312"/>
      <c r="Z772" s="1312"/>
      <c r="AA772" s="1312"/>
      <c r="AB772" s="1313"/>
      <c r="AC772" s="1311"/>
      <c r="AD772" s="1312"/>
      <c r="AE772" s="1312"/>
      <c r="AF772" s="1312"/>
      <c r="AG772" s="13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314"/>
      <c r="K773" s="1315"/>
      <c r="L773" s="1315"/>
      <c r="M773" s="1315"/>
      <c r="N773" s="1316"/>
      <c r="O773" s="1235"/>
      <c r="P773" s="1235"/>
      <c r="Q773" s="1235"/>
      <c r="R773" s="1235"/>
      <c r="S773" s="1235"/>
      <c r="T773" s="1519"/>
      <c r="U773" s="1520"/>
      <c r="V773" s="1520"/>
      <c r="W773" s="1521"/>
      <c r="X773" s="1314"/>
      <c r="Y773" s="1315"/>
      <c r="Z773" s="1315"/>
      <c r="AA773" s="1315"/>
      <c r="AB773" s="1316"/>
      <c r="AC773" s="1314"/>
      <c r="AD773" s="1315"/>
      <c r="AE773" s="1315"/>
      <c r="AF773" s="1315"/>
      <c r="AG773" s="131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089"/>
      <c r="K774" s="1090"/>
      <c r="L774" s="1090"/>
      <c r="M774" s="1090"/>
      <c r="N774" s="1091"/>
      <c r="O774" s="1254"/>
      <c r="P774" s="1254"/>
      <c r="Q774" s="1254"/>
      <c r="R774" s="1254"/>
      <c r="S774" s="1254"/>
      <c r="T774" s="1095"/>
      <c r="U774" s="1096"/>
      <c r="V774" s="1096"/>
      <c r="W774" s="1097"/>
      <c r="X774" s="1098"/>
      <c r="Y774" s="1099"/>
      <c r="Z774" s="1099"/>
      <c r="AA774" s="1099"/>
      <c r="AB774" s="1100"/>
      <c r="AC774" s="1101">
        <f t="shared" ref="AC774:AC783" si="53">X774*O774</f>
        <v>0</v>
      </c>
      <c r="AD774" s="1102"/>
      <c r="AE774" s="1102"/>
      <c r="AF774" s="1102"/>
      <c r="AG774" s="110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089"/>
      <c r="K775" s="1090"/>
      <c r="L775" s="1090"/>
      <c r="M775" s="1090"/>
      <c r="N775" s="1091"/>
      <c r="O775" s="1254"/>
      <c r="P775" s="1254"/>
      <c r="Q775" s="1254"/>
      <c r="R775" s="1254"/>
      <c r="S775" s="1254"/>
      <c r="T775" s="1095"/>
      <c r="U775" s="1096"/>
      <c r="V775" s="1096"/>
      <c r="W775" s="1097"/>
      <c r="X775" s="1098"/>
      <c r="Y775" s="1099"/>
      <c r="Z775" s="1099"/>
      <c r="AA775" s="1099"/>
      <c r="AB775" s="1100"/>
      <c r="AC775" s="1101">
        <f t="shared" si="53"/>
        <v>0</v>
      </c>
      <c r="AD775" s="1102"/>
      <c r="AE775" s="1102"/>
      <c r="AF775" s="1102"/>
      <c r="AG775" s="110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089"/>
      <c r="K776" s="1090"/>
      <c r="L776" s="1090"/>
      <c r="M776" s="1090"/>
      <c r="N776" s="1091"/>
      <c r="O776" s="1254"/>
      <c r="P776" s="1254"/>
      <c r="Q776" s="1254"/>
      <c r="R776" s="1254"/>
      <c r="S776" s="1254"/>
      <c r="T776" s="1095"/>
      <c r="U776" s="1096"/>
      <c r="V776" s="1096"/>
      <c r="W776" s="1097"/>
      <c r="X776" s="1098"/>
      <c r="Y776" s="1099"/>
      <c r="Z776" s="1099"/>
      <c r="AA776" s="1099"/>
      <c r="AB776" s="1100"/>
      <c r="AC776" s="1101">
        <f t="shared" si="53"/>
        <v>0</v>
      </c>
      <c r="AD776" s="1102"/>
      <c r="AE776" s="1102"/>
      <c r="AF776" s="1102"/>
      <c r="AG776" s="110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089"/>
      <c r="K777" s="1090"/>
      <c r="L777" s="1090"/>
      <c r="M777" s="1090"/>
      <c r="N777" s="1091"/>
      <c r="O777" s="1254"/>
      <c r="P777" s="1254"/>
      <c r="Q777" s="1254"/>
      <c r="R777" s="1254"/>
      <c r="S777" s="1254"/>
      <c r="T777" s="1095"/>
      <c r="U777" s="1096"/>
      <c r="V777" s="1096"/>
      <c r="W777" s="1097"/>
      <c r="X777" s="1098"/>
      <c r="Y777" s="1099"/>
      <c r="Z777" s="1099"/>
      <c r="AA777" s="1099"/>
      <c r="AB777" s="1100"/>
      <c r="AC777" s="1101">
        <f t="shared" si="53"/>
        <v>0</v>
      </c>
      <c r="AD777" s="1102"/>
      <c r="AE777" s="1102"/>
      <c r="AF777" s="1102"/>
      <c r="AG777" s="110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089"/>
      <c r="K778" s="1090"/>
      <c r="L778" s="1090"/>
      <c r="M778" s="1090"/>
      <c r="N778" s="1091"/>
      <c r="O778" s="1254"/>
      <c r="P778" s="1254"/>
      <c r="Q778" s="1254"/>
      <c r="R778" s="1254"/>
      <c r="S778" s="1254"/>
      <c r="T778" s="1095"/>
      <c r="U778" s="1096"/>
      <c r="V778" s="1096"/>
      <c r="W778" s="1097"/>
      <c r="X778" s="1098"/>
      <c r="Y778" s="1099"/>
      <c r="Z778" s="1099"/>
      <c r="AA778" s="1099"/>
      <c r="AB778" s="1100"/>
      <c r="AC778" s="1101">
        <f t="shared" si="53"/>
        <v>0</v>
      </c>
      <c r="AD778" s="1102"/>
      <c r="AE778" s="1102"/>
      <c r="AF778" s="1102"/>
      <c r="AG778" s="110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089"/>
      <c r="K779" s="1090"/>
      <c r="L779" s="1090"/>
      <c r="M779" s="1090"/>
      <c r="N779" s="1091"/>
      <c r="O779" s="1254"/>
      <c r="P779" s="1254"/>
      <c r="Q779" s="1254"/>
      <c r="R779" s="1254"/>
      <c r="S779" s="1254"/>
      <c r="T779" s="1095"/>
      <c r="U779" s="1096"/>
      <c r="V779" s="1096"/>
      <c r="W779" s="1097"/>
      <c r="X779" s="1098"/>
      <c r="Y779" s="1099"/>
      <c r="Z779" s="1099"/>
      <c r="AA779" s="1099"/>
      <c r="AB779" s="1100"/>
      <c r="AC779" s="1101">
        <f t="shared" si="53"/>
        <v>0</v>
      </c>
      <c r="AD779" s="1102"/>
      <c r="AE779" s="1102"/>
      <c r="AF779" s="1102"/>
      <c r="AG779" s="11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089"/>
      <c r="K780" s="1090"/>
      <c r="L780" s="1090"/>
      <c r="M780" s="1090"/>
      <c r="N780" s="1091"/>
      <c r="O780" s="1254"/>
      <c r="P780" s="1254"/>
      <c r="Q780" s="1254"/>
      <c r="R780" s="1254"/>
      <c r="S780" s="1254"/>
      <c r="T780" s="1095"/>
      <c r="U780" s="1096"/>
      <c r="V780" s="1096"/>
      <c r="W780" s="1097"/>
      <c r="X780" s="1098"/>
      <c r="Y780" s="1099"/>
      <c r="Z780" s="1099"/>
      <c r="AA780" s="1099"/>
      <c r="AB780" s="1100"/>
      <c r="AC780" s="1101">
        <f t="shared" si="53"/>
        <v>0</v>
      </c>
      <c r="AD780" s="1102"/>
      <c r="AE780" s="1102"/>
      <c r="AF780" s="1102"/>
      <c r="AG780" s="11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089"/>
      <c r="K781" s="1090"/>
      <c r="L781" s="1090"/>
      <c r="M781" s="1090"/>
      <c r="N781" s="1091"/>
      <c r="O781" s="1254"/>
      <c r="P781" s="1254"/>
      <c r="Q781" s="1254"/>
      <c r="R781" s="1254"/>
      <c r="S781" s="1254"/>
      <c r="T781" s="1095"/>
      <c r="U781" s="1096"/>
      <c r="V781" s="1096"/>
      <c r="W781" s="1097"/>
      <c r="X781" s="1098"/>
      <c r="Y781" s="1099"/>
      <c r="Z781" s="1099"/>
      <c r="AA781" s="1099"/>
      <c r="AB781" s="1100"/>
      <c r="AC781" s="1101">
        <f t="shared" si="53"/>
        <v>0</v>
      </c>
      <c r="AD781" s="1102"/>
      <c r="AE781" s="1102"/>
      <c r="AF781" s="1102"/>
      <c r="AG781" s="110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089"/>
      <c r="K782" s="1090"/>
      <c r="L782" s="1090"/>
      <c r="M782" s="1090"/>
      <c r="N782" s="1091"/>
      <c r="O782" s="1254"/>
      <c r="P782" s="1254"/>
      <c r="Q782" s="1254"/>
      <c r="R782" s="1254"/>
      <c r="S782" s="1254"/>
      <c r="T782" s="1095"/>
      <c r="U782" s="1096"/>
      <c r="V782" s="1096"/>
      <c r="W782" s="1097"/>
      <c r="X782" s="1098"/>
      <c r="Y782" s="1099"/>
      <c r="Z782" s="1099"/>
      <c r="AA782" s="1099"/>
      <c r="AB782" s="1100"/>
      <c r="AC782" s="1101">
        <f t="shared" si="53"/>
        <v>0</v>
      </c>
      <c r="AD782" s="1102"/>
      <c r="AE782" s="1102"/>
      <c r="AF782" s="1102"/>
      <c r="AG782" s="110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089"/>
      <c r="K783" s="1090"/>
      <c r="L783" s="1090"/>
      <c r="M783" s="1090"/>
      <c r="N783" s="1091"/>
      <c r="O783" s="1254"/>
      <c r="P783" s="1254"/>
      <c r="Q783" s="1254"/>
      <c r="R783" s="1254"/>
      <c r="S783" s="1254"/>
      <c r="T783" s="1095"/>
      <c r="U783" s="1096"/>
      <c r="V783" s="1096"/>
      <c r="W783" s="1097"/>
      <c r="X783" s="1098"/>
      <c r="Y783" s="1099"/>
      <c r="Z783" s="1099"/>
      <c r="AA783" s="1099"/>
      <c r="AB783" s="1100"/>
      <c r="AC783" s="1101">
        <f t="shared" si="53"/>
        <v>0</v>
      </c>
      <c r="AD783" s="1102"/>
      <c r="AE783" s="1102"/>
      <c r="AF783" s="1102"/>
      <c r="AG783" s="110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18" t="s">
        <v>876</v>
      </c>
      <c r="K784" s="1119"/>
      <c r="L784" s="1119"/>
      <c r="M784" s="1119"/>
      <c r="N784" s="1121"/>
      <c r="O784" s="1256">
        <f>SUM(O774:S783)</f>
        <v>0</v>
      </c>
      <c r="P784" s="1256"/>
      <c r="Q784" s="1256"/>
      <c r="R784" s="1256"/>
      <c r="S784" s="1256"/>
      <c r="X784" s="427" t="s">
        <v>875</v>
      </c>
      <c r="Y784" s="166"/>
      <c r="Z784" s="166"/>
      <c r="AA784" s="166"/>
      <c r="AB784" s="839"/>
      <c r="AC784" s="1101">
        <f>SUM(AC774:AG783)</f>
        <v>0</v>
      </c>
      <c r="AD784" s="1102"/>
      <c r="AE784" s="1102"/>
      <c r="AF784" s="1102"/>
      <c r="AG784" s="110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582" t="str">
        <f>IF(O784&lt;&gt;AG439,"! Total market rate units in the Unit Mix Table above does not match the number of market rate units on row #"&amp;TEXT(ROW(AG439),"#"),"")</f>
        <v/>
      </c>
      <c r="D785" s="1582"/>
      <c r="E785" s="1582"/>
      <c r="F785" s="1582"/>
      <c r="G785" s="1582"/>
      <c r="H785" s="1582"/>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c r="AF785" s="1582"/>
      <c r="AG785" s="1582"/>
      <c r="AH785" s="1582"/>
      <c r="AI785" s="1582"/>
      <c r="AJ785" s="1582"/>
      <c r="AK785" s="1582"/>
      <c r="AL785" s="1582"/>
      <c r="AM785" s="1582"/>
      <c r="AN785" s="158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582"/>
      <c r="D786" s="1582"/>
      <c r="E786" s="1582"/>
      <c r="F786" s="1582"/>
      <c r="G786" s="1582"/>
      <c r="H786" s="1582"/>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c r="AF786" s="1582"/>
      <c r="AG786" s="1582"/>
      <c r="AH786" s="1582"/>
      <c r="AI786" s="1582"/>
      <c r="AJ786" s="1582"/>
      <c r="AK786" s="1582"/>
      <c r="AL786" s="1582"/>
      <c r="AM786" s="1582"/>
      <c r="AN786" s="158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777</v>
      </c>
      <c r="Y787" s="1252">
        <f>T738+AC764+AC784</f>
        <v>79200</v>
      </c>
      <c r="Z787" s="1252"/>
      <c r="AA787" s="1252"/>
      <c r="AB787" s="1252"/>
      <c r="AC787" s="125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778</v>
      </c>
      <c r="Y788" s="1252">
        <f>(T738+AC764+AC784)*12</f>
        <v>950400</v>
      </c>
      <c r="Z788" s="1252"/>
      <c r="AA788" s="1252"/>
      <c r="AB788" s="1252"/>
      <c r="AC788" s="125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223">
        <v>92</v>
      </c>
      <c r="AA793" s="1224"/>
      <c r="AB793" s="1224"/>
      <c r="AC793" s="1224"/>
      <c r="AD793" s="1224"/>
      <c r="AE793" s="12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447">
        <v>30</v>
      </c>
      <c r="AA794" s="1224"/>
      <c r="AB794" s="1224"/>
      <c r="AC794" s="1224"/>
      <c r="AD794" s="1224"/>
      <c r="AE794" s="12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688</v>
      </c>
      <c r="I795" s="9"/>
      <c r="J795" s="9"/>
      <c r="K795" s="9"/>
      <c r="L795" s="9"/>
      <c r="M795" s="9"/>
      <c r="N795" s="9"/>
      <c r="O795" s="9"/>
      <c r="P795" s="9"/>
      <c r="Q795" s="9"/>
      <c r="R795" s="9"/>
      <c r="S795" s="9"/>
      <c r="T795" s="9"/>
      <c r="U795" s="9"/>
      <c r="V795" s="9"/>
      <c r="W795" s="9"/>
      <c r="X795" s="9"/>
      <c r="Y795" s="9"/>
      <c r="Z795" s="1453" t="s">
        <v>2472</v>
      </c>
      <c r="AA795" s="1284"/>
      <c r="AB795" s="1284"/>
      <c r="AC795" s="1284"/>
      <c r="AD795" s="1284"/>
      <c r="AE795" s="128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775</v>
      </c>
      <c r="Z796" s="1249">
        <f>'Subsidy Contract Calculation'!I40</f>
        <v>647184</v>
      </c>
      <c r="AA796" s="1250"/>
      <c r="AB796" s="1250"/>
      <c r="AC796" s="1250"/>
      <c r="AD796" s="1250"/>
      <c r="AE796" s="125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689</v>
      </c>
      <c r="I800" s="9"/>
      <c r="J800" s="9"/>
      <c r="K800" s="9"/>
      <c r="L800" s="9"/>
      <c r="M800" s="9"/>
      <c r="N800" s="9"/>
      <c r="O800" s="9"/>
      <c r="P800" s="9"/>
      <c r="Q800" s="9"/>
      <c r="R800" s="9"/>
      <c r="S800" s="9"/>
      <c r="T800" s="9"/>
      <c r="U800" s="9"/>
      <c r="V800" s="9"/>
      <c r="W800" s="9"/>
      <c r="X800" s="9"/>
      <c r="Y800" s="9"/>
      <c r="Z800" s="1243">
        <v>12450</v>
      </c>
      <c r="AA800" s="1244"/>
      <c r="AB800" s="1244"/>
      <c r="AC800" s="1244"/>
      <c r="AD800" s="1244"/>
      <c r="AE800" s="124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690</v>
      </c>
      <c r="I801" s="9"/>
      <c r="J801" s="9"/>
      <c r="K801" s="9"/>
      <c r="L801" s="9"/>
      <c r="M801" s="9"/>
      <c r="N801" s="9"/>
      <c r="O801" s="9"/>
      <c r="P801" s="9"/>
      <c r="Q801" s="9"/>
      <c r="R801" s="9"/>
      <c r="S801" s="9"/>
      <c r="T801" s="9"/>
      <c r="U801" s="9"/>
      <c r="V801" s="9"/>
      <c r="W801" s="9"/>
      <c r="X801" s="9"/>
      <c r="Y801" s="9"/>
      <c r="Z801" s="1243"/>
      <c r="AA801" s="1244"/>
      <c r="AB801" s="1244"/>
      <c r="AC801" s="1244"/>
      <c r="AD801" s="1244"/>
      <c r="AE801" s="124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691</v>
      </c>
      <c r="I802" s="9"/>
      <c r="J802" s="9"/>
      <c r="K802" s="9"/>
      <c r="L802" s="9"/>
      <c r="M802" s="9"/>
      <c r="N802" s="9"/>
      <c r="O802" s="9"/>
      <c r="P802" s="9"/>
      <c r="Q802" s="9"/>
      <c r="R802" s="9"/>
      <c r="S802" s="9"/>
      <c r="T802" s="9"/>
      <c r="U802" s="9"/>
      <c r="V802" s="9"/>
      <c r="W802" s="9"/>
      <c r="X802" s="9"/>
      <c r="Y802" s="9"/>
      <c r="Z802" s="1243"/>
      <c r="AA802" s="1244"/>
      <c r="AB802" s="1244"/>
      <c r="AC802" s="1244"/>
      <c r="AD802" s="1244"/>
      <c r="AE802" s="124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692</v>
      </c>
      <c r="I803" s="9"/>
      <c r="J803" s="9"/>
      <c r="K803" s="9"/>
      <c r="L803" s="9"/>
      <c r="M803" s="9"/>
      <c r="N803" s="9"/>
      <c r="O803" s="9"/>
      <c r="P803" s="1188" t="s">
        <v>561</v>
      </c>
      <c r="Q803" s="1189"/>
      <c r="R803" s="1189"/>
      <c r="S803" s="1189"/>
      <c r="T803" s="1189"/>
      <c r="U803" s="1189"/>
      <c r="V803" s="1189"/>
      <c r="W803" s="1189"/>
      <c r="X803" s="1189"/>
      <c r="Y803" s="1190"/>
      <c r="Z803" s="1243"/>
      <c r="AA803" s="1244"/>
      <c r="AB803" s="1244"/>
      <c r="AC803" s="1244"/>
      <c r="AD803" s="1244"/>
      <c r="AE803" s="124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776</v>
      </c>
      <c r="Z804" s="1239">
        <f>SUM(Z800:AE803)</f>
        <v>12450</v>
      </c>
      <c r="AA804" s="1240"/>
      <c r="AB804" s="1240"/>
      <c r="AC804" s="1240"/>
      <c r="AD804" s="1240"/>
      <c r="AE804" s="12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654</v>
      </c>
      <c r="Z805" s="1239">
        <f>Z804+Y788+Z796</f>
        <v>1610034</v>
      </c>
      <c r="AA805" s="1240"/>
      <c r="AB805" s="1240"/>
      <c r="AC805" s="1240"/>
      <c r="AD805" s="1240"/>
      <c r="AE805" s="12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198" t="s">
        <v>877</v>
      </c>
      <c r="N810" s="1198"/>
      <c r="O810" s="1198"/>
      <c r="P810" s="1236"/>
      <c r="Q810" s="1238" t="s">
        <v>263</v>
      </c>
      <c r="R810" s="1238"/>
      <c r="S810" s="1238"/>
      <c r="T810" s="1238"/>
      <c r="U810" s="1238" t="s">
        <v>264</v>
      </c>
      <c r="V810" s="1238"/>
      <c r="W810" s="1238"/>
      <c r="X810" s="1238"/>
      <c r="Y810" s="1238" t="s">
        <v>265</v>
      </c>
      <c r="Z810" s="1238"/>
      <c r="AA810" s="1238"/>
      <c r="AB810" s="1238"/>
      <c r="AC810" s="1238" t="s">
        <v>31</v>
      </c>
      <c r="AD810" s="1238"/>
      <c r="AE810" s="1238"/>
      <c r="AF810" s="1238"/>
      <c r="AG810" s="1320" t="s">
        <v>562</v>
      </c>
      <c r="AH810" s="1320"/>
      <c r="AI810" s="1320"/>
      <c r="AJ810" s="132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202"/>
      <c r="N811" s="1202"/>
      <c r="O811" s="1202"/>
      <c r="P811" s="1237"/>
      <c r="Q811" s="1238"/>
      <c r="R811" s="1238"/>
      <c r="S811" s="1238"/>
      <c r="T811" s="1238"/>
      <c r="U811" s="1238"/>
      <c r="V811" s="1238"/>
      <c r="W811" s="1238"/>
      <c r="X811" s="1238"/>
      <c r="Y811" s="1238"/>
      <c r="Z811" s="1238"/>
      <c r="AA811" s="1238"/>
      <c r="AB811" s="1238"/>
      <c r="AC811" s="1238"/>
      <c r="AD811" s="1238"/>
      <c r="AE811" s="1238"/>
      <c r="AF811" s="1238"/>
      <c r="AG811" s="1320"/>
      <c r="AH811" s="1320"/>
      <c r="AI811" s="1320"/>
      <c r="AJ811" s="132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246" t="s">
        <v>693</v>
      </c>
      <c r="D812" s="1247"/>
      <c r="E812" s="1247"/>
      <c r="F812" s="1247"/>
      <c r="G812" s="1247"/>
      <c r="H812" s="1247"/>
      <c r="I812" s="54"/>
      <c r="J812" s="54"/>
      <c r="K812" s="54"/>
      <c r="L812" s="55"/>
      <c r="M812" s="1213"/>
      <c r="N812" s="1213"/>
      <c r="O812" s="1213"/>
      <c r="P812" s="1213"/>
      <c r="Q812" s="1213"/>
      <c r="R812" s="1213"/>
      <c r="S812" s="1213"/>
      <c r="T812" s="1213"/>
      <c r="U812" s="1213"/>
      <c r="V812" s="1213"/>
      <c r="W812" s="1213"/>
      <c r="X812" s="1213"/>
      <c r="Y812" s="1213"/>
      <c r="Z812" s="1213"/>
      <c r="AA812" s="1213"/>
      <c r="AB812" s="1213"/>
      <c r="AC812" s="1194"/>
      <c r="AD812" s="1195"/>
      <c r="AE812" s="1195"/>
      <c r="AF812" s="1196"/>
      <c r="AG812" s="1194"/>
      <c r="AH812" s="1195"/>
      <c r="AI812" s="1195"/>
      <c r="AJ812" s="119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214" t="s">
        <v>694</v>
      </c>
      <c r="D813" s="1215"/>
      <c r="E813" s="1215"/>
      <c r="F813" s="1215"/>
      <c r="G813" s="1215"/>
      <c r="H813" s="1215"/>
      <c r="I813" s="9"/>
      <c r="J813" s="9"/>
      <c r="K813" s="9"/>
      <c r="L813" s="52"/>
      <c r="M813" s="1213"/>
      <c r="N813" s="1213"/>
      <c r="O813" s="1213"/>
      <c r="P813" s="1213"/>
      <c r="Q813" s="1213"/>
      <c r="R813" s="1213"/>
      <c r="S813" s="1213"/>
      <c r="T813" s="1213"/>
      <c r="U813" s="1213"/>
      <c r="V813" s="1213"/>
      <c r="W813" s="1213"/>
      <c r="X813" s="1213"/>
      <c r="Y813" s="1213"/>
      <c r="Z813" s="1213"/>
      <c r="AA813" s="1213"/>
      <c r="AB813" s="1213"/>
      <c r="AC813" s="1194"/>
      <c r="AD813" s="1195"/>
      <c r="AE813" s="1195"/>
      <c r="AF813" s="1196"/>
      <c r="AG813" s="1194"/>
      <c r="AH813" s="1195"/>
      <c r="AI813" s="1195"/>
      <c r="AJ813" s="119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214" t="s">
        <v>71</v>
      </c>
      <c r="D814" s="1215"/>
      <c r="E814" s="1215"/>
      <c r="F814" s="1215"/>
      <c r="G814" s="1215"/>
      <c r="H814" s="1215"/>
      <c r="I814" s="66"/>
      <c r="J814" s="66"/>
      <c r="K814" s="66"/>
      <c r="L814" s="67"/>
      <c r="M814" s="1213"/>
      <c r="N814" s="1213"/>
      <c r="O814" s="1213"/>
      <c r="P814" s="1213"/>
      <c r="Q814" s="1213"/>
      <c r="R814" s="1213"/>
      <c r="S814" s="1213"/>
      <c r="T814" s="1213"/>
      <c r="U814" s="1213"/>
      <c r="V814" s="1213"/>
      <c r="W814" s="1213"/>
      <c r="X814" s="1213"/>
      <c r="Y814" s="1213"/>
      <c r="Z814" s="1213"/>
      <c r="AA814" s="1213"/>
      <c r="AB814" s="1213"/>
      <c r="AC814" s="1194"/>
      <c r="AD814" s="1195"/>
      <c r="AE814" s="1195"/>
      <c r="AF814" s="1196"/>
      <c r="AG814" s="1194"/>
      <c r="AH814" s="1195"/>
      <c r="AI814" s="1195"/>
      <c r="AJ814" s="119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214" t="s">
        <v>178</v>
      </c>
      <c r="D815" s="1215"/>
      <c r="E815" s="1215"/>
      <c r="F815" s="1215"/>
      <c r="G815" s="1215"/>
      <c r="H815" s="1215"/>
      <c r="I815" s="66"/>
      <c r="J815" s="66"/>
      <c r="K815" s="66"/>
      <c r="L815" s="67"/>
      <c r="M815" s="1213"/>
      <c r="N815" s="1213"/>
      <c r="O815" s="1213"/>
      <c r="P815" s="1213"/>
      <c r="Q815" s="1213"/>
      <c r="R815" s="1213"/>
      <c r="S815" s="1213"/>
      <c r="T815" s="1213"/>
      <c r="U815" s="1213"/>
      <c r="V815" s="1213"/>
      <c r="W815" s="1213"/>
      <c r="X815" s="1213"/>
      <c r="Y815" s="1213"/>
      <c r="Z815" s="1213"/>
      <c r="AA815" s="1213"/>
      <c r="AB815" s="1213"/>
      <c r="AC815" s="1194"/>
      <c r="AD815" s="1195"/>
      <c r="AE815" s="1195"/>
      <c r="AF815" s="1196"/>
      <c r="AG815" s="1194"/>
      <c r="AH815" s="1195"/>
      <c r="AI815" s="1195"/>
      <c r="AJ815" s="119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214" t="s">
        <v>789</v>
      </c>
      <c r="D816" s="1215"/>
      <c r="E816" s="1215"/>
      <c r="F816" s="1215"/>
      <c r="G816" s="1215"/>
      <c r="H816" s="1215"/>
      <c r="I816" s="66"/>
      <c r="J816" s="66"/>
      <c r="K816" s="66"/>
      <c r="L816" s="67"/>
      <c r="M816" s="1213"/>
      <c r="N816" s="1213"/>
      <c r="O816" s="1213"/>
      <c r="P816" s="1213"/>
      <c r="Q816" s="1213"/>
      <c r="R816" s="1213"/>
      <c r="S816" s="1213"/>
      <c r="T816" s="1213"/>
      <c r="U816" s="1213"/>
      <c r="V816" s="1213"/>
      <c r="W816" s="1213"/>
      <c r="X816" s="1213"/>
      <c r="Y816" s="1213"/>
      <c r="Z816" s="1213"/>
      <c r="AA816" s="1213"/>
      <c r="AB816" s="1213"/>
      <c r="AC816" s="1194"/>
      <c r="AD816" s="1195"/>
      <c r="AE816" s="1195"/>
      <c r="AF816" s="1196"/>
      <c r="AG816" s="1194"/>
      <c r="AH816" s="1195"/>
      <c r="AI816" s="1195"/>
      <c r="AJ816" s="119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216" t="s">
        <v>942</v>
      </c>
      <c r="D817" s="1215"/>
      <c r="E817" s="1215"/>
      <c r="F817" s="1215"/>
      <c r="G817" s="1215"/>
      <c r="H817" s="1215"/>
      <c r="I817" s="66"/>
      <c r="J817" s="66"/>
      <c r="K817" s="66"/>
      <c r="L817" s="67"/>
      <c r="M817" s="1213"/>
      <c r="N817" s="1213"/>
      <c r="O817" s="1213"/>
      <c r="P817" s="1213"/>
      <c r="Q817" s="1213"/>
      <c r="R817" s="1213"/>
      <c r="S817" s="1213"/>
      <c r="T817" s="1213"/>
      <c r="U817" s="1213"/>
      <c r="V817" s="1213"/>
      <c r="W817" s="1213"/>
      <c r="X817" s="1213"/>
      <c r="Y817" s="1213"/>
      <c r="Z817" s="1213"/>
      <c r="AA817" s="1213"/>
      <c r="AB817" s="1213"/>
      <c r="AC817" s="1194"/>
      <c r="AD817" s="1195"/>
      <c r="AE817" s="1195"/>
      <c r="AF817" s="1196"/>
      <c r="AG817" s="1194"/>
      <c r="AH817" s="1195"/>
      <c r="AI817" s="1195"/>
      <c r="AJ817" s="119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188" t="s">
        <v>561</v>
      </c>
      <c r="G818" s="1189"/>
      <c r="H818" s="1189"/>
      <c r="I818" s="1189"/>
      <c r="J818" s="1189"/>
      <c r="K818" s="1189"/>
      <c r="L818" s="1189"/>
      <c r="M818" s="1213"/>
      <c r="N818" s="1213"/>
      <c r="O818" s="1213"/>
      <c r="P818" s="1213"/>
      <c r="Q818" s="1213"/>
      <c r="R818" s="1213"/>
      <c r="S818" s="1213"/>
      <c r="T818" s="1213"/>
      <c r="U818" s="1213"/>
      <c r="V818" s="1213"/>
      <c r="W818" s="1213"/>
      <c r="X818" s="1213"/>
      <c r="Y818" s="1213"/>
      <c r="Z818" s="1213"/>
      <c r="AA818" s="1213"/>
      <c r="AB818" s="1213"/>
      <c r="AC818" s="1194"/>
      <c r="AD818" s="1195"/>
      <c r="AE818" s="1195"/>
      <c r="AF818" s="1196"/>
      <c r="AG818" s="1194"/>
      <c r="AH818" s="1195"/>
      <c r="AI818" s="1195"/>
      <c r="AJ818" s="119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18" t="s">
        <v>875</v>
      </c>
      <c r="D819" s="1119"/>
      <c r="E819" s="1119"/>
      <c r="F819" s="1119"/>
      <c r="G819" s="1119"/>
      <c r="H819" s="1119"/>
      <c r="I819" s="1119"/>
      <c r="J819" s="1119"/>
      <c r="K819" s="1119"/>
      <c r="L819" s="1121"/>
      <c r="M819" s="1248">
        <f>SUM(M812:P818)</f>
        <v>0</v>
      </c>
      <c r="N819" s="1248"/>
      <c r="O819" s="1248"/>
      <c r="P819" s="1248"/>
      <c r="Q819" s="1248">
        <f>SUM(Q812:T818)</f>
        <v>0</v>
      </c>
      <c r="R819" s="1248"/>
      <c r="S819" s="1248"/>
      <c r="T819" s="1248"/>
      <c r="U819" s="1248">
        <f>SUM(U812:X818)</f>
        <v>0</v>
      </c>
      <c r="V819" s="1248"/>
      <c r="W819" s="1248"/>
      <c r="X819" s="1248"/>
      <c r="Y819" s="1248">
        <f>SUM(Y812:AB818)</f>
        <v>0</v>
      </c>
      <c r="Z819" s="1248"/>
      <c r="AA819" s="1248"/>
      <c r="AB819" s="1248"/>
      <c r="AC819" s="1248">
        <f>SUM(AC812:AF818)</f>
        <v>0</v>
      </c>
      <c r="AD819" s="1248"/>
      <c r="AE819" s="1248"/>
      <c r="AF819" s="1248"/>
      <c r="AG819" s="1248">
        <f>SUM(AG812:AJ818)</f>
        <v>0</v>
      </c>
      <c r="AH819" s="1248"/>
      <c r="AI819" s="1248"/>
      <c r="AJ819" s="124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532"/>
      <c r="D824" s="1533"/>
      <c r="E824" s="1533"/>
      <c r="F824" s="1533"/>
      <c r="G824" s="1533"/>
      <c r="H824" s="1533"/>
      <c r="I824" s="1533"/>
      <c r="J824" s="1533"/>
      <c r="K824" s="1533"/>
      <c r="L824" s="1533"/>
      <c r="M824" s="1533"/>
      <c r="N824" s="1533"/>
      <c r="O824" s="1533"/>
      <c r="P824" s="1533"/>
      <c r="Q824" s="1533"/>
      <c r="R824" s="1533"/>
      <c r="S824" s="1533"/>
      <c r="T824" s="1533"/>
      <c r="U824" s="1533"/>
      <c r="V824" s="1533"/>
      <c r="W824" s="1533"/>
      <c r="X824" s="1533"/>
      <c r="Y824" s="1533"/>
      <c r="Z824" s="1533"/>
      <c r="AA824" s="1533"/>
      <c r="AB824" s="1533"/>
      <c r="AC824" s="1533"/>
      <c r="AD824" s="1533"/>
      <c r="AE824" s="1533"/>
      <c r="AF824" s="1533"/>
      <c r="AG824" s="1533"/>
      <c r="AH824" s="1533"/>
      <c r="AI824" s="1533"/>
      <c r="AJ824" s="153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8" t="s">
        <v>368</v>
      </c>
      <c r="BB827" s="126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467</v>
      </c>
      <c r="D829"/>
      <c r="E829"/>
      <c r="F829"/>
      <c r="G829"/>
      <c r="H829"/>
      <c r="I829"/>
      <c r="J829" s="8" t="s">
        <v>326</v>
      </c>
      <c r="K829" s="9"/>
      <c r="L829" s="9"/>
      <c r="M829" s="9"/>
      <c r="N829" s="9"/>
      <c r="O829" s="9"/>
      <c r="P829" s="9"/>
      <c r="Q829" s="9"/>
      <c r="R829" s="9"/>
      <c r="S829" s="9"/>
      <c r="T829" s="9"/>
      <c r="U829" s="9"/>
      <c r="V829" s="52"/>
      <c r="W829" s="1129">
        <v>1209</v>
      </c>
      <c r="X829" s="1129"/>
      <c r="Y829" s="1129"/>
      <c r="Z829" s="1129"/>
      <c r="AA829" s="1129"/>
      <c r="AB829" s="1129"/>
      <c r="AC829" s="112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129"/>
      <c r="X830" s="1129"/>
      <c r="Y830" s="1129"/>
      <c r="Z830" s="1129"/>
      <c r="AA830" s="1129"/>
      <c r="AB830" s="1129"/>
      <c r="AC830" s="1129"/>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129">
        <v>12000</v>
      </c>
      <c r="X831" s="1129"/>
      <c r="Y831" s="1129"/>
      <c r="Z831" s="1129"/>
      <c r="AA831" s="1129"/>
      <c r="AB831" s="1129"/>
      <c r="AC831" s="1129"/>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129"/>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188" t="s">
        <v>2473</v>
      </c>
      <c r="N833" s="1189"/>
      <c r="O833" s="1189"/>
      <c r="P833" s="1189"/>
      <c r="Q833" s="1189"/>
      <c r="R833" s="1189"/>
      <c r="S833" s="1189"/>
      <c r="T833" s="1189"/>
      <c r="U833" s="1189"/>
      <c r="V833" s="1190"/>
      <c r="W833" s="1129">
        <f>16214+18126</f>
        <v>34340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5" t="str">
        <f>T189</f>
        <v>Fresno</v>
      </c>
      <c r="BP833" s="1266"/>
      <c r="BQ833" s="1266"/>
      <c r="BR833" s="1266"/>
      <c r="BS833" s="1266"/>
      <c r="BT833" s="1266"/>
      <c r="BU833" s="1267"/>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466</v>
      </c>
      <c r="W834" s="1239">
        <f>SUM(W829:AC833)</f>
        <v>47549</v>
      </c>
      <c r="X834" s="1240"/>
      <c r="Y834" s="1240"/>
      <c r="Z834" s="1240"/>
      <c r="AA834" s="1240"/>
      <c r="AB834" s="1240"/>
      <c r="AC834" s="124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468</v>
      </c>
      <c r="D836"/>
      <c r="E836"/>
      <c r="F836"/>
      <c r="G836"/>
      <c r="H836"/>
      <c r="I836"/>
      <c r="J836" s="1118" t="s">
        <v>469</v>
      </c>
      <c r="K836" s="1119"/>
      <c r="L836" s="1119"/>
      <c r="M836" s="1119"/>
      <c r="N836" s="1119"/>
      <c r="O836" s="1119"/>
      <c r="P836" s="1119"/>
      <c r="Q836" s="1119"/>
      <c r="R836" s="1119"/>
      <c r="S836" s="1119"/>
      <c r="T836" s="1119"/>
      <c r="U836" s="1119"/>
      <c r="V836" s="1121"/>
      <c r="W836" s="1243">
        <v>106800</v>
      </c>
      <c r="X836" s="1244"/>
      <c r="Y836" s="1244"/>
      <c r="Z836" s="1244"/>
      <c r="AA836" s="1244"/>
      <c r="AB836" s="1244"/>
      <c r="AC836" s="124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733</v>
      </c>
      <c r="D838"/>
      <c r="E838"/>
      <c r="F838"/>
      <c r="G838"/>
      <c r="H838"/>
      <c r="I838"/>
      <c r="J838" s="8" t="s">
        <v>322</v>
      </c>
      <c r="K838" s="9"/>
      <c r="L838" s="9"/>
      <c r="M838" s="9"/>
      <c r="N838" s="9"/>
      <c r="O838" s="9"/>
      <c r="P838" s="9"/>
      <c r="Q838" s="9"/>
      <c r="R838" s="9"/>
      <c r="S838" s="9"/>
      <c r="T838" s="9"/>
      <c r="U838" s="9"/>
      <c r="V838" s="52"/>
      <c r="W838" s="1293">
        <v>0</v>
      </c>
      <c r="X838" s="1293"/>
      <c r="Y838" s="1293"/>
      <c r="Z838" s="1293"/>
      <c r="AA838" s="1293"/>
      <c r="AB838" s="1293"/>
      <c r="AC838" s="12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293">
        <v>6916</v>
      </c>
      <c r="X839" s="1293"/>
      <c r="Y839" s="1293"/>
      <c r="Z839" s="1293"/>
      <c r="AA839" s="1293"/>
      <c r="AB839" s="1293"/>
      <c r="AC839" s="12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789</v>
      </c>
      <c r="K840" s="9"/>
      <c r="L840" s="9"/>
      <c r="M840" s="9"/>
      <c r="N840" s="9"/>
      <c r="O840" s="9"/>
      <c r="P840" s="9"/>
      <c r="Q840" s="9"/>
      <c r="R840" s="9"/>
      <c r="S840" s="9"/>
      <c r="T840" s="9"/>
      <c r="U840" s="9"/>
      <c r="V840" s="52"/>
      <c r="W840" s="1293">
        <v>195000</v>
      </c>
      <c r="X840" s="1293"/>
      <c r="Y840" s="1293"/>
      <c r="Z840" s="1293"/>
      <c r="AA840" s="1293"/>
      <c r="AB840" s="1293"/>
      <c r="AC840" s="12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462</v>
      </c>
      <c r="K841" s="9"/>
      <c r="L841" s="9"/>
      <c r="M841" s="9"/>
      <c r="N841" s="9"/>
      <c r="O841" s="9"/>
      <c r="P841" s="9"/>
      <c r="Q841" s="9"/>
      <c r="R841" s="9"/>
      <c r="S841" s="9"/>
      <c r="T841" s="9"/>
      <c r="U841" s="9"/>
      <c r="V841" s="52"/>
      <c r="W841" s="1293">
        <f>50450+31255</f>
        <v>81705</v>
      </c>
      <c r="X841" s="1293"/>
      <c r="Y841" s="1293"/>
      <c r="Z841" s="1293"/>
      <c r="AA841" s="1293"/>
      <c r="AB841" s="1293"/>
      <c r="AC841" s="12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292">
        <f>SUM(W838:AC841)</f>
        <v>283621</v>
      </c>
      <c r="X842" s="1292"/>
      <c r="Y842" s="1292"/>
      <c r="Z842" s="1292"/>
      <c r="AA842" s="1292"/>
      <c r="AB842" s="1292"/>
      <c r="AC842" s="1292"/>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470</v>
      </c>
      <c r="D844"/>
      <c r="E844"/>
      <c r="F844"/>
      <c r="G844"/>
      <c r="H844"/>
      <c r="I844"/>
      <c r="J844" s="8" t="s">
        <v>461</v>
      </c>
      <c r="K844" s="9"/>
      <c r="L844" s="9"/>
      <c r="M844" s="9"/>
      <c r="N844" s="9"/>
      <c r="O844" s="9"/>
      <c r="P844" s="9"/>
      <c r="Q844" s="9"/>
      <c r="R844" s="9"/>
      <c r="S844" s="9"/>
      <c r="T844" s="9"/>
      <c r="U844" s="9"/>
      <c r="V844" s="52"/>
      <c r="W844" s="1523">
        <v>135414</v>
      </c>
      <c r="X844" s="1524"/>
      <c r="Y844" s="1524"/>
      <c r="Z844" s="1524"/>
      <c r="AA844" s="1524"/>
      <c r="AB844" s="1524"/>
      <c r="AC844" s="1525"/>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c r="D845"/>
      <c r="E845"/>
      <c r="F845"/>
      <c r="G845"/>
      <c r="H845"/>
      <c r="I845"/>
      <c r="J845" s="212" t="s">
        <v>1920</v>
      </c>
      <c r="K845" s="9"/>
      <c r="L845" s="9"/>
      <c r="M845" s="9"/>
      <c r="N845" s="9"/>
      <c r="O845" s="9"/>
      <c r="P845" s="9"/>
      <c r="Q845" s="9"/>
      <c r="R845" s="9"/>
      <c r="S845" s="9"/>
      <c r="T845" s="1526">
        <v>2</v>
      </c>
      <c r="U845" s="1527"/>
      <c r="V845" s="152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s="3" t="s">
        <v>866</v>
      </c>
      <c r="D846"/>
      <c r="E846"/>
      <c r="F846"/>
      <c r="G846"/>
      <c r="H846"/>
      <c r="I846"/>
      <c r="J846" s="8" t="s">
        <v>460</v>
      </c>
      <c r="K846" s="9"/>
      <c r="L846" s="9"/>
      <c r="M846" s="9"/>
      <c r="N846" s="9"/>
      <c r="O846" s="9"/>
      <c r="P846" s="9"/>
      <c r="Q846" s="9"/>
      <c r="R846" s="9"/>
      <c r="S846" s="9"/>
      <c r="T846" s="9"/>
      <c r="U846" s="9"/>
      <c r="V846" s="52"/>
      <c r="W846" s="1523">
        <v>92760</v>
      </c>
      <c r="X846" s="1524"/>
      <c r="Y846" s="1524"/>
      <c r="Z846" s="1524"/>
      <c r="AA846" s="1524"/>
      <c r="AB846" s="1524"/>
      <c r="AC846" s="1525"/>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1921</v>
      </c>
      <c r="K847" s="9"/>
      <c r="L847" s="9"/>
      <c r="M847" s="9"/>
      <c r="N847" s="9"/>
      <c r="O847" s="9"/>
      <c r="P847" s="9"/>
      <c r="Q847" s="9"/>
      <c r="R847" s="9"/>
      <c r="S847" s="9"/>
      <c r="T847" s="1526">
        <v>2</v>
      </c>
      <c r="U847" s="1527"/>
      <c r="V847" s="152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188" t="s">
        <v>561</v>
      </c>
      <c r="N848" s="1189"/>
      <c r="O848" s="1189"/>
      <c r="P848" s="1189"/>
      <c r="Q848" s="1189"/>
      <c r="R848" s="1189"/>
      <c r="S848" s="1189"/>
      <c r="T848" s="1189"/>
      <c r="U848" s="1189"/>
      <c r="V848" s="1190"/>
      <c r="W848" s="1523"/>
      <c r="X848" s="1524"/>
      <c r="Y848" s="1524"/>
      <c r="Z848" s="1524"/>
      <c r="AA848" s="1524"/>
      <c r="AB848" s="1524"/>
      <c r="AC848" s="1525"/>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206">
        <f>SUM(W844:AC848)</f>
        <v>228174</v>
      </c>
      <c r="X849" s="1207"/>
      <c r="Y849" s="1207"/>
      <c r="Z849" s="1207"/>
      <c r="AA849" s="1207"/>
      <c r="AB849" s="1207"/>
      <c r="AC849" s="1208"/>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J850" s="8"/>
      <c r="K850" s="9"/>
      <c r="L850" s="9"/>
      <c r="M850" s="9"/>
      <c r="N850" s="9"/>
      <c r="O850" s="9"/>
      <c r="P850" s="9"/>
      <c r="Q850" s="9"/>
      <c r="R850" s="9"/>
      <c r="S850" s="9"/>
      <c r="T850" s="9"/>
      <c r="U850" s="9"/>
      <c r="V850" s="60" t="s">
        <v>15</v>
      </c>
      <c r="W850" s="1523"/>
      <c r="X850" s="1524"/>
      <c r="Y850" s="1524"/>
      <c r="Z850" s="1524"/>
      <c r="AA850" s="1524"/>
      <c r="AB850" s="1524"/>
      <c r="AC850" s="1525"/>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s="3" t="s">
        <v>55</v>
      </c>
      <c r="J852" s="8" t="s">
        <v>724</v>
      </c>
      <c r="K852" s="9"/>
      <c r="L852" s="9"/>
      <c r="M852" s="9"/>
      <c r="N852" s="9"/>
      <c r="O852" s="9"/>
      <c r="P852" s="9"/>
      <c r="Q852" s="9"/>
      <c r="R852" s="9"/>
      <c r="S852" s="9"/>
      <c r="T852" s="9"/>
      <c r="U852" s="9"/>
      <c r="V852" s="52"/>
      <c r="W852" s="1129">
        <v>2500</v>
      </c>
      <c r="X852" s="1129"/>
      <c r="Y852" s="1129"/>
      <c r="Z852" s="1129"/>
      <c r="AA852" s="1129"/>
      <c r="AB852" s="1129"/>
      <c r="AC852" s="1129"/>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 customHeight="1">
      <c r="A853"/>
      <c r="B853"/>
      <c r="C853"/>
      <c r="D853"/>
      <c r="E853"/>
      <c r="F853"/>
      <c r="G853"/>
      <c r="H853"/>
      <c r="I853"/>
      <c r="J853" s="8" t="s">
        <v>621</v>
      </c>
      <c r="K853" s="9"/>
      <c r="L853" s="9"/>
      <c r="M853" s="9"/>
      <c r="N853" s="9"/>
      <c r="O853" s="9"/>
      <c r="P853" s="9"/>
      <c r="Q853" s="9"/>
      <c r="R853" s="9"/>
      <c r="S853" s="9"/>
      <c r="T853" s="9"/>
      <c r="U853" s="9"/>
      <c r="V853" s="52"/>
      <c r="W853" s="1129">
        <v>45000</v>
      </c>
      <c r="X853" s="1129"/>
      <c r="Y853" s="1129"/>
      <c r="Z853" s="1129"/>
      <c r="AA853" s="1129"/>
      <c r="AB853" s="1129"/>
      <c r="AC853" s="112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 customHeight="1">
      <c r="A854"/>
      <c r="B854"/>
      <c r="C854"/>
      <c r="D854"/>
      <c r="E854"/>
      <c r="F854"/>
      <c r="G854"/>
      <c r="H854"/>
      <c r="I854"/>
      <c r="J854" s="8" t="s">
        <v>620</v>
      </c>
      <c r="K854" s="9"/>
      <c r="L854" s="9"/>
      <c r="M854" s="9"/>
      <c r="N854" s="9"/>
      <c r="O854" s="9"/>
      <c r="P854" s="9"/>
      <c r="Q854" s="9"/>
      <c r="R854" s="9"/>
      <c r="S854" s="9"/>
      <c r="T854" s="9"/>
      <c r="U854" s="9"/>
      <c r="V854" s="52"/>
      <c r="W854" s="1129">
        <v>11026</v>
      </c>
      <c r="X854" s="1129"/>
      <c r="Y854" s="1129"/>
      <c r="Z854" s="1129"/>
      <c r="AA854" s="1129"/>
      <c r="AB854" s="1129"/>
      <c r="AC854" s="112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619</v>
      </c>
      <c r="K855" s="9"/>
      <c r="L855" s="9"/>
      <c r="M855" s="9"/>
      <c r="N855" s="9"/>
      <c r="O855" s="9"/>
      <c r="P855" s="9"/>
      <c r="Q855" s="9"/>
      <c r="R855" s="9"/>
      <c r="S855" s="9"/>
      <c r="T855" s="9"/>
      <c r="U855" s="9"/>
      <c r="V855" s="52"/>
      <c r="W855" s="1129">
        <v>7500</v>
      </c>
      <c r="X855" s="1129"/>
      <c r="Y855" s="1129"/>
      <c r="Z855" s="1129"/>
      <c r="AA855" s="1129"/>
      <c r="AB855" s="1129"/>
      <c r="AC855" s="112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618</v>
      </c>
      <c r="K856" s="9"/>
      <c r="L856" s="9"/>
      <c r="M856" s="9"/>
      <c r="N856" s="9"/>
      <c r="O856" s="9"/>
      <c r="P856" s="9"/>
      <c r="Q856" s="9"/>
      <c r="R856" s="9"/>
      <c r="S856" s="9"/>
      <c r="T856" s="9"/>
      <c r="U856" s="9"/>
      <c r="V856" s="52"/>
      <c r="W856" s="1129">
        <v>28000</v>
      </c>
      <c r="X856" s="1129"/>
      <c r="Y856" s="1129"/>
      <c r="Z856" s="1129"/>
      <c r="AA856" s="1129"/>
      <c r="AB856" s="1129"/>
      <c r="AC856" s="112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617</v>
      </c>
      <c r="K857" s="9"/>
      <c r="L857" s="9"/>
      <c r="M857" s="9"/>
      <c r="N857" s="9"/>
      <c r="O857" s="9"/>
      <c r="P857" s="9"/>
      <c r="Q857" s="9"/>
      <c r="R857" s="9"/>
      <c r="S857" s="9"/>
      <c r="T857" s="9"/>
      <c r="U857" s="9"/>
      <c r="V857" s="52"/>
      <c r="W857" s="1129">
        <v>15000</v>
      </c>
      <c r="X857" s="1129"/>
      <c r="Y857" s="1129"/>
      <c r="Z857" s="1129"/>
      <c r="AA857" s="1129"/>
      <c r="AB857" s="1129"/>
      <c r="AC857" s="112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 customHeight="1">
      <c r="A858"/>
      <c r="B858"/>
      <c r="C858"/>
      <c r="D858"/>
      <c r="E858"/>
      <c r="F858"/>
      <c r="G858"/>
      <c r="H858"/>
      <c r="I858"/>
      <c r="J858" s="8" t="s">
        <v>283</v>
      </c>
      <c r="K858" s="9"/>
      <c r="L858" s="9"/>
      <c r="M858" s="1188" t="s">
        <v>2474</v>
      </c>
      <c r="N858" s="1189"/>
      <c r="O858" s="1189"/>
      <c r="P858" s="1189"/>
      <c r="Q858" s="1189"/>
      <c r="R858" s="1189"/>
      <c r="S858" s="1189"/>
      <c r="T858" s="1189"/>
      <c r="U858" s="1189"/>
      <c r="V858" s="1190"/>
      <c r="W858" s="1129">
        <f>44956</f>
        <v>44956</v>
      </c>
      <c r="X858" s="1129"/>
      <c r="Y858" s="1129"/>
      <c r="Z858" s="1129"/>
      <c r="AA858" s="1129"/>
      <c r="AB858" s="1129"/>
      <c r="AC858" s="112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c r="K859" s="9"/>
      <c r="L859" s="9"/>
      <c r="M859" s="9"/>
      <c r="N859" s="9"/>
      <c r="O859" s="9"/>
      <c r="P859" s="9"/>
      <c r="Q859" s="9"/>
      <c r="R859" s="9"/>
      <c r="S859" s="9"/>
      <c r="T859" s="9"/>
      <c r="U859" s="9"/>
      <c r="V859" s="60" t="s">
        <v>16</v>
      </c>
      <c r="W859" s="1252">
        <f>SUM(W852:AC858)</f>
        <v>153982</v>
      </c>
      <c r="X859" s="1252"/>
      <c r="Y859" s="1252"/>
      <c r="Z859" s="1252"/>
      <c r="AA859" s="1252"/>
      <c r="AB859" s="1252"/>
      <c r="AC859" s="125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s="3" t="s">
        <v>1854</v>
      </c>
      <c r="D861"/>
      <c r="E861"/>
      <c r="F861"/>
      <c r="G861"/>
      <c r="H861"/>
      <c r="I861"/>
      <c r="J861" s="8" t="s">
        <v>283</v>
      </c>
      <c r="K861" s="9"/>
      <c r="L861" s="9"/>
      <c r="M861" s="1188" t="s">
        <v>2475</v>
      </c>
      <c r="N861" s="1189"/>
      <c r="O861" s="1189"/>
      <c r="P861" s="1189"/>
      <c r="Q861" s="1189"/>
      <c r="R861" s="1189"/>
      <c r="S861" s="1189"/>
      <c r="T861" s="1189"/>
      <c r="U861" s="1189"/>
      <c r="V861" s="1190"/>
      <c r="W861" s="1243">
        <v>67616</v>
      </c>
      <c r="X861" s="1244"/>
      <c r="Y861" s="1244"/>
      <c r="Z861" s="1244"/>
      <c r="AA861" s="1244"/>
      <c r="AB861" s="1244"/>
      <c r="AC861" s="1245"/>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1855</v>
      </c>
      <c r="D862"/>
      <c r="E862"/>
      <c r="F862"/>
      <c r="G862"/>
      <c r="H862"/>
      <c r="I862"/>
      <c r="J862" s="8" t="s">
        <v>283</v>
      </c>
      <c r="K862" s="9"/>
      <c r="L862" s="9"/>
      <c r="M862" s="1188" t="s">
        <v>930</v>
      </c>
      <c r="N862" s="1189"/>
      <c r="O862" s="1189"/>
      <c r="P862" s="1189"/>
      <c r="Q862" s="1189"/>
      <c r="R862" s="1189"/>
      <c r="S862" s="1189"/>
      <c r="T862" s="1189"/>
      <c r="U862" s="1189"/>
      <c r="V862" s="1190"/>
      <c r="W862" s="1243">
        <v>131500</v>
      </c>
      <c r="X862" s="1244"/>
      <c r="Y862" s="1244"/>
      <c r="Z862" s="1244"/>
      <c r="AA862" s="1244"/>
      <c r="AB862" s="1244"/>
      <c r="AC862" s="124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c r="D863"/>
      <c r="E863"/>
      <c r="F863"/>
      <c r="G863"/>
      <c r="H863"/>
      <c r="I863"/>
      <c r="J863" s="8" t="s">
        <v>283</v>
      </c>
      <c r="K863" s="9"/>
      <c r="L863" s="9"/>
      <c r="M863" s="1188" t="s">
        <v>561</v>
      </c>
      <c r="N863" s="1189"/>
      <c r="O863" s="1189"/>
      <c r="P863" s="1189"/>
      <c r="Q863" s="1189"/>
      <c r="R863" s="1189"/>
      <c r="S863" s="1189"/>
      <c r="T863" s="1189"/>
      <c r="U863" s="1189"/>
      <c r="V863" s="1190"/>
      <c r="W863" s="1243"/>
      <c r="X863" s="1244"/>
      <c r="Y863" s="1244"/>
      <c r="Z863" s="1244"/>
      <c r="AA863" s="1244"/>
      <c r="AB863" s="1244"/>
      <c r="AC863" s="1245"/>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 customHeight="1">
      <c r="A864"/>
      <c r="B864"/>
      <c r="C864"/>
      <c r="D864"/>
      <c r="E864"/>
      <c r="F864"/>
      <c r="G864"/>
      <c r="H864"/>
      <c r="I864"/>
      <c r="J864" s="8" t="s">
        <v>283</v>
      </c>
      <c r="K864" s="9"/>
      <c r="L864" s="9"/>
      <c r="M864" s="1188" t="s">
        <v>561</v>
      </c>
      <c r="N864" s="1189"/>
      <c r="O864" s="1189"/>
      <c r="P864" s="1189"/>
      <c r="Q864" s="1189"/>
      <c r="R864" s="1189"/>
      <c r="S864" s="1189"/>
      <c r="T864" s="1189"/>
      <c r="U864" s="1189"/>
      <c r="V864" s="1190"/>
      <c r="W864" s="1243"/>
      <c r="X864" s="1244"/>
      <c r="Y864" s="1244"/>
      <c r="Z864" s="1244"/>
      <c r="AA864" s="1244"/>
      <c r="AB864" s="1244"/>
      <c r="AC864" s="124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188" t="s">
        <v>561</v>
      </c>
      <c r="N865" s="1189"/>
      <c r="O865" s="1189"/>
      <c r="P865" s="1189"/>
      <c r="Q865" s="1189"/>
      <c r="R865" s="1189"/>
      <c r="S865" s="1189"/>
      <c r="T865" s="1189"/>
      <c r="U865" s="1189"/>
      <c r="V865" s="1190"/>
      <c r="W865" s="1243"/>
      <c r="X865" s="1244"/>
      <c r="Y865" s="1244"/>
      <c r="Z865" s="1244"/>
      <c r="AA865" s="1244"/>
      <c r="AB865" s="1244"/>
      <c r="AC865" s="124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c r="K866" s="9"/>
      <c r="L866" s="9"/>
      <c r="M866" s="9"/>
      <c r="N866" s="9"/>
      <c r="O866" s="9"/>
      <c r="P866" s="9"/>
      <c r="Q866" s="9"/>
      <c r="R866" s="9"/>
      <c r="S866" s="9"/>
      <c r="T866" s="9"/>
      <c r="U866" s="9"/>
      <c r="V866" s="60" t="s">
        <v>17</v>
      </c>
      <c r="W866" s="1239">
        <f>SUM(W861:AC865)</f>
        <v>199116</v>
      </c>
      <c r="X866" s="1240"/>
      <c r="Y866" s="1240"/>
      <c r="Z866" s="1240"/>
      <c r="AA866" s="1240"/>
      <c r="AB866" s="1240"/>
      <c r="AC866" s="124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9">
        <f>W834+W842+W849+W850+W859+W866+W836</f>
        <v>1019242</v>
      </c>
      <c r="AD870" s="1240"/>
      <c r="AE870" s="1240"/>
      <c r="AF870" s="1240"/>
      <c r="AG870" s="1240"/>
      <c r="AH870" s="1241"/>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48">
        <f>O784+O764+G738</f>
        <v>101</v>
      </c>
      <c r="AD871" s="1549"/>
      <c r="AE871" s="1549"/>
      <c r="AF871" s="1549"/>
      <c r="AG871" s="1549"/>
      <c r="AH871" s="1550"/>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thickBot="1">
      <c r="A872"/>
      <c r="B872"/>
      <c r="C872"/>
      <c r="D872"/>
      <c r="E872" s="1322" t="s">
        <v>346</v>
      </c>
      <c r="F872" s="1323"/>
      <c r="G872" s="1323"/>
      <c r="H872" s="1323"/>
      <c r="I872" s="1323"/>
      <c r="J872" s="1323"/>
      <c r="K872" s="1323"/>
      <c r="L872" s="1323"/>
      <c r="M872" s="1323"/>
      <c r="N872" s="1323"/>
      <c r="O872" s="1323"/>
      <c r="P872" s="1323"/>
      <c r="Q872" s="1323"/>
      <c r="R872" s="1323"/>
      <c r="S872" s="1323"/>
      <c r="T872" s="1323"/>
      <c r="U872" s="1323"/>
      <c r="V872" s="1323"/>
      <c r="W872" s="1323"/>
      <c r="X872" s="1323"/>
      <c r="Y872" s="1323"/>
      <c r="Z872" s="1323"/>
      <c r="AA872" s="1323"/>
      <c r="AB872" s="1324"/>
      <c r="AC872" s="1555">
        <f>IF(ISERROR((ROUNDDOWN(AC870/AC871,0))),0,(ROUNDDOWN(AC870/AC871,0)))</f>
        <v>10091</v>
      </c>
      <c r="AD872" s="1556"/>
      <c r="AE872" s="1556"/>
      <c r="AF872" s="1556"/>
      <c r="AG872" s="1556"/>
      <c r="AH872" s="1556"/>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05">
        <v>594665</v>
      </c>
      <c r="AD873" s="1536"/>
      <c r="AE873" s="1536"/>
      <c r="AF873" s="1536"/>
      <c r="AG873" s="1536"/>
      <c r="AH873" s="1536"/>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45"/>
      <c r="AD874" s="1129"/>
      <c r="AE874" s="1129"/>
      <c r="AF874" s="1129"/>
      <c r="AG874" s="1129"/>
      <c r="AH874" s="1129"/>
      <c r="AI874"/>
      <c r="AJ874"/>
      <c r="AK874"/>
      <c r="AL874"/>
      <c r="AM874" s="38"/>
      <c r="AN874" s="38"/>
      <c r="AV874" s="1291"/>
      <c r="AW874" s="1291"/>
      <c r="AX874" s="1291"/>
      <c r="AY874" s="1291"/>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3">
        <v>11076</v>
      </c>
      <c r="AD875" s="1244"/>
      <c r="AE875" s="1244"/>
      <c r="AF875" s="1244"/>
      <c r="AG875" s="1244"/>
      <c r="AH875" s="1245"/>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43">
        <f>300*101</f>
        <v>30300</v>
      </c>
      <c r="AD876" s="1244"/>
      <c r="AE876" s="1244"/>
      <c r="AF876" s="1244"/>
      <c r="AG876" s="1244"/>
      <c r="AH876" s="1245"/>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43"/>
      <c r="AD877" s="1244"/>
      <c r="AE877" s="1244"/>
      <c r="AF877" s="1244"/>
      <c r="AG877" s="1244"/>
      <c r="AH877" s="1245"/>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43"/>
      <c r="AD878" s="1244"/>
      <c r="AE878" s="1244"/>
      <c r="AF878" s="1244"/>
      <c r="AG878" s="1244"/>
      <c r="AH878" s="1245"/>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10"/>
      <c r="AD879" s="1129"/>
      <c r="AE879" s="1129"/>
      <c r="AF879" s="1129"/>
      <c r="AG879" s="1129"/>
      <c r="AH879" s="1129"/>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1444" t="s">
        <v>1208</v>
      </c>
      <c r="F880" s="1445"/>
      <c r="G880" s="1445"/>
      <c r="H880" s="1445"/>
      <c r="I880" s="1445"/>
      <c r="J880" s="1445"/>
      <c r="K880" s="1445"/>
      <c r="L880" s="1445"/>
      <c r="M880" s="1445"/>
      <c r="N880" s="1445"/>
      <c r="O880" s="1445"/>
      <c r="P880" s="1445"/>
      <c r="Q880" s="1445"/>
      <c r="R880" s="1445"/>
      <c r="S880" s="1445"/>
      <c r="T880" s="1445"/>
      <c r="U880" s="1445"/>
      <c r="V880" s="1445"/>
      <c r="W880" s="1445"/>
      <c r="X880" s="1445"/>
      <c r="Y880" s="1445"/>
      <c r="Z880" s="1445"/>
      <c r="AA880" s="1445"/>
      <c r="AB880" s="1446"/>
      <c r="AC880" s="1129"/>
      <c r="AD880" s="1129"/>
      <c r="AE880" s="1129"/>
      <c r="AF880" s="1129"/>
      <c r="AG880" s="1129"/>
      <c r="AH880" s="1129"/>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444" t="s">
        <v>1208</v>
      </c>
      <c r="F881" s="1445"/>
      <c r="G881" s="1445"/>
      <c r="H881" s="1445"/>
      <c r="I881" s="1445"/>
      <c r="J881" s="1445"/>
      <c r="K881" s="1445"/>
      <c r="L881" s="1445"/>
      <c r="M881" s="1445"/>
      <c r="N881" s="1445"/>
      <c r="O881" s="1445"/>
      <c r="P881" s="1445"/>
      <c r="Q881" s="1445"/>
      <c r="R881" s="1445"/>
      <c r="S881" s="1445"/>
      <c r="T881" s="1445"/>
      <c r="U881" s="1445"/>
      <c r="V881" s="1445"/>
      <c r="W881" s="1445"/>
      <c r="X881" s="1445"/>
      <c r="Y881" s="1445"/>
      <c r="Z881" s="1445"/>
      <c r="AA881" s="1445"/>
      <c r="AB881" s="1446"/>
      <c r="AC881" s="1129"/>
      <c r="AD881" s="1129"/>
      <c r="AE881" s="1129"/>
      <c r="AF881" s="1129"/>
      <c r="AG881" s="1129"/>
      <c r="AH881" s="1129"/>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c r="F882"/>
      <c r="G882"/>
      <c r="H882"/>
      <c r="I882"/>
      <c r="J882"/>
      <c r="K882"/>
      <c r="L882"/>
      <c r="M882"/>
      <c r="N882"/>
      <c r="O882"/>
      <c r="P882"/>
      <c r="Q882"/>
      <c r="R882"/>
      <c r="S882"/>
      <c r="T882"/>
      <c r="U882"/>
      <c r="V882"/>
      <c r="W882"/>
      <c r="X882"/>
      <c r="Y882"/>
      <c r="Z882"/>
      <c r="AA882"/>
      <c r="AB882" s="62"/>
      <c r="AC882" s="1535"/>
      <c r="AD882" s="1535"/>
      <c r="AE882" s="1535"/>
      <c r="AF882" s="1535"/>
      <c r="AG882" s="1535"/>
      <c r="AH882" s="1535"/>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1"/>
      <c r="AO883" s="1231"/>
      <c r="AP883" s="1291"/>
      <c r="AQ883" s="1291"/>
      <c r="AR883" s="1291"/>
      <c r="AS883" s="1291"/>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1"/>
      <c r="AQ884" s="1291"/>
      <c r="AR884" s="1291"/>
      <c r="AS884" s="1291"/>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3"/>
      <c r="AA885" s="1244"/>
      <c r="AB885" s="1244"/>
      <c r="AC885" s="1244"/>
      <c r="AD885" s="1244"/>
      <c r="AE885" s="1245"/>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3"/>
      <c r="AA886" s="1244"/>
      <c r="AB886" s="1244"/>
      <c r="AC886" s="1244"/>
      <c r="AD886" s="1244"/>
      <c r="AE886" s="1245"/>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 customHeight="1">
      <c r="C887"/>
      <c r="H887" s="212" t="s">
        <v>785</v>
      </c>
      <c r="I887" s="9"/>
      <c r="J887" s="9"/>
      <c r="K887" s="9"/>
      <c r="L887" s="9"/>
      <c r="M887" s="9"/>
      <c r="N887" s="9"/>
      <c r="O887" s="9"/>
      <c r="P887" s="9"/>
      <c r="Q887" s="9"/>
      <c r="R887" s="9"/>
      <c r="S887" s="9"/>
      <c r="T887" s="9"/>
      <c r="U887" s="9"/>
      <c r="V887" s="9"/>
      <c r="W887" s="9"/>
      <c r="X887" s="9"/>
      <c r="Y887" s="9"/>
      <c r="Z887" s="1243"/>
      <c r="AA887" s="1244"/>
      <c r="AB887" s="1244"/>
      <c r="AC887" s="1244"/>
      <c r="AD887" s="1244"/>
      <c r="AE887" s="1245"/>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C888"/>
      <c r="H888" s="8"/>
      <c r="I888" s="9"/>
      <c r="J888" s="9"/>
      <c r="K888" s="9"/>
      <c r="L888" s="9"/>
      <c r="M888" s="9"/>
      <c r="N888" s="9"/>
      <c r="O888" s="9"/>
      <c r="P888" s="9"/>
      <c r="Q888" s="9"/>
      <c r="R888" s="9"/>
      <c r="S888" s="9"/>
      <c r="T888" s="9"/>
      <c r="U888" s="9"/>
      <c r="V888" s="9"/>
      <c r="W888" s="9"/>
      <c r="X888" s="9"/>
      <c r="Y888" s="304" t="s">
        <v>786</v>
      </c>
      <c r="Z888" s="1239">
        <f>Z885-(Z886+Z887)</f>
        <v>0</v>
      </c>
      <c r="AA888" s="1240"/>
      <c r="AB888" s="1240"/>
      <c r="AC888" s="1240"/>
      <c r="AD888" s="1240"/>
      <c r="AE888" s="1241"/>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A895" s="1068" t="s">
        <v>128</v>
      </c>
      <c r="B895" s="1068"/>
      <c r="C895" s="1068"/>
      <c r="D895" s="1068"/>
      <c r="E895" s="1068"/>
      <c r="F895" s="1068"/>
      <c r="G895" s="1068"/>
      <c r="H895" s="1068"/>
      <c r="I895" s="1068"/>
      <c r="J895" s="1068"/>
      <c r="K895" s="1068"/>
      <c r="L895" s="1068"/>
      <c r="M895" s="1068"/>
      <c r="N895" s="1068"/>
      <c r="O895" s="1068"/>
      <c r="P895" s="1068"/>
      <c r="Q895" s="1068"/>
      <c r="R895" s="1068"/>
      <c r="S895" s="1068"/>
      <c r="T895" s="1068"/>
      <c r="U895" s="1068"/>
      <c r="V895" s="1068"/>
      <c r="W895" s="1068"/>
      <c r="X895" s="1068"/>
      <c r="Y895" s="1068"/>
      <c r="Z895" s="1068"/>
      <c r="AA895" s="1068"/>
      <c r="AB895" s="1068"/>
      <c r="AC895" s="1068"/>
      <c r="AD895" s="1068"/>
      <c r="AE895" s="1068"/>
      <c r="AF895" s="1068"/>
      <c r="AG895" s="1068"/>
      <c r="AH895" s="1068"/>
      <c r="AI895" s="1068"/>
      <c r="AJ895" s="1068"/>
      <c r="AK895" s="1068"/>
      <c r="AL895" s="1068"/>
      <c r="AM895" s="1068"/>
      <c r="AN895" s="1068"/>
      <c r="AO895" s="1068"/>
      <c r="AP895" s="1068"/>
      <c r="AQ895" s="1068"/>
      <c r="AR895" s="1068"/>
      <c r="AS895" s="1068"/>
      <c r="AT895" s="106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68"/>
      <c r="B896" s="1068"/>
      <c r="C896" s="1068"/>
      <c r="D896" s="1068"/>
      <c r="E896" s="1068"/>
      <c r="F896" s="1068"/>
      <c r="G896" s="1068"/>
      <c r="H896" s="1068"/>
      <c r="I896" s="1068"/>
      <c r="J896" s="1068"/>
      <c r="K896" s="1068"/>
      <c r="L896" s="1068"/>
      <c r="M896" s="1068"/>
      <c r="N896" s="1068"/>
      <c r="O896" s="1068"/>
      <c r="P896" s="1068"/>
      <c r="Q896" s="1068"/>
      <c r="R896" s="1068"/>
      <c r="S896" s="1068"/>
      <c r="T896" s="1068"/>
      <c r="U896" s="1068"/>
      <c r="V896" s="1068"/>
      <c r="W896" s="1068"/>
      <c r="X896" s="1068"/>
      <c r="Y896" s="1068"/>
      <c r="Z896" s="1068"/>
      <c r="AA896" s="1068"/>
      <c r="AB896" s="1068"/>
      <c r="AC896" s="1068"/>
      <c r="AD896" s="1068"/>
      <c r="AE896" s="1068"/>
      <c r="AF896" s="1068"/>
      <c r="AG896" s="1068"/>
      <c r="AH896" s="1068"/>
      <c r="AI896" s="1068"/>
      <c r="AJ896" s="1068"/>
      <c r="AK896" s="1068"/>
      <c r="AL896" s="1068"/>
      <c r="AM896" s="1068"/>
      <c r="AN896" s="1068"/>
      <c r="AO896" s="1068"/>
      <c r="AP896" s="1068"/>
      <c r="AQ896" s="1068"/>
      <c r="AR896" s="1068"/>
      <c r="AS896" s="1068"/>
      <c r="AT896" s="106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C900"/>
      <c r="F900" s="1232" t="s">
        <v>960</v>
      </c>
      <c r="G900" s="1233"/>
      <c r="H900" s="1233"/>
      <c r="I900" s="1233"/>
      <c r="J900" s="1233"/>
      <c r="K900" s="1233"/>
      <c r="L900" s="1233"/>
      <c r="M900" s="1233"/>
      <c r="N900" s="1233"/>
      <c r="O900" s="1233"/>
      <c r="P900" s="1233"/>
      <c r="Q900" s="1233"/>
      <c r="R900" s="1233"/>
      <c r="S900" s="1233"/>
      <c r="T900" s="1234"/>
      <c r="U900" s="1197" t="s">
        <v>345</v>
      </c>
      <c r="V900" s="1198"/>
      <c r="W900" s="1198"/>
      <c r="X900" s="1198"/>
      <c r="Y900" s="1198"/>
      <c r="Z900" s="1198"/>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c r="F901" s="1199" t="s">
        <v>1038</v>
      </c>
      <c r="G901" s="1200"/>
      <c r="H901" s="1200"/>
      <c r="I901" s="1200"/>
      <c r="J901" s="1200"/>
      <c r="K901" s="1200"/>
      <c r="L901" s="1200"/>
      <c r="M901" s="1200"/>
      <c r="N901" s="1200"/>
      <c r="O901" s="1200"/>
      <c r="P901" s="1200"/>
      <c r="Q901" s="1200"/>
      <c r="R901" s="1200"/>
      <c r="S901" s="1200"/>
      <c r="T901" s="1264"/>
      <c r="U901" s="1199"/>
      <c r="V901" s="1200"/>
      <c r="W901" s="1200"/>
      <c r="X901" s="1200"/>
      <c r="Y901" s="1200"/>
      <c r="Z901" s="1200"/>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B902" s="3"/>
      <c r="C902"/>
      <c r="F902" s="1201"/>
      <c r="G902" s="1202"/>
      <c r="H902" s="1202"/>
      <c r="I902" s="1202"/>
      <c r="J902" s="1202"/>
      <c r="K902" s="1202"/>
      <c r="L902" s="1202"/>
      <c r="M902" s="1202"/>
      <c r="N902" s="1202"/>
      <c r="O902" s="1202"/>
      <c r="P902" s="1202"/>
      <c r="Q902" s="1202"/>
      <c r="R902" s="1202"/>
      <c r="S902" s="1202"/>
      <c r="T902" s="1237"/>
      <c r="U902" s="1201"/>
      <c r="V902" s="1202"/>
      <c r="W902" s="1202"/>
      <c r="X902" s="1202"/>
      <c r="Y902" s="1202"/>
      <c r="Z902" s="1202"/>
      <c r="AA902" s="196"/>
      <c r="AB902" s="1551" t="s">
        <v>56</v>
      </c>
      <c r="AC902" s="1551"/>
      <c r="AD902" s="1551"/>
      <c r="AE902" s="1551"/>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c r="F903" s="1369" t="s">
        <v>158</v>
      </c>
      <c r="G903" s="1370"/>
      <c r="H903" s="1370"/>
      <c r="I903" s="1370"/>
      <c r="J903" s="1370"/>
      <c r="K903" s="1370"/>
      <c r="L903" s="1370"/>
      <c r="M903" s="1370"/>
      <c r="N903" s="1370"/>
      <c r="O903" s="1370"/>
      <c r="P903" s="1370"/>
      <c r="Q903" s="1370"/>
      <c r="R903" s="1370"/>
      <c r="S903" s="1370"/>
      <c r="T903" s="1371"/>
      <c r="U903" s="1242" t="s">
        <v>108</v>
      </c>
      <c r="V903" s="1140"/>
      <c r="W903" s="1140"/>
      <c r="X903" s="1140"/>
      <c r="Y903" s="1140"/>
      <c r="Z903" s="1141"/>
      <c r="AA903" s="1203">
        <v>1500000</v>
      </c>
      <c r="AB903" s="1204"/>
      <c r="AC903" s="1204"/>
      <c r="AD903" s="1204"/>
      <c r="AE903" s="1204"/>
      <c r="AF903" s="1205"/>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c r="F904" s="1369" t="s">
        <v>160</v>
      </c>
      <c r="G904" s="1370"/>
      <c r="H904" s="1370"/>
      <c r="I904" s="1370"/>
      <c r="J904" s="1370"/>
      <c r="K904" s="1370"/>
      <c r="L904" s="1370"/>
      <c r="M904" s="1370"/>
      <c r="N904" s="1370"/>
      <c r="O904" s="1370"/>
      <c r="P904" s="1370"/>
      <c r="Q904" s="1370"/>
      <c r="R904" s="1370"/>
      <c r="S904" s="1370"/>
      <c r="T904" s="1371"/>
      <c r="U904" s="1242" t="s">
        <v>124</v>
      </c>
      <c r="V904" s="1140"/>
      <c r="W904" s="1140"/>
      <c r="X904" s="1140"/>
      <c r="Y904" s="1140"/>
      <c r="Z904" s="1141"/>
      <c r="AA904" s="1203"/>
      <c r="AB904" s="1204"/>
      <c r="AC904" s="1204"/>
      <c r="AD904" s="1204"/>
      <c r="AE904" s="1204"/>
      <c r="AF904" s="120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c r="F905" s="1552" t="s">
        <v>945</v>
      </c>
      <c r="G905" s="1553"/>
      <c r="H905" s="1553"/>
      <c r="I905" s="1553"/>
      <c r="J905" s="1553"/>
      <c r="K905" s="1553"/>
      <c r="L905" s="1553"/>
      <c r="M905" s="1553"/>
      <c r="N905" s="1553"/>
      <c r="O905" s="1553"/>
      <c r="P905" s="1553"/>
      <c r="Q905" s="1553"/>
      <c r="R905" s="1553"/>
      <c r="S905" s="1553"/>
      <c r="T905" s="1554"/>
      <c r="U905" s="1242" t="s">
        <v>124</v>
      </c>
      <c r="V905" s="1140"/>
      <c r="W905" s="1140"/>
      <c r="X905" s="1140"/>
      <c r="Y905" s="1140"/>
      <c r="Z905" s="1141"/>
      <c r="AA905" s="1203"/>
      <c r="AB905" s="1204"/>
      <c r="AC905" s="1204"/>
      <c r="AD905" s="1204"/>
      <c r="AE905" s="1204"/>
      <c r="AF905" s="120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c r="F906" s="1552" t="s">
        <v>946</v>
      </c>
      <c r="G906" s="1553"/>
      <c r="H906" s="1553"/>
      <c r="I906" s="1553"/>
      <c r="J906" s="1553"/>
      <c r="K906" s="1553"/>
      <c r="L906" s="1553"/>
      <c r="M906" s="1553"/>
      <c r="N906" s="1553"/>
      <c r="O906" s="1553"/>
      <c r="P906" s="1553"/>
      <c r="Q906" s="1553"/>
      <c r="R906" s="1553"/>
      <c r="S906" s="1553"/>
      <c r="T906" s="1554"/>
      <c r="U906" s="1242" t="s">
        <v>108</v>
      </c>
      <c r="V906" s="1140"/>
      <c r="W906" s="1140"/>
      <c r="X906" s="1140"/>
      <c r="Y906" s="1140"/>
      <c r="Z906" s="1141"/>
      <c r="AA906" s="1203">
        <f>+AO630</f>
        <v>3272350</v>
      </c>
      <c r="AB906" s="1204"/>
      <c r="AC906" s="1204"/>
      <c r="AD906" s="1204"/>
      <c r="AE906" s="1204"/>
      <c r="AF906" s="120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c r="F907" s="1552" t="s">
        <v>947</v>
      </c>
      <c r="G907" s="1553"/>
      <c r="H907" s="1553"/>
      <c r="I907" s="1553"/>
      <c r="J907" s="1553"/>
      <c r="K907" s="1553"/>
      <c r="L907" s="1553"/>
      <c r="M907" s="1553"/>
      <c r="N907" s="1553"/>
      <c r="O907" s="1553"/>
      <c r="P907" s="1553"/>
      <c r="Q907" s="1553"/>
      <c r="R907" s="1553"/>
      <c r="S907" s="1553"/>
      <c r="T907" s="1554"/>
      <c r="U907" s="1242" t="s">
        <v>124</v>
      </c>
      <c r="V907" s="1140"/>
      <c r="W907" s="1140"/>
      <c r="X907" s="1140"/>
      <c r="Y907" s="1140"/>
      <c r="Z907" s="1141"/>
      <c r="AA907" s="1203"/>
      <c r="AB907" s="1204"/>
      <c r="AC907" s="1204"/>
      <c r="AD907" s="1204"/>
      <c r="AE907" s="1204"/>
      <c r="AF907" s="120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c r="F908" s="1369" t="s">
        <v>159</v>
      </c>
      <c r="G908" s="1370"/>
      <c r="H908" s="1370"/>
      <c r="I908" s="1370"/>
      <c r="J908" s="1370"/>
      <c r="K908" s="1370"/>
      <c r="L908" s="1370"/>
      <c r="M908" s="1370"/>
      <c r="N908" s="1370"/>
      <c r="O908" s="1370"/>
      <c r="P908" s="1370"/>
      <c r="Q908" s="1370"/>
      <c r="R908" s="1370"/>
      <c r="S908" s="1370"/>
      <c r="T908" s="1371"/>
      <c r="U908" s="1242" t="s">
        <v>108</v>
      </c>
      <c r="V908" s="1140"/>
      <c r="W908" s="1140"/>
      <c r="X908" s="1140"/>
      <c r="Y908" s="1140"/>
      <c r="Z908" s="1141"/>
      <c r="AA908" s="1203">
        <v>3500000</v>
      </c>
      <c r="AB908" s="1204"/>
      <c r="AC908" s="1204"/>
      <c r="AD908" s="1204"/>
      <c r="AE908" s="1204"/>
      <c r="AF908" s="1205"/>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c r="F909" s="1369" t="s">
        <v>2266</v>
      </c>
      <c r="G909" s="1370"/>
      <c r="H909" s="1370"/>
      <c r="I909" s="1370"/>
      <c r="J909" s="1370"/>
      <c r="K909" s="1370"/>
      <c r="L909" s="1370"/>
      <c r="M909" s="1370"/>
      <c r="N909" s="1370"/>
      <c r="O909" s="1370"/>
      <c r="P909" s="1370"/>
      <c r="Q909" s="1370"/>
      <c r="R909" s="1370"/>
      <c r="S909" s="1370"/>
      <c r="T909" s="1371"/>
      <c r="U909" s="1242" t="s">
        <v>124</v>
      </c>
      <c r="V909" s="1140"/>
      <c r="W909" s="1140"/>
      <c r="X909" s="1140"/>
      <c r="Y909" s="1140"/>
      <c r="Z909" s="1141"/>
      <c r="AA909" s="1203"/>
      <c r="AB909" s="1204"/>
      <c r="AC909" s="1204"/>
      <c r="AD909" s="1204"/>
      <c r="AE909" s="1204"/>
      <c r="AF909" s="120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c r="F910" s="1369" t="s">
        <v>161</v>
      </c>
      <c r="G910" s="1370"/>
      <c r="H910" s="1370"/>
      <c r="I910" s="1370"/>
      <c r="J910" s="1370"/>
      <c r="K910" s="1370"/>
      <c r="L910" s="1370"/>
      <c r="M910" s="1370"/>
      <c r="N910" s="1370"/>
      <c r="O910" s="1370"/>
      <c r="P910" s="1370"/>
      <c r="Q910" s="1370"/>
      <c r="R910" s="1370"/>
      <c r="S910" s="1370"/>
      <c r="T910" s="1371"/>
      <c r="U910" s="1242" t="s">
        <v>124</v>
      </c>
      <c r="V910" s="1140"/>
      <c r="W910" s="1140"/>
      <c r="X910" s="1140"/>
      <c r="Y910" s="1140"/>
      <c r="Z910" s="1141"/>
      <c r="AA910" s="1203"/>
      <c r="AB910" s="1204"/>
      <c r="AC910" s="1204"/>
      <c r="AD910" s="1204"/>
      <c r="AE910" s="1204"/>
      <c r="AF910" s="120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C911"/>
      <c r="F911" s="1369" t="s">
        <v>2263</v>
      </c>
      <c r="G911" s="1370"/>
      <c r="H911" s="1370"/>
      <c r="I911" s="1370"/>
      <c r="J911" s="1370"/>
      <c r="K911" s="1370"/>
      <c r="L911" s="1370"/>
      <c r="M911" s="1370"/>
      <c r="N911" s="1370"/>
      <c r="O911" s="1370"/>
      <c r="P911" s="1370"/>
      <c r="Q911" s="1370"/>
      <c r="R911" s="1370"/>
      <c r="S911" s="1370"/>
      <c r="T911" s="1371"/>
      <c r="U911" s="1242" t="s">
        <v>124</v>
      </c>
      <c r="V911" s="1140"/>
      <c r="W911" s="1140"/>
      <c r="X911" s="1140"/>
      <c r="Y911" s="1140"/>
      <c r="Z911" s="1141"/>
      <c r="AA911" s="1203"/>
      <c r="AB911" s="1204"/>
      <c r="AC911" s="1204"/>
      <c r="AD911" s="1204"/>
      <c r="AE911" s="1204"/>
      <c r="AF911" s="120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C912"/>
      <c r="F912" s="1369" t="s">
        <v>2264</v>
      </c>
      <c r="G912" s="1370"/>
      <c r="H912" s="1370"/>
      <c r="I912" s="1370"/>
      <c r="J912" s="1370"/>
      <c r="K912" s="1370"/>
      <c r="L912" s="1370"/>
      <c r="M912" s="1370"/>
      <c r="N912" s="1370"/>
      <c r="O912" s="1370"/>
      <c r="P912" s="1370"/>
      <c r="Q912" s="1370"/>
      <c r="R912" s="1370"/>
      <c r="S912" s="1370"/>
      <c r="T912" s="1371"/>
      <c r="U912" s="1242" t="s">
        <v>124</v>
      </c>
      <c r="V912" s="1140"/>
      <c r="W912" s="1140"/>
      <c r="X912" s="1140"/>
      <c r="Y912" s="1140"/>
      <c r="Z912" s="1141"/>
      <c r="AA912" s="1203"/>
      <c r="AB912" s="1204"/>
      <c r="AC912" s="1204"/>
      <c r="AD912" s="1204"/>
      <c r="AE912" s="1204"/>
      <c r="AF912" s="120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369" t="s">
        <v>2265</v>
      </c>
      <c r="G913" s="1370"/>
      <c r="H913" s="1370"/>
      <c r="I913" s="1370"/>
      <c r="J913" s="1370"/>
      <c r="K913" s="1370"/>
      <c r="L913" s="1370"/>
      <c r="M913" s="1370"/>
      <c r="N913" s="1370"/>
      <c r="O913" s="1370"/>
      <c r="P913" s="1370"/>
      <c r="Q913" s="1370"/>
      <c r="R913" s="1370"/>
      <c r="S913" s="1370"/>
      <c r="T913" s="1371"/>
      <c r="U913" s="1242" t="s">
        <v>124</v>
      </c>
      <c r="V913" s="1140"/>
      <c r="W913" s="1140"/>
      <c r="X913" s="1140"/>
      <c r="Y913" s="1140"/>
      <c r="Z913" s="1141"/>
      <c r="AA913" s="1203"/>
      <c r="AB913" s="1204"/>
      <c r="AC913" s="1204"/>
      <c r="AD913" s="1204"/>
      <c r="AE913" s="1204"/>
      <c r="AF913" s="120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369" t="s">
        <v>2259</v>
      </c>
      <c r="G914" s="1370"/>
      <c r="H914" s="1370"/>
      <c r="I914" s="1370"/>
      <c r="J914" s="1370"/>
      <c r="K914" s="1370"/>
      <c r="L914" s="1370"/>
      <c r="M914" s="1370"/>
      <c r="N914" s="1370"/>
      <c r="O914" s="1370"/>
      <c r="P914" s="1370"/>
      <c r="Q914" s="1370"/>
      <c r="R914" s="1370"/>
      <c r="S914" s="1370"/>
      <c r="T914" s="1371"/>
      <c r="U914" s="1242" t="s">
        <v>124</v>
      </c>
      <c r="V914" s="1140"/>
      <c r="W914" s="1140"/>
      <c r="X914" s="1140"/>
      <c r="Y914" s="1140"/>
      <c r="Z914" s="1141"/>
      <c r="AA914" s="1203"/>
      <c r="AB914" s="1204"/>
      <c r="AC914" s="1204"/>
      <c r="AD914" s="1204"/>
      <c r="AE914" s="1204"/>
      <c r="AF914" s="120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369" t="s">
        <v>2256</v>
      </c>
      <c r="G915" s="1370"/>
      <c r="H915" s="1370"/>
      <c r="I915" s="1370"/>
      <c r="J915" s="1370"/>
      <c r="K915" s="1370"/>
      <c r="L915" s="1370"/>
      <c r="M915" s="1370"/>
      <c r="N915" s="1370"/>
      <c r="O915" s="1370"/>
      <c r="P915" s="1370"/>
      <c r="Q915" s="1370"/>
      <c r="R915" s="1370"/>
      <c r="S915" s="1370"/>
      <c r="T915" s="1371"/>
      <c r="U915" s="1242" t="s">
        <v>124</v>
      </c>
      <c r="V915" s="1140"/>
      <c r="W915" s="1140"/>
      <c r="X915" s="1140"/>
      <c r="Y915" s="1140"/>
      <c r="Z915" s="1141"/>
      <c r="AA915" s="1203"/>
      <c r="AB915" s="1204"/>
      <c r="AC915" s="1204"/>
      <c r="AD915" s="1204"/>
      <c r="AE915" s="1204"/>
      <c r="AF915" s="120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589" t="s">
        <v>157</v>
      </c>
      <c r="G916" s="1590"/>
      <c r="H916" s="1590"/>
      <c r="I916" s="1590"/>
      <c r="J916" s="1590"/>
      <c r="K916" s="1590"/>
      <c r="L916" s="1590"/>
      <c r="M916" s="1590"/>
      <c r="N916" s="1590"/>
      <c r="O916" s="1590"/>
      <c r="P916" s="1590"/>
      <c r="Q916" s="1590"/>
      <c r="R916" s="1590"/>
      <c r="S916" s="1590"/>
      <c r="T916" s="1591"/>
      <c r="U916" s="1242" t="s">
        <v>124</v>
      </c>
      <c r="V916" s="1140"/>
      <c r="W916" s="1140"/>
      <c r="X916" s="1140"/>
      <c r="Y916" s="1140"/>
      <c r="Z916" s="1141"/>
      <c r="AA916" s="1203"/>
      <c r="AB916" s="1204"/>
      <c r="AC916" s="1204"/>
      <c r="AD916" s="1204"/>
      <c r="AE916" s="1204"/>
      <c r="AF916" s="1205"/>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369" t="s">
        <v>1892</v>
      </c>
      <c r="G917" s="1370"/>
      <c r="H917" s="1370"/>
      <c r="I917" s="1370"/>
      <c r="J917" s="1370"/>
      <c r="K917" s="1370"/>
      <c r="L917" s="1370"/>
      <c r="M917" s="1370"/>
      <c r="N917" s="1370"/>
      <c r="O917" s="1370"/>
      <c r="P917" s="1370"/>
      <c r="Q917" s="1370"/>
      <c r="R917" s="1370"/>
      <c r="S917" s="1370"/>
      <c r="T917" s="1371"/>
      <c r="U917" s="1242" t="s">
        <v>124</v>
      </c>
      <c r="V917" s="1140"/>
      <c r="W917" s="1140"/>
      <c r="X917" s="1140"/>
      <c r="Y917" s="1140"/>
      <c r="Z917" s="1141"/>
      <c r="AA917" s="1203"/>
      <c r="AB917" s="1204"/>
      <c r="AC917" s="1204"/>
      <c r="AD917" s="1204"/>
      <c r="AE917" s="1204"/>
      <c r="AF917" s="120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552" t="s">
        <v>1007</v>
      </c>
      <c r="G918" s="1553"/>
      <c r="H918" s="1553"/>
      <c r="I918" s="1553"/>
      <c r="J918" s="1553"/>
      <c r="K918" s="1553"/>
      <c r="L918" s="1553"/>
      <c r="M918" s="1553"/>
      <c r="N918" s="1553"/>
      <c r="O918" s="1553"/>
      <c r="P918" s="1553"/>
      <c r="Q918" s="1553"/>
      <c r="R918" s="1553"/>
      <c r="S918" s="1553"/>
      <c r="T918" s="1554"/>
      <c r="U918" s="1242" t="s">
        <v>124</v>
      </c>
      <c r="V918" s="1140"/>
      <c r="W918" s="1140"/>
      <c r="X918" s="1140"/>
      <c r="Y918" s="1140"/>
      <c r="Z918" s="1141"/>
      <c r="AA918" s="1203"/>
      <c r="AB918" s="1204"/>
      <c r="AC918" s="1204"/>
      <c r="AD918" s="1204"/>
      <c r="AE918" s="1204"/>
      <c r="AF918" s="120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577" t="s">
        <v>2267</v>
      </c>
      <c r="G919" s="1578"/>
      <c r="H919" s="1578"/>
      <c r="I919" s="1578"/>
      <c r="J919" s="1578"/>
      <c r="K919" s="1578"/>
      <c r="L919" s="1578"/>
      <c r="M919" s="1578"/>
      <c r="N919" s="1578"/>
      <c r="O919" s="1578"/>
      <c r="P919" s="1578"/>
      <c r="Q919" s="1578"/>
      <c r="R919" s="1578"/>
      <c r="S919" s="1578"/>
      <c r="T919" s="1579"/>
      <c r="U919" s="1242" t="s">
        <v>124</v>
      </c>
      <c r="V919" s="1140"/>
      <c r="W919" s="1140"/>
      <c r="X919" s="1140"/>
      <c r="Y919" s="1140"/>
      <c r="Z919" s="1141"/>
      <c r="AA919" s="1203"/>
      <c r="AB919" s="1204"/>
      <c r="AC919" s="1204"/>
      <c r="AD919" s="1204"/>
      <c r="AE919" s="1204"/>
      <c r="AF919" s="120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577" t="s">
        <v>2269</v>
      </c>
      <c r="G920" s="1578"/>
      <c r="H920" s="1578"/>
      <c r="I920" s="1578"/>
      <c r="J920" s="1578"/>
      <c r="K920" s="1578"/>
      <c r="L920" s="1578"/>
      <c r="M920" s="1578"/>
      <c r="N920" s="1578"/>
      <c r="O920" s="1578"/>
      <c r="P920" s="1578"/>
      <c r="Q920" s="1578"/>
      <c r="R920" s="1578"/>
      <c r="S920" s="1578"/>
      <c r="T920" s="1579"/>
      <c r="U920" s="1242" t="s">
        <v>124</v>
      </c>
      <c r="V920" s="1140"/>
      <c r="W920" s="1140"/>
      <c r="X920" s="1140"/>
      <c r="Y920" s="1140"/>
      <c r="Z920" s="1141"/>
      <c r="AA920" s="1203"/>
      <c r="AB920" s="1204"/>
      <c r="AC920" s="1204"/>
      <c r="AD920" s="1204"/>
      <c r="AE920" s="1204"/>
      <c r="AF920" s="120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369" t="s">
        <v>2257</v>
      </c>
      <c r="G921" s="1370"/>
      <c r="H921" s="1370"/>
      <c r="I921" s="1370"/>
      <c r="J921" s="1370"/>
      <c r="K921" s="1370"/>
      <c r="L921" s="1370"/>
      <c r="M921" s="1370"/>
      <c r="N921" s="1370"/>
      <c r="O921" s="1370"/>
      <c r="P921" s="1370"/>
      <c r="Q921" s="1370"/>
      <c r="R921" s="1370"/>
      <c r="S921" s="1370"/>
      <c r="T921" s="1371"/>
      <c r="U921" s="1168" t="s">
        <v>124</v>
      </c>
      <c r="V921" s="1169"/>
      <c r="W921" s="1169"/>
      <c r="X921" s="1169"/>
      <c r="Y921" s="1169"/>
      <c r="Z921" s="1325"/>
      <c r="AA921" s="1288"/>
      <c r="AB921" s="1289"/>
      <c r="AC921" s="1289"/>
      <c r="AD921" s="1289"/>
      <c r="AE921" s="1289"/>
      <c r="AF921" s="129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369" t="s">
        <v>2261</v>
      </c>
      <c r="G922" s="1370"/>
      <c r="H922" s="1370"/>
      <c r="I922" s="1370"/>
      <c r="J922" s="1370"/>
      <c r="K922" s="1370"/>
      <c r="L922" s="1370"/>
      <c r="M922" s="1370"/>
      <c r="N922" s="1370"/>
      <c r="O922" s="1370"/>
      <c r="P922" s="1370"/>
      <c r="Q922" s="1370"/>
      <c r="R922" s="1370"/>
      <c r="S922" s="1370"/>
      <c r="T922" s="1371"/>
      <c r="U922" s="1168" t="s">
        <v>124</v>
      </c>
      <c r="V922" s="1169"/>
      <c r="W922" s="1169"/>
      <c r="X922" s="1169"/>
      <c r="Y922" s="1169"/>
      <c r="Z922" s="1325"/>
      <c r="AA922" s="1288"/>
      <c r="AB922" s="1289"/>
      <c r="AC922" s="1289"/>
      <c r="AD922" s="1289"/>
      <c r="AE922" s="1289"/>
      <c r="AF922" s="129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369" t="s">
        <v>2258</v>
      </c>
      <c r="G923" s="1370"/>
      <c r="H923" s="1370"/>
      <c r="I923" s="1370"/>
      <c r="J923" s="1370"/>
      <c r="K923" s="1370"/>
      <c r="L923" s="1370"/>
      <c r="M923" s="1370"/>
      <c r="N923" s="1370"/>
      <c r="O923" s="1370"/>
      <c r="P923" s="1370"/>
      <c r="Q923" s="1370"/>
      <c r="R923" s="1370"/>
      <c r="S923" s="1370"/>
      <c r="T923" s="1371"/>
      <c r="U923" s="1168" t="s">
        <v>124</v>
      </c>
      <c r="V923" s="1169"/>
      <c r="W923" s="1169"/>
      <c r="X923" s="1169"/>
      <c r="Y923" s="1169"/>
      <c r="Z923" s="1325"/>
      <c r="AA923" s="1288"/>
      <c r="AB923" s="1289"/>
      <c r="AC923" s="1289"/>
      <c r="AD923" s="1289"/>
      <c r="AE923" s="1289"/>
      <c r="AF923" s="129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577" t="s">
        <v>1890</v>
      </c>
      <c r="G924" s="1578"/>
      <c r="H924" s="1578"/>
      <c r="I924" s="1578"/>
      <c r="J924" s="1578"/>
      <c r="K924" s="1578"/>
      <c r="L924" s="1578"/>
      <c r="M924" s="1578"/>
      <c r="N924" s="1578"/>
      <c r="O924" s="1578"/>
      <c r="P924" s="1578"/>
      <c r="Q924" s="1578"/>
      <c r="R924" s="1578"/>
      <c r="S924" s="1578"/>
      <c r="T924" s="1579"/>
      <c r="U924" s="1242" t="s">
        <v>124</v>
      </c>
      <c r="V924" s="1140"/>
      <c r="W924" s="1140"/>
      <c r="X924" s="1140"/>
      <c r="Y924" s="1140"/>
      <c r="Z924" s="1141"/>
      <c r="AA924" s="1203"/>
      <c r="AB924" s="1204"/>
      <c r="AC924" s="1204"/>
      <c r="AD924" s="1204"/>
      <c r="AE924" s="1204"/>
      <c r="AF924" s="120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577" t="s">
        <v>2270</v>
      </c>
      <c r="G925" s="1578"/>
      <c r="H925" s="1578"/>
      <c r="I925" s="1578"/>
      <c r="J925" s="1578"/>
      <c r="K925" s="1578"/>
      <c r="L925" s="1578"/>
      <c r="M925" s="1578"/>
      <c r="N925" s="1578"/>
      <c r="O925" s="1578"/>
      <c r="P925" s="1578"/>
      <c r="Q925" s="1578"/>
      <c r="R925" s="1578"/>
      <c r="S925" s="1578"/>
      <c r="T925" s="1579"/>
      <c r="U925" s="1242" t="s">
        <v>124</v>
      </c>
      <c r="V925" s="1140"/>
      <c r="W925" s="1140"/>
      <c r="X925" s="1140"/>
      <c r="Y925" s="1140"/>
      <c r="Z925" s="1141"/>
      <c r="AA925" s="1203"/>
      <c r="AB925" s="1204"/>
      <c r="AC925" s="1204"/>
      <c r="AD925" s="1204"/>
      <c r="AE925" s="1204"/>
      <c r="AF925" s="120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577" t="s">
        <v>1891</v>
      </c>
      <c r="G926" s="1578"/>
      <c r="H926" s="1578"/>
      <c r="I926" s="1578"/>
      <c r="J926" s="1578"/>
      <c r="K926" s="1578"/>
      <c r="L926" s="1578"/>
      <c r="M926" s="1578"/>
      <c r="N926" s="1578"/>
      <c r="O926" s="1578"/>
      <c r="P926" s="1578"/>
      <c r="Q926" s="1578"/>
      <c r="R926" s="1578"/>
      <c r="S926" s="1578"/>
      <c r="T926" s="1579"/>
      <c r="U926" s="1242" t="s">
        <v>124</v>
      </c>
      <c r="V926" s="1140"/>
      <c r="W926" s="1140"/>
      <c r="X926" s="1140"/>
      <c r="Y926" s="1140"/>
      <c r="Z926" s="1141"/>
      <c r="AA926" s="1203"/>
      <c r="AB926" s="1204"/>
      <c r="AC926" s="1204"/>
      <c r="AD926" s="1204"/>
      <c r="AE926" s="1204"/>
      <c r="AF926" s="1205"/>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577" t="s">
        <v>156</v>
      </c>
      <c r="G927" s="1578"/>
      <c r="H927" s="1578"/>
      <c r="I927" s="1578"/>
      <c r="J927" s="1578"/>
      <c r="K927" s="1578"/>
      <c r="L927" s="1578"/>
      <c r="M927" s="1578"/>
      <c r="N927" s="1578"/>
      <c r="O927" s="1578"/>
      <c r="P927" s="1578"/>
      <c r="Q927" s="1578"/>
      <c r="R927" s="1578"/>
      <c r="S927" s="1578"/>
      <c r="T927" s="1579"/>
      <c r="U927" s="1242" t="s">
        <v>124</v>
      </c>
      <c r="V927" s="1140"/>
      <c r="W927" s="1140"/>
      <c r="X927" s="1140"/>
      <c r="Y927" s="1140"/>
      <c r="Z927" s="1141"/>
      <c r="AA927" s="1203"/>
      <c r="AB927" s="1204"/>
      <c r="AC927" s="1204"/>
      <c r="AD927" s="1204"/>
      <c r="AE927" s="1204"/>
      <c r="AF927" s="120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577" t="s">
        <v>2268</v>
      </c>
      <c r="G928" s="1578"/>
      <c r="H928" s="1578"/>
      <c r="I928" s="1578"/>
      <c r="J928" s="1578"/>
      <c r="K928" s="1578"/>
      <c r="L928" s="1578"/>
      <c r="M928" s="1578"/>
      <c r="N928" s="1578"/>
      <c r="O928" s="1578"/>
      <c r="P928" s="1578"/>
      <c r="Q928" s="1578"/>
      <c r="R928" s="1578"/>
      <c r="S928" s="1578"/>
      <c r="T928" s="1579"/>
      <c r="U928" s="1242" t="s">
        <v>124</v>
      </c>
      <c r="V928" s="1140"/>
      <c r="W928" s="1140"/>
      <c r="X928" s="1140"/>
      <c r="Y928" s="1140"/>
      <c r="Z928" s="1141"/>
      <c r="AA928" s="1203"/>
      <c r="AB928" s="1204"/>
      <c r="AC928" s="1204"/>
      <c r="AD928" s="1204"/>
      <c r="AE928" s="1204"/>
      <c r="AF928" s="120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8" t="s">
        <v>1018</v>
      </c>
      <c r="G929" s="9"/>
      <c r="H929" s="9"/>
      <c r="I929" s="9"/>
      <c r="J929" s="9"/>
      <c r="K929" s="9"/>
      <c r="L929" s="9"/>
      <c r="M929" s="9"/>
      <c r="N929" s="9"/>
      <c r="O929" s="9"/>
      <c r="P929" s="1089" t="s">
        <v>482</v>
      </c>
      <c r="Q929" s="1140"/>
      <c r="R929" s="1140"/>
      <c r="S929" s="1140"/>
      <c r="T929" s="1141"/>
      <c r="U929" s="1242" t="s">
        <v>124</v>
      </c>
      <c r="V929" s="1140"/>
      <c r="W929" s="1140"/>
      <c r="X929" s="1140"/>
      <c r="Y929" s="1140"/>
      <c r="Z929" s="1141"/>
      <c r="AA929" s="1203"/>
      <c r="AB929" s="1204"/>
      <c r="AC929" s="1204"/>
      <c r="AD929" s="1204"/>
      <c r="AE929" s="1204"/>
      <c r="AF929" s="1205"/>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1369" t="s">
        <v>2260</v>
      </c>
      <c r="G930" s="1370"/>
      <c r="H930" s="1371"/>
      <c r="I930" s="1280" t="s">
        <v>561</v>
      </c>
      <c r="J930" s="1281"/>
      <c r="K930" s="1281"/>
      <c r="L930" s="1281"/>
      <c r="M930" s="1281"/>
      <c r="N930" s="1281"/>
      <c r="O930" s="1281"/>
      <c r="P930" s="1281"/>
      <c r="Q930" s="1281"/>
      <c r="R930" s="1281"/>
      <c r="S930" s="1281"/>
      <c r="T930" s="1282"/>
      <c r="U930" s="1242" t="s">
        <v>124</v>
      </c>
      <c r="V930" s="1140"/>
      <c r="W930" s="1140"/>
      <c r="X930" s="1140"/>
      <c r="Y930" s="1140"/>
      <c r="Z930" s="1141"/>
      <c r="AA930" s="1203"/>
      <c r="AB930" s="1204"/>
      <c r="AC930" s="1204"/>
      <c r="AD930" s="1204"/>
      <c r="AE930" s="1204"/>
      <c r="AF930" s="120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369" t="s">
        <v>373</v>
      </c>
      <c r="G931" s="1370"/>
      <c r="H931" s="1371"/>
      <c r="I931" s="1280" t="s">
        <v>561</v>
      </c>
      <c r="J931" s="1281"/>
      <c r="K931" s="1281"/>
      <c r="L931" s="1281"/>
      <c r="M931" s="1281"/>
      <c r="N931" s="1281"/>
      <c r="O931" s="1281"/>
      <c r="P931" s="1281"/>
      <c r="Q931" s="1281"/>
      <c r="R931" s="1281"/>
      <c r="S931" s="1281"/>
      <c r="T931" s="1282"/>
      <c r="U931" s="1242" t="s">
        <v>124</v>
      </c>
      <c r="V931" s="1140"/>
      <c r="W931" s="1140"/>
      <c r="X931" s="1140"/>
      <c r="Y931" s="1140"/>
      <c r="Z931" s="1141"/>
      <c r="AA931" s="1203"/>
      <c r="AB931" s="1204"/>
      <c r="AC931" s="1204"/>
      <c r="AD931" s="1204"/>
      <c r="AE931" s="1204"/>
      <c r="AF931" s="120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369" t="s">
        <v>825</v>
      </c>
      <c r="G932" s="1370"/>
      <c r="H932" s="1371"/>
      <c r="I932" s="1280" t="s">
        <v>561</v>
      </c>
      <c r="J932" s="1281"/>
      <c r="K932" s="1281"/>
      <c r="L932" s="1281"/>
      <c r="M932" s="1281"/>
      <c r="N932" s="1281"/>
      <c r="O932" s="1281"/>
      <c r="P932" s="1281"/>
      <c r="Q932" s="1281"/>
      <c r="R932" s="1281"/>
      <c r="S932" s="1281"/>
      <c r="T932" s="1282"/>
      <c r="U932" s="1242" t="s">
        <v>124</v>
      </c>
      <c r="V932" s="1140"/>
      <c r="W932" s="1140"/>
      <c r="X932" s="1140"/>
      <c r="Y932" s="1140"/>
      <c r="Z932" s="1141"/>
      <c r="AA932" s="1203"/>
      <c r="AB932" s="1204"/>
      <c r="AC932" s="1204"/>
      <c r="AD932" s="1204"/>
      <c r="AE932" s="1204"/>
      <c r="AF932" s="120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369" t="s">
        <v>283</v>
      </c>
      <c r="G933" s="1370"/>
      <c r="H933" s="1371"/>
      <c r="I933" s="1280" t="s">
        <v>561</v>
      </c>
      <c r="J933" s="1281"/>
      <c r="K933" s="1281"/>
      <c r="L933" s="1281"/>
      <c r="M933" s="1281"/>
      <c r="N933" s="1281"/>
      <c r="O933" s="1281"/>
      <c r="P933" s="1281"/>
      <c r="Q933" s="1281"/>
      <c r="R933" s="1281"/>
      <c r="S933" s="1281"/>
      <c r="T933" s="1282"/>
      <c r="U933" s="1242" t="s">
        <v>124</v>
      </c>
      <c r="V933" s="1140"/>
      <c r="W933" s="1140"/>
      <c r="X933" s="1140"/>
      <c r="Y933" s="1140"/>
      <c r="Z933" s="1141"/>
      <c r="AA933" s="1203"/>
      <c r="AB933" s="1204"/>
      <c r="AC933" s="1204"/>
      <c r="AD933" s="1204"/>
      <c r="AE933" s="1204"/>
      <c r="AF933" s="120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C934"/>
      <c r="F934" s="1369" t="s">
        <v>283</v>
      </c>
      <c r="G934" s="1370"/>
      <c r="H934" s="1371"/>
      <c r="I934" s="1280" t="s">
        <v>561</v>
      </c>
      <c r="J934" s="1281"/>
      <c r="K934" s="1281"/>
      <c r="L934" s="1281"/>
      <c r="M934" s="1281"/>
      <c r="N934" s="1281"/>
      <c r="O934" s="1281"/>
      <c r="P934" s="1281"/>
      <c r="Q934" s="1281"/>
      <c r="R934" s="1281"/>
      <c r="S934" s="1281"/>
      <c r="T934" s="1282"/>
      <c r="U934" s="1242" t="s">
        <v>124</v>
      </c>
      <c r="V934" s="1140"/>
      <c r="W934" s="1140"/>
      <c r="X934" s="1140"/>
      <c r="Y934" s="1140"/>
      <c r="Z934" s="1141"/>
      <c r="AA934" s="1203"/>
      <c r="AB934" s="1204"/>
      <c r="AC934" s="1204"/>
      <c r="AD934" s="1204"/>
      <c r="AE934" s="1204"/>
      <c r="AF934" s="120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s="72" t="s">
        <v>826</v>
      </c>
      <c r="D939" s="9"/>
      <c r="E939" s="9"/>
      <c r="F939" s="9"/>
      <c r="G939" s="9"/>
      <c r="H939" s="9"/>
      <c r="I939" s="9"/>
      <c r="J939" s="9"/>
      <c r="K939" s="9"/>
      <c r="L939" s="1384" t="s">
        <v>2476</v>
      </c>
      <c r="M939" s="1359"/>
      <c r="N939" s="1359"/>
      <c r="O939" s="1359"/>
      <c r="P939" s="1359"/>
      <c r="Q939" s="1359"/>
      <c r="R939" s="1359"/>
      <c r="S939" s="1385"/>
      <c r="U939" s="72" t="s">
        <v>826</v>
      </c>
      <c r="V939" s="9"/>
      <c r="W939" s="9"/>
      <c r="X939" s="9"/>
      <c r="Y939" s="9"/>
      <c r="Z939" s="9"/>
      <c r="AA939" s="9"/>
      <c r="AB939" s="9"/>
      <c r="AC939" s="9"/>
      <c r="AD939" s="52"/>
      <c r="AE939" s="1283"/>
      <c r="AF939" s="1284"/>
      <c r="AG939" s="1284"/>
      <c r="AH939" s="1284"/>
      <c r="AI939" s="1284"/>
      <c r="AJ939" s="1284"/>
      <c r="AK939" s="1285"/>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827</v>
      </c>
      <c r="D940" s="9"/>
      <c r="E940" s="9"/>
      <c r="F940" s="9"/>
      <c r="G940" s="9"/>
      <c r="H940" s="9"/>
      <c r="I940" s="9"/>
      <c r="J940" s="9"/>
      <c r="K940" s="9"/>
      <c r="L940" s="1384" t="s">
        <v>2477</v>
      </c>
      <c r="M940" s="1359"/>
      <c r="N940" s="1359"/>
      <c r="O940" s="1359"/>
      <c r="P940" s="1359"/>
      <c r="Q940" s="1359"/>
      <c r="R940" s="1359"/>
      <c r="S940" s="1385"/>
      <c r="U940" s="72" t="s">
        <v>827</v>
      </c>
      <c r="V940" s="9"/>
      <c r="W940" s="9"/>
      <c r="X940" s="9"/>
      <c r="Y940" s="9"/>
      <c r="Z940" s="9"/>
      <c r="AA940" s="9"/>
      <c r="AB940" s="9"/>
      <c r="AC940" s="9"/>
      <c r="AD940" s="52"/>
      <c r="AE940" s="1286"/>
      <c r="AF940" s="1178"/>
      <c r="AG940" s="1178"/>
      <c r="AH940" s="1178"/>
      <c r="AI940" s="1178"/>
      <c r="AJ940" s="1178"/>
      <c r="AK940" s="128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1107</v>
      </c>
      <c r="D941" s="9"/>
      <c r="E941" s="9"/>
      <c r="L941" s="1191" t="s">
        <v>79</v>
      </c>
      <c r="M941" s="1192"/>
      <c r="N941" s="1192"/>
      <c r="O941" s="1192"/>
      <c r="P941" s="1192"/>
      <c r="Q941" s="1192"/>
      <c r="R941" s="1192"/>
      <c r="S941" s="1193"/>
      <c r="U941" s="72" t="s">
        <v>1107</v>
      </c>
      <c r="V941" s="9"/>
      <c r="W941" s="9"/>
      <c r="AE941" s="1191" t="s">
        <v>79</v>
      </c>
      <c r="AF941" s="1192"/>
      <c r="AG941" s="1192"/>
      <c r="AH941" s="1192"/>
      <c r="AI941" s="1192"/>
      <c r="AJ941" s="1192"/>
      <c r="AK941" s="119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828</v>
      </c>
      <c r="D942" s="9"/>
      <c r="E942" s="9"/>
      <c r="F942" s="9"/>
      <c r="G942" s="9"/>
      <c r="H942" s="9"/>
      <c r="I942" s="9"/>
      <c r="J942" s="9"/>
      <c r="K942" s="9"/>
      <c r="L942" s="1226">
        <v>0.92</v>
      </c>
      <c r="M942" s="1227"/>
      <c r="N942" s="1227"/>
      <c r="O942" s="1227"/>
      <c r="P942" s="1227"/>
      <c r="Q942" s="1227"/>
      <c r="R942" s="1227"/>
      <c r="S942" s="1228"/>
      <c r="U942" s="72" t="s">
        <v>828</v>
      </c>
      <c r="V942" s="9"/>
      <c r="W942" s="9"/>
      <c r="X942" s="9"/>
      <c r="Y942" s="9"/>
      <c r="Z942" s="9"/>
      <c r="AA942" s="9"/>
      <c r="AB942" s="9"/>
      <c r="AC942" s="9"/>
      <c r="AD942" s="52"/>
      <c r="AE942" s="1226"/>
      <c r="AF942" s="1227"/>
      <c r="AG942" s="1227"/>
      <c r="AH942" s="1227"/>
      <c r="AI942" s="1227"/>
      <c r="AJ942" s="1227"/>
      <c r="AK942" s="122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829</v>
      </c>
      <c r="D943" s="9"/>
      <c r="E943" s="9"/>
      <c r="F943" s="9"/>
      <c r="G943" s="9"/>
      <c r="H943" s="9"/>
      <c r="I943" s="9"/>
      <c r="J943" s="9"/>
      <c r="K943" s="9"/>
      <c r="L943" s="1220">
        <v>92</v>
      </c>
      <c r="M943" s="1221"/>
      <c r="N943" s="1221"/>
      <c r="O943" s="1221"/>
      <c r="P943" s="1221"/>
      <c r="Q943" s="1221"/>
      <c r="R943" s="1221"/>
      <c r="S943" s="1222"/>
      <c r="U943" s="72" t="s">
        <v>829</v>
      </c>
      <c r="V943" s="9"/>
      <c r="W943" s="9"/>
      <c r="X943" s="9"/>
      <c r="Y943" s="9"/>
      <c r="Z943" s="9"/>
      <c r="AA943" s="9"/>
      <c r="AB943" s="9"/>
      <c r="AC943" s="9"/>
      <c r="AD943" s="52"/>
      <c r="AE943" s="1223"/>
      <c r="AF943" s="1224"/>
      <c r="AG943" s="1224"/>
      <c r="AH943" s="1224"/>
      <c r="AI943" s="1224"/>
      <c r="AJ943" s="1224"/>
      <c r="AK943" s="122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830</v>
      </c>
      <c r="D944" s="9"/>
      <c r="E944" s="9"/>
      <c r="F944" s="9"/>
      <c r="G944" s="9"/>
      <c r="H944" s="9"/>
      <c r="I944" s="9"/>
      <c r="J944" s="9"/>
      <c r="K944" s="9"/>
      <c r="L944" s="1243">
        <f>Z796</f>
        <v>647184</v>
      </c>
      <c r="M944" s="1244"/>
      <c r="N944" s="1244"/>
      <c r="O944" s="1244"/>
      <c r="P944" s="1244"/>
      <c r="Q944" s="1244"/>
      <c r="R944" s="1244"/>
      <c r="S944" s="1245"/>
      <c r="U944" s="72" t="s">
        <v>830</v>
      </c>
      <c r="V944" s="9"/>
      <c r="W944" s="9"/>
      <c r="X944" s="9"/>
      <c r="Y944" s="9"/>
      <c r="Z944" s="9"/>
      <c r="AA944" s="9"/>
      <c r="AB944" s="9"/>
      <c r="AC944" s="9"/>
      <c r="AD944" s="52"/>
      <c r="AE944" s="1203"/>
      <c r="AF944" s="1204"/>
      <c r="AG944" s="1204"/>
      <c r="AH944" s="1204"/>
      <c r="AI944" s="1204"/>
      <c r="AJ944" s="1204"/>
      <c r="AK944" s="120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831</v>
      </c>
      <c r="D945" s="9"/>
      <c r="E945" s="9"/>
      <c r="F945" s="9"/>
      <c r="G945" s="9"/>
      <c r="H945" s="9"/>
      <c r="I945" s="9"/>
      <c r="J945" s="9"/>
      <c r="K945" s="9"/>
      <c r="L945" s="1243">
        <f>+L944*30</f>
        <v>19415520</v>
      </c>
      <c r="M945" s="1244"/>
      <c r="N945" s="1244"/>
      <c r="O945" s="1244"/>
      <c r="P945" s="1244"/>
      <c r="Q945" s="1244"/>
      <c r="R945" s="1244"/>
      <c r="S945" s="1245"/>
      <c r="U945" s="72" t="s">
        <v>831</v>
      </c>
      <c r="V945" s="9"/>
      <c r="W945" s="9"/>
      <c r="X945" s="9"/>
      <c r="Y945" s="9"/>
      <c r="Z945" s="9"/>
      <c r="AA945" s="9"/>
      <c r="AB945" s="9"/>
      <c r="AC945" s="9"/>
      <c r="AD945" s="52"/>
      <c r="AE945" s="1203"/>
      <c r="AF945" s="1204"/>
      <c r="AG945" s="1204"/>
      <c r="AH945" s="1204"/>
      <c r="AI945" s="1204"/>
      <c r="AJ945" s="1204"/>
      <c r="AK945" s="120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212" t="s">
        <v>1958</v>
      </c>
      <c r="D946" s="9"/>
      <c r="E946" s="9"/>
      <c r="F946" s="9"/>
      <c r="G946" s="9"/>
      <c r="H946" s="9"/>
      <c r="I946" s="9"/>
      <c r="J946" s="9"/>
      <c r="K946" s="9"/>
      <c r="L946" s="1220">
        <v>30</v>
      </c>
      <c r="M946" s="1221"/>
      <c r="N946" s="1221"/>
      <c r="O946" s="1221"/>
      <c r="P946" s="1221"/>
      <c r="Q946" s="1221"/>
      <c r="R946" s="1221"/>
      <c r="S946" s="1222"/>
      <c r="U946" s="212" t="s">
        <v>1958</v>
      </c>
      <c r="V946" s="9"/>
      <c r="W946" s="9"/>
      <c r="X946" s="9"/>
      <c r="Y946" s="9"/>
      <c r="Z946" s="9"/>
      <c r="AA946" s="9"/>
      <c r="AB946" s="9"/>
      <c r="AC946" s="9"/>
      <c r="AD946" s="52"/>
      <c r="AE946" s="1220"/>
      <c r="AF946" s="1221"/>
      <c r="AG946" s="1221"/>
      <c r="AH946" s="1221"/>
      <c r="AI946" s="1221"/>
      <c r="AJ946" s="1221"/>
      <c r="AK946" s="122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C951"/>
      <c r="F951" s="8" t="s">
        <v>846</v>
      </c>
      <c r="G951" s="9"/>
      <c r="H951" s="9"/>
      <c r="I951" s="9"/>
      <c r="J951" s="9"/>
      <c r="K951" s="9"/>
      <c r="L951" s="52"/>
      <c r="M951" s="1209"/>
      <c r="N951" s="1153"/>
      <c r="O951" s="1153"/>
      <c r="P951" s="1153"/>
      <c r="Q951" s="1153"/>
      <c r="R951" s="1153"/>
      <c r="S951" s="1210"/>
      <c r="T951" s="72" t="s">
        <v>949</v>
      </c>
      <c r="U951" s="9"/>
      <c r="V951" s="9"/>
      <c r="W951" s="9"/>
      <c r="X951" s="9"/>
      <c r="Y951" s="9"/>
      <c r="Z951" s="52"/>
      <c r="AA951" s="1209"/>
      <c r="AB951" s="1153"/>
      <c r="AC951" s="1153"/>
      <c r="AD951" s="1153"/>
      <c r="AE951" s="1153"/>
      <c r="AF951" s="1153"/>
      <c r="AG951" s="1210"/>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847</v>
      </c>
      <c r="G952" s="9"/>
      <c r="H952" s="9"/>
      <c r="I952" s="9"/>
      <c r="J952" s="9"/>
      <c r="K952" s="9"/>
      <c r="L952" s="52"/>
      <c r="M952" s="1209"/>
      <c r="N952" s="1153"/>
      <c r="O952" s="1153"/>
      <c r="P952" s="1153"/>
      <c r="Q952" s="1153"/>
      <c r="R952" s="1153"/>
      <c r="S952" s="1210"/>
      <c r="T952" s="72" t="s">
        <v>948</v>
      </c>
      <c r="U952" s="9"/>
      <c r="V952" s="9"/>
      <c r="W952" s="9"/>
      <c r="X952" s="9"/>
      <c r="Y952" s="9"/>
      <c r="Z952" s="52"/>
      <c r="AA952" s="1209">
        <f>+AO630</f>
        <v>3272350</v>
      </c>
      <c r="AB952" s="1153"/>
      <c r="AC952" s="1153"/>
      <c r="AD952" s="1153"/>
      <c r="AE952" s="1153"/>
      <c r="AF952" s="1153"/>
      <c r="AG952" s="121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72" t="s">
        <v>1139</v>
      </c>
      <c r="G953" s="9"/>
      <c r="H953" s="9"/>
      <c r="I953" s="9"/>
      <c r="J953" s="9"/>
      <c r="K953" s="9"/>
      <c r="L953" s="52"/>
      <c r="M953" s="1211" t="s">
        <v>124</v>
      </c>
      <c r="N953" s="1067"/>
      <c r="O953" s="1067"/>
      <c r="P953" s="1067"/>
      <c r="Q953" s="1067"/>
      <c r="R953" s="1067"/>
      <c r="S953" s="1212"/>
      <c r="T953" s="8" t="s">
        <v>565</v>
      </c>
      <c r="U953" s="9"/>
      <c r="V953" s="9"/>
      <c r="W953" s="9"/>
      <c r="X953" s="9"/>
      <c r="Y953" s="9"/>
      <c r="Z953" s="52"/>
      <c r="AA953" s="1209">
        <f>L944</f>
        <v>647184</v>
      </c>
      <c r="AB953" s="1153"/>
      <c r="AC953" s="1153"/>
      <c r="AD953" s="1153"/>
      <c r="AE953" s="1153"/>
      <c r="AF953" s="1153"/>
      <c r="AG953" s="121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8" t="s">
        <v>848</v>
      </c>
      <c r="G954" s="9"/>
      <c r="H954" s="9"/>
      <c r="I954" s="9"/>
      <c r="J954" s="9"/>
      <c r="K954" s="9"/>
      <c r="L954" s="52"/>
      <c r="M954" s="1209"/>
      <c r="N954" s="1153"/>
      <c r="O954" s="1153"/>
      <c r="P954" s="1153"/>
      <c r="Q954" s="1153"/>
      <c r="R954" s="1153"/>
      <c r="S954" s="1210"/>
      <c r="T954" s="8" t="s">
        <v>566</v>
      </c>
      <c r="U954" s="9"/>
      <c r="V954" s="9"/>
      <c r="W954" s="9"/>
      <c r="X954" s="9"/>
      <c r="Y954" s="9"/>
      <c r="Z954" s="52"/>
      <c r="AA954" s="1209"/>
      <c r="AB954" s="1153"/>
      <c r="AC954" s="1153"/>
      <c r="AD954" s="1153"/>
      <c r="AE954" s="1153"/>
      <c r="AF954" s="1153"/>
      <c r="AG954" s="121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83</v>
      </c>
      <c r="G955" s="9"/>
      <c r="H955" s="9"/>
      <c r="I955" s="9"/>
      <c r="J955" s="9"/>
      <c r="K955" s="9"/>
      <c r="L955" s="52"/>
      <c r="M955" s="1209"/>
      <c r="N955" s="1153"/>
      <c r="O955" s="1153"/>
      <c r="P955" s="1153"/>
      <c r="Q955" s="1153"/>
      <c r="R955" s="1153"/>
      <c r="S955" s="1210"/>
      <c r="T955" s="8" t="s">
        <v>493</v>
      </c>
      <c r="U955" s="9"/>
      <c r="V955" s="9"/>
      <c r="W955" s="9"/>
      <c r="X955" s="9"/>
      <c r="Y955" s="9"/>
      <c r="Z955" s="52"/>
      <c r="AA955" s="1209"/>
      <c r="AB955" s="1153"/>
      <c r="AC955" s="1153"/>
      <c r="AD955" s="1153"/>
      <c r="AE955" s="1153"/>
      <c r="AF955" s="1153"/>
      <c r="AG955" s="121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411" t="s">
        <v>1107</v>
      </c>
      <c r="G956" s="7"/>
      <c r="H956" s="7"/>
      <c r="I956" s="7"/>
      <c r="J956" s="7"/>
      <c r="K956" s="7"/>
      <c r="L956" s="64"/>
      <c r="M956" s="1191" t="s">
        <v>79</v>
      </c>
      <c r="N956" s="1192"/>
      <c r="O956" s="1192"/>
      <c r="P956" s="1192"/>
      <c r="Q956" s="1192"/>
      <c r="R956" s="1192"/>
      <c r="S956" s="1193"/>
      <c r="T956" s="1540"/>
      <c r="U956" s="1541"/>
      <c r="V956" s="1541"/>
      <c r="W956" s="1541"/>
      <c r="X956" s="1541"/>
      <c r="Y956" s="1541"/>
      <c r="Z956" s="1542"/>
      <c r="AA956" s="1209"/>
      <c r="AB956" s="1153"/>
      <c r="AC956" s="1153"/>
      <c r="AD956" s="1153"/>
      <c r="AE956" s="1153"/>
      <c r="AF956" s="1153"/>
      <c r="AG956" s="121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6" t="s">
        <v>84</v>
      </c>
      <c r="G957" s="7"/>
      <c r="H957" s="7"/>
      <c r="I957" s="7"/>
      <c r="J957" s="7"/>
      <c r="K957" s="7"/>
      <c r="L957" s="64"/>
      <c r="M957" s="1209"/>
      <c r="N957" s="1153"/>
      <c r="O957" s="1153"/>
      <c r="P957" s="1153"/>
      <c r="Q957" s="1153"/>
      <c r="R957" s="1153"/>
      <c r="S957" s="1210"/>
      <c r="T957" s="1540"/>
      <c r="U957" s="1541"/>
      <c r="V957" s="1541"/>
      <c r="W957" s="1541"/>
      <c r="X957" s="1541"/>
      <c r="Y957" s="1541"/>
      <c r="Z957" s="1542"/>
      <c r="AA957" s="1209"/>
      <c r="AB957" s="1153"/>
      <c r="AC957" s="1153"/>
      <c r="AD957" s="1153"/>
      <c r="AE957" s="1153"/>
      <c r="AF957" s="1153"/>
      <c r="AG957" s="1210"/>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564</v>
      </c>
      <c r="G958" s="7"/>
      <c r="H958" s="7"/>
      <c r="I958" s="7"/>
      <c r="J958" s="7"/>
      <c r="K958" s="7"/>
      <c r="L958" s="7"/>
      <c r="M958" s="7"/>
      <c r="N958" s="7"/>
      <c r="O958" s="1211" t="s">
        <v>108</v>
      </c>
      <c r="P958" s="1212"/>
      <c r="Q958" s="144"/>
      <c r="R958" s="144"/>
      <c r="S958" s="145"/>
      <c r="T958" s="6" t="s">
        <v>283</v>
      </c>
      <c r="U958" s="7"/>
      <c r="V958" s="7"/>
      <c r="W958" s="1393" t="s">
        <v>561</v>
      </c>
      <c r="X958" s="1394"/>
      <c r="Y958" s="1394"/>
      <c r="Z958" s="1394"/>
      <c r="AA958" s="1394"/>
      <c r="AB958" s="1394"/>
      <c r="AC958" s="1394"/>
      <c r="AD958" s="1394"/>
      <c r="AE958" s="1394"/>
      <c r="AF958" s="1394"/>
      <c r="AG958" s="139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1246" t="s">
        <v>226</v>
      </c>
      <c r="G959" s="1247"/>
      <c r="H959" s="1247"/>
      <c r="I959" s="1247"/>
      <c r="J959" s="1247"/>
      <c r="K959" s="1247"/>
      <c r="L959" s="1247"/>
      <c r="M959" s="1209">
        <f>AA953</f>
        <v>647184</v>
      </c>
      <c r="N959" s="1153"/>
      <c r="O959" s="1153"/>
      <c r="P959" s="1153"/>
      <c r="Q959" s="1153"/>
      <c r="R959" s="1153"/>
      <c r="S959" s="1210"/>
      <c r="T959" s="53"/>
      <c r="U959" s="54"/>
      <c r="V959" s="54"/>
      <c r="W959" s="54"/>
      <c r="X959" s="54"/>
      <c r="Y959" s="54"/>
      <c r="Z959" s="224" t="s">
        <v>227</v>
      </c>
      <c r="AA959" s="1396"/>
      <c r="AB959" s="1342"/>
      <c r="AC959" s="1342"/>
      <c r="AD959" s="1342"/>
      <c r="AE959" s="1342"/>
      <c r="AF959" s="1342"/>
      <c r="AG959" s="139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 customHeight="1">
      <c r="A963" s="1068" t="s">
        <v>129</v>
      </c>
      <c r="B963" s="1068"/>
      <c r="C963" s="1068"/>
      <c r="D963" s="1068"/>
      <c r="E963" s="1068"/>
      <c r="F963" s="1068"/>
      <c r="G963" s="1068"/>
      <c r="H963" s="1068"/>
      <c r="I963" s="1068"/>
      <c r="J963" s="1068"/>
      <c r="K963" s="1068"/>
      <c r="L963" s="1068"/>
      <c r="M963" s="1068"/>
      <c r="N963" s="1068"/>
      <c r="O963" s="1068"/>
      <c r="P963" s="1068"/>
      <c r="Q963" s="1068"/>
      <c r="R963" s="1068"/>
      <c r="S963" s="1068"/>
      <c r="T963" s="1068"/>
      <c r="U963" s="1068"/>
      <c r="V963" s="1068"/>
      <c r="W963" s="1068"/>
      <c r="X963" s="1068"/>
      <c r="Y963" s="1068"/>
      <c r="Z963" s="1068"/>
      <c r="AA963" s="1068"/>
      <c r="AB963" s="1068"/>
      <c r="AC963" s="1068"/>
      <c r="AD963" s="1068"/>
      <c r="AE963" s="1068"/>
      <c r="AF963" s="1068"/>
      <c r="AG963" s="1068"/>
      <c r="AH963" s="1068"/>
      <c r="AI963" s="1068"/>
      <c r="AJ963" s="1068"/>
      <c r="AK963" s="1068"/>
      <c r="AL963" s="1068"/>
      <c r="AM963" s="1068"/>
      <c r="AN963" s="1068"/>
      <c r="AO963" s="1068"/>
      <c r="AP963" s="1068"/>
      <c r="AQ963" s="1068"/>
      <c r="AR963" s="1068"/>
      <c r="AS963" s="1068"/>
      <c r="AT963" s="1068"/>
    </row>
    <row r="964" spans="1:97" s="956" customFormat="1" ht="12.9" customHeight="1">
      <c r="A964" s="1068"/>
      <c r="B964" s="1068"/>
      <c r="C964" s="1068"/>
      <c r="D964" s="1068"/>
      <c r="E964" s="1068"/>
      <c r="F964" s="1068"/>
      <c r="G964" s="1068"/>
      <c r="H964" s="1068"/>
      <c r="I964" s="1068"/>
      <c r="J964" s="1068"/>
      <c r="K964" s="1068"/>
      <c r="L964" s="1068"/>
      <c r="M964" s="1068"/>
      <c r="N964" s="1068"/>
      <c r="O964" s="1068"/>
      <c r="P964" s="1068"/>
      <c r="Q964" s="1068"/>
      <c r="R964" s="1068"/>
      <c r="S964" s="1068"/>
      <c r="T964" s="1068"/>
      <c r="U964" s="1068"/>
      <c r="V964" s="1068"/>
      <c r="W964" s="1068"/>
      <c r="X964" s="1068"/>
      <c r="Y964" s="1068"/>
      <c r="Z964" s="1068"/>
      <c r="AA964" s="1068"/>
      <c r="AB964" s="1068"/>
      <c r="AC964" s="1068"/>
      <c r="AD964" s="1068"/>
      <c r="AE964" s="1068"/>
      <c r="AF964" s="1068"/>
      <c r="AG964" s="1068"/>
      <c r="AH964" s="1068"/>
      <c r="AI964" s="1068"/>
      <c r="AJ964" s="1068"/>
      <c r="AK964" s="1068"/>
      <c r="AL964" s="1068"/>
      <c r="AM964" s="1068"/>
      <c r="AN964" s="1068"/>
      <c r="AO964" s="1068"/>
      <c r="AP964" s="1068"/>
      <c r="AQ964" s="1068"/>
      <c r="AR964" s="1068"/>
      <c r="AS964" s="1068"/>
      <c r="AT964" s="1068"/>
    </row>
    <row r="965" spans="1:97" ht="12.9"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7" t="s">
        <v>424</v>
      </c>
      <c r="E968" s="1218"/>
      <c r="F968" s="1218"/>
      <c r="G968" s="1218"/>
      <c r="H968" s="1218"/>
      <c r="I968" s="1218"/>
      <c r="J968" s="1218"/>
      <c r="K968" s="1218"/>
      <c r="L968" s="1218"/>
      <c r="M968" s="1218"/>
      <c r="N968" s="1218"/>
      <c r="O968" s="1218"/>
      <c r="P968" s="1218"/>
      <c r="Q968" s="1219"/>
      <c r="R968" s="1217" t="s">
        <v>425</v>
      </c>
      <c r="S968" s="1218"/>
      <c r="T968" s="1218"/>
      <c r="U968" s="1218"/>
      <c r="V968" s="1218"/>
      <c r="W968" s="1218"/>
      <c r="X968" s="1218"/>
      <c r="Y968" s="1218"/>
      <c r="Z968" s="1218"/>
      <c r="AA968" s="1219"/>
      <c r="AB968" s="1217" t="s">
        <v>426</v>
      </c>
      <c r="AC968" s="1218"/>
      <c r="AD968" s="1218"/>
      <c r="AE968" s="1218"/>
      <c r="AF968" s="1218"/>
      <c r="AG968" s="1218"/>
      <c r="AH968" s="1218"/>
      <c r="AI968" s="1219"/>
      <c r="AJ968" s="1217" t="s">
        <v>427</v>
      </c>
      <c r="AK968" s="1218"/>
      <c r="AL968" s="1218"/>
      <c r="AM968" s="1218"/>
      <c r="AN968" s="1218"/>
      <c r="AO968" s="1218"/>
      <c r="AP968" s="1218"/>
      <c r="AQ968" s="121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5"/>
      <c r="D969" s="1276" t="s">
        <v>419</v>
      </c>
      <c r="E969" s="1277"/>
      <c r="F969" s="1277"/>
      <c r="G969" s="1277"/>
      <c r="H969" s="1277"/>
      <c r="I969" s="1277"/>
      <c r="J969" s="1277"/>
      <c r="K969" s="1277"/>
      <c r="L969" s="1277"/>
      <c r="M969" s="1277"/>
      <c r="N969" s="1277"/>
      <c r="O969" s="1277"/>
      <c r="P969" s="1277"/>
      <c r="Q969" s="1278"/>
      <c r="R969" s="1279">
        <f>IF(ISNA(IF($BA$827="4%",(INDEX($BC$833:$BG$889,MATCH($BO$833,$BB$842:$BB$899,0),MATCH(D969,$BC$830:$BG$830,0))),(INDEX($BJ$842:$BN$899,MATCH($BO$833,$BI$842:$BI$899,0),MATCH(D969,$BJ$840:$BN$840,0))))),0,IF($BA$827="4%",(INDEX($BC$833:$BG$889,MATCH($BO$833,$BB$842:$BB$899,0),MATCH(D969,$BC$830:$BG$830,0))),(INDEX($BJ$842:$BN$899,MATCH($BO$833,$BI$842:$BI$899,0),MATCH(D969,$BJ$840:$BN$840,0)))))</f>
        <v>307732</v>
      </c>
      <c r="S969" s="1279"/>
      <c r="T969" s="1279"/>
      <c r="U969" s="1279"/>
      <c r="V969" s="1279"/>
      <c r="W969" s="1279"/>
      <c r="X969" s="1279"/>
      <c r="Y969" s="1279"/>
      <c r="Z969" s="1279"/>
      <c r="AA969" s="1279"/>
      <c r="AB969" s="1363">
        <f>BN659</f>
        <v>0</v>
      </c>
      <c r="AC969" s="1364"/>
      <c r="AD969" s="1364"/>
      <c r="AE969" s="1364"/>
      <c r="AF969" s="1364"/>
      <c r="AG969" s="1364"/>
      <c r="AH969" s="1364"/>
      <c r="AI969" s="1365"/>
      <c r="AJ969" s="1182">
        <f>IF(ISERROR((R969*AB969)),0,(R969*AB969))</f>
        <v>0</v>
      </c>
      <c r="AK969" s="1183"/>
      <c r="AL969" s="1183"/>
      <c r="AM969" s="1183"/>
      <c r="AN969" s="1183"/>
      <c r="AO969" s="1183"/>
      <c r="AP969" s="1183"/>
      <c r="AQ969" s="118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3"/>
      <c r="D970" s="1276" t="s">
        <v>442</v>
      </c>
      <c r="E970" s="1277"/>
      <c r="F970" s="1277"/>
      <c r="G970" s="1277"/>
      <c r="H970" s="1277"/>
      <c r="I970" s="1277"/>
      <c r="J970" s="1277"/>
      <c r="K970" s="1277"/>
      <c r="L970" s="1277"/>
      <c r="M970" s="1277"/>
      <c r="N970" s="1277"/>
      <c r="O970" s="1277"/>
      <c r="P970" s="1277"/>
      <c r="Q970" s="1278"/>
      <c r="R970" s="1279">
        <f>IF(ISNA(IF($BA$827="4%",(INDEX($BC$833:$BG$889,MATCH($BO$833,$BB$842:$BB$899,0),MATCH(D970,$BC$830:$BG$830,0))),(INDEX($BJ$842:$BN$899,MATCH($BO$833,$BI$842:$BI$899,0),MATCH(D970,$BJ$840:$BN$840,0))))),0,IF($BA$827="4%",(INDEX($BC$833:$BG$889,MATCH($BO$833,$BB$842:$BB$899,0),MATCH(D970,$BC$830:$BG$830,0))),(INDEX($BJ$842:$BN$899,MATCH($BO$833,$BI$842:$BI$899,0),MATCH(D970,$BJ$840:$BN$840,0)))))</f>
        <v>354812</v>
      </c>
      <c r="S970" s="1279"/>
      <c r="T970" s="1279"/>
      <c r="U970" s="1279"/>
      <c r="V970" s="1279"/>
      <c r="W970" s="1279"/>
      <c r="X970" s="1279"/>
      <c r="Y970" s="1279"/>
      <c r="Z970" s="1279"/>
      <c r="AA970" s="1279"/>
      <c r="AB970" s="1363">
        <f>BS659</f>
        <v>100</v>
      </c>
      <c r="AC970" s="1364"/>
      <c r="AD970" s="1364"/>
      <c r="AE970" s="1364"/>
      <c r="AF970" s="1364"/>
      <c r="AG970" s="1364"/>
      <c r="AH970" s="1364"/>
      <c r="AI970" s="1365"/>
      <c r="AJ970" s="1182">
        <f>IF(ISERROR((R970*AB970)),0,(R970*AB970))</f>
        <v>35481200</v>
      </c>
      <c r="AK970" s="1183"/>
      <c r="AL970" s="1183"/>
      <c r="AM970" s="1183"/>
      <c r="AN970" s="1183"/>
      <c r="AO970" s="1183"/>
      <c r="AP970" s="1183"/>
      <c r="AQ970" s="118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76" t="s">
        <v>779</v>
      </c>
      <c r="E971" s="1277"/>
      <c r="F971" s="1277"/>
      <c r="G971" s="1277"/>
      <c r="H971" s="1277"/>
      <c r="I971" s="1277"/>
      <c r="J971" s="1277"/>
      <c r="K971" s="1277"/>
      <c r="L971" s="1277"/>
      <c r="M971" s="1277"/>
      <c r="N971" s="1277"/>
      <c r="O971" s="1277"/>
      <c r="P971" s="1277"/>
      <c r="Q971" s="1278"/>
      <c r="R971" s="1279">
        <f>IF(ISNA(IF($BA$827="4%",(INDEX($BC$833:$BG$889,MATCH($BO$833,$BB$842:$BB$899,0),MATCH(D971,$BC$830:$BG$830,0))),(INDEX($BJ$842:$BN$899,MATCH($BO$833,$BI$842:$BI$899,0),MATCH(D971,$BJ$840:$BN$840,0))))),0,IF($BA$827="4%",(INDEX($BC$833:$BG$889,MATCH($BO$833,$BB$842:$BB$899,0),MATCH(D971,$BC$830:$BG$830,0))),(INDEX($BJ$842:$BN$899,MATCH($BO$833,$BI$842:$BI$899,0),MATCH(D971,$BJ$840:$BN$840,0)))))</f>
        <v>428000</v>
      </c>
      <c r="S971" s="1279"/>
      <c r="T971" s="1279"/>
      <c r="U971" s="1279"/>
      <c r="V971" s="1279"/>
      <c r="W971" s="1279"/>
      <c r="X971" s="1279"/>
      <c r="Y971" s="1279"/>
      <c r="Z971" s="1279"/>
      <c r="AA971" s="1279"/>
      <c r="AB971" s="1363">
        <f>BX659</f>
        <v>1</v>
      </c>
      <c r="AC971" s="1364"/>
      <c r="AD971" s="1364"/>
      <c r="AE971" s="1364"/>
      <c r="AF971" s="1364"/>
      <c r="AG971" s="1364"/>
      <c r="AH971" s="1364"/>
      <c r="AI971" s="1365"/>
      <c r="AJ971" s="1182">
        <f>IF(ISERROR((R971*AB971)),0,(R971*AB971))</f>
        <v>428000</v>
      </c>
      <c r="AK971" s="1183"/>
      <c r="AL971" s="1183"/>
      <c r="AM971" s="1183"/>
      <c r="AN971" s="1183"/>
      <c r="AO971" s="1183"/>
      <c r="AP971" s="1183"/>
      <c r="AQ971" s="118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76" t="s">
        <v>780</v>
      </c>
      <c r="E972" s="1277"/>
      <c r="F972" s="1277"/>
      <c r="G972" s="1277"/>
      <c r="H972" s="1277"/>
      <c r="I972" s="1277"/>
      <c r="J972" s="1277"/>
      <c r="K972" s="1277"/>
      <c r="L972" s="1277"/>
      <c r="M972" s="1277"/>
      <c r="N972" s="1277"/>
      <c r="O972" s="1277"/>
      <c r="P972" s="1277"/>
      <c r="Q972" s="1278"/>
      <c r="R972" s="1279">
        <f>IF(ISNA(IF($BA$827="4%",(INDEX($BC$833:$BG$889,MATCH($BO$833,$BB$842:$BB$899,0),MATCH(D972,$BC$830:$BG$830,0))),(INDEX($BJ$842:$BN$899,MATCH($BO$833,$BI$842:$BI$899,0),MATCH(D972,$BJ$840:$BN$840,0))))),0,IF($BA$827="4%",(INDEX($BC$833:$BG$889,MATCH($BO$833,$BB$842:$BB$899,0),MATCH(D972,$BC$830:$BG$830,0))),(INDEX($BJ$842:$BN$899,MATCH($BO$833,$BI$842:$BI$899,0),MATCH(D972,$BJ$840:$BN$840,0)))))</f>
        <v>547840</v>
      </c>
      <c r="S972" s="1279"/>
      <c r="T972" s="1279"/>
      <c r="U972" s="1279"/>
      <c r="V972" s="1279"/>
      <c r="W972" s="1279"/>
      <c r="X972" s="1279"/>
      <c r="Y972" s="1279"/>
      <c r="Z972" s="1279"/>
      <c r="AA972" s="1279"/>
      <c r="AB972" s="1363">
        <f>CC659</f>
        <v>0</v>
      </c>
      <c r="AC972" s="1364"/>
      <c r="AD972" s="1364"/>
      <c r="AE972" s="1364"/>
      <c r="AF972" s="1364"/>
      <c r="AG972" s="1364"/>
      <c r="AH972" s="1364"/>
      <c r="AI972" s="1365"/>
      <c r="AJ972" s="1182">
        <f>IF(ISERROR((R972*AB972)),0,(R972*AB972))</f>
        <v>0</v>
      </c>
      <c r="AK972" s="1183"/>
      <c r="AL972" s="1183"/>
      <c r="AM972" s="1183"/>
      <c r="AN972" s="1183"/>
      <c r="AO972" s="1183"/>
      <c r="AP972" s="1183"/>
      <c r="AQ972" s="118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53"/>
      <c r="C973" s="81"/>
      <c r="D973" s="1276" t="s">
        <v>790</v>
      </c>
      <c r="E973" s="1277"/>
      <c r="F973" s="1277"/>
      <c r="G973" s="1277"/>
      <c r="H973" s="1277"/>
      <c r="I973" s="1277"/>
      <c r="J973" s="1277"/>
      <c r="K973" s="1277"/>
      <c r="L973" s="1277"/>
      <c r="M973" s="1277"/>
      <c r="N973" s="1277"/>
      <c r="O973" s="1277"/>
      <c r="P973" s="1277"/>
      <c r="Q973" s="1278"/>
      <c r="R973" s="1279">
        <f>IF(ISNA(IF($BA$827="4%",(INDEX($BC$833:$BG$889,MATCH($BO$833,$BB$842:$BB$899,0),MATCH(D973,$BC$830:$BG$830,0))),(INDEX($BJ$842:$BN$899,MATCH($BO$833,$BI$842:$BI$899,0),MATCH(D973,$BJ$840:$BN$840,0))))),0,IF($BA$827="4%",(INDEX($BC$833:$BG$889,MATCH($BO$833,$BB$842:$BB$899,0),MATCH(D973,$BC$830:$BG$830,0))),(INDEX($BJ$842:$BN$899,MATCH($BO$833,$BI$842:$BI$899,0),MATCH(D973,$BJ$840:$BN$840,0)))))</f>
        <v>610328</v>
      </c>
      <c r="S973" s="1279"/>
      <c r="T973" s="1279"/>
      <c r="U973" s="1279"/>
      <c r="V973" s="1279"/>
      <c r="W973" s="1279"/>
      <c r="X973" s="1279"/>
      <c r="Y973" s="1279"/>
      <c r="Z973" s="1279"/>
      <c r="AA973" s="1279"/>
      <c r="AB973" s="1363">
        <f>CM659+CH659</f>
        <v>0</v>
      </c>
      <c r="AC973" s="1364"/>
      <c r="AD973" s="1364"/>
      <c r="AE973" s="1364"/>
      <c r="AF973" s="1364"/>
      <c r="AG973" s="1364"/>
      <c r="AH973" s="1364"/>
      <c r="AI973" s="1365"/>
      <c r="AJ973" s="1182">
        <f>IF(ISERROR((R973*AB973)),0,(R973*AB973))</f>
        <v>0</v>
      </c>
      <c r="AK973" s="1183"/>
      <c r="AL973" s="1183"/>
      <c r="AM973" s="1183"/>
      <c r="AN973" s="1183"/>
      <c r="AO973" s="1183"/>
      <c r="AP973" s="1183"/>
      <c r="AQ973" s="118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1574" t="s">
        <v>959</v>
      </c>
      <c r="C974" s="1575"/>
      <c r="D974" s="1575"/>
      <c r="E974" s="1575"/>
      <c r="F974" s="1575"/>
      <c r="G974" s="1575"/>
      <c r="H974" s="1575"/>
      <c r="I974" s="1575"/>
      <c r="J974" s="1575"/>
      <c r="K974" s="1575"/>
      <c r="L974" s="1575"/>
      <c r="M974" s="1575"/>
      <c r="N974" s="1575"/>
      <c r="O974" s="1575"/>
      <c r="P974" s="1575"/>
      <c r="Q974" s="1575"/>
      <c r="R974" s="1575"/>
      <c r="S974" s="1575"/>
      <c r="T974" s="1575"/>
      <c r="U974" s="1575"/>
      <c r="V974" s="1575"/>
      <c r="W974" s="1575"/>
      <c r="X974" s="1575"/>
      <c r="Y974" s="1575"/>
      <c r="Z974" s="1575"/>
      <c r="AA974" s="1576"/>
      <c r="AB974" s="1363">
        <f>SUM(AB969:AI973)</f>
        <v>101</v>
      </c>
      <c r="AC974" s="1364"/>
      <c r="AD974" s="1364"/>
      <c r="AE974" s="1364"/>
      <c r="AF974" s="1364"/>
      <c r="AG974" s="1364"/>
      <c r="AH974" s="1364"/>
      <c r="AI974" s="1365"/>
      <c r="AJ974" s="1182"/>
      <c r="AK974" s="1183"/>
      <c r="AL974" s="1183"/>
      <c r="AM974" s="1183"/>
      <c r="AN974" s="1183"/>
      <c r="AO974" s="1183"/>
      <c r="AP974" s="1183"/>
      <c r="AQ974" s="118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366" t="s">
        <v>746</v>
      </c>
      <c r="C975" s="1367"/>
      <c r="D975" s="1367"/>
      <c r="E975" s="1367"/>
      <c r="F975" s="1367"/>
      <c r="G975" s="1367"/>
      <c r="H975" s="1367"/>
      <c r="I975" s="1367"/>
      <c r="J975" s="1367"/>
      <c r="K975" s="1367"/>
      <c r="L975" s="1367"/>
      <c r="M975" s="1367"/>
      <c r="N975" s="1367"/>
      <c r="O975" s="1367"/>
      <c r="P975" s="1367"/>
      <c r="Q975" s="1367"/>
      <c r="R975" s="1367"/>
      <c r="S975" s="1367"/>
      <c r="T975" s="1367"/>
      <c r="U975" s="1367"/>
      <c r="V975" s="1367"/>
      <c r="W975" s="1367"/>
      <c r="X975" s="1367"/>
      <c r="Y975" s="1367"/>
      <c r="Z975" s="1367"/>
      <c r="AA975" s="1367"/>
      <c r="AB975" s="1367"/>
      <c r="AC975" s="1367"/>
      <c r="AD975" s="1367"/>
      <c r="AE975" s="1367"/>
      <c r="AF975" s="1367"/>
      <c r="AG975" s="1367"/>
      <c r="AH975" s="1367"/>
      <c r="AI975" s="1368"/>
      <c r="AJ975" s="1182">
        <f>SUM(AJ969:AQ973)</f>
        <v>35909200</v>
      </c>
      <c r="AK975" s="1183"/>
      <c r="AL975" s="1183"/>
      <c r="AM975" s="1183"/>
      <c r="AN975" s="1183"/>
      <c r="AO975" s="1183"/>
      <c r="AP975" s="1183"/>
      <c r="AQ975" s="118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185"/>
      <c r="C976" s="1186"/>
      <c r="D976" s="1186"/>
      <c r="E976" s="1186"/>
      <c r="F976" s="1186"/>
      <c r="G976" s="1186"/>
      <c r="H976" s="1186"/>
      <c r="I976" s="1186"/>
      <c r="J976" s="1186"/>
      <c r="K976" s="1186"/>
      <c r="L976" s="1186"/>
      <c r="M976" s="1186"/>
      <c r="N976" s="1186"/>
      <c r="O976" s="1186"/>
      <c r="P976" s="1186"/>
      <c r="Q976" s="1186"/>
      <c r="R976" s="1186"/>
      <c r="S976" s="1186"/>
      <c r="T976" s="1186"/>
      <c r="U976" s="1186"/>
      <c r="V976" s="1186"/>
      <c r="W976" s="1186"/>
      <c r="X976" s="1186"/>
      <c r="Y976" s="1186"/>
      <c r="Z976" s="1186"/>
      <c r="AA976" s="1186"/>
      <c r="AB976" s="1186"/>
      <c r="AC976" s="1186"/>
      <c r="AD976" s="1186"/>
      <c r="AE976" s="1187"/>
      <c r="AF976" s="1537" t="s">
        <v>479</v>
      </c>
      <c r="AG976" s="1538"/>
      <c r="AH976" s="1538"/>
      <c r="AI976" s="1539"/>
      <c r="AJ976" s="1185"/>
      <c r="AK976" s="1186"/>
      <c r="AL976" s="1186"/>
      <c r="AM976" s="1186"/>
      <c r="AN976" s="1186"/>
      <c r="AO976" s="1186"/>
      <c r="AP976" s="1186"/>
      <c r="AQ976" s="118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79"/>
      <c r="C977" s="856" t="s">
        <v>481</v>
      </c>
      <c r="D977" s="1173" t="s">
        <v>1877</v>
      </c>
      <c r="E977" s="1174"/>
      <c r="F977" s="1174"/>
      <c r="G977" s="1174"/>
      <c r="H977" s="1174"/>
      <c r="I977" s="1174"/>
      <c r="J977" s="1174"/>
      <c r="K977" s="1174"/>
      <c r="L977" s="1174"/>
      <c r="M977" s="1174"/>
      <c r="N977" s="1174"/>
      <c r="O977" s="1174"/>
      <c r="P977" s="1174"/>
      <c r="Q977" s="1174"/>
      <c r="R977" s="1174"/>
      <c r="S977" s="1174"/>
      <c r="T977" s="1174"/>
      <c r="U977" s="1174"/>
      <c r="V977" s="1174"/>
      <c r="W977" s="1174"/>
      <c r="X977" s="1174"/>
      <c r="Y977" s="1174"/>
      <c r="Z977" s="1174"/>
      <c r="AA977" s="1174"/>
      <c r="AB977" s="1174"/>
      <c r="AC977" s="1174"/>
      <c r="AD977" s="1174"/>
      <c r="AE977" s="1175"/>
      <c r="AF977" s="82"/>
      <c r="AG977" s="1572" t="s">
        <v>482</v>
      </c>
      <c r="AH977" s="1573"/>
      <c r="AI977" s="85"/>
      <c r="AJ977" s="1372">
        <f>ROUND(IF(AND(AG977="yes",D983&lt;&gt;""),AJ975*0.2,0),0)</f>
        <v>0</v>
      </c>
      <c r="AK977" s="1373"/>
      <c r="AL977" s="1373"/>
      <c r="AM977" s="1373"/>
      <c r="AN977" s="1373"/>
      <c r="AO977" s="1373"/>
      <c r="AP977" s="1373"/>
      <c r="AQ977" s="137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7"/>
      <c r="C978" s="858"/>
      <c r="D978" s="1270" t="s">
        <v>2307</v>
      </c>
      <c r="E978" s="1271"/>
      <c r="F978" s="1271"/>
      <c r="G978" s="1271"/>
      <c r="H978" s="1271"/>
      <c r="I978" s="1271"/>
      <c r="J978" s="1271"/>
      <c r="K978" s="1271"/>
      <c r="L978" s="1271"/>
      <c r="M978" s="1271"/>
      <c r="N978" s="1271"/>
      <c r="O978" s="1271"/>
      <c r="P978" s="1271"/>
      <c r="Q978" s="1271"/>
      <c r="R978" s="1271"/>
      <c r="S978" s="1271"/>
      <c r="T978" s="1271"/>
      <c r="U978" s="1271"/>
      <c r="V978" s="1271"/>
      <c r="W978" s="1271"/>
      <c r="X978" s="1271"/>
      <c r="Y978" s="1271"/>
      <c r="Z978" s="1271"/>
      <c r="AA978" s="1271"/>
      <c r="AB978" s="1271"/>
      <c r="AC978" s="1271"/>
      <c r="AD978" s="1271"/>
      <c r="AE978" s="1272"/>
      <c r="AF978" s="79"/>
      <c r="AG978" s="21"/>
      <c r="AH978" s="21"/>
      <c r="AI978" s="83"/>
      <c r="AJ978" s="1375"/>
      <c r="AK978" s="1376"/>
      <c r="AL978" s="1376"/>
      <c r="AM978" s="1376"/>
      <c r="AN978" s="1376"/>
      <c r="AO978" s="1376"/>
      <c r="AP978" s="1376"/>
      <c r="AQ978" s="137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270"/>
      <c r="E979" s="1271"/>
      <c r="F979" s="1271"/>
      <c r="G979" s="1271"/>
      <c r="H979" s="1271"/>
      <c r="I979" s="1271"/>
      <c r="J979" s="1271"/>
      <c r="K979" s="1271"/>
      <c r="L979" s="1271"/>
      <c r="M979" s="1271"/>
      <c r="N979" s="1271"/>
      <c r="O979" s="1271"/>
      <c r="P979" s="1271"/>
      <c r="Q979" s="1271"/>
      <c r="R979" s="1271"/>
      <c r="S979" s="1271"/>
      <c r="T979" s="1271"/>
      <c r="U979" s="1271"/>
      <c r="V979" s="1271"/>
      <c r="W979" s="1271"/>
      <c r="X979" s="1271"/>
      <c r="Y979" s="1271"/>
      <c r="Z979" s="1271"/>
      <c r="AA979" s="1271"/>
      <c r="AB979" s="1271"/>
      <c r="AC979" s="1271"/>
      <c r="AD979" s="1271"/>
      <c r="AE979" s="1272"/>
      <c r="AF979" s="79"/>
      <c r="AG979" s="21"/>
      <c r="AH979" s="21"/>
      <c r="AI979" s="83"/>
      <c r="AJ979" s="1375"/>
      <c r="AK979" s="1376"/>
      <c r="AL979" s="1376"/>
      <c r="AM979" s="1376"/>
      <c r="AN979" s="1376"/>
      <c r="AO979" s="1376"/>
      <c r="AP979" s="1376"/>
      <c r="AQ979" s="137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270"/>
      <c r="E980" s="1271"/>
      <c r="F980" s="1271"/>
      <c r="G980" s="1271"/>
      <c r="H980" s="1271"/>
      <c r="I980" s="1271"/>
      <c r="J980" s="1271"/>
      <c r="K980" s="1271"/>
      <c r="L980" s="1271"/>
      <c r="M980" s="1271"/>
      <c r="N980" s="1271"/>
      <c r="O980" s="1271"/>
      <c r="P980" s="1271"/>
      <c r="Q980" s="1271"/>
      <c r="R980" s="1271"/>
      <c r="S980" s="1271"/>
      <c r="T980" s="1271"/>
      <c r="U980" s="1271"/>
      <c r="V980" s="1271"/>
      <c r="W980" s="1271"/>
      <c r="X980" s="1271"/>
      <c r="Y980" s="1271"/>
      <c r="Z980" s="1271"/>
      <c r="AA980" s="1271"/>
      <c r="AB980" s="1271"/>
      <c r="AC980" s="1271"/>
      <c r="AD980" s="1271"/>
      <c r="AE980" s="1272"/>
      <c r="AF980" s="79"/>
      <c r="AG980" s="21"/>
      <c r="AH980" s="21"/>
      <c r="AI980" s="83"/>
      <c r="AJ980" s="1375"/>
      <c r="AK980" s="1376"/>
      <c r="AL980" s="1376"/>
      <c r="AM980" s="1376"/>
      <c r="AN980" s="1376"/>
      <c r="AO980" s="1376"/>
      <c r="AP980" s="1376"/>
      <c r="AQ980" s="137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270"/>
      <c r="E981" s="1271"/>
      <c r="F981" s="1271"/>
      <c r="G981" s="1271"/>
      <c r="H981" s="1271"/>
      <c r="I981" s="1271"/>
      <c r="J981" s="1271"/>
      <c r="K981" s="1271"/>
      <c r="L981" s="1271"/>
      <c r="M981" s="1271"/>
      <c r="N981" s="1271"/>
      <c r="O981" s="1271"/>
      <c r="P981" s="1271"/>
      <c r="Q981" s="1271"/>
      <c r="R981" s="1271"/>
      <c r="S981" s="1271"/>
      <c r="T981" s="1271"/>
      <c r="U981" s="1271"/>
      <c r="V981" s="1271"/>
      <c r="W981" s="1271"/>
      <c r="X981" s="1271"/>
      <c r="Y981" s="1271"/>
      <c r="Z981" s="1271"/>
      <c r="AA981" s="1271"/>
      <c r="AB981" s="1271"/>
      <c r="AC981" s="1271"/>
      <c r="AD981" s="1271"/>
      <c r="AE981" s="1272"/>
      <c r="AF981" s="79"/>
      <c r="AG981" s="21"/>
      <c r="AH981" s="21"/>
      <c r="AI981" s="83"/>
      <c r="AJ981" s="1375"/>
      <c r="AK981" s="1376"/>
      <c r="AL981" s="1376"/>
      <c r="AM981" s="1376"/>
      <c r="AN981" s="1376"/>
      <c r="AO981" s="1376"/>
      <c r="AP981" s="1376"/>
      <c r="AQ981" s="137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273" t="s">
        <v>2255</v>
      </c>
      <c r="E982" s="1274"/>
      <c r="F982" s="1274"/>
      <c r="G982" s="1274"/>
      <c r="H982" s="1274"/>
      <c r="I982" s="1274"/>
      <c r="J982" s="1274"/>
      <c r="K982" s="1274"/>
      <c r="L982" s="1274"/>
      <c r="M982" s="1274"/>
      <c r="N982" s="1274"/>
      <c r="O982" s="1274"/>
      <c r="P982" s="1274"/>
      <c r="Q982" s="1274"/>
      <c r="R982" s="1274"/>
      <c r="S982" s="1274"/>
      <c r="T982" s="1274"/>
      <c r="U982" s="1274"/>
      <c r="V982" s="1274"/>
      <c r="W982" s="1274"/>
      <c r="X982" s="1274"/>
      <c r="Y982" s="1274"/>
      <c r="Z982" s="1274"/>
      <c r="AA982" s="1274"/>
      <c r="AB982" s="1274"/>
      <c r="AC982" s="1274"/>
      <c r="AD982" s="1274"/>
      <c r="AE982" s="1275"/>
      <c r="AF982" s="79"/>
      <c r="AG982" s="21"/>
      <c r="AH982" s="21"/>
      <c r="AI982" s="83"/>
      <c r="AJ982" s="1375"/>
      <c r="AK982" s="1376"/>
      <c r="AL982" s="1376"/>
      <c r="AM982" s="1376"/>
      <c r="AN982" s="1376"/>
      <c r="AO982" s="1376"/>
      <c r="AP982" s="1376"/>
      <c r="AQ982" s="137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390"/>
      <c r="E983" s="1391"/>
      <c r="F983" s="1391"/>
      <c r="G983" s="1391"/>
      <c r="H983" s="1391"/>
      <c r="I983" s="1391"/>
      <c r="J983" s="1391"/>
      <c r="K983" s="1391"/>
      <c r="L983" s="1391"/>
      <c r="M983" s="1391"/>
      <c r="N983" s="1391"/>
      <c r="O983" s="1391"/>
      <c r="P983" s="1391"/>
      <c r="Q983" s="1391"/>
      <c r="R983" s="1391"/>
      <c r="S983" s="1391"/>
      <c r="T983" s="1391"/>
      <c r="U983" s="1391"/>
      <c r="V983" s="1391"/>
      <c r="W983" s="1391"/>
      <c r="X983" s="1391"/>
      <c r="Y983" s="1391"/>
      <c r="Z983" s="1391"/>
      <c r="AA983" s="1391"/>
      <c r="AB983" s="1391"/>
      <c r="AC983" s="1391"/>
      <c r="AD983" s="1391"/>
      <c r="AE983" s="1392"/>
      <c r="AF983" s="80"/>
      <c r="AG983" s="11"/>
      <c r="AH983" s="11"/>
      <c r="AI983" s="81"/>
      <c r="AJ983" s="1378"/>
      <c r="AK983" s="1379"/>
      <c r="AL983" s="1379"/>
      <c r="AM983" s="1379"/>
      <c r="AN983" s="1379"/>
      <c r="AO983" s="1379"/>
      <c r="AP983" s="1379"/>
      <c r="AQ983" s="138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9"/>
      <c r="C984" s="860"/>
      <c r="D984" s="1386" t="s">
        <v>1984</v>
      </c>
      <c r="E984" s="1255"/>
      <c r="F984" s="1255"/>
      <c r="G984" s="1255"/>
      <c r="H984" s="1255"/>
      <c r="I984" s="1255"/>
      <c r="J984" s="1255"/>
      <c r="K984" s="1255"/>
      <c r="L984" s="1255"/>
      <c r="M984" s="1255"/>
      <c r="N984" s="1255"/>
      <c r="O984" s="1255"/>
      <c r="P984" s="1255"/>
      <c r="Q984" s="1255"/>
      <c r="R984" s="1255"/>
      <c r="S984" s="1255"/>
      <c r="T984" s="1255"/>
      <c r="U984" s="1255"/>
      <c r="V984" s="1255"/>
      <c r="W984" s="1255"/>
      <c r="X984" s="1255"/>
      <c r="Y984" s="1255"/>
      <c r="Z984" s="1255"/>
      <c r="AA984" s="1255"/>
      <c r="AB984" s="1255"/>
      <c r="AC984" s="1255"/>
      <c r="AD984" s="1255"/>
      <c r="AE984" s="1387"/>
      <c r="AF984" s="82"/>
      <c r="AG984" s="1388" t="s">
        <v>482</v>
      </c>
      <c r="AH984" s="1389"/>
      <c r="AI984" s="85"/>
      <c r="AJ984" s="1372">
        <f>ROUND(IF(AG984="yes",AJ975*0.05,0),0)</f>
        <v>0</v>
      </c>
      <c r="AK984" s="1373"/>
      <c r="AL984" s="1373"/>
      <c r="AM984" s="1373"/>
      <c r="AN984" s="1373"/>
      <c r="AO984" s="1373"/>
      <c r="AP984" s="1373"/>
      <c r="AQ984" s="137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7"/>
      <c r="C985" s="861"/>
      <c r="D985" s="1270" t="s">
        <v>1878</v>
      </c>
      <c r="E985" s="1271"/>
      <c r="F985" s="1271"/>
      <c r="G985" s="1271"/>
      <c r="H985" s="1271"/>
      <c r="I985" s="1271"/>
      <c r="J985" s="1271"/>
      <c r="K985" s="1271"/>
      <c r="L985" s="1271"/>
      <c r="M985" s="1271"/>
      <c r="N985" s="1271"/>
      <c r="O985" s="1271"/>
      <c r="P985" s="1271"/>
      <c r="Q985" s="1271"/>
      <c r="R985" s="1271"/>
      <c r="S985" s="1271"/>
      <c r="T985" s="1271"/>
      <c r="U985" s="1271"/>
      <c r="V985" s="1271"/>
      <c r="W985" s="1271"/>
      <c r="X985" s="1271"/>
      <c r="Y985" s="1271"/>
      <c r="Z985" s="1271"/>
      <c r="AA985" s="1271"/>
      <c r="AB985" s="1271"/>
      <c r="AC985" s="1271"/>
      <c r="AD985" s="1271"/>
      <c r="AE985" s="1272"/>
      <c r="AF985" s="79"/>
      <c r="AG985" s="21"/>
      <c r="AH985" s="21"/>
      <c r="AI985" s="83"/>
      <c r="AJ985" s="1375"/>
      <c r="AK985" s="1376"/>
      <c r="AL985" s="1376"/>
      <c r="AM985" s="1376"/>
      <c r="AN985" s="1376"/>
      <c r="AO985" s="1376"/>
      <c r="AP985" s="1376"/>
      <c r="AQ985" s="137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270"/>
      <c r="E986" s="1271"/>
      <c r="F986" s="1271"/>
      <c r="G986" s="1271"/>
      <c r="H986" s="1271"/>
      <c r="I986" s="1271"/>
      <c r="J986" s="1271"/>
      <c r="K986" s="1271"/>
      <c r="L986" s="1271"/>
      <c r="M986" s="1271"/>
      <c r="N986" s="1271"/>
      <c r="O986" s="1271"/>
      <c r="P986" s="1271"/>
      <c r="Q986" s="1271"/>
      <c r="R986" s="1271"/>
      <c r="S986" s="1271"/>
      <c r="T986" s="1271"/>
      <c r="U986" s="1271"/>
      <c r="V986" s="1271"/>
      <c r="W986" s="1271"/>
      <c r="X986" s="1271"/>
      <c r="Y986" s="1271"/>
      <c r="Z986" s="1271"/>
      <c r="AA986" s="1271"/>
      <c r="AB986" s="1271"/>
      <c r="AC986" s="1271"/>
      <c r="AD986" s="1271"/>
      <c r="AE986" s="1272"/>
      <c r="AF986" s="79"/>
      <c r="AG986" s="21"/>
      <c r="AH986" s="21"/>
      <c r="AI986" s="83"/>
      <c r="AJ986" s="1375"/>
      <c r="AK986" s="1376"/>
      <c r="AL986" s="1376"/>
      <c r="AM986" s="1376"/>
      <c r="AN986" s="1376"/>
      <c r="AO986" s="1376"/>
      <c r="AP986" s="1376"/>
      <c r="AQ986" s="137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270"/>
      <c r="E987" s="1271"/>
      <c r="F987" s="1271"/>
      <c r="G987" s="1271"/>
      <c r="H987" s="1271"/>
      <c r="I987" s="1271"/>
      <c r="J987" s="1271"/>
      <c r="K987" s="1271"/>
      <c r="L987" s="1271"/>
      <c r="M987" s="1271"/>
      <c r="N987" s="1271"/>
      <c r="O987" s="1271"/>
      <c r="P987" s="1271"/>
      <c r="Q987" s="1271"/>
      <c r="R987" s="1271"/>
      <c r="S987" s="1271"/>
      <c r="T987" s="1271"/>
      <c r="U987" s="1271"/>
      <c r="V987" s="1271"/>
      <c r="W987" s="1271"/>
      <c r="X987" s="1271"/>
      <c r="Y987" s="1271"/>
      <c r="Z987" s="1271"/>
      <c r="AA987" s="1271"/>
      <c r="AB987" s="1271"/>
      <c r="AC987" s="1271"/>
      <c r="AD987" s="1271"/>
      <c r="AE987" s="1272"/>
      <c r="AF987" s="79"/>
      <c r="AG987" s="21"/>
      <c r="AH987" s="21"/>
      <c r="AI987" s="83"/>
      <c r="AJ987" s="1375"/>
      <c r="AK987" s="1376"/>
      <c r="AL987" s="1376"/>
      <c r="AM987" s="1376"/>
      <c r="AN987" s="1376"/>
      <c r="AO987" s="1376"/>
      <c r="AP987" s="1376"/>
      <c r="AQ987" s="137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270"/>
      <c r="E988" s="1271"/>
      <c r="F988" s="1271"/>
      <c r="G988" s="1271"/>
      <c r="H988" s="1271"/>
      <c r="I988" s="1271"/>
      <c r="J988" s="1271"/>
      <c r="K988" s="1271"/>
      <c r="L988" s="1271"/>
      <c r="M988" s="1271"/>
      <c r="N988" s="1271"/>
      <c r="O988" s="1271"/>
      <c r="P988" s="1271"/>
      <c r="Q988" s="1271"/>
      <c r="R988" s="1271"/>
      <c r="S988" s="1271"/>
      <c r="T988" s="1271"/>
      <c r="U988" s="1271"/>
      <c r="V988" s="1271"/>
      <c r="W988" s="1271"/>
      <c r="X988" s="1271"/>
      <c r="Y988" s="1271"/>
      <c r="Z988" s="1271"/>
      <c r="AA988" s="1271"/>
      <c r="AB988" s="1271"/>
      <c r="AC988" s="1271"/>
      <c r="AD988" s="1271"/>
      <c r="AE988" s="1272"/>
      <c r="AF988" s="79"/>
      <c r="AG988" s="21"/>
      <c r="AH988" s="21"/>
      <c r="AI988" s="83"/>
      <c r="AJ988" s="1375"/>
      <c r="AK988" s="1376"/>
      <c r="AL988" s="1376"/>
      <c r="AM988" s="1376"/>
      <c r="AN988" s="1376"/>
      <c r="AO988" s="1376"/>
      <c r="AP988" s="1376"/>
      <c r="AQ988" s="1377"/>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62"/>
      <c r="C989" s="863"/>
      <c r="D989" s="1273"/>
      <c r="E989" s="1274"/>
      <c r="F989" s="1274"/>
      <c r="G989" s="1274"/>
      <c r="H989" s="1274"/>
      <c r="I989" s="1274"/>
      <c r="J989" s="1274"/>
      <c r="K989" s="1274"/>
      <c r="L989" s="1274"/>
      <c r="M989" s="1274"/>
      <c r="N989" s="1274"/>
      <c r="O989" s="1274"/>
      <c r="P989" s="1274"/>
      <c r="Q989" s="1274"/>
      <c r="R989" s="1274"/>
      <c r="S989" s="1274"/>
      <c r="T989" s="1274"/>
      <c r="U989" s="1274"/>
      <c r="V989" s="1274"/>
      <c r="W989" s="1274"/>
      <c r="X989" s="1274"/>
      <c r="Y989" s="1274"/>
      <c r="Z989" s="1274"/>
      <c r="AA989" s="1274"/>
      <c r="AB989" s="1274"/>
      <c r="AC989" s="1274"/>
      <c r="AD989" s="1274"/>
      <c r="AE989" s="1275"/>
      <c r="AF989" s="80"/>
      <c r="AG989" s="11"/>
      <c r="AH989" s="11"/>
      <c r="AI989" s="81"/>
      <c r="AJ989" s="1378"/>
      <c r="AK989" s="1379"/>
      <c r="AL989" s="1379"/>
      <c r="AM989" s="1379"/>
      <c r="AN989" s="1379"/>
      <c r="AO989" s="1379"/>
      <c r="AP989" s="1379"/>
      <c r="AQ989" s="1380"/>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59"/>
      <c r="C990" s="552" t="s">
        <v>485</v>
      </c>
      <c r="D990" s="1386" t="s">
        <v>1985</v>
      </c>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5"/>
      <c r="Z990" s="1255"/>
      <c r="AA990" s="1255"/>
      <c r="AB990" s="1255"/>
      <c r="AC990" s="1255"/>
      <c r="AD990" s="1255"/>
      <c r="AE990" s="1387"/>
      <c r="AF990" s="84"/>
      <c r="AG990" s="1388" t="s">
        <v>482</v>
      </c>
      <c r="AH990" s="1389"/>
      <c r="AI990" s="85"/>
      <c r="AJ990" s="1372">
        <f>ROUND(IF(AG990="yes",AJ975*0.1,0),0)</f>
        <v>0</v>
      </c>
      <c r="AK990" s="1373"/>
      <c r="AL990" s="1373"/>
      <c r="AM990" s="1373"/>
      <c r="AN990" s="1373"/>
      <c r="AO990" s="1373"/>
      <c r="AP990" s="1373"/>
      <c r="AQ990" s="1374"/>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79"/>
      <c r="C991" s="553"/>
      <c r="D991" s="1529" t="s">
        <v>1986</v>
      </c>
      <c r="E991" s="1530"/>
      <c r="F991" s="1530"/>
      <c r="G991" s="1530"/>
      <c r="H991" s="1530"/>
      <c r="I991" s="1530"/>
      <c r="J991" s="1530"/>
      <c r="K991" s="1530"/>
      <c r="L991" s="1530"/>
      <c r="M991" s="1530"/>
      <c r="N991" s="1530"/>
      <c r="O991" s="1530"/>
      <c r="P991" s="1530"/>
      <c r="Q991" s="1530"/>
      <c r="R991" s="1530"/>
      <c r="S991" s="1530"/>
      <c r="T991" s="1530"/>
      <c r="U991" s="1530"/>
      <c r="V991" s="1530"/>
      <c r="W991" s="1530"/>
      <c r="X991" s="1530"/>
      <c r="Y991" s="1530"/>
      <c r="Z991" s="1530"/>
      <c r="AA991" s="1530"/>
      <c r="AB991" s="1530"/>
      <c r="AC991" s="1530"/>
      <c r="AD991" s="1530"/>
      <c r="AE991" s="1531"/>
      <c r="AF991" s="79"/>
      <c r="AI991" s="83"/>
      <c r="AJ991" s="1375"/>
      <c r="AK991" s="1376"/>
      <c r="AL991" s="1376"/>
      <c r="AM991" s="1376"/>
      <c r="AN991" s="1376"/>
      <c r="AO991" s="1376"/>
      <c r="AP991" s="1376"/>
      <c r="AQ991" s="1377"/>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529"/>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1"/>
      <c r="AF992" s="79"/>
      <c r="AG992" s="21"/>
      <c r="AH992" s="21"/>
      <c r="AI992" s="83"/>
      <c r="AJ992" s="1375"/>
      <c r="AK992" s="1376"/>
      <c r="AL992" s="1376"/>
      <c r="AM992" s="1376"/>
      <c r="AN992" s="1376"/>
      <c r="AO992" s="1376"/>
      <c r="AP992" s="1376"/>
      <c r="AQ992" s="1377"/>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864"/>
      <c r="C993" s="863"/>
      <c r="D993" s="1360"/>
      <c r="E993" s="1361"/>
      <c r="F993" s="1361"/>
      <c r="G993" s="1361"/>
      <c r="H993" s="1361"/>
      <c r="I993" s="1361"/>
      <c r="J993" s="1361"/>
      <c r="K993" s="1361"/>
      <c r="L993" s="1361"/>
      <c r="M993" s="1361"/>
      <c r="N993" s="1361"/>
      <c r="O993" s="1361"/>
      <c r="P993" s="1361"/>
      <c r="Q993" s="1361"/>
      <c r="R993" s="1361"/>
      <c r="S993" s="1361"/>
      <c r="T993" s="1361"/>
      <c r="U993" s="1361"/>
      <c r="V993" s="1361"/>
      <c r="W993" s="1361"/>
      <c r="X993" s="1361"/>
      <c r="Y993" s="1361"/>
      <c r="Z993" s="1361"/>
      <c r="AA993" s="1361"/>
      <c r="AB993" s="1361"/>
      <c r="AC993" s="1361"/>
      <c r="AD993" s="1361"/>
      <c r="AE993" s="1362"/>
      <c r="AF993" s="80"/>
      <c r="AG993" s="11"/>
      <c r="AH993" s="11"/>
      <c r="AI993" s="81"/>
      <c r="AJ993" s="1378"/>
      <c r="AK993" s="1379"/>
      <c r="AL993" s="1379"/>
      <c r="AM993" s="1379"/>
      <c r="AN993" s="1379"/>
      <c r="AO993" s="1379"/>
      <c r="AP993" s="1379"/>
      <c r="AQ993" s="1380"/>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2"/>
      <c r="C994" s="552" t="s">
        <v>489</v>
      </c>
      <c r="D994" s="1386" t="s">
        <v>1879</v>
      </c>
      <c r="E994" s="1255"/>
      <c r="F994" s="1255"/>
      <c r="G994" s="1255"/>
      <c r="H994" s="1255"/>
      <c r="I994" s="1255"/>
      <c r="J994" s="1255"/>
      <c r="K994" s="1255"/>
      <c r="L994" s="1255"/>
      <c r="M994" s="1255"/>
      <c r="N994" s="1255"/>
      <c r="O994" s="1255"/>
      <c r="P994" s="1255"/>
      <c r="Q994" s="1255"/>
      <c r="R994" s="1255"/>
      <c r="S994" s="1255"/>
      <c r="T994" s="1255"/>
      <c r="U994" s="1255"/>
      <c r="V994" s="1255"/>
      <c r="W994" s="1255"/>
      <c r="X994" s="1255"/>
      <c r="Y994" s="1255"/>
      <c r="Z994" s="1255"/>
      <c r="AA994" s="1255"/>
      <c r="AB994" s="1255"/>
      <c r="AC994" s="1255"/>
      <c r="AD994" s="1255"/>
      <c r="AE994" s="1387"/>
      <c r="AF994" s="82"/>
      <c r="AG994" s="1388" t="s">
        <v>482</v>
      </c>
      <c r="AH994" s="1389"/>
      <c r="AI994" s="85"/>
      <c r="AJ994" s="1372">
        <f>ROUND(IF(AG994="yes",AJ975*0.02,0),0)</f>
        <v>0</v>
      </c>
      <c r="AK994" s="1373"/>
      <c r="AL994" s="1373"/>
      <c r="AM994" s="1373"/>
      <c r="AN994" s="1373"/>
      <c r="AO994" s="1373"/>
      <c r="AP994" s="1373"/>
      <c r="AQ994" s="1374"/>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79"/>
      <c r="C995" s="553"/>
      <c r="D995" s="1360" t="s">
        <v>1880</v>
      </c>
      <c r="E995" s="1361"/>
      <c r="F995" s="1361"/>
      <c r="G995" s="1361"/>
      <c r="H995" s="1361"/>
      <c r="I995" s="1361"/>
      <c r="J995" s="1361"/>
      <c r="K995" s="1361"/>
      <c r="L995" s="1361"/>
      <c r="M995" s="1361"/>
      <c r="N995" s="1361"/>
      <c r="O995" s="1361"/>
      <c r="P995" s="1361"/>
      <c r="Q995" s="1361"/>
      <c r="R995" s="1361"/>
      <c r="S995" s="1361"/>
      <c r="T995" s="1361"/>
      <c r="U995" s="1361"/>
      <c r="V995" s="1361"/>
      <c r="W995" s="1361"/>
      <c r="X995" s="1361"/>
      <c r="Y995" s="1361"/>
      <c r="Z995" s="1361"/>
      <c r="AA995" s="1361"/>
      <c r="AB995" s="1361"/>
      <c r="AC995" s="1361"/>
      <c r="AD995" s="1361"/>
      <c r="AE995" s="1362"/>
      <c r="AF995" s="80"/>
      <c r="AG995" s="11"/>
      <c r="AH995" s="11"/>
      <c r="AI995" s="81"/>
      <c r="AJ995" s="1378"/>
      <c r="AK995" s="1379"/>
      <c r="AL995" s="1379"/>
      <c r="AM995" s="1379"/>
      <c r="AN995" s="1379"/>
      <c r="AO995" s="1379"/>
      <c r="AP995" s="1379"/>
      <c r="AQ995" s="1380"/>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2"/>
      <c r="C996" s="552" t="s">
        <v>492</v>
      </c>
      <c r="D996" s="1386" t="s">
        <v>1881</v>
      </c>
      <c r="E996" s="1255"/>
      <c r="F996" s="1255"/>
      <c r="G996" s="1255"/>
      <c r="H996" s="1255"/>
      <c r="I996" s="1255"/>
      <c r="J996" s="1255"/>
      <c r="K996" s="1255"/>
      <c r="L996" s="1255"/>
      <c r="M996" s="1255"/>
      <c r="N996" s="1255"/>
      <c r="O996" s="1255"/>
      <c r="P996" s="1255"/>
      <c r="Q996" s="1255"/>
      <c r="R996" s="1255"/>
      <c r="S996" s="1255"/>
      <c r="T996" s="1255"/>
      <c r="U996" s="1255"/>
      <c r="V996" s="1255"/>
      <c r="W996" s="1255"/>
      <c r="X996" s="1255"/>
      <c r="Y996" s="1255"/>
      <c r="Z996" s="1255"/>
      <c r="AA996" s="1255"/>
      <c r="AB996" s="1255"/>
      <c r="AC996" s="1255"/>
      <c r="AD996" s="1255"/>
      <c r="AE996" s="1387"/>
      <c r="AF996" s="82"/>
      <c r="AG996" s="1388" t="s">
        <v>482</v>
      </c>
      <c r="AH996" s="1389"/>
      <c r="AI996" s="82"/>
      <c r="AJ996" s="1372">
        <f>ROUND(IF(AG996="yes",AJ975*0.02,0),0)</f>
        <v>0</v>
      </c>
      <c r="AK996" s="1373"/>
      <c r="AL996" s="1373"/>
      <c r="AM996" s="1373"/>
      <c r="AN996" s="1373"/>
      <c r="AO996" s="1373"/>
      <c r="AP996" s="1373"/>
      <c r="AQ996" s="1374"/>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79"/>
      <c r="C997" s="553"/>
      <c r="D997" s="1529" t="s">
        <v>1882</v>
      </c>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1583" t="str">
        <f>IF(AND(AG996="yes",V215&lt;&gt;1),"The project may not be eligible for this boost","")</f>
        <v/>
      </c>
      <c r="AG997" s="1584"/>
      <c r="AH997" s="1584"/>
      <c r="AI997" s="1585"/>
      <c r="AJ997" s="1375"/>
      <c r="AK997" s="1376"/>
      <c r="AL997" s="1376"/>
      <c r="AM997" s="1376"/>
      <c r="AN997" s="1376"/>
      <c r="AO997" s="1376"/>
      <c r="AP997" s="1376"/>
      <c r="AQ997" s="1377"/>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2"/>
      <c r="C998" s="863"/>
      <c r="D998" s="1360"/>
      <c r="E998" s="1361"/>
      <c r="F998" s="1361"/>
      <c r="G998" s="1361"/>
      <c r="H998" s="1361"/>
      <c r="I998" s="1361"/>
      <c r="J998" s="1361"/>
      <c r="K998" s="1361"/>
      <c r="L998" s="1361"/>
      <c r="M998" s="1361"/>
      <c r="N998" s="1361"/>
      <c r="O998" s="1361"/>
      <c r="P998" s="1361"/>
      <c r="Q998" s="1361"/>
      <c r="R998" s="1361"/>
      <c r="S998" s="1361"/>
      <c r="T998" s="1361"/>
      <c r="U998" s="1361"/>
      <c r="V998" s="1361"/>
      <c r="W998" s="1361"/>
      <c r="X998" s="1361"/>
      <c r="Y998" s="1361"/>
      <c r="Z998" s="1361"/>
      <c r="AA998" s="1361"/>
      <c r="AB998" s="1361"/>
      <c r="AC998" s="1361"/>
      <c r="AD998" s="1361"/>
      <c r="AE998" s="1362"/>
      <c r="AF998" s="1586"/>
      <c r="AG998" s="1587"/>
      <c r="AH998" s="1587"/>
      <c r="AI998" s="1588"/>
      <c r="AJ998" s="1378"/>
      <c r="AK998" s="1379"/>
      <c r="AL998" s="1379"/>
      <c r="AM998" s="1379"/>
      <c r="AN998" s="1379"/>
      <c r="AO998" s="1379"/>
      <c r="AP998" s="1379"/>
      <c r="AQ998" s="1380"/>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thickBot="1">
      <c r="A999" s="21"/>
      <c r="B999" s="82"/>
      <c r="C999" s="552" t="s">
        <v>595</v>
      </c>
      <c r="D999" s="1173" t="s">
        <v>1883</v>
      </c>
      <c r="E999" s="1174"/>
      <c r="F999" s="1174"/>
      <c r="G999" s="1174"/>
      <c r="H999" s="1174"/>
      <c r="I999" s="1174"/>
      <c r="J999" s="1174"/>
      <c r="K999" s="1174"/>
      <c r="L999" s="1174"/>
      <c r="M999" s="1174"/>
      <c r="N999" s="1174"/>
      <c r="O999" s="1174"/>
      <c r="P999" s="1174"/>
      <c r="Q999" s="1174"/>
      <c r="R999" s="1174"/>
      <c r="S999" s="1174"/>
      <c r="T999" s="1174"/>
      <c r="U999" s="1174"/>
      <c r="V999" s="1174"/>
      <c r="W999" s="1174"/>
      <c r="X999" s="1174"/>
      <c r="Y999" s="1174"/>
      <c r="Z999" s="1174"/>
      <c r="AA999" s="1174"/>
      <c r="AB999" s="1174"/>
      <c r="AC999" s="1174"/>
      <c r="AD999" s="1174"/>
      <c r="AE999" s="1175"/>
      <c r="AF999" s="82"/>
      <c r="AG999" s="1388" t="s">
        <v>482</v>
      </c>
      <c r="AH999" s="1389"/>
      <c r="AI999" s="85"/>
      <c r="AJ999" s="1372">
        <f>IF(AG999="yes",AJ975*BA1000,0)</f>
        <v>0</v>
      </c>
      <c r="AK999" s="1373"/>
      <c r="AL999" s="1373"/>
      <c r="AM999" s="1373"/>
      <c r="AN999" s="1373"/>
      <c r="AO999" s="1373"/>
      <c r="AP999" s="1373"/>
      <c r="AQ999" s="1374"/>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79"/>
      <c r="C1000" s="553"/>
      <c r="D1000" s="1529" t="s">
        <v>1987</v>
      </c>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1"/>
      <c r="AF1000" s="1257" t="str">
        <f>IF(AND(AG999="Yes",BA1000=0),BA1002,"")</f>
        <v/>
      </c>
      <c r="AG1000" s="1258"/>
      <c r="AH1000" s="1258"/>
      <c r="AI1000" s="1259"/>
      <c r="AJ1000" s="1375"/>
      <c r="AK1000" s="1376"/>
      <c r="AL1000" s="1376"/>
      <c r="AM1000" s="1376"/>
      <c r="AN1000" s="1376"/>
      <c r="AO1000" s="1376"/>
      <c r="AP1000" s="1376"/>
      <c r="AQ1000" s="1377"/>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3"/>
      <c r="D1001" s="1529"/>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1257"/>
      <c r="AG1001" s="1258"/>
      <c r="AH1001" s="1258"/>
      <c r="AI1001" s="1259"/>
      <c r="AJ1001" s="1375"/>
      <c r="AK1001" s="1376"/>
      <c r="AL1001" s="1376"/>
      <c r="AM1001" s="1376"/>
      <c r="AN1001" s="1376"/>
      <c r="AO1001" s="1376"/>
      <c r="AP1001" s="1376"/>
      <c r="AQ1001" s="1377"/>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865"/>
      <c r="C1002" s="861"/>
      <c r="D1002" s="1360"/>
      <c r="E1002" s="1361"/>
      <c r="F1002" s="1361"/>
      <c r="G1002" s="1361"/>
      <c r="H1002" s="1361"/>
      <c r="I1002" s="1361"/>
      <c r="J1002" s="1361"/>
      <c r="K1002" s="1361"/>
      <c r="L1002" s="1361"/>
      <c r="M1002" s="1361"/>
      <c r="N1002" s="1361"/>
      <c r="O1002" s="1361"/>
      <c r="P1002" s="1361"/>
      <c r="Q1002" s="1361"/>
      <c r="R1002" s="1361"/>
      <c r="S1002" s="1361"/>
      <c r="T1002" s="1361"/>
      <c r="U1002" s="1361"/>
      <c r="V1002" s="1361"/>
      <c r="W1002" s="1361"/>
      <c r="X1002" s="1361"/>
      <c r="Y1002" s="1361"/>
      <c r="Z1002" s="1361"/>
      <c r="AA1002" s="1361"/>
      <c r="AB1002" s="1361"/>
      <c r="AC1002" s="1361"/>
      <c r="AD1002" s="1361"/>
      <c r="AE1002" s="1362"/>
      <c r="AF1002" s="1569"/>
      <c r="AG1002" s="1570"/>
      <c r="AH1002" s="1570"/>
      <c r="AI1002" s="1571"/>
      <c r="AJ1002" s="1378"/>
      <c r="AK1002" s="1379"/>
      <c r="AL1002" s="1379"/>
      <c r="AM1002" s="1379"/>
      <c r="AN1002" s="1379"/>
      <c r="AO1002" s="1379"/>
      <c r="AP1002" s="1379"/>
      <c r="AQ1002" s="1380"/>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2"/>
      <c r="C1003" s="552" t="s">
        <v>600</v>
      </c>
      <c r="D1003" s="1560" t="s">
        <v>1884</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82"/>
      <c r="AG1003" s="1388" t="s">
        <v>482</v>
      </c>
      <c r="AH1003" s="1389"/>
      <c r="AI1003" s="85"/>
      <c r="AJ1003" s="1372">
        <f>ROUND(IF(AND(AG1003="Yes",AF1006&lt;&gt;"",J1007&lt;&gt;"N/A"),MIN(AF1006,(0.15*AJ975)),0),0)</f>
        <v>0</v>
      </c>
      <c r="AK1003" s="1373"/>
      <c r="AL1003" s="1373"/>
      <c r="AM1003" s="1373"/>
      <c r="AN1003" s="1373"/>
      <c r="AO1003" s="1373"/>
      <c r="AP1003" s="1373"/>
      <c r="AQ1003" s="1374"/>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65"/>
      <c r="C1004" s="866"/>
      <c r="D1004" s="1563"/>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1257" t="str">
        <f>IF(AG1003="yes","Please Select Type and Enter Amount:","")</f>
        <v/>
      </c>
      <c r="AG1004" s="1258"/>
      <c r="AH1004" s="1258"/>
      <c r="AI1004" s="1259"/>
      <c r="AJ1004" s="1375"/>
      <c r="AK1004" s="1376"/>
      <c r="AL1004" s="1376"/>
      <c r="AM1004" s="1376"/>
      <c r="AN1004" s="1376"/>
      <c r="AO1004" s="1376"/>
      <c r="AP1004" s="1376"/>
      <c r="AQ1004" s="137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529" t="s">
        <v>1885</v>
      </c>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1"/>
      <c r="AF1005" s="1257"/>
      <c r="AG1005" s="1258"/>
      <c r="AH1005" s="1258"/>
      <c r="AI1005" s="1259"/>
      <c r="AJ1005" s="1375"/>
      <c r="AK1005" s="1376"/>
      <c r="AL1005" s="1376"/>
      <c r="AM1005" s="1376"/>
      <c r="AN1005" s="1376"/>
      <c r="AO1005" s="1376"/>
      <c r="AP1005" s="1376"/>
      <c r="AQ1005" s="1377"/>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529"/>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1260"/>
      <c r="AG1006" s="1260"/>
      <c r="AH1006" s="1260"/>
      <c r="AI1006" s="1260"/>
      <c r="AJ1006" s="1375"/>
      <c r="AK1006" s="1376"/>
      <c r="AL1006" s="1376"/>
      <c r="AM1006" s="1376"/>
      <c r="AN1006" s="1376"/>
      <c r="AO1006" s="1376"/>
      <c r="AP1006" s="1376"/>
      <c r="AQ1006" s="1377"/>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867" t="s">
        <v>882</v>
      </c>
      <c r="E1007" s="88"/>
      <c r="F1007" s="88"/>
      <c r="G1007" s="407"/>
      <c r="H1007" s="407"/>
      <c r="I1007" s="55"/>
      <c r="J1007" s="1566" t="s">
        <v>124</v>
      </c>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1260"/>
      <c r="AG1007" s="1260"/>
      <c r="AH1007" s="1260"/>
      <c r="AI1007" s="1260"/>
      <c r="AJ1007" s="1378"/>
      <c r="AK1007" s="1379"/>
      <c r="AL1007" s="1379"/>
      <c r="AM1007" s="1379"/>
      <c r="AN1007" s="1379"/>
      <c r="AO1007" s="1379"/>
      <c r="AP1007" s="1379"/>
      <c r="AQ1007" s="138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2"/>
      <c r="C1008" s="552" t="s">
        <v>572</v>
      </c>
      <c r="D1008" s="1386" t="s">
        <v>1886</v>
      </c>
      <c r="E1008" s="1255"/>
      <c r="F1008" s="1255"/>
      <c r="G1008" s="1255"/>
      <c r="H1008" s="1255"/>
      <c r="I1008" s="1255"/>
      <c r="J1008" s="1255"/>
      <c r="K1008" s="1255"/>
      <c r="L1008" s="1255"/>
      <c r="M1008" s="1255"/>
      <c r="N1008" s="1255"/>
      <c r="O1008" s="1255"/>
      <c r="P1008" s="1255"/>
      <c r="Q1008" s="1255"/>
      <c r="R1008" s="1255"/>
      <c r="S1008" s="1255"/>
      <c r="T1008" s="1255"/>
      <c r="U1008" s="1255"/>
      <c r="V1008" s="1255"/>
      <c r="W1008" s="1255"/>
      <c r="X1008" s="1255"/>
      <c r="Y1008" s="1255"/>
      <c r="Z1008" s="1255"/>
      <c r="AA1008" s="1255"/>
      <c r="AB1008" s="1255"/>
      <c r="AC1008" s="1255"/>
      <c r="AD1008" s="1255"/>
      <c r="AE1008" s="1387"/>
      <c r="AF1008" s="82"/>
      <c r="AG1008" s="1388" t="s">
        <v>482</v>
      </c>
      <c r="AH1008" s="1389"/>
      <c r="AI1008" s="85"/>
      <c r="AJ1008" s="1372">
        <f>ROUND(IF(AG1008="Yes",AF1010,0),0)</f>
        <v>0</v>
      </c>
      <c r="AK1008" s="1373"/>
      <c r="AL1008" s="1373"/>
      <c r="AM1008" s="1373"/>
      <c r="AN1008" s="1373"/>
      <c r="AO1008" s="1373"/>
      <c r="AP1008" s="1373"/>
      <c r="AQ1008" s="1374"/>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79"/>
      <c r="C1009" s="553"/>
      <c r="D1009" s="1529" t="s">
        <v>1988</v>
      </c>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1"/>
      <c r="AF1009" s="1261" t="str">
        <f>IF(AG1008="yes","Please Enter Amount:","")</f>
        <v/>
      </c>
      <c r="AG1009" s="1262"/>
      <c r="AH1009" s="1262"/>
      <c r="AI1009" s="1263"/>
      <c r="AJ1009" s="1375"/>
      <c r="AK1009" s="1376"/>
      <c r="AL1009" s="1376"/>
      <c r="AM1009" s="1376"/>
      <c r="AN1009" s="1376"/>
      <c r="AO1009" s="1376"/>
      <c r="AP1009" s="1376"/>
      <c r="AQ1009" s="137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529"/>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1260"/>
      <c r="AG1010" s="1260"/>
      <c r="AH1010" s="1260"/>
      <c r="AI1010" s="1260"/>
      <c r="AJ1010" s="1375"/>
      <c r="AK1010" s="1376"/>
      <c r="AL1010" s="1376"/>
      <c r="AM1010" s="1376"/>
      <c r="AN1010" s="1376"/>
      <c r="AO1010" s="1376"/>
      <c r="AP1010" s="1376"/>
      <c r="AQ1010" s="1377"/>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864"/>
      <c r="C1011" s="866"/>
      <c r="D1011" s="1360"/>
      <c r="E1011" s="1361"/>
      <c r="F1011" s="1361"/>
      <c r="G1011" s="1361"/>
      <c r="H1011" s="1361"/>
      <c r="I1011" s="1361"/>
      <c r="J1011" s="1361"/>
      <c r="K1011" s="1361"/>
      <c r="L1011" s="1361"/>
      <c r="M1011" s="1361"/>
      <c r="N1011" s="1361"/>
      <c r="O1011" s="1361"/>
      <c r="P1011" s="1361"/>
      <c r="Q1011" s="1361"/>
      <c r="R1011" s="1361"/>
      <c r="S1011" s="1361"/>
      <c r="T1011" s="1361"/>
      <c r="U1011" s="1361"/>
      <c r="V1011" s="1361"/>
      <c r="W1011" s="1361"/>
      <c r="X1011" s="1361"/>
      <c r="Y1011" s="1361"/>
      <c r="Z1011" s="1361"/>
      <c r="AA1011" s="1361"/>
      <c r="AB1011" s="1361"/>
      <c r="AC1011" s="1361"/>
      <c r="AD1011" s="1361"/>
      <c r="AE1011" s="1362"/>
      <c r="AF1011" s="1260"/>
      <c r="AG1011" s="1260"/>
      <c r="AH1011" s="1260"/>
      <c r="AI1011" s="1260"/>
      <c r="AJ1011" s="1378"/>
      <c r="AK1011" s="1379"/>
      <c r="AL1011" s="1379"/>
      <c r="AM1011" s="1379"/>
      <c r="AN1011" s="1379"/>
      <c r="AO1011" s="1379"/>
      <c r="AP1011" s="1379"/>
      <c r="AQ1011" s="1380"/>
      <c r="AT1011" s="43"/>
      <c r="AU1011" s="43"/>
      <c r="AV1011" s="43"/>
      <c r="AW1011" s="43"/>
      <c r="AX1011" s="38"/>
      <c r="AY1011" s="38"/>
      <c r="AZ1011" s="21"/>
      <c r="BA1011" s="21"/>
      <c r="BB1011" s="21"/>
      <c r="BC1011" s="43"/>
      <c r="BD1011" s="43"/>
    </row>
    <row r="1012" spans="1:97" ht="12.9" customHeight="1">
      <c r="A1012" s="21"/>
      <c r="B1012" s="82"/>
      <c r="C1012" s="552" t="s">
        <v>577</v>
      </c>
      <c r="D1012" s="1173" t="s">
        <v>1887</v>
      </c>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5"/>
      <c r="AF1012" s="82"/>
      <c r="AG1012" s="1388" t="s">
        <v>482</v>
      </c>
      <c r="AH1012" s="1389"/>
      <c r="AI1012" s="85"/>
      <c r="AJ1012" s="1372">
        <f>ROUND(IF(AG1012="yes",(AJ975*0.1),0),0)</f>
        <v>0</v>
      </c>
      <c r="AK1012" s="1373"/>
      <c r="AL1012" s="1373"/>
      <c r="AM1012" s="1373"/>
      <c r="AN1012" s="1373"/>
      <c r="AO1012" s="1373"/>
      <c r="AP1012" s="1373"/>
      <c r="AQ1012" s="1374"/>
      <c r="AT1012" s="43"/>
      <c r="AU1012" s="43"/>
      <c r="AV1012" s="43"/>
      <c r="AW1012" s="43"/>
      <c r="AX1012" s="38"/>
      <c r="AY1012" s="38"/>
      <c r="AZ1012" s="21"/>
      <c r="BA1012" s="21"/>
      <c r="BB1012" s="21"/>
      <c r="BC1012" s="43"/>
      <c r="BD1012" s="43"/>
    </row>
    <row r="1013" spans="1:97" ht="12.9" customHeight="1">
      <c r="A1013" s="21"/>
      <c r="B1013" s="79"/>
      <c r="C1013" s="553"/>
      <c r="D1013" s="1529" t="s">
        <v>1888</v>
      </c>
      <c r="E1013" s="1530"/>
      <c r="F1013" s="1530"/>
      <c r="G1013" s="1530"/>
      <c r="H1013" s="1530"/>
      <c r="I1013" s="1530"/>
      <c r="J1013" s="1530"/>
      <c r="K1013" s="1530"/>
      <c r="L1013" s="1530"/>
      <c r="M1013" s="1530"/>
      <c r="N1013" s="1530"/>
      <c r="O1013" s="1530"/>
      <c r="P1013" s="1530"/>
      <c r="Q1013" s="1530"/>
      <c r="R1013" s="1530"/>
      <c r="S1013" s="1530"/>
      <c r="T1013" s="1530"/>
      <c r="U1013" s="1530"/>
      <c r="V1013" s="1530"/>
      <c r="W1013" s="1530"/>
      <c r="X1013" s="1530"/>
      <c r="Y1013" s="1530"/>
      <c r="Z1013" s="1530"/>
      <c r="AA1013" s="1530"/>
      <c r="AB1013" s="1530"/>
      <c r="AC1013" s="1530"/>
      <c r="AD1013" s="1530"/>
      <c r="AE1013" s="1531"/>
      <c r="AF1013" s="79"/>
      <c r="AG1013" s="21"/>
      <c r="AH1013" s="21"/>
      <c r="AI1013" s="83"/>
      <c r="AJ1013" s="1375"/>
      <c r="AK1013" s="1376"/>
      <c r="AL1013" s="1376"/>
      <c r="AM1013" s="1376"/>
      <c r="AN1013" s="1376"/>
      <c r="AO1013" s="1376"/>
      <c r="AP1013" s="1376"/>
      <c r="AQ1013" s="1377"/>
      <c r="AT1013" s="43"/>
      <c r="AU1013" s="43"/>
      <c r="AV1013" s="43"/>
      <c r="AW1013" s="43"/>
      <c r="AX1013" s="38"/>
      <c r="AY1013" s="38"/>
      <c r="AZ1013" s="21"/>
      <c r="BA1013" s="21"/>
      <c r="BB1013" s="21"/>
      <c r="BC1013" s="43"/>
      <c r="BD1013" s="43"/>
    </row>
    <row r="1014" spans="1:97" ht="12.9" customHeight="1">
      <c r="A1014" s="551"/>
      <c r="B1014" s="80"/>
      <c r="C1014" s="553"/>
      <c r="D1014" s="1360"/>
      <c r="E1014" s="1361"/>
      <c r="F1014" s="1361"/>
      <c r="G1014" s="1361"/>
      <c r="H1014" s="1361"/>
      <c r="I1014" s="1361"/>
      <c r="J1014" s="1361"/>
      <c r="K1014" s="1361"/>
      <c r="L1014" s="1361"/>
      <c r="M1014" s="1361"/>
      <c r="N1014" s="1361"/>
      <c r="O1014" s="1361"/>
      <c r="P1014" s="1361"/>
      <c r="Q1014" s="1361"/>
      <c r="R1014" s="1361"/>
      <c r="S1014" s="1361"/>
      <c r="T1014" s="1361"/>
      <c r="U1014" s="1361"/>
      <c r="V1014" s="1361"/>
      <c r="W1014" s="1361"/>
      <c r="X1014" s="1361"/>
      <c r="Y1014" s="1361"/>
      <c r="Z1014" s="1361"/>
      <c r="AA1014" s="1361"/>
      <c r="AB1014" s="1361"/>
      <c r="AC1014" s="1361"/>
      <c r="AD1014" s="1361"/>
      <c r="AE1014" s="1362"/>
      <c r="AF1014" s="79"/>
      <c r="AG1014" s="21"/>
      <c r="AH1014" s="21"/>
      <c r="AI1014" s="83"/>
      <c r="AJ1014" s="1378"/>
      <c r="AK1014" s="1379"/>
      <c r="AL1014" s="1379"/>
      <c r="AM1014" s="1379"/>
      <c r="AN1014" s="1379"/>
      <c r="AO1014" s="1379"/>
      <c r="AP1014" s="1379"/>
      <c r="AQ1014" s="1380"/>
      <c r="AT1014" s="43"/>
      <c r="AU1014" s="43"/>
      <c r="AV1014" s="43"/>
      <c r="AW1014" s="43"/>
      <c r="AX1014" s="38"/>
      <c r="AY1014" s="38"/>
      <c r="AZ1014" s="21"/>
      <c r="BA1014" s="21"/>
      <c r="BB1014" s="21"/>
      <c r="BC1014" s="43"/>
      <c r="BD1014" s="43"/>
    </row>
    <row r="1015" spans="1:97" ht="12.9" customHeight="1">
      <c r="A1015" s="551"/>
      <c r="B1015" s="79"/>
      <c r="C1015" s="552" t="s">
        <v>580</v>
      </c>
      <c r="D1015" s="1386" t="s">
        <v>1989</v>
      </c>
      <c r="E1015" s="1255"/>
      <c r="F1015" s="1255"/>
      <c r="G1015" s="1255"/>
      <c r="H1015" s="1255"/>
      <c r="I1015" s="1255"/>
      <c r="J1015" s="1255"/>
      <c r="K1015" s="1255"/>
      <c r="L1015" s="1255"/>
      <c r="M1015" s="1255"/>
      <c r="N1015" s="1255"/>
      <c r="O1015" s="1255"/>
      <c r="P1015" s="1255"/>
      <c r="Q1015" s="1255"/>
      <c r="R1015" s="1255"/>
      <c r="S1015" s="1255"/>
      <c r="T1015" s="1255"/>
      <c r="U1015" s="1255"/>
      <c r="V1015" s="1255"/>
      <c r="W1015" s="1255"/>
      <c r="X1015" s="1255"/>
      <c r="Y1015" s="1255"/>
      <c r="Z1015" s="1255"/>
      <c r="AA1015" s="1255"/>
      <c r="AB1015" s="1255"/>
      <c r="AC1015" s="1255"/>
      <c r="AD1015" s="1255"/>
      <c r="AE1015" s="1387"/>
      <c r="AF1015" s="82"/>
      <c r="AG1015" s="1388" t="s">
        <v>482</v>
      </c>
      <c r="AH1015" s="1389"/>
      <c r="AI1015" s="85"/>
      <c r="AJ1015" s="1372">
        <f>ROUND(IF(AG1015="yes",(AJ975*0.15),0),0)</f>
        <v>0</v>
      </c>
      <c r="AK1015" s="1373"/>
      <c r="AL1015" s="1373"/>
      <c r="AM1015" s="1373"/>
      <c r="AN1015" s="1373"/>
      <c r="AO1015" s="1373"/>
      <c r="AP1015" s="1373"/>
      <c r="AQ1015" s="1374"/>
      <c r="AT1015" s="43"/>
      <c r="AU1015" s="43"/>
      <c r="AV1015" s="43"/>
      <c r="AW1015" s="43"/>
      <c r="AX1015" s="43"/>
      <c r="AY1015" s="43"/>
      <c r="AZ1015" s="43"/>
      <c r="BA1015" s="43"/>
      <c r="BB1015" s="43"/>
      <c r="BC1015" s="43"/>
      <c r="BD1015" s="43"/>
    </row>
    <row r="1016" spans="1:97" ht="12.9" customHeight="1">
      <c r="A1016" s="551"/>
      <c r="B1016" s="79"/>
      <c r="C1016" s="553"/>
      <c r="D1016" s="1543" t="s">
        <v>1990</v>
      </c>
      <c r="E1016" s="987"/>
      <c r="F1016" s="987"/>
      <c r="G1016" s="987"/>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1544"/>
      <c r="AF1016" s="868"/>
      <c r="AG1016" s="869"/>
      <c r="AH1016" s="869"/>
      <c r="AI1016" s="870"/>
      <c r="AJ1016" s="1375"/>
      <c r="AK1016" s="1376"/>
      <c r="AL1016" s="1376"/>
      <c r="AM1016" s="1376"/>
      <c r="AN1016" s="1376"/>
      <c r="AO1016" s="1376"/>
      <c r="AP1016" s="1376"/>
      <c r="AQ1016" s="1377"/>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51"/>
      <c r="B1017" s="79"/>
      <c r="C1017" s="553"/>
      <c r="D1017" s="1543"/>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4"/>
      <c r="AF1017" s="868"/>
      <c r="AG1017" s="869"/>
      <c r="AH1017" s="869"/>
      <c r="AI1017" s="870"/>
      <c r="AJ1017" s="1375"/>
      <c r="AK1017" s="1376"/>
      <c r="AL1017" s="1376"/>
      <c r="AM1017" s="1376"/>
      <c r="AN1017" s="1376"/>
      <c r="AO1017" s="1376"/>
      <c r="AP1017" s="1376"/>
      <c r="AQ1017" s="137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545"/>
      <c r="E1018" s="1546"/>
      <c r="F1018" s="1546"/>
      <c r="G1018" s="1546"/>
      <c r="H1018" s="1546"/>
      <c r="I1018" s="1546"/>
      <c r="J1018" s="1546"/>
      <c r="K1018" s="1546"/>
      <c r="L1018" s="1546"/>
      <c r="M1018" s="1546"/>
      <c r="N1018" s="1546"/>
      <c r="O1018" s="1546"/>
      <c r="P1018" s="1546"/>
      <c r="Q1018" s="1546"/>
      <c r="R1018" s="1546"/>
      <c r="S1018" s="1546"/>
      <c r="T1018" s="1546"/>
      <c r="U1018" s="1546"/>
      <c r="V1018" s="1546"/>
      <c r="W1018" s="1546"/>
      <c r="X1018" s="1546"/>
      <c r="Y1018" s="1546"/>
      <c r="Z1018" s="1546"/>
      <c r="AA1018" s="1546"/>
      <c r="AB1018" s="1546"/>
      <c r="AC1018" s="1546"/>
      <c r="AD1018" s="1546"/>
      <c r="AE1018" s="1547"/>
      <c r="AF1018" s="871"/>
      <c r="AG1018" s="872"/>
      <c r="AH1018" s="872"/>
      <c r="AI1018" s="873"/>
      <c r="AJ1018" s="1378"/>
      <c r="AK1018" s="1379"/>
      <c r="AL1018" s="1379"/>
      <c r="AM1018" s="1379"/>
      <c r="AN1018" s="1379"/>
      <c r="AO1018" s="1379"/>
      <c r="AP1018" s="1379"/>
      <c r="AQ1018" s="138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2" t="s">
        <v>580</v>
      </c>
      <c r="D1019" s="1173" t="s">
        <v>1991</v>
      </c>
      <c r="E1019" s="1174"/>
      <c r="F1019" s="1174"/>
      <c r="G1019" s="1174"/>
      <c r="H1019" s="1174"/>
      <c r="I1019" s="1174"/>
      <c r="J1019" s="1174"/>
      <c r="K1019" s="1174"/>
      <c r="L1019" s="1174"/>
      <c r="M1019" s="1174"/>
      <c r="N1019" s="1174"/>
      <c r="O1019" s="1174"/>
      <c r="P1019" s="1174"/>
      <c r="Q1019" s="1174"/>
      <c r="R1019" s="1174"/>
      <c r="S1019" s="1174"/>
      <c r="T1019" s="1174"/>
      <c r="U1019" s="1174"/>
      <c r="V1019" s="1174"/>
      <c r="W1019" s="1174"/>
      <c r="X1019" s="1174"/>
      <c r="Y1019" s="1174"/>
      <c r="Z1019" s="1174"/>
      <c r="AA1019" s="1174"/>
      <c r="AB1019" s="1174"/>
      <c r="AC1019" s="1174"/>
      <c r="AD1019" s="1174"/>
      <c r="AE1019" s="1175"/>
      <c r="AF1019" s="79"/>
      <c r="AG1019" s="1557" t="s">
        <v>482</v>
      </c>
      <c r="AH1019" s="1558"/>
      <c r="AI1019" s="83"/>
      <c r="AJ1019" s="1372">
        <f>ROUND(IF(AG1019="yes",(AJ975*0.1),0),0)</f>
        <v>0</v>
      </c>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3"/>
      <c r="D1020" s="1543" t="s">
        <v>1992</v>
      </c>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1544"/>
      <c r="AF1020" s="79"/>
      <c r="AG1020" s="21"/>
      <c r="AH1020" s="21"/>
      <c r="AI1020" s="83"/>
      <c r="AJ1020" s="1375"/>
      <c r="AK1020" s="1376"/>
      <c r="AL1020" s="1376"/>
      <c r="AM1020" s="1376"/>
      <c r="AN1020" s="1376"/>
      <c r="AO1020" s="1376"/>
      <c r="AP1020" s="1376"/>
      <c r="AQ1020" s="137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543"/>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4"/>
      <c r="AF1021" s="79"/>
      <c r="AG1021" s="21"/>
      <c r="AH1021" s="21"/>
      <c r="AI1021" s="83"/>
      <c r="AJ1021" s="1375"/>
      <c r="AK1021" s="1376"/>
      <c r="AL1021" s="1376"/>
      <c r="AM1021" s="1376"/>
      <c r="AN1021" s="1376"/>
      <c r="AO1021" s="1376"/>
      <c r="AP1021" s="1376"/>
      <c r="AQ1021" s="1377"/>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543"/>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4"/>
      <c r="AF1022" s="79"/>
      <c r="AG1022" s="21"/>
      <c r="AH1022" s="21"/>
      <c r="AI1022" s="83"/>
      <c r="AJ1022" s="1375"/>
      <c r="AK1022" s="1376"/>
      <c r="AL1022" s="1376"/>
      <c r="AM1022" s="1376"/>
      <c r="AN1022" s="1376"/>
      <c r="AO1022" s="1376"/>
      <c r="AP1022" s="1376"/>
      <c r="AQ1022" s="1377"/>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545"/>
      <c r="E1023" s="1546"/>
      <c r="F1023" s="1546"/>
      <c r="G1023" s="1546"/>
      <c r="H1023" s="1546"/>
      <c r="I1023" s="1546"/>
      <c r="J1023" s="1546"/>
      <c r="K1023" s="1546"/>
      <c r="L1023" s="1546"/>
      <c r="M1023" s="1546"/>
      <c r="N1023" s="1546"/>
      <c r="O1023" s="1546"/>
      <c r="P1023" s="1546"/>
      <c r="Q1023" s="1546"/>
      <c r="R1023" s="1546"/>
      <c r="S1023" s="1546"/>
      <c r="T1023" s="1546"/>
      <c r="U1023" s="1546"/>
      <c r="V1023" s="1546"/>
      <c r="W1023" s="1546"/>
      <c r="X1023" s="1546"/>
      <c r="Y1023" s="1546"/>
      <c r="Z1023" s="1546"/>
      <c r="AA1023" s="1546"/>
      <c r="AB1023" s="1546"/>
      <c r="AC1023" s="1546"/>
      <c r="AD1023" s="1546"/>
      <c r="AE1023" s="1547"/>
      <c r="AF1023" s="79"/>
      <c r="AG1023" s="21"/>
      <c r="AH1023" s="21"/>
      <c r="AI1023" s="83"/>
      <c r="AJ1023" s="1375"/>
      <c r="AK1023" s="1376"/>
      <c r="AL1023" s="1376"/>
      <c r="AM1023" s="1376"/>
      <c r="AN1023" s="1376"/>
      <c r="AO1023" s="1376"/>
      <c r="AP1023" s="1376"/>
      <c r="AQ1023" s="1377"/>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82"/>
      <c r="C1024" s="874" t="s">
        <v>1993</v>
      </c>
      <c r="D1024" s="1386" t="s">
        <v>1889</v>
      </c>
      <c r="E1024" s="1255"/>
      <c r="F1024" s="1255"/>
      <c r="G1024" s="1255"/>
      <c r="H1024" s="1255"/>
      <c r="I1024" s="1255"/>
      <c r="J1024" s="1255"/>
      <c r="K1024" s="1255"/>
      <c r="L1024" s="1255"/>
      <c r="M1024" s="1255"/>
      <c r="N1024" s="1255"/>
      <c r="O1024" s="1255"/>
      <c r="P1024" s="1255"/>
      <c r="Q1024" s="1255"/>
      <c r="R1024" s="1255"/>
      <c r="S1024" s="1255"/>
      <c r="T1024" s="1255"/>
      <c r="U1024" s="1255"/>
      <c r="V1024" s="1255"/>
      <c r="W1024" s="1255"/>
      <c r="X1024" s="1255"/>
      <c r="Y1024" s="1255"/>
      <c r="Z1024" s="1255"/>
      <c r="AA1024" s="1255"/>
      <c r="AB1024" s="1255"/>
      <c r="AC1024" s="1255"/>
      <c r="AD1024" s="1255"/>
      <c r="AE1024" s="1387"/>
      <c r="AF1024" s="82"/>
      <c r="AG1024" s="1388" t="s">
        <v>482</v>
      </c>
      <c r="AH1024" s="1389"/>
      <c r="AI1024" s="85"/>
      <c r="AJ1024" s="1372">
        <f>ROUND(IF(AG1024="yes",(AJ975*0.1),0),0)</f>
        <v>0</v>
      </c>
      <c r="AK1024" s="1373"/>
      <c r="AL1024" s="1373"/>
      <c r="AM1024" s="1373"/>
      <c r="AN1024" s="1373"/>
      <c r="AO1024" s="1373"/>
      <c r="AP1024" s="1373"/>
      <c r="AQ1024" s="137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79"/>
      <c r="C1025" s="553"/>
      <c r="D1025" s="1529" t="s">
        <v>2197</v>
      </c>
      <c r="E1025" s="1530"/>
      <c r="F1025" s="1530"/>
      <c r="G1025" s="1530"/>
      <c r="H1025" s="1530"/>
      <c r="I1025" s="1530"/>
      <c r="J1025" s="1530"/>
      <c r="K1025" s="1530"/>
      <c r="L1025" s="1530"/>
      <c r="M1025" s="1530"/>
      <c r="N1025" s="1530"/>
      <c r="O1025" s="1530"/>
      <c r="P1025" s="1530"/>
      <c r="Q1025" s="1530"/>
      <c r="R1025" s="1530"/>
      <c r="S1025" s="1530"/>
      <c r="T1025" s="1530"/>
      <c r="U1025" s="1530"/>
      <c r="V1025" s="1530"/>
      <c r="W1025" s="1530"/>
      <c r="X1025" s="1530"/>
      <c r="Y1025" s="1530"/>
      <c r="Z1025" s="1530"/>
      <c r="AA1025" s="1530"/>
      <c r="AB1025" s="1530"/>
      <c r="AC1025" s="1530"/>
      <c r="AD1025" s="1530"/>
      <c r="AE1025" s="1531"/>
      <c r="AF1025" s="79"/>
      <c r="AG1025" s="21"/>
      <c r="AH1025" s="21"/>
      <c r="AI1025" s="83"/>
      <c r="AJ1025" s="1375"/>
      <c r="AK1025" s="1376"/>
      <c r="AL1025" s="1376"/>
      <c r="AM1025" s="1376"/>
      <c r="AN1025" s="1376"/>
      <c r="AO1025" s="1376"/>
      <c r="AP1025" s="1376"/>
      <c r="AQ1025" s="137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529"/>
      <c r="E1026" s="1530"/>
      <c r="F1026" s="1530"/>
      <c r="G1026" s="1530"/>
      <c r="H1026" s="1530"/>
      <c r="I1026" s="1530"/>
      <c r="J1026" s="1530"/>
      <c r="K1026" s="1530"/>
      <c r="L1026" s="1530"/>
      <c r="M1026" s="1530"/>
      <c r="N1026" s="1530"/>
      <c r="O1026" s="1530"/>
      <c r="P1026" s="1530"/>
      <c r="Q1026" s="1530"/>
      <c r="R1026" s="1530"/>
      <c r="S1026" s="1530"/>
      <c r="T1026" s="1530"/>
      <c r="U1026" s="1530"/>
      <c r="V1026" s="1530"/>
      <c r="W1026" s="1530"/>
      <c r="X1026" s="1530"/>
      <c r="Y1026" s="1530"/>
      <c r="Z1026" s="1530"/>
      <c r="AA1026" s="1530"/>
      <c r="AB1026" s="1530"/>
      <c r="AC1026" s="1530"/>
      <c r="AD1026" s="1530"/>
      <c r="AE1026" s="1531"/>
      <c r="AF1026" s="79"/>
      <c r="AG1026" s="21"/>
      <c r="AH1026" s="21"/>
      <c r="AI1026" s="83"/>
      <c r="AJ1026" s="1375"/>
      <c r="AK1026" s="1376"/>
      <c r="AL1026" s="1376"/>
      <c r="AM1026" s="1376"/>
      <c r="AN1026" s="1376"/>
      <c r="AO1026" s="1376"/>
      <c r="AP1026" s="1376"/>
      <c r="AQ1026" s="1377"/>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360"/>
      <c r="E1027" s="1361"/>
      <c r="F1027" s="1361"/>
      <c r="G1027" s="1361"/>
      <c r="H1027" s="1361"/>
      <c r="I1027" s="1361"/>
      <c r="J1027" s="1361"/>
      <c r="K1027" s="1361"/>
      <c r="L1027" s="1361"/>
      <c r="M1027" s="1361"/>
      <c r="N1027" s="1361"/>
      <c r="O1027" s="1361"/>
      <c r="P1027" s="1361"/>
      <c r="Q1027" s="1361"/>
      <c r="R1027" s="1361"/>
      <c r="S1027" s="1361"/>
      <c r="T1027" s="1361"/>
      <c r="U1027" s="1361"/>
      <c r="V1027" s="1361"/>
      <c r="W1027" s="1361"/>
      <c r="X1027" s="1361"/>
      <c r="Y1027" s="1361"/>
      <c r="Z1027" s="1361"/>
      <c r="AA1027" s="1361"/>
      <c r="AB1027" s="1361"/>
      <c r="AC1027" s="1361"/>
      <c r="AD1027" s="1361"/>
      <c r="AE1027" s="1362"/>
      <c r="AF1027" s="79"/>
      <c r="AG1027" s="21"/>
      <c r="AH1027" s="21"/>
      <c r="AI1027" s="83"/>
      <c r="AJ1027" s="1378"/>
      <c r="AK1027" s="1379"/>
      <c r="AL1027" s="1379"/>
      <c r="AM1027" s="1379"/>
      <c r="AN1027" s="1379"/>
      <c r="AO1027" s="1379"/>
      <c r="AP1027" s="1379"/>
      <c r="AQ1027" s="138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175"/>
      <c r="C1028" s="875"/>
      <c r="D1028" s="1229" t="s">
        <v>747</v>
      </c>
      <c r="E1028" s="1229"/>
      <c r="F1028" s="1229"/>
      <c r="G1028" s="1229"/>
      <c r="H1028" s="1229"/>
      <c r="I1028" s="1229"/>
      <c r="J1028" s="1229"/>
      <c r="K1028" s="1229"/>
      <c r="L1028" s="1229"/>
      <c r="M1028" s="1229"/>
      <c r="N1028" s="1229"/>
      <c r="O1028" s="1229"/>
      <c r="P1028" s="1229"/>
      <c r="Q1028" s="1229"/>
      <c r="R1028" s="1229"/>
      <c r="S1028" s="1229"/>
      <c r="T1028" s="1229"/>
      <c r="U1028" s="1229"/>
      <c r="V1028" s="1229"/>
      <c r="W1028" s="1229"/>
      <c r="X1028" s="1229"/>
      <c r="Y1028" s="1229"/>
      <c r="Z1028" s="1229"/>
      <c r="AA1028" s="1229"/>
      <c r="AB1028" s="1229"/>
      <c r="AC1028" s="1229"/>
      <c r="AD1028" s="1229"/>
      <c r="AE1028" s="1229"/>
      <c r="AF1028" s="1229"/>
      <c r="AG1028" s="1229"/>
      <c r="AH1028" s="1229"/>
      <c r="AI1028" s="1230"/>
      <c r="AJ1028" s="1170">
        <f>SUM(AJ975:AQ1027)</f>
        <v>35909200</v>
      </c>
      <c r="AK1028" s="1171"/>
      <c r="AL1028" s="1171"/>
      <c r="AM1028" s="1171"/>
      <c r="AN1028" s="1171"/>
      <c r="AO1028" s="1171"/>
      <c r="AP1028" s="1171"/>
      <c r="AQ1028" s="117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2">
        <f>'Sources and Uses Budget'!S106+'Sources and Uses Budget'!T106</f>
        <v>10948333</v>
      </c>
      <c r="Y1032" s="1452"/>
      <c r="Z1032" s="1452"/>
      <c r="AA1032" s="1452"/>
      <c r="AB1032" s="1452"/>
      <c r="AC1032" s="1452"/>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48">
        <f>IFERROR(X1032/AJ1028,"")</f>
        <v>0.30488935982979293</v>
      </c>
      <c r="Y1033" s="1449"/>
      <c r="Z1033" s="1449"/>
      <c r="AA1033" s="1449"/>
      <c r="AB1033" s="1449"/>
      <c r="AC1033" s="145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 customHeight="1">
      <c r="A1034" s="86"/>
      <c r="C1034" s="360"/>
      <c r="D1034" s="1255"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5"/>
      <c r="F1034" s="1255"/>
      <c r="G1034" s="1255"/>
      <c r="H1034" s="1255"/>
      <c r="I1034" s="1255"/>
      <c r="J1034" s="1255"/>
      <c r="K1034" s="1255"/>
      <c r="L1034" s="1255"/>
      <c r="M1034" s="1255"/>
      <c r="N1034" s="1255"/>
      <c r="O1034" s="1255"/>
      <c r="P1034" s="1255"/>
      <c r="Q1034" s="1255"/>
      <c r="R1034" s="1255"/>
      <c r="S1034" s="1255"/>
      <c r="T1034" s="1255"/>
      <c r="U1034" s="1255"/>
      <c r="V1034" s="1255"/>
      <c r="W1034" s="1255"/>
      <c r="X1034" s="1255"/>
      <c r="Y1034" s="1255"/>
      <c r="Z1034" s="1255"/>
      <c r="AA1034" s="1255"/>
      <c r="AB1034" s="1255"/>
      <c r="AC1034" s="1255"/>
      <c r="AD1034" s="1255"/>
      <c r="AE1034" s="1255"/>
      <c r="AF1034" s="1255"/>
      <c r="AG1034" s="1255"/>
      <c r="AH1034" s="1255"/>
      <c r="AI1034" s="1255"/>
      <c r="AJ1034" s="1255"/>
      <c r="AK1034" s="1255"/>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86"/>
      <c r="C1035" s="360"/>
      <c r="D1035" s="1255"/>
      <c r="E1035" s="1255"/>
      <c r="F1035" s="1255"/>
      <c r="G1035" s="1255"/>
      <c r="H1035" s="1255"/>
      <c r="I1035" s="1255"/>
      <c r="J1035" s="1255"/>
      <c r="K1035" s="1255"/>
      <c r="L1035" s="1255"/>
      <c r="M1035" s="1255"/>
      <c r="N1035" s="1255"/>
      <c r="O1035" s="1255"/>
      <c r="P1035" s="1255"/>
      <c r="Q1035" s="1255"/>
      <c r="R1035" s="1255"/>
      <c r="S1035" s="1255"/>
      <c r="T1035" s="1255"/>
      <c r="U1035" s="1255"/>
      <c r="V1035" s="1255"/>
      <c r="W1035" s="1255"/>
      <c r="X1035" s="1255"/>
      <c r="Y1035" s="1255"/>
      <c r="Z1035" s="1255"/>
      <c r="AA1035" s="1255"/>
      <c r="AB1035" s="1255"/>
      <c r="AC1035" s="1255"/>
      <c r="AD1035" s="1255"/>
      <c r="AE1035" s="1255"/>
      <c r="AF1035" s="1255"/>
      <c r="AG1035" s="1255"/>
      <c r="AH1035" s="1255"/>
      <c r="AI1035" s="1255"/>
      <c r="AJ1035" s="1255"/>
      <c r="AK1035" s="125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B1036"/>
      <c r="C1036" s="360"/>
      <c r="D1036" s="1255"/>
      <c r="E1036" s="1255"/>
      <c r="F1036" s="1255"/>
      <c r="G1036" s="1255"/>
      <c r="H1036" s="1255"/>
      <c r="I1036" s="1255"/>
      <c r="J1036" s="1255"/>
      <c r="K1036" s="1255"/>
      <c r="L1036" s="1255"/>
      <c r="M1036" s="1255"/>
      <c r="N1036" s="1255"/>
      <c r="O1036" s="1255"/>
      <c r="P1036" s="1255"/>
      <c r="Q1036" s="1255"/>
      <c r="R1036" s="1255"/>
      <c r="S1036" s="1255"/>
      <c r="T1036" s="1255"/>
      <c r="U1036" s="1255"/>
      <c r="V1036" s="1255"/>
      <c r="W1036" s="1255"/>
      <c r="X1036" s="1255"/>
      <c r="Y1036" s="1255"/>
      <c r="Z1036" s="1255"/>
      <c r="AA1036" s="1255"/>
      <c r="AB1036" s="1255"/>
      <c r="AC1036" s="1255"/>
      <c r="AD1036" s="1255"/>
      <c r="AE1036" s="1255"/>
      <c r="AF1036" s="1255"/>
      <c r="AG1036" s="1255"/>
      <c r="AH1036" s="1255"/>
      <c r="AI1036" s="1255"/>
      <c r="AJ1036" s="1255"/>
      <c r="AK1036" s="125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c r="B1039" s="1451"/>
      <c r="C1039" s="1451"/>
      <c r="D1039" s="1451"/>
      <c r="E1039" s="1451"/>
      <c r="F1039" s="1451"/>
      <c r="G1039" s="1451"/>
      <c r="H1039" s="1451"/>
      <c r="I1039" s="1451"/>
      <c r="J1039" s="1451"/>
      <c r="K1039" s="1451"/>
      <c r="L1039" s="1451"/>
      <c r="M1039" s="1451"/>
      <c r="N1039" s="1451"/>
      <c r="O1039" s="1451"/>
      <c r="P1039" s="1451"/>
      <c r="Q1039" s="1451"/>
      <c r="R1039" s="1451"/>
      <c r="S1039" s="1451"/>
      <c r="T1039" s="1451"/>
      <c r="U1039" s="1451"/>
      <c r="V1039" s="1451"/>
      <c r="W1039" s="1451"/>
      <c r="X1039" s="1451"/>
      <c r="Y1039" s="1451"/>
      <c r="Z1039" s="1451"/>
      <c r="AA1039" s="1451"/>
      <c r="AB1039" s="1451"/>
      <c r="AC1039" s="1451"/>
      <c r="AD1039" s="1451"/>
      <c r="AE1039" s="1451"/>
      <c r="AF1039" s="1451"/>
      <c r="AG1039" s="1451"/>
      <c r="AH1039" s="1451"/>
      <c r="AI1039" s="1451"/>
      <c r="AJ1039" s="1451"/>
      <c r="AK1039" s="1451"/>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s="1559" t="s">
        <v>988</v>
      </c>
      <c r="B1040" s="1559"/>
      <c r="C1040" s="1559"/>
      <c r="D1040" s="1559"/>
      <c r="E1040" s="1559"/>
      <c r="F1040" s="1559"/>
      <c r="G1040" s="1559"/>
      <c r="H1040" s="1559"/>
      <c r="I1040" s="1559"/>
      <c r="J1040" s="1559"/>
      <c r="K1040" s="1559"/>
      <c r="L1040" s="1559"/>
      <c r="M1040" s="1559"/>
      <c r="N1040" s="1559"/>
      <c r="O1040" s="1559"/>
      <c r="P1040" s="1559"/>
      <c r="Q1040" s="1559"/>
      <c r="R1040" s="1559"/>
      <c r="S1040" s="1559"/>
      <c r="T1040" s="1559"/>
      <c r="U1040" s="1559"/>
      <c r="V1040" s="1559"/>
      <c r="W1040" s="1559"/>
      <c r="X1040" s="1559"/>
      <c r="Y1040" s="1559"/>
      <c r="Z1040" s="1559"/>
      <c r="AA1040" s="1559"/>
      <c r="AB1040" s="1559"/>
      <c r="AC1040" s="1559"/>
      <c r="AD1040" s="1559"/>
      <c r="AE1040" s="1559"/>
      <c r="AF1040" s="1559"/>
      <c r="AG1040" s="1559"/>
      <c r="AH1040" s="1559"/>
      <c r="AI1040" s="1559"/>
      <c r="AJ1040" s="1559"/>
      <c r="AK1040" s="1559"/>
      <c r="AL1040" s="1559"/>
      <c r="AM1040" s="1559"/>
      <c r="AN1040" s="1559"/>
      <c r="AO1040" s="1559"/>
      <c r="AP1040" s="1559"/>
      <c r="AQ1040" s="1559"/>
      <c r="AR1040" s="1559"/>
      <c r="AS1040" s="1559"/>
      <c r="AT1040" s="155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0" t="s">
        <v>124</v>
      </c>
      <c r="B1044" s="1130"/>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0" t="s">
        <v>124</v>
      </c>
      <c r="B1046" s="1130"/>
      <c r="C1046" s="1">
        <v>2</v>
      </c>
      <c r="D1046" s="1062" t="s">
        <v>2309</v>
      </c>
      <c r="E1046" s="1062"/>
      <c r="F1046" s="1062"/>
      <c r="G1046" s="1062"/>
      <c r="H1046" s="1062"/>
      <c r="I1046" s="1062"/>
      <c r="J1046" s="1062"/>
      <c r="K1046" s="1062"/>
      <c r="L1046" s="1062"/>
      <c r="M1046" s="1062"/>
      <c r="N1046" s="1062"/>
      <c r="O1046" s="1062"/>
      <c r="P1046" s="1062"/>
      <c r="Q1046" s="1062"/>
      <c r="R1046" s="1062"/>
      <c r="S1046" s="1062"/>
      <c r="T1046" s="1062"/>
      <c r="U1046" s="1062"/>
      <c r="V1046" s="1062"/>
      <c r="W1046" s="1062"/>
      <c r="X1046" s="1062"/>
      <c r="Y1046" s="1062"/>
      <c r="Z1046" s="1062"/>
      <c r="AA1046" s="1062"/>
      <c r="AB1046" s="1062"/>
      <c r="AC1046" s="1062"/>
      <c r="AD1046" s="1062"/>
      <c r="AE1046" s="1062"/>
      <c r="AF1046" s="1062"/>
      <c r="AG1046" s="1062"/>
      <c r="AH1046" s="1062"/>
      <c r="AI1046" s="1062"/>
      <c r="AJ1046" s="1062"/>
      <c r="AK1046" s="1062"/>
      <c r="AL1046" s="1062"/>
      <c r="AM1046" s="1062"/>
      <c r="AN1046" s="1062"/>
      <c r="AO1046" s="1062"/>
      <c r="AP1046" s="1062"/>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2"/>
      <c r="E1047" s="1062"/>
      <c r="F1047" s="1062"/>
      <c r="G1047" s="1062"/>
      <c r="H1047" s="1062"/>
      <c r="I1047" s="1062"/>
      <c r="J1047" s="1062"/>
      <c r="K1047" s="1062"/>
      <c r="L1047" s="1062"/>
      <c r="M1047" s="1062"/>
      <c r="N1047" s="1062"/>
      <c r="O1047" s="1062"/>
      <c r="P1047" s="1062"/>
      <c r="Q1047" s="1062"/>
      <c r="R1047" s="1062"/>
      <c r="S1047" s="1062"/>
      <c r="T1047" s="1062"/>
      <c r="U1047" s="1062"/>
      <c r="V1047" s="1062"/>
      <c r="W1047" s="1062"/>
      <c r="X1047" s="1062"/>
      <c r="Y1047" s="1062"/>
      <c r="Z1047" s="1062"/>
      <c r="AA1047" s="1062"/>
      <c r="AB1047" s="1062"/>
      <c r="AC1047" s="1062"/>
      <c r="AD1047" s="1062"/>
      <c r="AE1047" s="1062"/>
      <c r="AF1047" s="1062"/>
      <c r="AG1047" s="1062"/>
      <c r="AH1047" s="1062"/>
      <c r="AI1047" s="1062"/>
      <c r="AJ1047" s="1062"/>
      <c r="AK1047" s="1062"/>
      <c r="AL1047" s="1062"/>
      <c r="AM1047" s="1062"/>
      <c r="AN1047" s="1062"/>
      <c r="AO1047" s="1062"/>
      <c r="AP1047" s="1062"/>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0" t="s">
        <v>124</v>
      </c>
      <c r="B1049" s="1130"/>
      <c r="C1049" s="1">
        <v>3</v>
      </c>
      <c r="D1049" s="984" t="s">
        <v>2310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0" t="s">
        <v>124</v>
      </c>
      <c r="B1054" s="1130"/>
      <c r="C1054" s="1">
        <v>4</v>
      </c>
      <c r="D1054" s="984" t="s">
        <v>2311</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0" t="s">
        <v>124</v>
      </c>
      <c r="B1059" s="1130"/>
      <c r="C1059" s="1">
        <v>5</v>
      </c>
      <c r="D1059" s="981" t="s">
        <v>2312</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0" t="s">
        <v>124</v>
      </c>
      <c r="B1063" s="1130"/>
      <c r="C1063" s="1">
        <v>6</v>
      </c>
      <c r="D1063" s="981" t="s">
        <v>2032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0" t="s">
        <v>124</v>
      </c>
      <c r="B1067" s="1130"/>
      <c r="C1067" s="964">
        <v>7</v>
      </c>
      <c r="D1067" s="984" t="s">
        <v>1713</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0" t="s">
        <v>124</v>
      </c>
      <c r="B1071" s="1130"/>
      <c r="C1071" s="964">
        <v>8</v>
      </c>
      <c r="D1071" s="1063" t="s">
        <v>1516</v>
      </c>
      <c r="E1071" s="1063"/>
      <c r="F1071" s="1063"/>
      <c r="G1071" s="1063"/>
      <c r="H1071" s="1063"/>
      <c r="I1071" s="1063"/>
      <c r="J1071" s="1063"/>
      <c r="K1071" s="1063"/>
      <c r="L1071" s="1063"/>
      <c r="M1071" s="1063"/>
      <c r="N1071" s="1063"/>
      <c r="O1071" s="1063"/>
      <c r="P1071" s="1063"/>
      <c r="Q1071" s="1063"/>
      <c r="R1071" s="1063"/>
      <c r="S1071" s="1063"/>
      <c r="T1071" s="1063"/>
      <c r="U1071" s="1063"/>
      <c r="V1071" s="1063"/>
      <c r="W1071" s="1063"/>
      <c r="X1071" s="1063"/>
      <c r="Y1071" s="1063"/>
      <c r="Z1071" s="1063"/>
      <c r="AA1071" s="1063"/>
      <c r="AB1071" s="1063"/>
      <c r="AC1071" s="1063"/>
      <c r="AD1071" s="1063"/>
      <c r="AE1071" s="1063"/>
      <c r="AF1071" s="1063"/>
      <c r="AG1071" s="1063"/>
      <c r="AH1071" s="1063"/>
      <c r="AI1071" s="1063"/>
      <c r="AJ1071" s="1063"/>
      <c r="AK1071" s="1063"/>
      <c r="AL1071" s="1063"/>
      <c r="AM1071" s="1063"/>
      <c r="AN1071" s="1063"/>
      <c r="AO1071" s="1063"/>
      <c r="AP1071" s="106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3"/>
      <c r="E1072" s="1063"/>
      <c r="F1072" s="1063"/>
      <c r="G1072" s="1063"/>
      <c r="H1072" s="1063"/>
      <c r="I1072" s="1063"/>
      <c r="J1072" s="1063"/>
      <c r="K1072" s="1063"/>
      <c r="L1072" s="1063"/>
      <c r="M1072" s="1063"/>
      <c r="N1072" s="1063"/>
      <c r="O1072" s="1063"/>
      <c r="P1072" s="1063"/>
      <c r="Q1072" s="1063"/>
      <c r="R1072" s="1063"/>
      <c r="S1072" s="1063"/>
      <c r="T1072" s="1063"/>
      <c r="U1072" s="1063"/>
      <c r="V1072" s="1063"/>
      <c r="W1072" s="1063"/>
      <c r="X1072" s="1063"/>
      <c r="Y1072" s="1063"/>
      <c r="Z1072" s="1063"/>
      <c r="AA1072" s="1063"/>
      <c r="AB1072" s="1063"/>
      <c r="AC1072" s="1063"/>
      <c r="AD1072" s="1063"/>
      <c r="AE1072" s="1063"/>
      <c r="AF1072" s="1063"/>
      <c r="AG1072" s="1063"/>
      <c r="AH1072" s="1063"/>
      <c r="AI1072" s="1063"/>
      <c r="AJ1072" s="1063"/>
      <c r="AK1072" s="1063"/>
      <c r="AL1072" s="1063"/>
      <c r="AM1072" s="1063"/>
      <c r="AN1072" s="1063"/>
      <c r="AO1072" s="1063"/>
      <c r="AP1072" s="1063"/>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4" t="s">
        <v>124</v>
      </c>
      <c r="B1074" s="1064"/>
      <c r="C1074" s="964">
        <v>9</v>
      </c>
      <c r="D1074" s="1063" t="s">
        <v>1518</v>
      </c>
      <c r="E1074" s="1063"/>
      <c r="F1074" s="1063"/>
      <c r="G1074" s="1063"/>
      <c r="H1074" s="1063"/>
      <c r="I1074" s="1063"/>
      <c r="J1074" s="1063"/>
      <c r="K1074" s="1063"/>
      <c r="L1074" s="1063"/>
      <c r="M1074" s="1063"/>
      <c r="N1074" s="1063"/>
      <c r="O1074" s="1063"/>
      <c r="P1074" s="1063"/>
      <c r="Q1074" s="1063"/>
      <c r="R1074" s="1063"/>
      <c r="S1074" s="1063"/>
      <c r="T1074" s="1063"/>
      <c r="U1074" s="1063"/>
      <c r="V1074" s="1063"/>
      <c r="W1074" s="1063"/>
      <c r="X1074" s="1063"/>
      <c r="Y1074" s="1063"/>
      <c r="Z1074" s="1063"/>
      <c r="AA1074" s="1063"/>
      <c r="AB1074" s="1063"/>
      <c r="AC1074" s="1063"/>
      <c r="AD1074" s="1063"/>
      <c r="AE1074" s="1063"/>
      <c r="AF1074" s="1063"/>
      <c r="AG1074" s="1063"/>
      <c r="AH1074" s="1063"/>
      <c r="AI1074" s="1063"/>
      <c r="AJ1074" s="1063"/>
      <c r="AK1074" s="1063"/>
      <c r="AL1074" s="1063"/>
      <c r="AM1074" s="1063"/>
      <c r="AN1074" s="1063"/>
      <c r="AO1074" s="1063"/>
      <c r="AP1074" s="1063"/>
    </row>
    <row r="1075" spans="1:97" ht="15" customHeight="1">
      <c r="A1075" s="44"/>
      <c r="B1075" s="32"/>
      <c r="C1075" s="964"/>
      <c r="D1075" s="1063"/>
      <c r="E1075" s="1063"/>
      <c r="F1075" s="1063"/>
      <c r="G1075" s="1063"/>
      <c r="H1075" s="1063"/>
      <c r="I1075" s="1063"/>
      <c r="J1075" s="1063"/>
      <c r="K1075" s="1063"/>
      <c r="L1075" s="1063"/>
      <c r="M1075" s="1063"/>
      <c r="N1075" s="1063"/>
      <c r="O1075" s="1063"/>
      <c r="P1075" s="1063"/>
      <c r="Q1075" s="1063"/>
      <c r="R1075" s="1063"/>
      <c r="S1075" s="1063"/>
      <c r="T1075" s="1063"/>
      <c r="U1075" s="1063"/>
      <c r="V1075" s="1063"/>
      <c r="W1075" s="1063"/>
      <c r="X1075" s="1063"/>
      <c r="Y1075" s="1063"/>
      <c r="Z1075" s="1063"/>
      <c r="AA1075" s="1063"/>
      <c r="AB1075" s="1063"/>
      <c r="AC1075" s="1063"/>
      <c r="AD1075" s="1063"/>
      <c r="AE1075" s="1063"/>
      <c r="AF1075" s="1063"/>
      <c r="AG1075" s="1063"/>
      <c r="AH1075" s="1063"/>
      <c r="AI1075" s="1063"/>
      <c r="AJ1075" s="1063"/>
      <c r="AK1075" s="1063"/>
      <c r="AL1075" s="1063"/>
      <c r="AM1075" s="1063"/>
      <c r="AN1075" s="1063"/>
      <c r="AO1075" s="1063"/>
      <c r="AP1075" s="1063"/>
    </row>
    <row r="1076" spans="1:97" ht="9.75" customHeight="1">
      <c r="D1076" s="1063"/>
      <c r="E1076" s="1063"/>
      <c r="F1076" s="1063"/>
      <c r="G1076" s="1063"/>
      <c r="H1076" s="1063"/>
      <c r="I1076" s="1063"/>
      <c r="J1076" s="1063"/>
      <c r="K1076" s="1063"/>
      <c r="L1076" s="1063"/>
      <c r="M1076" s="1063"/>
      <c r="N1076" s="1063"/>
      <c r="O1076" s="1063"/>
      <c r="P1076" s="1063"/>
      <c r="Q1076" s="1063"/>
      <c r="R1076" s="1063"/>
      <c r="S1076" s="1063"/>
      <c r="T1076" s="1063"/>
      <c r="U1076" s="1063"/>
      <c r="V1076" s="1063"/>
      <c r="W1076" s="1063"/>
      <c r="X1076" s="1063"/>
      <c r="Y1076" s="1063"/>
      <c r="Z1076" s="1063"/>
      <c r="AA1076" s="1063"/>
      <c r="AB1076" s="1063"/>
      <c r="AC1076" s="1063"/>
      <c r="AD1076" s="1063"/>
      <c r="AE1076" s="1063"/>
      <c r="AF1076" s="1063"/>
      <c r="AG1076" s="1063"/>
      <c r="AH1076" s="1063"/>
      <c r="AI1076" s="1063"/>
      <c r="AJ1076" s="1063"/>
      <c r="AK1076" s="1063"/>
      <c r="AL1076" s="1063"/>
      <c r="AM1076" s="1063"/>
      <c r="AN1076" s="1063"/>
      <c r="AO1076" s="1063"/>
      <c r="AP1076" s="1063"/>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4" t="s">
        <v>124</v>
      </c>
      <c r="B1078" s="1064"/>
      <c r="C1078" s="964">
        <v>10</v>
      </c>
      <c r="D1078" s="984" t="s">
        <v>2004</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4" t="s">
        <v>124</v>
      </c>
      <c r="B1082" s="1064"/>
      <c r="C1082" s="964">
        <v>11</v>
      </c>
      <c r="D1082" s="981" t="s">
        <v>2313</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1517</v>
      </c>
      <c r="E1088" s="990"/>
      <c r="F1088" s="990"/>
      <c r="G1088" s="990"/>
      <c r="H1088" s="990"/>
      <c r="I1088" s="990"/>
      <c r="J1088" s="990"/>
      <c r="K1088" s="990"/>
      <c r="L1088" s="990"/>
      <c r="M1088" s="990"/>
      <c r="N1088" s="990"/>
      <c r="O1088" s="990"/>
      <c r="P1088" s="990"/>
      <c r="Q1088" s="990"/>
      <c r="R1088" s="990"/>
      <c r="S1088" s="990"/>
      <c r="T1088" s="990"/>
      <c r="U1088" s="990"/>
      <c r="V1088" s="990"/>
      <c r="W1088" s="990"/>
      <c r="X1088" s="990"/>
      <c r="Y1088" s="990"/>
      <c r="Z1088" s="990"/>
      <c r="AA1088" s="990"/>
      <c r="AB1088" s="990"/>
      <c r="AC1088" s="990"/>
      <c r="AD1088" s="990"/>
      <c r="AE1088" s="990"/>
      <c r="AF1088" s="990"/>
      <c r="AG1088" s="990"/>
      <c r="AH1088" s="990"/>
      <c r="AI1088" s="990"/>
      <c r="AJ1088" s="990"/>
      <c r="AK1088" s="990"/>
    </row>
    <row r="1089" spans="4:37" ht="0" hidden="1" customHeight="1">
      <c r="D1089" s="990"/>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0" zoomScale="97" zoomScaleNormal="70" workbookViewId="0">
      <selection activeCell="C35" sqref="C35"/>
    </sheetView>
  </sheetViews>
  <sheetFormatPr defaultColWidth="8.84375" defaultRowHeight="11.6" zeroHeight="1"/>
  <cols>
    <col min="1" max="1" width="32.53515625" style="480" customWidth="1"/>
    <col min="2" max="12" width="12.07421875" style="478" customWidth="1"/>
    <col min="13" max="17" width="11.4609375" style="478" customWidth="1"/>
    <col min="18" max="18" width="12.53515625" style="478" customWidth="1"/>
    <col min="19" max="20" width="12.07421875" style="478" customWidth="1"/>
    <col min="21" max="21" width="0.4609375" style="479" customWidth="1"/>
    <col min="22" max="16384" width="8.84375" style="478"/>
  </cols>
  <sheetData>
    <row r="1" spans="1:21" s="198" customFormat="1" ht="12.9">
      <c r="A1" s="262" t="s">
        <v>131</v>
      </c>
      <c r="B1" s="225"/>
      <c r="C1" s="225"/>
      <c r="D1" s="225"/>
      <c r="E1" s="226"/>
      <c r="F1" s="1592" t="s">
        <v>184</v>
      </c>
      <c r="G1" s="1593"/>
      <c r="H1" s="1593"/>
      <c r="I1" s="1593"/>
      <c r="J1" s="1593"/>
      <c r="K1" s="1593"/>
      <c r="L1" s="1593"/>
      <c r="M1" s="1593"/>
      <c r="N1" s="1593"/>
      <c r="O1" s="1593"/>
      <c r="P1" s="1593"/>
      <c r="Q1" s="1593"/>
      <c r="R1" s="1594"/>
      <c r="S1" s="200"/>
      <c r="T1" s="199"/>
      <c r="U1" s="201"/>
    </row>
    <row r="2" spans="1:21" s="230" customFormat="1" ht="60" customHeight="1">
      <c r="A2" s="229"/>
      <c r="B2" s="230" t="s">
        <v>796</v>
      </c>
      <c r="C2" s="230" t="s">
        <v>507</v>
      </c>
      <c r="D2" s="230" t="s">
        <v>506</v>
      </c>
      <c r="E2" s="230" t="s">
        <v>797</v>
      </c>
      <c r="F2" s="231" t="str">
        <f>Application!B629&amp;Application!C629</f>
        <v>1)Merchants Bank of Indiana</v>
      </c>
      <c r="G2" s="231" t="str">
        <f>Application!B630&amp;Application!C630</f>
        <v>2)USDA 515 Loan</v>
      </c>
      <c r="H2" s="231" t="str">
        <f>Application!B631&amp;Application!C631</f>
        <v>3)Existing Replacement Reserves</v>
      </c>
      <c r="I2" s="231" t="str">
        <f>Application!B632&amp;Application!C632</f>
        <v>4)County of Fresno</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3">
      <c r="A4" s="298" t="s">
        <v>67</v>
      </c>
      <c r="B4" s="238">
        <f>SUM(C4+D4)</f>
        <v>360000</v>
      </c>
      <c r="C4" s="239">
        <v>360000</v>
      </c>
      <c r="D4" s="239"/>
      <c r="E4" s="239"/>
      <c r="F4" s="239"/>
      <c r="G4" s="239">
        <f>+C4</f>
        <v>360000</v>
      </c>
      <c r="H4" s="239"/>
      <c r="I4" s="239"/>
      <c r="J4" s="239"/>
      <c r="K4" s="239"/>
      <c r="L4" s="239"/>
      <c r="M4" s="239"/>
      <c r="N4" s="239"/>
      <c r="O4" s="239"/>
      <c r="P4" s="239"/>
      <c r="Q4" s="239"/>
      <c r="R4" s="239">
        <f>C4</f>
        <v>360000</v>
      </c>
      <c r="S4" s="240"/>
      <c r="T4" s="240"/>
      <c r="U4" s="235"/>
    </row>
    <row r="5" spans="1:21" s="236" customFormat="1" ht="13.3">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3">
      <c r="A8" s="299" t="s">
        <v>703</v>
      </c>
      <c r="B8" s="238">
        <f>SUM(C8:D8)</f>
        <v>360000</v>
      </c>
      <c r="C8" s="238">
        <f t="shared" ref="C8:R8" si="0">SUM(C4:C7)</f>
        <v>360000</v>
      </c>
      <c r="D8" s="238">
        <f t="shared" si="0"/>
        <v>0</v>
      </c>
      <c r="E8" s="238">
        <f t="shared" si="0"/>
        <v>0</v>
      </c>
      <c r="F8" s="238">
        <f t="shared" si="0"/>
        <v>0</v>
      </c>
      <c r="G8" s="238">
        <f t="shared" si="0"/>
        <v>360000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360000</v>
      </c>
      <c r="S8" s="240"/>
      <c r="T8" s="240"/>
      <c r="U8" s="235"/>
    </row>
    <row r="9" spans="1:21" s="236" customFormat="1">
      <c r="A9" s="237" t="s">
        <v>1712</v>
      </c>
      <c r="B9" s="238">
        <f>SUM(C9+D9)</f>
        <v>5540000</v>
      </c>
      <c r="C9" s="239">
        <f>5900000-C4</f>
        <v>5540000</v>
      </c>
      <c r="D9" s="239"/>
      <c r="E9" s="239"/>
      <c r="F9" s="239">
        <f>+C9-G9</f>
        <v>2627650</v>
      </c>
      <c r="G9" s="239">
        <f>+G107-G4</f>
        <v>2912350</v>
      </c>
      <c r="H9" s="239"/>
      <c r="I9" s="239"/>
      <c r="J9" s="239"/>
      <c r="K9" s="239"/>
      <c r="L9" s="239"/>
      <c r="M9" s="239"/>
      <c r="N9" s="239"/>
      <c r="O9" s="239"/>
      <c r="P9" s="239"/>
      <c r="Q9" s="239"/>
      <c r="R9" s="239">
        <f>C9</f>
        <v>5540000</v>
      </c>
      <c r="S9" s="240"/>
      <c r="T9" s="239"/>
      <c r="U9" s="235"/>
    </row>
    <row r="10" spans="1:21" s="236" customFormat="1" ht="13.3">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5540000</v>
      </c>
      <c r="C11" s="238">
        <f t="shared" ref="C11:T11" si="1">SUM(C9:C10)</f>
        <v>5540000</v>
      </c>
      <c r="D11" s="238">
        <f t="shared" si="1"/>
        <v>0</v>
      </c>
      <c r="E11" s="238">
        <f t="shared" si="1"/>
        <v>0</v>
      </c>
      <c r="F11" s="238">
        <f t="shared" si="1"/>
        <v>2627650</v>
      </c>
      <c r="G11" s="238">
        <f t="shared" si="1"/>
        <v>2912350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5540000</v>
      </c>
      <c r="S11" s="240"/>
      <c r="T11" s="238">
        <f t="shared" si="1"/>
        <v>0</v>
      </c>
      <c r="U11" s="235"/>
    </row>
    <row r="12" spans="1:21" s="236" customFormat="1">
      <c r="A12" s="241" t="s">
        <v>710</v>
      </c>
      <c r="B12" s="238">
        <f t="shared" ref="B12:R12" si="2">SUM(B8+B11)</f>
        <v>5900000</v>
      </c>
      <c r="C12" s="238">
        <f t="shared" si="2"/>
        <v>5900000</v>
      </c>
      <c r="D12" s="238">
        <f t="shared" si="2"/>
        <v>0</v>
      </c>
      <c r="E12" s="238">
        <f t="shared" si="2"/>
        <v>0</v>
      </c>
      <c r="F12" s="238">
        <f t="shared" si="2"/>
        <v>2627650</v>
      </c>
      <c r="G12" s="238">
        <f t="shared" si="2"/>
        <v>3272350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5900000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15">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621025</v>
      </c>
      <c r="C17" s="239">
        <v>621025</v>
      </c>
      <c r="D17" s="239"/>
      <c r="E17" s="239">
        <f>+C17</f>
        <v>621025</v>
      </c>
      <c r="F17" s="239"/>
      <c r="G17" s="239"/>
      <c r="H17" s="239"/>
      <c r="I17" s="239"/>
      <c r="J17" s="239"/>
      <c r="K17" s="239"/>
      <c r="L17" s="239"/>
      <c r="M17" s="239"/>
      <c r="N17" s="239"/>
      <c r="O17" s="239"/>
      <c r="P17" s="239"/>
      <c r="Q17" s="239"/>
      <c r="R17" s="239">
        <f>SUM(E17:Q17)</f>
        <v>621025</v>
      </c>
      <c r="S17" s="239">
        <f>+R17</f>
        <v>621025</v>
      </c>
      <c r="T17" s="239"/>
      <c r="U17" s="235"/>
    </row>
    <row r="18" spans="1:21" s="236" customFormat="1">
      <c r="A18" s="237" t="s">
        <v>910</v>
      </c>
      <c r="B18" s="238">
        <f t="shared" si="3"/>
        <v>5234810</v>
      </c>
      <c r="C18" s="239">
        <v>5234810</v>
      </c>
      <c r="D18" s="239"/>
      <c r="E18" s="239">
        <f>+C18-F18-1500000</f>
        <v>2862460</v>
      </c>
      <c r="F18" s="239">
        <f>+F107-F9</f>
        <v>872350</v>
      </c>
      <c r="G18" s="239"/>
      <c r="H18" s="239"/>
      <c r="I18" s="239">
        <v>1500000</v>
      </c>
      <c r="J18" s="239"/>
      <c r="K18" s="239"/>
      <c r="L18" s="239"/>
      <c r="M18" s="239"/>
      <c r="N18" s="239"/>
      <c r="O18" s="239"/>
      <c r="P18" s="239"/>
      <c r="Q18" s="239"/>
      <c r="R18" s="239">
        <f>SUM(E18:Q18)</f>
        <v>5234810</v>
      </c>
      <c r="S18" s="239">
        <f t="shared" ref="S18:S25" si="4">+R18</f>
        <v>5234810</v>
      </c>
      <c r="T18" s="239"/>
      <c r="U18" s="235"/>
    </row>
    <row r="19" spans="1:21" s="236" customFormat="1">
      <c r="A19" s="237" t="s">
        <v>911</v>
      </c>
      <c r="B19" s="238">
        <f t="shared" si="3"/>
        <v>351350</v>
      </c>
      <c r="C19" s="239">
        <v>351350</v>
      </c>
      <c r="D19" s="239"/>
      <c r="E19" s="239">
        <f>+C19</f>
        <v>351350</v>
      </c>
      <c r="F19" s="239"/>
      <c r="G19" s="239"/>
      <c r="H19" s="239"/>
      <c r="I19" s="239"/>
      <c r="J19" s="239"/>
      <c r="K19" s="239"/>
      <c r="L19" s="239"/>
      <c r="M19" s="239"/>
      <c r="N19" s="239"/>
      <c r="O19" s="239"/>
      <c r="P19" s="239"/>
      <c r="Q19" s="239"/>
      <c r="R19" s="239">
        <f>SUM(E19:Q19)</f>
        <v>351350</v>
      </c>
      <c r="S19" s="239">
        <f t="shared" si="4"/>
        <v>351350</v>
      </c>
      <c r="T19" s="239"/>
      <c r="U19" s="235"/>
    </row>
    <row r="20" spans="1:21" s="236" customFormat="1">
      <c r="A20" s="237" t="s">
        <v>912</v>
      </c>
      <c r="B20" s="238">
        <f t="shared" si="3"/>
        <v>124143</v>
      </c>
      <c r="C20" s="239">
        <v>124143</v>
      </c>
      <c r="D20" s="239"/>
      <c r="E20" s="239">
        <f>+C20</f>
        <v>124143</v>
      </c>
      <c r="F20" s="239"/>
      <c r="G20" s="239"/>
      <c r="H20" s="239"/>
      <c r="I20" s="239"/>
      <c r="J20" s="239"/>
      <c r="K20" s="239"/>
      <c r="L20" s="239"/>
      <c r="M20" s="239"/>
      <c r="N20" s="239"/>
      <c r="O20" s="239"/>
      <c r="P20" s="239"/>
      <c r="Q20" s="239"/>
      <c r="R20" s="239">
        <f t="shared" ref="R20:R27" si="5">SUM(E20:Q20)</f>
        <v>124143</v>
      </c>
      <c r="S20" s="239">
        <f t="shared" si="4"/>
        <v>124143</v>
      </c>
      <c r="T20" s="239"/>
      <c r="U20" s="235"/>
    </row>
    <row r="21" spans="1:21" s="236" customFormat="1">
      <c r="A21" s="237" t="s">
        <v>913</v>
      </c>
      <c r="B21" s="238">
        <f t="shared" si="3"/>
        <v>343431</v>
      </c>
      <c r="C21" s="239">
        <f>372431-29000</f>
        <v>343431</v>
      </c>
      <c r="D21" s="239"/>
      <c r="E21" s="239">
        <f t="shared" ref="E21:E27" si="6">+C21</f>
        <v>343431</v>
      </c>
      <c r="F21" s="239"/>
      <c r="G21" s="239"/>
      <c r="H21" s="239"/>
      <c r="I21" s="239"/>
      <c r="J21" s="239"/>
      <c r="K21" s="239"/>
      <c r="L21" s="239"/>
      <c r="M21" s="239"/>
      <c r="N21" s="239"/>
      <c r="O21" s="239"/>
      <c r="P21" s="239"/>
      <c r="Q21" s="239"/>
      <c r="R21" s="239">
        <f t="shared" si="5"/>
        <v>343431</v>
      </c>
      <c r="S21" s="239">
        <f t="shared" si="4"/>
        <v>343431</v>
      </c>
      <c r="T21" s="239"/>
      <c r="U21" s="235"/>
    </row>
    <row r="22" spans="1:21" s="236" customFormat="1">
      <c r="A22" s="237" t="s">
        <v>914</v>
      </c>
      <c r="B22" s="238">
        <f t="shared" si="3"/>
        <v>0</v>
      </c>
      <c r="C22" s="239"/>
      <c r="D22" s="239"/>
      <c r="E22" s="239">
        <f t="shared" si="6"/>
        <v>0</v>
      </c>
      <c r="F22" s="239"/>
      <c r="G22" s="239"/>
      <c r="H22" s="239"/>
      <c r="I22" s="239"/>
      <c r="J22" s="239"/>
      <c r="K22" s="239"/>
      <c r="L22" s="239"/>
      <c r="M22" s="239"/>
      <c r="N22" s="239"/>
      <c r="O22" s="239"/>
      <c r="P22" s="239"/>
      <c r="Q22" s="239"/>
      <c r="R22" s="239">
        <f t="shared" si="5"/>
        <v>0</v>
      </c>
      <c r="S22" s="239">
        <f t="shared" si="4"/>
        <v>0</v>
      </c>
      <c r="T22" s="239"/>
      <c r="U22" s="235"/>
    </row>
    <row r="23" spans="1:21" s="236" customFormat="1">
      <c r="A23" s="237" t="s">
        <v>915</v>
      </c>
      <c r="B23" s="238">
        <f t="shared" si="3"/>
        <v>112797</v>
      </c>
      <c r="C23" s="239">
        <f>83797+29000</f>
        <v>112797</v>
      </c>
      <c r="D23" s="239"/>
      <c r="E23" s="239">
        <f t="shared" si="6"/>
        <v>112797</v>
      </c>
      <c r="F23" s="239"/>
      <c r="G23" s="239"/>
      <c r="H23" s="239"/>
      <c r="I23" s="239"/>
      <c r="J23" s="239"/>
      <c r="K23" s="239"/>
      <c r="L23" s="239"/>
      <c r="M23" s="239"/>
      <c r="N23" s="239"/>
      <c r="O23" s="239"/>
      <c r="P23" s="239"/>
      <c r="Q23" s="239"/>
      <c r="R23" s="239">
        <f t="shared" si="5"/>
        <v>112797</v>
      </c>
      <c r="S23" s="239">
        <f t="shared" si="4"/>
        <v>112797</v>
      </c>
      <c r="T23" s="239"/>
      <c r="U23" s="235"/>
    </row>
    <row r="24" spans="1:21" s="236" customFormat="1">
      <c r="A24" s="248" t="s">
        <v>1939</v>
      </c>
      <c r="B24" s="238">
        <f t="shared" si="3"/>
        <v>0</v>
      </c>
      <c r="C24" s="239"/>
      <c r="D24" s="239"/>
      <c r="E24" s="239">
        <f t="shared" si="6"/>
        <v>0</v>
      </c>
      <c r="F24" s="239"/>
      <c r="G24" s="239"/>
      <c r="H24" s="239"/>
      <c r="I24" s="239"/>
      <c r="J24" s="239"/>
      <c r="K24" s="239"/>
      <c r="L24" s="239"/>
      <c r="M24" s="239"/>
      <c r="N24" s="239"/>
      <c r="O24" s="239"/>
      <c r="P24" s="239"/>
      <c r="Q24" s="239"/>
      <c r="R24" s="239">
        <f t="shared" si="5"/>
        <v>0</v>
      </c>
      <c r="S24" s="239">
        <f t="shared" si="4"/>
        <v>0</v>
      </c>
      <c r="T24" s="239"/>
      <c r="U24" s="235"/>
    </row>
    <row r="25" spans="1:21" s="236" customFormat="1" ht="23.15">
      <c r="A25" s="244" t="s">
        <v>2482</v>
      </c>
      <c r="B25" s="238">
        <f t="shared" si="3"/>
        <v>150000</v>
      </c>
      <c r="C25" s="239">
        <v>150000</v>
      </c>
      <c r="D25" s="239"/>
      <c r="E25" s="239">
        <f t="shared" si="6"/>
        <v>150000</v>
      </c>
      <c r="F25" s="239"/>
      <c r="G25" s="239"/>
      <c r="H25" s="239"/>
      <c r="I25" s="239"/>
      <c r="J25" s="239"/>
      <c r="K25" s="239"/>
      <c r="L25" s="239"/>
      <c r="M25" s="239"/>
      <c r="N25" s="239"/>
      <c r="O25" s="239"/>
      <c r="P25" s="239"/>
      <c r="Q25" s="239"/>
      <c r="R25" s="239">
        <f t="shared" si="5"/>
        <v>150000</v>
      </c>
      <c r="S25" s="239">
        <f t="shared" si="4"/>
        <v>150000</v>
      </c>
      <c r="T25" s="239"/>
      <c r="U25" s="235"/>
    </row>
    <row r="26" spans="1:21" s="236" customFormat="1">
      <c r="A26" s="241" t="s">
        <v>222</v>
      </c>
      <c r="B26" s="238">
        <f t="shared" si="3"/>
        <v>6937556</v>
      </c>
      <c r="C26" s="238">
        <f>SUM(C17:C25)</f>
        <v>6937556</v>
      </c>
      <c r="D26" s="238">
        <f>SUM(D17:D25)</f>
        <v>0</v>
      </c>
      <c r="E26" s="238">
        <f>SUM(E17:E25)</f>
        <v>4565206</v>
      </c>
      <c r="F26" s="238">
        <f t="shared" ref="F26:T26" si="7">SUM(F17:F25)</f>
        <v>872350</v>
      </c>
      <c r="G26" s="238">
        <f t="shared" si="7"/>
        <v>0</v>
      </c>
      <c r="H26" s="238">
        <f t="shared" si="7"/>
        <v>0</v>
      </c>
      <c r="I26" s="238">
        <f t="shared" si="7"/>
        <v>1500000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6937556</v>
      </c>
      <c r="S26" s="242">
        <f t="shared" si="7"/>
        <v>6937556</v>
      </c>
      <c r="T26" s="242">
        <f t="shared" si="7"/>
        <v>0</v>
      </c>
      <c r="U26" s="235"/>
    </row>
    <row r="27" spans="1:21" s="236" customFormat="1">
      <c r="A27" s="241" t="s">
        <v>916</v>
      </c>
      <c r="B27" s="238">
        <f t="shared" si="3"/>
        <v>303000</v>
      </c>
      <c r="C27" s="239">
        <v>303000</v>
      </c>
      <c r="D27" s="239"/>
      <c r="E27" s="239">
        <f t="shared" si="6"/>
        <v>303000</v>
      </c>
      <c r="F27" s="239"/>
      <c r="G27" s="239"/>
      <c r="H27" s="239"/>
      <c r="I27" s="239"/>
      <c r="J27" s="239"/>
      <c r="K27" s="239"/>
      <c r="L27" s="239"/>
      <c r="M27" s="239"/>
      <c r="N27" s="239"/>
      <c r="O27" s="239"/>
      <c r="P27" s="239"/>
      <c r="Q27" s="239"/>
      <c r="R27" s="239">
        <f t="shared" si="5"/>
        <v>303000</v>
      </c>
      <c r="S27" s="239">
        <f>+R27</f>
        <v>303000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0</v>
      </c>
      <c r="C29" s="239"/>
      <c r="D29" s="239"/>
      <c r="E29" s="239"/>
      <c r="F29" s="239"/>
      <c r="G29" s="239"/>
      <c r="H29" s="239"/>
      <c r="I29" s="239"/>
      <c r="J29" s="239"/>
      <c r="K29" s="239"/>
      <c r="L29" s="239"/>
      <c r="M29" s="239"/>
      <c r="N29" s="239"/>
      <c r="O29" s="239"/>
      <c r="P29" s="239"/>
      <c r="Q29" s="239"/>
      <c r="R29" s="239">
        <f t="shared" ref="R29:R37" si="9">SUM(E29:Q29)</f>
        <v>0</v>
      </c>
      <c r="S29" s="239"/>
      <c r="T29" s="239"/>
      <c r="U29" s="235"/>
    </row>
    <row r="30" spans="1:21" s="236" customFormat="1">
      <c r="A30" s="237" t="s">
        <v>910</v>
      </c>
      <c r="B30" s="238">
        <f t="shared" si="8"/>
        <v>0</v>
      </c>
      <c r="C30" s="239"/>
      <c r="D30" s="239"/>
      <c r="E30" s="239"/>
      <c r="F30" s="239"/>
      <c r="G30" s="239"/>
      <c r="H30" s="239"/>
      <c r="I30" s="239"/>
      <c r="J30" s="239"/>
      <c r="K30" s="239"/>
      <c r="L30" s="239"/>
      <c r="M30" s="239"/>
      <c r="N30" s="239"/>
      <c r="O30" s="239"/>
      <c r="P30" s="239"/>
      <c r="Q30" s="239"/>
      <c r="R30" s="239">
        <f t="shared" si="9"/>
        <v>0</v>
      </c>
      <c r="S30" s="239"/>
      <c r="T30" s="239"/>
      <c r="U30" s="235"/>
    </row>
    <row r="31" spans="1:21" s="236" customFormat="1">
      <c r="A31" s="237" t="s">
        <v>911</v>
      </c>
      <c r="B31" s="238">
        <f t="shared" si="8"/>
        <v>0</v>
      </c>
      <c r="C31" s="239"/>
      <c r="D31" s="239"/>
      <c r="E31" s="239"/>
      <c r="F31" s="239"/>
      <c r="G31" s="239"/>
      <c r="H31" s="239"/>
      <c r="I31" s="239"/>
      <c r="J31" s="239"/>
      <c r="K31" s="239"/>
      <c r="L31" s="239"/>
      <c r="M31" s="239"/>
      <c r="N31" s="239"/>
      <c r="O31" s="239"/>
      <c r="P31" s="239"/>
      <c r="Q31" s="239"/>
      <c r="R31" s="239">
        <f t="shared" si="9"/>
        <v>0</v>
      </c>
      <c r="S31" s="239"/>
      <c r="T31" s="239"/>
      <c r="U31" s="235"/>
    </row>
    <row r="32" spans="1:21" s="236" customFormat="1">
      <c r="A32" s="237" t="s">
        <v>912</v>
      </c>
      <c r="B32" s="238">
        <f t="shared" si="8"/>
        <v>0</v>
      </c>
      <c r="C32" s="239"/>
      <c r="D32" s="239"/>
      <c r="E32" s="239"/>
      <c r="F32" s="239"/>
      <c r="G32" s="239"/>
      <c r="H32" s="239"/>
      <c r="I32" s="239"/>
      <c r="J32" s="239"/>
      <c r="K32" s="239"/>
      <c r="L32" s="239"/>
      <c r="M32" s="239"/>
      <c r="N32" s="239"/>
      <c r="O32" s="239"/>
      <c r="P32" s="239"/>
      <c r="Q32" s="239"/>
      <c r="R32" s="239">
        <f t="shared" si="9"/>
        <v>0</v>
      </c>
      <c r="S32" s="239"/>
      <c r="T32" s="239"/>
      <c r="U32" s="235"/>
    </row>
    <row r="33" spans="1:21" s="236" customFormat="1">
      <c r="A33" s="237" t="s">
        <v>913</v>
      </c>
      <c r="B33" s="238">
        <f t="shared" si="8"/>
        <v>0</v>
      </c>
      <c r="C33" s="239"/>
      <c r="D33" s="239"/>
      <c r="E33" s="239"/>
      <c r="F33" s="239"/>
      <c r="G33" s="239"/>
      <c r="H33" s="239"/>
      <c r="I33" s="239"/>
      <c r="J33" s="239"/>
      <c r="K33" s="239"/>
      <c r="L33" s="239"/>
      <c r="M33" s="239"/>
      <c r="N33" s="239"/>
      <c r="O33" s="239"/>
      <c r="P33" s="239"/>
      <c r="Q33" s="239"/>
      <c r="R33" s="239">
        <f t="shared" si="9"/>
        <v>0</v>
      </c>
      <c r="S33" s="239"/>
      <c r="T33" s="239"/>
      <c r="U33" s="235"/>
    </row>
    <row r="34" spans="1:21" s="236" customFormat="1">
      <c r="A34" s="237" t="s">
        <v>914</v>
      </c>
      <c r="B34" s="238">
        <f t="shared" si="8"/>
        <v>0</v>
      </c>
      <c r="C34" s="239"/>
      <c r="D34" s="239"/>
      <c r="E34" s="239"/>
      <c r="F34" s="239"/>
      <c r="G34" s="239"/>
      <c r="H34" s="239"/>
      <c r="I34" s="239"/>
      <c r="J34" s="239"/>
      <c r="K34" s="239"/>
      <c r="L34" s="239"/>
      <c r="M34" s="239"/>
      <c r="N34" s="239"/>
      <c r="O34" s="239"/>
      <c r="P34" s="239"/>
      <c r="Q34" s="239"/>
      <c r="R34" s="239">
        <f t="shared" si="9"/>
        <v>0</v>
      </c>
      <c r="S34" s="239"/>
      <c r="T34" s="239"/>
      <c r="U34" s="235"/>
    </row>
    <row r="35" spans="1:21" s="236" customFormat="1">
      <c r="A35" s="237" t="s">
        <v>915</v>
      </c>
      <c r="B35" s="238">
        <f t="shared" si="8"/>
        <v>0</v>
      </c>
      <c r="C35" s="239"/>
      <c r="D35" s="239"/>
      <c r="E35" s="239"/>
      <c r="F35" s="239"/>
      <c r="G35" s="239"/>
      <c r="H35" s="239"/>
      <c r="I35" s="239"/>
      <c r="J35" s="239"/>
      <c r="K35" s="239"/>
      <c r="L35" s="239"/>
      <c r="M35" s="239"/>
      <c r="N35" s="239"/>
      <c r="O35" s="239"/>
      <c r="P35" s="239"/>
      <c r="Q35" s="239"/>
      <c r="R35" s="239">
        <f t="shared" si="9"/>
        <v>0</v>
      </c>
      <c r="S35" s="239"/>
      <c r="T35" s="239"/>
      <c r="U35" s="235"/>
    </row>
    <row r="36" spans="1:21" s="236" customFormat="1">
      <c r="A36" s="248" t="s">
        <v>1939</v>
      </c>
      <c r="B36" s="238">
        <f t="shared" si="8"/>
        <v>0</v>
      </c>
      <c r="C36" s="239"/>
      <c r="D36" s="239"/>
      <c r="E36" s="239"/>
      <c r="F36" s="239"/>
      <c r="G36" s="239"/>
      <c r="H36" s="239"/>
      <c r="I36" s="239"/>
      <c r="J36" s="239"/>
      <c r="K36" s="239"/>
      <c r="L36" s="239"/>
      <c r="M36" s="239"/>
      <c r="N36" s="239"/>
      <c r="O36" s="239"/>
      <c r="P36" s="239"/>
      <c r="Q36" s="239"/>
      <c r="R36" s="239">
        <f t="shared" si="9"/>
        <v>0</v>
      </c>
      <c r="S36" s="239"/>
      <c r="T36" s="239"/>
      <c r="U36" s="235"/>
    </row>
    <row r="37" spans="1:21" s="236" customFormat="1">
      <c r="A37" s="244" t="s">
        <v>533</v>
      </c>
      <c r="B37" s="238">
        <f t="shared" si="8"/>
        <v>0</v>
      </c>
      <c r="C37" s="239"/>
      <c r="D37" s="239"/>
      <c r="E37" s="239"/>
      <c r="F37" s="239"/>
      <c r="G37" s="239"/>
      <c r="H37" s="239"/>
      <c r="I37" s="239"/>
      <c r="J37" s="239"/>
      <c r="K37" s="239"/>
      <c r="L37" s="239"/>
      <c r="M37" s="239"/>
      <c r="N37" s="239"/>
      <c r="O37" s="239"/>
      <c r="P37" s="239"/>
      <c r="Q37" s="239"/>
      <c r="R37" s="239">
        <f t="shared" si="9"/>
        <v>0</v>
      </c>
      <c r="S37" s="239"/>
      <c r="T37" s="239"/>
      <c r="U37" s="235"/>
    </row>
    <row r="38" spans="1:21" s="236" customFormat="1">
      <c r="A38" s="241" t="s">
        <v>918</v>
      </c>
      <c r="B38" s="238">
        <f t="shared" si="8"/>
        <v>0</v>
      </c>
      <c r="C38" s="238">
        <f>SUM(C29:C37)</f>
        <v>0</v>
      </c>
      <c r="D38" s="238">
        <f>SUM(D29:D37)</f>
        <v>0</v>
      </c>
      <c r="E38" s="238">
        <f>SUM(E29:E37)</f>
        <v>0</v>
      </c>
      <c r="F38" s="238">
        <f t="shared" ref="F38:T38" si="10">SUM(F29:F37)</f>
        <v>0</v>
      </c>
      <c r="G38" s="238">
        <f t="shared" si="10"/>
        <v>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0</v>
      </c>
      <c r="S38" s="242">
        <f t="shared" si="10"/>
        <v>0</v>
      </c>
      <c r="T38" s="242">
        <f t="shared" si="10"/>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150000</v>
      </c>
      <c r="C40" s="239">
        <v>150000</v>
      </c>
      <c r="D40" s="239"/>
      <c r="E40" s="239">
        <f>+C40</f>
        <v>150000</v>
      </c>
      <c r="F40" s="239"/>
      <c r="G40" s="239"/>
      <c r="H40" s="239"/>
      <c r="I40" s="239"/>
      <c r="J40" s="239"/>
      <c r="K40" s="239"/>
      <c r="L40" s="239"/>
      <c r="M40" s="239"/>
      <c r="N40" s="239"/>
      <c r="O40" s="239"/>
      <c r="P40" s="239"/>
      <c r="Q40" s="239"/>
      <c r="R40" s="239">
        <f>SUM(E40:Q40)</f>
        <v>150000</v>
      </c>
      <c r="S40" s="239">
        <f>+R40</f>
        <v>150000</v>
      </c>
      <c r="T40" s="239"/>
      <c r="U40" s="235"/>
    </row>
    <row r="41" spans="1:21" s="236" customFormat="1">
      <c r="A41" s="237" t="s">
        <v>921</v>
      </c>
      <c r="B41" s="238">
        <f>SUM(C41+D41)</f>
        <v>50000</v>
      </c>
      <c r="C41" s="239">
        <v>50000</v>
      </c>
      <c r="D41" s="239"/>
      <c r="E41" s="239">
        <f>+C41</f>
        <v>50000</v>
      </c>
      <c r="F41" s="239"/>
      <c r="G41" s="239"/>
      <c r="H41" s="239"/>
      <c r="I41" s="239"/>
      <c r="J41" s="239"/>
      <c r="K41" s="239"/>
      <c r="L41" s="239"/>
      <c r="M41" s="239"/>
      <c r="N41" s="239"/>
      <c r="O41" s="239"/>
      <c r="P41" s="239"/>
      <c r="Q41" s="239"/>
      <c r="R41" s="239">
        <f>SUM(E41:Q41)</f>
        <v>50000</v>
      </c>
      <c r="S41" s="239">
        <f>+R41</f>
        <v>50000</v>
      </c>
      <c r="T41" s="239"/>
      <c r="U41" s="235"/>
    </row>
    <row r="42" spans="1:21" s="236" customFormat="1">
      <c r="A42" s="241" t="s">
        <v>922</v>
      </c>
      <c r="B42" s="238">
        <f>SUM(C42:D42)</f>
        <v>200000</v>
      </c>
      <c r="C42" s="238">
        <f>SUM(C39:C41)</f>
        <v>200000</v>
      </c>
      <c r="D42" s="238">
        <f>SUM(D39:D41)</f>
        <v>0</v>
      </c>
      <c r="E42" s="238">
        <f t="shared" ref="E42:T42" si="11">SUM(E40:E41)</f>
        <v>200000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200000</v>
      </c>
      <c r="S42" s="242">
        <f t="shared" si="11"/>
        <v>200000</v>
      </c>
      <c r="T42" s="242">
        <f t="shared" si="11"/>
        <v>0</v>
      </c>
      <c r="U42" s="235"/>
    </row>
    <row r="43" spans="1:21" s="236" customFormat="1">
      <c r="A43" s="241" t="s">
        <v>923</v>
      </c>
      <c r="B43" s="238">
        <f>SUM(C43:D43)</f>
        <v>50000</v>
      </c>
      <c r="C43" s="239">
        <v>50000</v>
      </c>
      <c r="D43" s="239"/>
      <c r="E43" s="239">
        <f>+C43</f>
        <v>50000</v>
      </c>
      <c r="F43" s="239">
        <v>0</v>
      </c>
      <c r="G43" s="239"/>
      <c r="H43" s="239"/>
      <c r="I43" s="239"/>
      <c r="J43" s="239"/>
      <c r="K43" s="239"/>
      <c r="L43" s="239"/>
      <c r="M43" s="239"/>
      <c r="N43" s="239"/>
      <c r="O43" s="239"/>
      <c r="P43" s="239"/>
      <c r="Q43" s="239"/>
      <c r="R43" s="239">
        <f>SUM(E43:Q43)</f>
        <v>50000</v>
      </c>
      <c r="S43" s="239">
        <f>+R43</f>
        <v>50000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2">SUM(C45+D45)</f>
        <v>952500</v>
      </c>
      <c r="C45" s="239">
        <v>952500</v>
      </c>
      <c r="D45" s="239"/>
      <c r="E45" s="239">
        <f t="shared" ref="E45:E51" si="13">+C45</f>
        <v>952500</v>
      </c>
      <c r="F45" s="239"/>
      <c r="G45" s="239"/>
      <c r="H45" s="239"/>
      <c r="I45" s="239"/>
      <c r="J45" s="239"/>
      <c r="K45" s="239"/>
      <c r="L45" s="239"/>
      <c r="M45" s="239"/>
      <c r="N45" s="239"/>
      <c r="O45" s="239"/>
      <c r="P45" s="239"/>
      <c r="Q45" s="239"/>
      <c r="R45" s="239">
        <f t="shared" ref="R45:R52" si="14">SUM(E45:Q45)</f>
        <v>952500</v>
      </c>
      <c r="S45" s="239">
        <v>635000</v>
      </c>
      <c r="T45" s="239"/>
      <c r="U45" s="235"/>
    </row>
    <row r="46" spans="1:21" s="236" customFormat="1">
      <c r="A46" s="237" t="s">
        <v>926</v>
      </c>
      <c r="B46" s="238">
        <f t="shared" si="12"/>
        <v>100000</v>
      </c>
      <c r="C46" s="239">
        <v>100000</v>
      </c>
      <c r="D46" s="239"/>
      <c r="E46" s="239">
        <f t="shared" si="13"/>
        <v>100000</v>
      </c>
      <c r="F46" s="239"/>
      <c r="G46" s="239"/>
      <c r="H46" s="239"/>
      <c r="I46" s="239"/>
      <c r="J46" s="239"/>
      <c r="K46" s="239"/>
      <c r="L46" s="239"/>
      <c r="M46" s="239"/>
      <c r="N46" s="239"/>
      <c r="O46" s="239"/>
      <c r="P46" s="239"/>
      <c r="Q46" s="239"/>
      <c r="R46" s="239">
        <f t="shared" si="14"/>
        <v>100000</v>
      </c>
      <c r="S46" s="239">
        <f>+R46</f>
        <v>100000</v>
      </c>
      <c r="T46" s="239"/>
      <c r="U46" s="235"/>
    </row>
    <row r="47" spans="1:21" s="236" customFormat="1" ht="12" customHeight="1">
      <c r="A47" s="237" t="s">
        <v>927</v>
      </c>
      <c r="B47" s="238">
        <f t="shared" si="12"/>
        <v>0</v>
      </c>
      <c r="C47" s="239"/>
      <c r="D47" s="239"/>
      <c r="E47" s="239">
        <f t="shared" si="13"/>
        <v>0</v>
      </c>
      <c r="F47" s="239"/>
      <c r="G47" s="239"/>
      <c r="H47" s="239"/>
      <c r="I47" s="239"/>
      <c r="J47" s="239"/>
      <c r="K47" s="239"/>
      <c r="L47" s="239"/>
      <c r="M47" s="239"/>
      <c r="N47" s="239"/>
      <c r="O47" s="239"/>
      <c r="P47" s="239"/>
      <c r="Q47" s="239"/>
      <c r="R47" s="239">
        <f t="shared" si="14"/>
        <v>0</v>
      </c>
      <c r="S47" s="239">
        <f t="shared" ref="S47:S52" si="15">+R47</f>
        <v>0</v>
      </c>
      <c r="T47" s="239"/>
      <c r="U47" s="235"/>
    </row>
    <row r="48" spans="1:21" s="236" customFormat="1">
      <c r="A48" s="237" t="s">
        <v>928</v>
      </c>
      <c r="B48" s="238">
        <f t="shared" si="12"/>
        <v>100687</v>
      </c>
      <c r="C48" s="239">
        <f>100556+131</f>
        <v>100687</v>
      </c>
      <c r="D48" s="239"/>
      <c r="E48" s="239">
        <f t="shared" si="13"/>
        <v>100687</v>
      </c>
      <c r="F48" s="239"/>
      <c r="G48" s="239"/>
      <c r="H48" s="239"/>
      <c r="I48" s="239"/>
      <c r="J48" s="239"/>
      <c r="K48" s="239"/>
      <c r="L48" s="239"/>
      <c r="M48" s="239"/>
      <c r="N48" s="239"/>
      <c r="O48" s="239"/>
      <c r="P48" s="239"/>
      <c r="Q48" s="239"/>
      <c r="R48" s="239">
        <f t="shared" si="14"/>
        <v>100687</v>
      </c>
      <c r="S48" s="239">
        <f t="shared" si="15"/>
        <v>100687</v>
      </c>
      <c r="T48" s="239"/>
      <c r="U48" s="235"/>
    </row>
    <row r="49" spans="1:21" s="236" customFormat="1">
      <c r="A49" s="237" t="s">
        <v>931</v>
      </c>
      <c r="B49" s="238">
        <f t="shared" si="12"/>
        <v>40000</v>
      </c>
      <c r="C49" s="239">
        <v>40000</v>
      </c>
      <c r="D49" s="239"/>
      <c r="E49" s="239">
        <f t="shared" si="13"/>
        <v>40000</v>
      </c>
      <c r="F49" s="239"/>
      <c r="G49" s="239"/>
      <c r="H49" s="239"/>
      <c r="I49" s="239"/>
      <c r="J49" s="239"/>
      <c r="K49" s="239"/>
      <c r="L49" s="239"/>
      <c r="M49" s="239"/>
      <c r="N49" s="239"/>
      <c r="O49" s="239"/>
      <c r="P49" s="239"/>
      <c r="Q49" s="239"/>
      <c r="R49" s="239">
        <f t="shared" si="14"/>
        <v>40000</v>
      </c>
      <c r="S49" s="239">
        <f t="shared" si="15"/>
        <v>40000</v>
      </c>
      <c r="T49" s="239"/>
      <c r="U49" s="235"/>
    </row>
    <row r="50" spans="1:21" s="236" customFormat="1">
      <c r="A50" s="237" t="s">
        <v>929</v>
      </c>
      <c r="B50" s="238">
        <f t="shared" si="12"/>
        <v>0</v>
      </c>
      <c r="C50" s="239">
        <v>0</v>
      </c>
      <c r="D50" s="239"/>
      <c r="E50" s="239">
        <f t="shared" si="13"/>
        <v>0</v>
      </c>
      <c r="F50" s="239"/>
      <c r="G50" s="239"/>
      <c r="H50" s="239"/>
      <c r="I50" s="239"/>
      <c r="J50" s="239"/>
      <c r="K50" s="239"/>
      <c r="L50" s="239"/>
      <c r="M50" s="239"/>
      <c r="N50" s="239"/>
      <c r="O50" s="239"/>
      <c r="P50" s="239"/>
      <c r="Q50" s="239"/>
      <c r="R50" s="239">
        <f t="shared" si="14"/>
        <v>0</v>
      </c>
      <c r="S50" s="239">
        <f t="shared" si="15"/>
        <v>0</v>
      </c>
      <c r="T50" s="239"/>
      <c r="U50" s="235"/>
    </row>
    <row r="51" spans="1:21" s="236" customFormat="1">
      <c r="A51" s="237" t="s">
        <v>930</v>
      </c>
      <c r="B51" s="238">
        <f t="shared" si="12"/>
        <v>100000</v>
      </c>
      <c r="C51" s="239">
        <v>100000</v>
      </c>
      <c r="D51" s="239"/>
      <c r="E51" s="239">
        <f t="shared" si="13"/>
        <v>100000</v>
      </c>
      <c r="F51" s="239"/>
      <c r="G51" s="239"/>
      <c r="H51" s="239"/>
      <c r="I51" s="239"/>
      <c r="J51" s="239"/>
      <c r="K51" s="239"/>
      <c r="L51" s="239"/>
      <c r="M51" s="239"/>
      <c r="N51" s="239"/>
      <c r="O51" s="239"/>
      <c r="P51" s="239"/>
      <c r="Q51" s="239"/>
      <c r="R51" s="239">
        <f t="shared" si="14"/>
        <v>100000</v>
      </c>
      <c r="S51" s="239">
        <f t="shared" si="15"/>
        <v>100000</v>
      </c>
      <c r="T51" s="239"/>
      <c r="U51" s="235"/>
    </row>
    <row r="52" spans="1:21" s="236" customFormat="1">
      <c r="A52" s="244" t="s">
        <v>533</v>
      </c>
      <c r="B52" s="238">
        <f t="shared" si="12"/>
        <v>0</v>
      </c>
      <c r="C52" s="239"/>
      <c r="D52" s="239"/>
      <c r="E52" s="239"/>
      <c r="F52" s="239"/>
      <c r="G52" s="239"/>
      <c r="H52" s="239"/>
      <c r="I52" s="239"/>
      <c r="J52" s="239"/>
      <c r="K52" s="239"/>
      <c r="L52" s="239"/>
      <c r="M52" s="239"/>
      <c r="N52" s="239"/>
      <c r="O52" s="239"/>
      <c r="P52" s="239"/>
      <c r="Q52" s="239"/>
      <c r="R52" s="239">
        <f t="shared" si="14"/>
        <v>0</v>
      </c>
      <c r="S52" s="239">
        <f t="shared" si="15"/>
        <v>0</v>
      </c>
      <c r="T52" s="239"/>
      <c r="U52" s="235"/>
    </row>
    <row r="53" spans="1:21" s="246" customFormat="1">
      <c r="A53" s="241" t="s">
        <v>932</v>
      </c>
      <c r="B53" s="242">
        <f>SUM(C53:D53)</f>
        <v>1293187</v>
      </c>
      <c r="C53" s="242">
        <f t="shared" ref="C53:T53" si="16">SUM(C45:C52)</f>
        <v>1293187</v>
      </c>
      <c r="D53" s="242">
        <f t="shared" si="16"/>
        <v>0</v>
      </c>
      <c r="E53" s="242">
        <f t="shared" si="16"/>
        <v>1293187</v>
      </c>
      <c r="F53" s="242">
        <f t="shared" si="16"/>
        <v>0</v>
      </c>
      <c r="G53" s="242">
        <f t="shared" si="16"/>
        <v>0</v>
      </c>
      <c r="H53" s="242">
        <f t="shared" si="16"/>
        <v>0</v>
      </c>
      <c r="I53" s="242">
        <f t="shared" si="16"/>
        <v>0</v>
      </c>
      <c r="J53" s="242">
        <f t="shared" si="16"/>
        <v>0</v>
      </c>
      <c r="K53" s="242">
        <f t="shared" si="16"/>
        <v>0</v>
      </c>
      <c r="L53" s="242">
        <f t="shared" si="16"/>
        <v>0</v>
      </c>
      <c r="M53" s="242">
        <f t="shared" si="16"/>
        <v>0</v>
      </c>
      <c r="N53" s="242">
        <f t="shared" si="16"/>
        <v>0</v>
      </c>
      <c r="O53" s="242">
        <f t="shared" si="16"/>
        <v>0</v>
      </c>
      <c r="P53" s="242">
        <f t="shared" si="16"/>
        <v>0</v>
      </c>
      <c r="Q53" s="242">
        <f t="shared" si="16"/>
        <v>0</v>
      </c>
      <c r="R53" s="238">
        <f t="shared" si="16"/>
        <v>1293187</v>
      </c>
      <c r="S53" s="242">
        <f t="shared" si="16"/>
        <v>975687</v>
      </c>
      <c r="T53" s="242">
        <f t="shared" si="16"/>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7">SUM(C55+D55)</f>
        <v>55500</v>
      </c>
      <c r="C55" s="239">
        <v>55500</v>
      </c>
      <c r="D55" s="239"/>
      <c r="E55" s="239">
        <f t="shared" ref="E55:E57" si="18">+C55</f>
        <v>55500</v>
      </c>
      <c r="F55" s="239"/>
      <c r="G55" s="239"/>
      <c r="H55" s="239"/>
      <c r="I55" s="239"/>
      <c r="J55" s="239"/>
      <c r="K55" s="239"/>
      <c r="L55" s="239"/>
      <c r="M55" s="239"/>
      <c r="N55" s="239"/>
      <c r="O55" s="239"/>
      <c r="P55" s="239"/>
      <c r="Q55" s="239"/>
      <c r="R55" s="239">
        <f t="shared" ref="R55:R60" si="19">SUM(E55:Q55)</f>
        <v>55500</v>
      </c>
      <c r="S55" s="240"/>
      <c r="T55" s="240"/>
      <c r="U55" s="235"/>
    </row>
    <row r="56" spans="1:21" s="236" customFormat="1" ht="12" customHeight="1">
      <c r="A56" s="237" t="s">
        <v>927</v>
      </c>
      <c r="B56" s="238">
        <f t="shared" si="17"/>
        <v>0</v>
      </c>
      <c r="C56" s="239"/>
      <c r="D56" s="239"/>
      <c r="E56" s="239">
        <f t="shared" si="18"/>
        <v>0</v>
      </c>
      <c r="F56" s="239"/>
      <c r="G56" s="239"/>
      <c r="H56" s="239"/>
      <c r="I56" s="239"/>
      <c r="J56" s="239"/>
      <c r="K56" s="239"/>
      <c r="L56" s="239"/>
      <c r="M56" s="239"/>
      <c r="N56" s="239"/>
      <c r="O56" s="239"/>
      <c r="P56" s="239"/>
      <c r="Q56" s="239"/>
      <c r="R56" s="239">
        <f t="shared" si="19"/>
        <v>0</v>
      </c>
      <c r="S56" s="240"/>
      <c r="T56" s="240"/>
      <c r="U56" s="235"/>
    </row>
    <row r="57" spans="1:21" s="236" customFormat="1">
      <c r="A57" s="237" t="s">
        <v>931</v>
      </c>
      <c r="B57" s="238">
        <f t="shared" si="17"/>
        <v>10000</v>
      </c>
      <c r="C57" s="239">
        <v>10000</v>
      </c>
      <c r="D57" s="239"/>
      <c r="E57" s="239">
        <f t="shared" si="18"/>
        <v>10000</v>
      </c>
      <c r="F57" s="239"/>
      <c r="G57" s="239"/>
      <c r="H57" s="239"/>
      <c r="I57" s="239"/>
      <c r="J57" s="239"/>
      <c r="K57" s="239"/>
      <c r="L57" s="239"/>
      <c r="M57" s="239"/>
      <c r="N57" s="239"/>
      <c r="O57" s="239"/>
      <c r="P57" s="239"/>
      <c r="Q57" s="239"/>
      <c r="R57" s="239">
        <f t="shared" si="19"/>
        <v>10000</v>
      </c>
      <c r="S57" s="240"/>
      <c r="T57" s="240"/>
      <c r="U57" s="235"/>
    </row>
    <row r="58" spans="1:21" s="236" customFormat="1">
      <c r="A58" s="237" t="s">
        <v>929</v>
      </c>
      <c r="B58" s="238">
        <f t="shared" si="17"/>
        <v>0</v>
      </c>
      <c r="C58" s="239"/>
      <c r="D58" s="239"/>
      <c r="E58" s="239"/>
      <c r="F58" s="239"/>
      <c r="G58" s="239"/>
      <c r="H58" s="239"/>
      <c r="I58" s="239"/>
      <c r="J58" s="239"/>
      <c r="K58" s="239"/>
      <c r="L58" s="239"/>
      <c r="M58" s="239"/>
      <c r="N58" s="239"/>
      <c r="O58" s="239"/>
      <c r="P58" s="239"/>
      <c r="Q58" s="239"/>
      <c r="R58" s="239">
        <f t="shared" si="19"/>
        <v>0</v>
      </c>
      <c r="S58" s="240"/>
      <c r="T58" s="240"/>
      <c r="U58" s="235"/>
    </row>
    <row r="59" spans="1:21" s="236" customFormat="1">
      <c r="A59" s="237" t="s">
        <v>930</v>
      </c>
      <c r="B59" s="238">
        <f t="shared" si="17"/>
        <v>0</v>
      </c>
      <c r="C59" s="239"/>
      <c r="D59" s="239"/>
      <c r="E59" s="239"/>
      <c r="F59" s="239"/>
      <c r="G59" s="239"/>
      <c r="H59" s="239"/>
      <c r="I59" s="239"/>
      <c r="J59" s="239"/>
      <c r="K59" s="239"/>
      <c r="L59" s="239"/>
      <c r="M59" s="239"/>
      <c r="N59" s="239"/>
      <c r="O59" s="239"/>
      <c r="P59" s="239"/>
      <c r="Q59" s="239"/>
      <c r="R59" s="239">
        <f t="shared" si="19"/>
        <v>0</v>
      </c>
      <c r="S59" s="240"/>
      <c r="T59" s="240"/>
      <c r="U59" s="235"/>
    </row>
    <row r="60" spans="1:21" s="236" customFormat="1">
      <c r="A60" s="244" t="s">
        <v>533</v>
      </c>
      <c r="B60" s="238">
        <f t="shared" si="17"/>
        <v>0</v>
      </c>
      <c r="C60" s="239"/>
      <c r="D60" s="239"/>
      <c r="E60" s="239"/>
      <c r="F60" s="239"/>
      <c r="G60" s="239"/>
      <c r="H60" s="239"/>
      <c r="I60" s="239"/>
      <c r="J60" s="239"/>
      <c r="K60" s="239"/>
      <c r="L60" s="239"/>
      <c r="M60" s="239"/>
      <c r="N60" s="239"/>
      <c r="O60" s="239"/>
      <c r="P60" s="239"/>
      <c r="Q60" s="239"/>
      <c r="R60" s="239">
        <f t="shared" si="19"/>
        <v>0</v>
      </c>
      <c r="S60" s="240"/>
      <c r="T60" s="240"/>
      <c r="U60" s="235"/>
    </row>
    <row r="61" spans="1:21" s="236" customFormat="1" ht="13.95" customHeight="1">
      <c r="A61" s="241" t="s">
        <v>500</v>
      </c>
      <c r="B61" s="238">
        <f>SUM(C61:D61)</f>
        <v>65500</v>
      </c>
      <c r="C61" s="238">
        <f t="shared" ref="C61:R61" si="20">SUM(C55:C60)</f>
        <v>65500</v>
      </c>
      <c r="D61" s="238">
        <f t="shared" si="20"/>
        <v>0</v>
      </c>
      <c r="E61" s="238">
        <f t="shared" si="20"/>
        <v>65500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65500</v>
      </c>
      <c r="S61" s="240"/>
      <c r="T61" s="240"/>
      <c r="U61" s="235"/>
    </row>
    <row r="62" spans="1:21" s="236" customFormat="1">
      <c r="A62" s="247" t="s">
        <v>501</v>
      </c>
      <c r="B62" s="238">
        <f>SUM(C62:D62)</f>
        <v>14749243</v>
      </c>
      <c r="C62" s="238">
        <f t="shared" ref="C62:R62" si="21">SUM(C8+C11+C13+C14+C15+C26+C27+C38+C42+C43+C53+C61)</f>
        <v>14749243</v>
      </c>
      <c r="D62" s="238">
        <f t="shared" si="21"/>
        <v>0</v>
      </c>
      <c r="E62" s="238">
        <f t="shared" si="21"/>
        <v>6476893</v>
      </c>
      <c r="F62" s="238">
        <f t="shared" si="21"/>
        <v>3500000</v>
      </c>
      <c r="G62" s="238">
        <f t="shared" si="21"/>
        <v>3272350</v>
      </c>
      <c r="H62" s="238">
        <f t="shared" si="21"/>
        <v>0</v>
      </c>
      <c r="I62" s="238">
        <f t="shared" si="21"/>
        <v>1500000</v>
      </c>
      <c r="J62" s="238">
        <f t="shared" si="21"/>
        <v>0</v>
      </c>
      <c r="K62" s="238">
        <f t="shared" si="21"/>
        <v>0</v>
      </c>
      <c r="L62" s="238">
        <f t="shared" si="21"/>
        <v>0</v>
      </c>
      <c r="M62" s="238">
        <f t="shared" si="21"/>
        <v>0</v>
      </c>
      <c r="N62" s="238">
        <f t="shared" si="21"/>
        <v>0</v>
      </c>
      <c r="O62" s="238">
        <f t="shared" si="21"/>
        <v>0</v>
      </c>
      <c r="P62" s="238">
        <f t="shared" si="21"/>
        <v>0</v>
      </c>
      <c r="Q62" s="238">
        <f t="shared" si="21"/>
        <v>0</v>
      </c>
      <c r="R62" s="238">
        <f t="shared" si="21"/>
        <v>14749243</v>
      </c>
      <c r="S62" s="238">
        <f>SUM(S10+S13+S14+S15+S26+S27+S38+S42+S43+S53)</f>
        <v>8466243</v>
      </c>
      <c r="T62" s="238">
        <f>SUM(T11+T13+T14+T15+T26+T27+T38+T42+T43+T53)</f>
        <v>0</v>
      </c>
      <c r="U62" s="235"/>
    </row>
    <row r="63" spans="1:21" s="236" customFormat="1" ht="23.15">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85000</v>
      </c>
      <c r="C64" s="239">
        <v>85000</v>
      </c>
      <c r="D64" s="239"/>
      <c r="E64" s="239">
        <f>+C64</f>
        <v>85000</v>
      </c>
      <c r="F64" s="239"/>
      <c r="G64" s="239"/>
      <c r="H64" s="239"/>
      <c r="I64" s="239"/>
      <c r="J64" s="239"/>
      <c r="K64" s="239"/>
      <c r="L64" s="239"/>
      <c r="M64" s="239"/>
      <c r="N64" s="239"/>
      <c r="O64" s="239"/>
      <c r="P64" s="239"/>
      <c r="Q64" s="239"/>
      <c r="R64" s="239">
        <f>SUM(E64:Q64)</f>
        <v>85000</v>
      </c>
      <c r="S64" s="239">
        <f>+R64</f>
        <v>85000</v>
      </c>
      <c r="T64" s="239"/>
      <c r="U64" s="235"/>
    </row>
    <row r="65" spans="1:21" s="236" customFormat="1" ht="23.15">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15">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2478</v>
      </c>
      <c r="B68" s="238">
        <f>SUM(C68+D68)</f>
        <v>80000</v>
      </c>
      <c r="C68" s="239">
        <v>80000</v>
      </c>
      <c r="D68" s="239"/>
      <c r="E68" s="239">
        <f>+C68</f>
        <v>80000</v>
      </c>
      <c r="F68" s="239"/>
      <c r="G68" s="239"/>
      <c r="H68" s="239"/>
      <c r="I68" s="239"/>
      <c r="J68" s="239"/>
      <c r="K68" s="239"/>
      <c r="L68" s="239"/>
      <c r="M68" s="239"/>
      <c r="N68" s="239"/>
      <c r="O68" s="239"/>
      <c r="P68" s="239"/>
      <c r="Q68" s="239"/>
      <c r="R68" s="239">
        <f>SUM(E68:Q68)</f>
        <v>80000</v>
      </c>
      <c r="S68" s="239">
        <v>40000</v>
      </c>
      <c r="T68" s="239"/>
      <c r="U68" s="235"/>
    </row>
    <row r="69" spans="1:21" s="236" customFormat="1">
      <c r="A69" s="241" t="s">
        <v>1944</v>
      </c>
      <c r="B69" s="238">
        <f>SUM(C69:D69)</f>
        <v>165000</v>
      </c>
      <c r="C69" s="238">
        <f>SUM(C63:C68)</f>
        <v>165000</v>
      </c>
      <c r="D69" s="238">
        <f>SUM(D63:D68)</f>
        <v>0</v>
      </c>
      <c r="E69" s="238">
        <f t="shared" ref="E69:T69" si="22">SUM(E64:E68)</f>
        <v>165000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165000</v>
      </c>
      <c r="S69" s="242">
        <f t="shared" si="22"/>
        <v>125000</v>
      </c>
      <c r="T69" s="242">
        <f t="shared" si="22"/>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594665</v>
      </c>
      <c r="C74" s="239">
        <f>+Application!AC873</f>
        <v>594665</v>
      </c>
      <c r="D74" s="239"/>
      <c r="E74" s="239">
        <f t="shared" ref="E74" si="23">+C74</f>
        <v>594665</v>
      </c>
      <c r="F74" s="239"/>
      <c r="G74" s="239"/>
      <c r="H74" s="239"/>
      <c r="I74" s="239"/>
      <c r="J74" s="239"/>
      <c r="K74" s="239"/>
      <c r="L74" s="239"/>
      <c r="M74" s="239"/>
      <c r="N74" s="239"/>
      <c r="O74" s="239"/>
      <c r="P74" s="239"/>
      <c r="Q74" s="239"/>
      <c r="R74" s="239">
        <f>SUM(E74:Q74)</f>
        <v>594665</v>
      </c>
      <c r="S74" s="240"/>
      <c r="T74" s="240"/>
      <c r="U74" s="235"/>
    </row>
    <row r="75" spans="1:21" s="236" customFormat="1">
      <c r="A75" s="244" t="s">
        <v>2479</v>
      </c>
      <c r="B75" s="238">
        <f>SUM(C75+D75)</f>
        <v>75855</v>
      </c>
      <c r="C75" s="239">
        <v>75855</v>
      </c>
      <c r="D75" s="239"/>
      <c r="E75" s="239"/>
      <c r="F75" s="239"/>
      <c r="G75" s="239"/>
      <c r="H75" s="239">
        <f>+C75</f>
        <v>75855</v>
      </c>
      <c r="I75" s="239"/>
      <c r="J75" s="239"/>
      <c r="K75" s="239"/>
      <c r="L75" s="239"/>
      <c r="M75" s="239"/>
      <c r="N75" s="239"/>
      <c r="O75" s="239"/>
      <c r="P75" s="239"/>
      <c r="Q75" s="239"/>
      <c r="R75" s="239">
        <f>SUM(E75:Q75)</f>
        <v>75855</v>
      </c>
      <c r="S75" s="240"/>
      <c r="T75" s="240"/>
      <c r="U75" s="235"/>
    </row>
    <row r="76" spans="1:21" s="236" customFormat="1">
      <c r="A76" s="241" t="s">
        <v>289</v>
      </c>
      <c r="B76" s="238">
        <f>SUM(C76:D76)</f>
        <v>670520</v>
      </c>
      <c r="C76" s="238">
        <f t="shared" ref="C76:Q76" si="24">SUM(C71:C75)</f>
        <v>670520</v>
      </c>
      <c r="D76" s="238">
        <f t="shared" si="24"/>
        <v>0</v>
      </c>
      <c r="E76" s="238">
        <f>SUM(E71:E75)</f>
        <v>594665</v>
      </c>
      <c r="F76" s="238">
        <f>SUM(F71:F75)</f>
        <v>0</v>
      </c>
      <c r="G76" s="238">
        <f>SUM(G71:G75)</f>
        <v>0</v>
      </c>
      <c r="H76" s="238">
        <f t="shared" si="24"/>
        <v>75855</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670520</v>
      </c>
      <c r="S76" s="240"/>
      <c r="T76" s="240"/>
      <c r="U76" s="235"/>
    </row>
    <row r="77" spans="1:21" s="236" customFormat="1" ht="11.9"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585583</v>
      </c>
      <c r="C78" s="239">
        <v>585583</v>
      </c>
      <c r="D78" s="239"/>
      <c r="E78" s="239">
        <f>+C78</f>
        <v>585583</v>
      </c>
      <c r="F78" s="239"/>
      <c r="G78" s="239"/>
      <c r="H78" s="239"/>
      <c r="I78" s="239"/>
      <c r="J78" s="239"/>
      <c r="K78" s="239"/>
      <c r="L78" s="239"/>
      <c r="M78" s="239"/>
      <c r="N78" s="239"/>
      <c r="O78" s="239"/>
      <c r="P78" s="239"/>
      <c r="Q78" s="239"/>
      <c r="R78" s="239">
        <f>SUM(E78:Q78)</f>
        <v>585583</v>
      </c>
      <c r="S78" s="239">
        <f>+R78</f>
        <v>585583</v>
      </c>
      <c r="T78" s="239"/>
      <c r="U78" s="235"/>
    </row>
    <row r="79" spans="1:21" s="236" customFormat="1">
      <c r="A79" s="237" t="s">
        <v>538</v>
      </c>
      <c r="B79" s="238">
        <f>SUM(C79+D79)</f>
        <v>100000</v>
      </c>
      <c r="C79" s="239">
        <v>100000</v>
      </c>
      <c r="D79" s="239"/>
      <c r="E79" s="239">
        <f>+C79</f>
        <v>100000</v>
      </c>
      <c r="F79" s="239"/>
      <c r="G79" s="239"/>
      <c r="H79" s="239"/>
      <c r="I79" s="239"/>
      <c r="J79" s="239"/>
      <c r="K79" s="239"/>
      <c r="L79" s="239"/>
      <c r="M79" s="239"/>
      <c r="N79" s="239"/>
      <c r="O79" s="239"/>
      <c r="P79" s="239"/>
      <c r="Q79" s="239"/>
      <c r="R79" s="239">
        <f>SUM(E79:Q79)</f>
        <v>100000</v>
      </c>
      <c r="S79" s="239">
        <f>+R79</f>
        <v>100000</v>
      </c>
      <c r="T79" s="239"/>
      <c r="U79" s="235"/>
    </row>
    <row r="80" spans="1:21" s="236" customFormat="1">
      <c r="A80" s="241" t="s">
        <v>1733</v>
      </c>
      <c r="B80" s="238">
        <f>SUM(C80:D80)</f>
        <v>685583</v>
      </c>
      <c r="C80" s="663">
        <f>SUM(C78:C79)</f>
        <v>685583</v>
      </c>
      <c r="D80" s="663">
        <f t="shared" ref="D80:R80" si="25">SUM(D78:D79)</f>
        <v>0</v>
      </c>
      <c r="E80" s="663">
        <f t="shared" si="25"/>
        <v>685583</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685583</v>
      </c>
      <c r="S80" s="663">
        <f>SUM(S78:S79)</f>
        <v>685583</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2098</v>
      </c>
      <c r="B82" s="238">
        <f>SUM(C82+D82)</f>
        <v>85627</v>
      </c>
      <c r="C82" s="239">
        <v>85627</v>
      </c>
      <c r="D82" s="239"/>
      <c r="E82" s="239">
        <f>+C82</f>
        <v>85627</v>
      </c>
      <c r="F82" s="239"/>
      <c r="G82" s="239"/>
      <c r="H82" s="239"/>
      <c r="I82" s="239"/>
      <c r="J82" s="239"/>
      <c r="K82" s="239"/>
      <c r="L82" s="239"/>
      <c r="M82" s="239"/>
      <c r="N82" s="239"/>
      <c r="O82" s="239"/>
      <c r="P82" s="239"/>
      <c r="Q82" s="239"/>
      <c r="R82" s="239">
        <f>SUM(E82:Q82)</f>
        <v>85627</v>
      </c>
      <c r="S82" s="240"/>
      <c r="T82" s="240"/>
      <c r="U82" s="235"/>
    </row>
    <row r="83" spans="1:21" s="236" customFormat="1">
      <c r="A83" s="237" t="s">
        <v>516</v>
      </c>
      <c r="B83" s="238">
        <f t="shared" ref="B83:B93" si="26">SUM(C83+D83)</f>
        <v>60000</v>
      </c>
      <c r="C83" s="239">
        <v>60000</v>
      </c>
      <c r="D83" s="239"/>
      <c r="E83" s="239">
        <f t="shared" ref="E83:E93" si="27">+C83</f>
        <v>60000</v>
      </c>
      <c r="F83" s="239"/>
      <c r="G83" s="239"/>
      <c r="H83" s="239"/>
      <c r="I83" s="239"/>
      <c r="J83" s="239"/>
      <c r="K83" s="239"/>
      <c r="L83" s="239"/>
      <c r="M83" s="239"/>
      <c r="N83" s="239"/>
      <c r="O83" s="239"/>
      <c r="P83" s="239"/>
      <c r="Q83" s="239"/>
      <c r="R83" s="239">
        <f t="shared" ref="R83:R93" si="28">SUM(E83:Q83)</f>
        <v>60000</v>
      </c>
      <c r="S83" s="239">
        <f>+R83</f>
        <v>60000</v>
      </c>
      <c r="T83" s="239"/>
      <c r="U83" s="235"/>
    </row>
    <row r="84" spans="1:21" s="236" customFormat="1">
      <c r="A84" s="237" t="s">
        <v>517</v>
      </c>
      <c r="B84" s="238">
        <f t="shared" si="26"/>
        <v>0</v>
      </c>
      <c r="C84" s="239"/>
      <c r="D84" s="239"/>
      <c r="E84" s="239">
        <f t="shared" si="27"/>
        <v>0</v>
      </c>
      <c r="F84" s="239"/>
      <c r="G84" s="239"/>
      <c r="H84" s="239"/>
      <c r="I84" s="239"/>
      <c r="J84" s="239"/>
      <c r="K84" s="239"/>
      <c r="L84" s="239"/>
      <c r="M84" s="239"/>
      <c r="N84" s="239"/>
      <c r="O84" s="239"/>
      <c r="P84" s="239"/>
      <c r="Q84" s="239"/>
      <c r="R84" s="239">
        <f t="shared" si="28"/>
        <v>0</v>
      </c>
      <c r="S84" s="239">
        <f t="shared" ref="S84:S86" si="29">+R84</f>
        <v>0</v>
      </c>
      <c r="T84" s="239"/>
      <c r="U84" s="235"/>
    </row>
    <row r="85" spans="1:21" s="236" customFormat="1">
      <c r="A85" s="237" t="s">
        <v>518</v>
      </c>
      <c r="B85" s="238">
        <f t="shared" si="26"/>
        <v>23217</v>
      </c>
      <c r="C85" s="239">
        <f>25000-1783</f>
        <v>23217</v>
      </c>
      <c r="D85" s="239"/>
      <c r="E85" s="239">
        <f>+C85</f>
        <v>23217</v>
      </c>
      <c r="F85" s="239"/>
      <c r="G85" s="239"/>
      <c r="H85" s="239"/>
      <c r="I85" s="239"/>
      <c r="J85" s="239"/>
      <c r="K85" s="239"/>
      <c r="L85" s="239"/>
      <c r="M85" s="239"/>
      <c r="N85" s="239"/>
      <c r="O85" s="239"/>
      <c r="P85" s="239"/>
      <c r="Q85" s="239"/>
      <c r="R85" s="239">
        <f t="shared" si="28"/>
        <v>23217</v>
      </c>
      <c r="S85" s="239">
        <f t="shared" si="29"/>
        <v>23217</v>
      </c>
      <c r="T85" s="239"/>
      <c r="U85" s="235"/>
    </row>
    <row r="86" spans="1:21" s="236" customFormat="1">
      <c r="A86" s="237" t="s">
        <v>519</v>
      </c>
      <c r="B86" s="238">
        <f t="shared" si="26"/>
        <v>0</v>
      </c>
      <c r="C86" s="239"/>
      <c r="D86" s="239"/>
      <c r="E86" s="239">
        <f t="shared" si="27"/>
        <v>0</v>
      </c>
      <c r="F86" s="239"/>
      <c r="G86" s="239"/>
      <c r="H86" s="239"/>
      <c r="I86" s="239"/>
      <c r="J86" s="239"/>
      <c r="K86" s="239"/>
      <c r="L86" s="239"/>
      <c r="M86" s="239"/>
      <c r="N86" s="239"/>
      <c r="O86" s="239"/>
      <c r="P86" s="239"/>
      <c r="Q86" s="239"/>
      <c r="R86" s="239">
        <f t="shared" si="28"/>
        <v>0</v>
      </c>
      <c r="S86" s="239">
        <f t="shared" si="29"/>
        <v>0</v>
      </c>
      <c r="T86" s="239"/>
      <c r="U86" s="235"/>
    </row>
    <row r="87" spans="1:21" s="236" customFormat="1">
      <c r="A87" s="237" t="s">
        <v>520</v>
      </c>
      <c r="B87" s="238">
        <f t="shared" si="26"/>
        <v>10000</v>
      </c>
      <c r="C87" s="239">
        <v>10000</v>
      </c>
      <c r="D87" s="239"/>
      <c r="E87" s="239">
        <f t="shared" si="27"/>
        <v>10000</v>
      </c>
      <c r="F87" s="239"/>
      <c r="G87" s="239"/>
      <c r="H87" s="239"/>
      <c r="I87" s="239"/>
      <c r="J87" s="239"/>
      <c r="K87" s="239"/>
      <c r="L87" s="239"/>
      <c r="M87" s="239"/>
      <c r="N87" s="239"/>
      <c r="O87" s="239"/>
      <c r="P87" s="239"/>
      <c r="Q87" s="239"/>
      <c r="R87" s="239">
        <f t="shared" si="28"/>
        <v>10000</v>
      </c>
      <c r="S87" s="240"/>
      <c r="T87" s="240"/>
      <c r="U87" s="235"/>
    </row>
    <row r="88" spans="1:21" s="236" customFormat="1">
      <c r="A88" s="237" t="s">
        <v>521</v>
      </c>
      <c r="B88" s="238">
        <f t="shared" si="26"/>
        <v>50000</v>
      </c>
      <c r="C88" s="239">
        <v>50000</v>
      </c>
      <c r="D88" s="239"/>
      <c r="E88" s="239">
        <f t="shared" si="27"/>
        <v>50000</v>
      </c>
      <c r="F88" s="239"/>
      <c r="G88" s="239"/>
      <c r="H88" s="239"/>
      <c r="I88" s="239"/>
      <c r="J88" s="239"/>
      <c r="K88" s="239"/>
      <c r="L88" s="239"/>
      <c r="M88" s="239"/>
      <c r="N88" s="239"/>
      <c r="O88" s="239"/>
      <c r="P88" s="239"/>
      <c r="Q88" s="239"/>
      <c r="R88" s="239">
        <f t="shared" si="28"/>
        <v>50000</v>
      </c>
      <c r="S88" s="239">
        <f t="shared" ref="S88:S94" si="30">+R88</f>
        <v>50000</v>
      </c>
      <c r="T88" s="239"/>
      <c r="U88" s="235"/>
    </row>
    <row r="89" spans="1:21" s="236" customFormat="1">
      <c r="A89" s="237" t="s">
        <v>522</v>
      </c>
      <c r="B89" s="238">
        <f t="shared" si="26"/>
        <v>10000</v>
      </c>
      <c r="C89" s="239">
        <v>10000</v>
      </c>
      <c r="D89" s="239"/>
      <c r="E89" s="239">
        <f t="shared" si="27"/>
        <v>10000</v>
      </c>
      <c r="F89" s="239"/>
      <c r="G89" s="239"/>
      <c r="H89" s="239"/>
      <c r="I89" s="239"/>
      <c r="J89" s="239"/>
      <c r="K89" s="239"/>
      <c r="L89" s="239"/>
      <c r="M89" s="239"/>
      <c r="N89" s="239"/>
      <c r="O89" s="239"/>
      <c r="P89" s="239"/>
      <c r="Q89" s="239"/>
      <c r="R89" s="239">
        <f t="shared" si="28"/>
        <v>10000</v>
      </c>
      <c r="S89" s="239">
        <f t="shared" si="30"/>
        <v>10000</v>
      </c>
      <c r="T89" s="239"/>
      <c r="U89" s="235"/>
    </row>
    <row r="90" spans="1:21" s="236" customFormat="1">
      <c r="A90" s="248" t="s">
        <v>1314</v>
      </c>
      <c r="B90" s="238">
        <f t="shared" si="26"/>
        <v>20670</v>
      </c>
      <c r="C90" s="239">
        <v>20670</v>
      </c>
      <c r="D90" s="239"/>
      <c r="E90" s="239">
        <f t="shared" si="27"/>
        <v>20670</v>
      </c>
      <c r="F90" s="239"/>
      <c r="G90" s="239"/>
      <c r="H90" s="239"/>
      <c r="I90" s="239"/>
      <c r="J90" s="239"/>
      <c r="K90" s="239"/>
      <c r="L90" s="239"/>
      <c r="M90" s="239"/>
      <c r="N90" s="239"/>
      <c r="O90" s="239"/>
      <c r="P90" s="239"/>
      <c r="Q90" s="239"/>
      <c r="R90" s="239">
        <f t="shared" si="28"/>
        <v>20670</v>
      </c>
      <c r="S90" s="239">
        <f t="shared" si="30"/>
        <v>20670</v>
      </c>
      <c r="T90" s="239"/>
      <c r="U90" s="235"/>
    </row>
    <row r="91" spans="1:21" s="236" customFormat="1">
      <c r="A91" s="248" t="s">
        <v>1731</v>
      </c>
      <c r="B91" s="238">
        <f t="shared" si="26"/>
        <v>10000</v>
      </c>
      <c r="C91" s="239">
        <v>10000</v>
      </c>
      <c r="D91" s="239"/>
      <c r="E91" s="239">
        <f t="shared" si="27"/>
        <v>10000</v>
      </c>
      <c r="F91" s="239"/>
      <c r="G91" s="239"/>
      <c r="H91" s="239"/>
      <c r="I91" s="239"/>
      <c r="J91" s="239"/>
      <c r="K91" s="239"/>
      <c r="L91" s="239"/>
      <c r="M91" s="239"/>
      <c r="N91" s="239"/>
      <c r="O91" s="239"/>
      <c r="P91" s="239"/>
      <c r="Q91" s="239"/>
      <c r="R91" s="239">
        <f t="shared" si="28"/>
        <v>10000</v>
      </c>
      <c r="S91" s="239">
        <f t="shared" si="30"/>
        <v>10000</v>
      </c>
      <c r="T91" s="239"/>
      <c r="U91" s="235"/>
    </row>
    <row r="92" spans="1:21" s="236" customFormat="1">
      <c r="A92" s="244" t="s">
        <v>2481</v>
      </c>
      <c r="B92" s="238">
        <f t="shared" si="26"/>
        <v>10000</v>
      </c>
      <c r="C92" s="239">
        <v>10000</v>
      </c>
      <c r="D92" s="239"/>
      <c r="E92" s="239">
        <f t="shared" si="27"/>
        <v>10000</v>
      </c>
      <c r="F92" s="239"/>
      <c r="G92" s="239"/>
      <c r="H92" s="239"/>
      <c r="I92" s="239"/>
      <c r="J92" s="239"/>
      <c r="K92" s="239"/>
      <c r="L92" s="239"/>
      <c r="M92" s="239"/>
      <c r="N92" s="239"/>
      <c r="O92" s="239"/>
      <c r="P92" s="239"/>
      <c r="Q92" s="239"/>
      <c r="R92" s="239">
        <f t="shared" si="28"/>
        <v>10000</v>
      </c>
      <c r="S92" s="239">
        <f t="shared" si="30"/>
        <v>10000</v>
      </c>
      <c r="T92" s="239"/>
      <c r="U92" s="235"/>
    </row>
    <row r="93" spans="1:21" s="236" customFormat="1">
      <c r="A93" s="244" t="s">
        <v>2480</v>
      </c>
      <c r="B93" s="238">
        <f t="shared" si="26"/>
        <v>60000</v>
      </c>
      <c r="C93" s="239">
        <v>60000</v>
      </c>
      <c r="D93" s="239"/>
      <c r="E93" s="239">
        <f t="shared" si="27"/>
        <v>60000</v>
      </c>
      <c r="F93" s="239"/>
      <c r="G93" s="239"/>
      <c r="H93" s="239"/>
      <c r="I93" s="239"/>
      <c r="J93" s="239"/>
      <c r="K93" s="239"/>
      <c r="L93" s="239"/>
      <c r="M93" s="239"/>
      <c r="N93" s="239"/>
      <c r="O93" s="239"/>
      <c r="P93" s="239"/>
      <c r="Q93" s="239"/>
      <c r="R93" s="239">
        <f t="shared" si="28"/>
        <v>60000</v>
      </c>
      <c r="S93" s="239">
        <f t="shared" si="30"/>
        <v>60000</v>
      </c>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f t="shared" si="30"/>
        <v>0</v>
      </c>
      <c r="T94" s="239"/>
      <c r="U94" s="235"/>
    </row>
    <row r="95" spans="1:21" s="236" customFormat="1">
      <c r="A95" s="241" t="s">
        <v>523</v>
      </c>
      <c r="B95" s="238">
        <f>SUM(C95:D95)</f>
        <v>339514</v>
      </c>
      <c r="C95" s="238">
        <f t="shared" ref="C95:R95" si="31">SUM(C82:C94)</f>
        <v>339514</v>
      </c>
      <c r="D95" s="238">
        <f t="shared" si="31"/>
        <v>0</v>
      </c>
      <c r="E95" s="238">
        <f t="shared" si="31"/>
        <v>339514</v>
      </c>
      <c r="F95" s="238">
        <f t="shared" si="31"/>
        <v>0</v>
      </c>
      <c r="G95" s="238">
        <f t="shared" si="31"/>
        <v>0</v>
      </c>
      <c r="H95" s="238">
        <f t="shared" si="31"/>
        <v>0</v>
      </c>
      <c r="I95" s="238">
        <f t="shared" si="31"/>
        <v>0</v>
      </c>
      <c r="J95" s="238">
        <f t="shared" si="31"/>
        <v>0</v>
      </c>
      <c r="K95" s="238">
        <f t="shared" si="31"/>
        <v>0</v>
      </c>
      <c r="L95" s="238">
        <f t="shared" si="31"/>
        <v>0</v>
      </c>
      <c r="M95" s="238">
        <f t="shared" si="31"/>
        <v>0</v>
      </c>
      <c r="N95" s="238">
        <f t="shared" si="31"/>
        <v>0</v>
      </c>
      <c r="O95" s="238">
        <f t="shared" si="31"/>
        <v>0</v>
      </c>
      <c r="P95" s="238">
        <f t="shared" si="31"/>
        <v>0</v>
      </c>
      <c r="Q95" s="238">
        <f t="shared" si="31"/>
        <v>0</v>
      </c>
      <c r="R95" s="238">
        <f t="shared" si="31"/>
        <v>339514</v>
      </c>
      <c r="S95" s="242">
        <f>SUM(S83:S86,S88:S94)</f>
        <v>243887</v>
      </c>
      <c r="T95" s="238">
        <f>SUM(T83:T86,T88:T94)</f>
        <v>0</v>
      </c>
      <c r="U95" s="235"/>
    </row>
    <row r="96" spans="1:21" s="236" customFormat="1">
      <c r="A96" s="241" t="s">
        <v>524</v>
      </c>
      <c r="B96" s="238">
        <f>SUM(C96:D96)</f>
        <v>16609860</v>
      </c>
      <c r="C96" s="238">
        <f t="shared" ref="C96:R96" si="32">SUM(C62+C69+C76+C80+C95)</f>
        <v>16609860</v>
      </c>
      <c r="D96" s="238">
        <f t="shared" si="32"/>
        <v>0</v>
      </c>
      <c r="E96" s="238">
        <f t="shared" si="32"/>
        <v>8261655</v>
      </c>
      <c r="F96" s="238">
        <f t="shared" si="32"/>
        <v>3500000</v>
      </c>
      <c r="G96" s="238">
        <f t="shared" si="32"/>
        <v>3272350</v>
      </c>
      <c r="H96" s="238">
        <f t="shared" si="32"/>
        <v>75855</v>
      </c>
      <c r="I96" s="238">
        <f t="shared" si="32"/>
        <v>1500000</v>
      </c>
      <c r="J96" s="238">
        <f t="shared" si="32"/>
        <v>0</v>
      </c>
      <c r="K96" s="238">
        <f t="shared" si="32"/>
        <v>0</v>
      </c>
      <c r="L96" s="238">
        <f t="shared" si="32"/>
        <v>0</v>
      </c>
      <c r="M96" s="238">
        <f t="shared" si="32"/>
        <v>0</v>
      </c>
      <c r="N96" s="238">
        <f t="shared" si="32"/>
        <v>0</v>
      </c>
      <c r="O96" s="238">
        <f t="shared" si="32"/>
        <v>0</v>
      </c>
      <c r="P96" s="238">
        <f t="shared" si="32"/>
        <v>0</v>
      </c>
      <c r="Q96" s="238">
        <f t="shared" si="32"/>
        <v>0</v>
      </c>
      <c r="R96" s="238">
        <f t="shared" si="32"/>
        <v>16609860</v>
      </c>
      <c r="S96" s="242">
        <f>SUM(+S62+S69+S80+S95)</f>
        <v>9520713</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1427620</v>
      </c>
      <c r="C98" s="239">
        <v>1427620</v>
      </c>
      <c r="D98" s="239"/>
      <c r="E98" s="239">
        <f>+C98-I98</f>
        <v>1427620</v>
      </c>
      <c r="F98" s="239"/>
      <c r="G98" s="239"/>
      <c r="H98" s="239"/>
      <c r="I98" s="239"/>
      <c r="J98" s="239"/>
      <c r="K98" s="239"/>
      <c r="L98" s="239"/>
      <c r="M98" s="239"/>
      <c r="N98" s="239"/>
      <c r="O98" s="239"/>
      <c r="P98" s="239"/>
      <c r="Q98" s="239"/>
      <c r="R98" s="239">
        <f>SUM(E98:Q98)</f>
        <v>1427620</v>
      </c>
      <c r="S98" s="239">
        <f>+R98</f>
        <v>1427620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1427620</v>
      </c>
      <c r="C103" s="238">
        <f t="shared" ref="C103:T103" si="33">SUM(C98:C102)</f>
        <v>1427620</v>
      </c>
      <c r="D103" s="238">
        <f t="shared" si="33"/>
        <v>0</v>
      </c>
      <c r="E103" s="238">
        <f t="shared" si="33"/>
        <v>1427620</v>
      </c>
      <c r="F103" s="238">
        <f t="shared" si="33"/>
        <v>0</v>
      </c>
      <c r="G103" s="238">
        <f t="shared" si="33"/>
        <v>0</v>
      </c>
      <c r="H103" s="238">
        <f t="shared" si="33"/>
        <v>0</v>
      </c>
      <c r="I103" s="238">
        <f t="shared" si="33"/>
        <v>0</v>
      </c>
      <c r="J103" s="238">
        <f t="shared" si="33"/>
        <v>0</v>
      </c>
      <c r="K103" s="238">
        <f t="shared" si="33"/>
        <v>0</v>
      </c>
      <c r="L103" s="238">
        <f t="shared" si="33"/>
        <v>0</v>
      </c>
      <c r="M103" s="238">
        <f t="shared" si="33"/>
        <v>0</v>
      </c>
      <c r="N103" s="238">
        <f t="shared" si="33"/>
        <v>0</v>
      </c>
      <c r="O103" s="238">
        <f t="shared" si="33"/>
        <v>0</v>
      </c>
      <c r="P103" s="238">
        <f t="shared" si="33"/>
        <v>0</v>
      </c>
      <c r="Q103" s="238">
        <f t="shared" si="33"/>
        <v>0</v>
      </c>
      <c r="R103" s="238">
        <f t="shared" si="33"/>
        <v>1427620</v>
      </c>
      <c r="S103" s="242">
        <f t="shared" si="33"/>
        <v>1427620</v>
      </c>
      <c r="T103" s="242">
        <f t="shared" si="33"/>
        <v>0</v>
      </c>
      <c r="U103" s="235"/>
    </row>
    <row r="104" spans="1:21" s="236" customFormat="1">
      <c r="A104" s="241" t="s">
        <v>1155</v>
      </c>
      <c r="B104" s="242">
        <f>SUM(C104:D104)</f>
        <v>18037480</v>
      </c>
      <c r="C104" s="242">
        <f t="shared" ref="C104:R104" si="34">SUM(C96+C103)</f>
        <v>18037480</v>
      </c>
      <c r="D104" s="242">
        <f t="shared" si="34"/>
        <v>0</v>
      </c>
      <c r="E104" s="242">
        <f t="shared" si="34"/>
        <v>9689275</v>
      </c>
      <c r="F104" s="242">
        <f t="shared" si="34"/>
        <v>3500000</v>
      </c>
      <c r="G104" s="242">
        <f t="shared" si="34"/>
        <v>3272350</v>
      </c>
      <c r="H104" s="242">
        <f t="shared" si="34"/>
        <v>75855</v>
      </c>
      <c r="I104" s="242">
        <f t="shared" si="34"/>
        <v>1500000</v>
      </c>
      <c r="J104" s="242">
        <f t="shared" si="34"/>
        <v>0</v>
      </c>
      <c r="K104" s="242">
        <f t="shared" si="34"/>
        <v>0</v>
      </c>
      <c r="L104" s="242">
        <f t="shared" si="34"/>
        <v>0</v>
      </c>
      <c r="M104" s="242">
        <f t="shared" si="34"/>
        <v>0</v>
      </c>
      <c r="N104" s="242">
        <f t="shared" si="34"/>
        <v>0</v>
      </c>
      <c r="O104" s="242">
        <f t="shared" si="34"/>
        <v>0</v>
      </c>
      <c r="P104" s="242">
        <f t="shared" si="34"/>
        <v>0</v>
      </c>
      <c r="Q104" s="242">
        <f t="shared" si="34"/>
        <v>0</v>
      </c>
      <c r="R104" s="238">
        <f t="shared" si="34"/>
        <v>18037480</v>
      </c>
      <c r="S104" s="242">
        <f>S96+S103</f>
        <v>10948333</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10948333</v>
      </c>
      <c r="T106" s="242">
        <f>T104+T105</f>
        <v>0</v>
      </c>
      <c r="U106" s="254"/>
    </row>
    <row r="107" spans="1:21" s="256" customFormat="1">
      <c r="A107" s="255" t="s">
        <v>1106</v>
      </c>
      <c r="B107" s="250"/>
      <c r="C107" s="250"/>
      <c r="D107" s="250"/>
      <c r="E107" s="238">
        <f>Application!AO642</f>
        <v>9689275</v>
      </c>
      <c r="F107" s="238">
        <f>Application!AO629</f>
        <v>3500000</v>
      </c>
      <c r="G107" s="238">
        <f>Application!AO630</f>
        <v>3272350</v>
      </c>
      <c r="H107" s="238">
        <f>Application!AO631</f>
        <v>75855</v>
      </c>
      <c r="I107" s="238">
        <f>Application!AO632</f>
        <v>1500000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4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4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4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3.7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4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3.7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3.7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3.75">
      <c r="A120" s="295"/>
      <c r="U120" s="254"/>
    </row>
    <row r="121" spans="1:21" s="549" customFormat="1" ht="15.45">
      <c r="A121" s="548" t="s">
        <v>1304</v>
      </c>
      <c r="U121" s="550"/>
    </row>
    <row r="122" spans="1:21" s="251" customFormat="1">
      <c r="A122" s="252" t="s">
        <v>1289</v>
      </c>
      <c r="D122" s="1598" t="s">
        <v>1290</v>
      </c>
      <c r="E122" s="1598"/>
      <c r="F122" s="1598"/>
      <c r="U122" s="254"/>
    </row>
    <row r="123" spans="1:21" s="251" customFormat="1">
      <c r="A123" s="251" t="s">
        <v>1291</v>
      </c>
      <c r="B123" s="543"/>
      <c r="D123" s="1600" t="s">
        <v>1315</v>
      </c>
      <c r="E123" s="1065"/>
      <c r="F123" s="1065"/>
      <c r="G123" s="1065"/>
      <c r="H123" s="1065"/>
      <c r="I123" s="1065"/>
      <c r="J123" s="1065"/>
      <c r="K123" s="1065"/>
      <c r="L123" s="1065"/>
      <c r="M123" s="1065"/>
      <c r="N123" s="1065"/>
      <c r="O123" s="1065"/>
      <c r="P123" s="1065"/>
      <c r="Q123" s="1065"/>
      <c r="R123" s="1065"/>
      <c r="S123" s="1065"/>
      <c r="U123" s="254"/>
    </row>
    <row r="124" spans="1:21" s="251" customFormat="1" ht="12.45">
      <c r="A124" s="207" t="s">
        <v>1292</v>
      </c>
      <c r="B124" s="543"/>
      <c r="C124" s="207"/>
      <c r="D124" s="1065"/>
      <c r="E124" s="1065"/>
      <c r="F124" s="1065"/>
      <c r="G124" s="1065"/>
      <c r="H124" s="1065"/>
      <c r="I124" s="1065"/>
      <c r="J124" s="1065"/>
      <c r="K124" s="1065"/>
      <c r="L124" s="1065"/>
      <c r="M124" s="1065"/>
      <c r="N124" s="1065"/>
      <c r="O124" s="1065"/>
      <c r="P124" s="1065"/>
      <c r="Q124" s="1065"/>
      <c r="R124" s="1065"/>
      <c r="S124" s="1065"/>
      <c r="U124" s="254"/>
    </row>
    <row r="125" spans="1:21" s="251" customFormat="1" ht="12.45">
      <c r="A125" s="207" t="s">
        <v>1293</v>
      </c>
      <c r="B125" s="543"/>
      <c r="C125" s="207"/>
      <c r="D125" s="1065"/>
      <c r="E125" s="1065"/>
      <c r="F125" s="1065"/>
      <c r="G125" s="1065"/>
      <c r="H125" s="1065"/>
      <c r="I125" s="1065"/>
      <c r="J125" s="1065"/>
      <c r="K125" s="1065"/>
      <c r="L125" s="1065"/>
      <c r="M125" s="1065"/>
      <c r="N125" s="1065"/>
      <c r="O125" s="1065"/>
      <c r="P125" s="1065"/>
      <c r="Q125" s="1065"/>
      <c r="R125" s="1065"/>
      <c r="S125" s="1065"/>
      <c r="U125" s="254"/>
    </row>
    <row r="126" spans="1:21" s="251" customFormat="1" ht="12.4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4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45">
      <c r="A128" s="207" t="s">
        <v>1296</v>
      </c>
      <c r="B128" s="543"/>
      <c r="C128" s="207"/>
      <c r="D128" s="1595"/>
      <c r="E128" s="1595"/>
      <c r="F128" s="1595"/>
      <c r="G128" s="1595"/>
      <c r="H128" s="1595"/>
      <c r="I128" s="207"/>
      <c r="J128" s="1596"/>
      <c r="K128" s="1596"/>
      <c r="L128" s="207"/>
      <c r="M128" s="207"/>
      <c r="N128" s="207"/>
      <c r="O128" s="207"/>
      <c r="P128" s="207"/>
      <c r="Q128" s="207"/>
      <c r="R128" s="207"/>
      <c r="S128" s="207"/>
      <c r="U128" s="254"/>
    </row>
    <row r="129" spans="1:21" s="251" customFormat="1" ht="12.45">
      <c r="A129" s="207" t="s">
        <v>499</v>
      </c>
      <c r="B129" s="543"/>
      <c r="C129" s="207"/>
      <c r="D129" s="1597" t="s">
        <v>1297</v>
      </c>
      <c r="E129" s="1597"/>
      <c r="F129" s="1597"/>
      <c r="G129" s="1597"/>
      <c r="H129" s="1597"/>
      <c r="I129" s="207"/>
      <c r="J129" s="207" t="s">
        <v>1298</v>
      </c>
      <c r="K129" s="207"/>
      <c r="L129" s="207"/>
      <c r="M129" s="207"/>
      <c r="N129" s="207"/>
      <c r="O129" s="207"/>
      <c r="P129" s="207"/>
      <c r="Q129" s="207"/>
      <c r="R129" s="207"/>
      <c r="S129" s="207"/>
      <c r="U129" s="254"/>
    </row>
    <row r="130" spans="1:21" s="251" customFormat="1" ht="12.4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45">
      <c r="A131" s="104" t="s">
        <v>1299</v>
      </c>
      <c r="B131" s="544">
        <f>SUM(B123:B129)</f>
        <v>0</v>
      </c>
      <c r="C131" s="207"/>
      <c r="D131" s="1181"/>
      <c r="E131" s="1181"/>
      <c r="F131" s="1181"/>
      <c r="G131" s="1181"/>
      <c r="H131" s="1181"/>
      <c r="I131" s="207"/>
      <c r="J131" s="1181"/>
      <c r="K131" s="1181"/>
      <c r="L131" s="1181"/>
      <c r="M131" s="1181"/>
      <c r="N131" s="207"/>
      <c r="O131" s="207"/>
      <c r="P131" s="207"/>
      <c r="Q131" s="207"/>
      <c r="R131" s="207"/>
      <c r="S131" s="207"/>
      <c r="U131" s="254"/>
    </row>
    <row r="132" spans="1:21" s="251" customFormat="1" ht="12.45">
      <c r="A132" s="545"/>
      <c r="B132" s="207"/>
      <c r="C132" s="207"/>
      <c r="D132" s="1063" t="s">
        <v>1300</v>
      </c>
      <c r="E132" s="1063"/>
      <c r="F132" s="1063"/>
      <c r="G132" s="1063"/>
      <c r="H132" s="1063"/>
      <c r="I132" s="207"/>
      <c r="J132" s="1063" t="s">
        <v>1301</v>
      </c>
      <c r="K132" s="1063"/>
      <c r="L132" s="1063"/>
      <c r="M132" s="1063"/>
      <c r="N132" s="207"/>
      <c r="O132" s="207"/>
      <c r="P132" s="207"/>
      <c r="Q132" s="207"/>
      <c r="R132" s="207"/>
      <c r="S132" s="207"/>
      <c r="U132" s="254"/>
    </row>
    <row r="133" spans="1:21" s="251" customFormat="1" ht="12.4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4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4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4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595"/>
      <c r="C138" s="1595"/>
      <c r="D138" s="349"/>
      <c r="E138" s="1596"/>
      <c r="F138" s="1596"/>
      <c r="G138" s="207"/>
      <c r="H138" s="207"/>
      <c r="I138" s="207"/>
      <c r="J138" s="207"/>
      <c r="K138" s="207"/>
      <c r="L138" s="207"/>
      <c r="M138" s="207"/>
      <c r="N138" s="207"/>
      <c r="O138" s="207"/>
      <c r="P138" s="207"/>
      <c r="Q138" s="207"/>
      <c r="R138" s="207"/>
      <c r="S138" s="207"/>
    </row>
    <row r="139" spans="1:21" ht="12" customHeight="1">
      <c r="A139" s="1599" t="s">
        <v>1303</v>
      </c>
      <c r="B139" s="1599"/>
      <c r="C139" s="1599"/>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zoomScale="70" workbookViewId="0">
      <selection activeCell="AB56" activeCellId="1" sqref="AB77:AF77 AB56:AF56"/>
    </sheetView>
  </sheetViews>
  <sheetFormatPr defaultColWidth="0" defaultRowHeight="12.9" customHeight="1"/>
  <cols>
    <col min="1" max="1" width="1.4609375" customWidth="1"/>
    <col min="2" max="2" width="0.84375" customWidth="1"/>
    <col min="3" max="18" width="2.4609375" customWidth="1"/>
    <col min="19" max="19" width="4" customWidth="1"/>
    <col min="20" max="24" width="2.69140625" customWidth="1"/>
    <col min="25" max="28" width="2.4609375" customWidth="1"/>
    <col min="29" max="29" width="3.4609375" customWidth="1"/>
    <col min="30" max="34" width="2.69140625" customWidth="1"/>
    <col min="35" max="39" width="2.4609375" customWidth="1"/>
    <col min="40" max="40" width="1.4609375" customWidth="1"/>
    <col min="41" max="43" width="2.4609375" customWidth="1"/>
    <col min="44" max="44" width="12.3046875" hidden="1" customWidth="1"/>
    <col min="45" max="16384" width="2.4609375" hidden="1"/>
  </cols>
  <sheetData>
    <row r="1" spans="1:40" ht="12.9" customHeight="1">
      <c r="A1" s="1621" t="s">
        <v>1737</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1818</v>
      </c>
    </row>
    <row r="7" spans="1:40" ht="12.9"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2.9"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18" t="s">
        <v>508</v>
      </c>
      <c r="C11" s="1119"/>
      <c r="D11" s="1119"/>
      <c r="E11" s="1119"/>
      <c r="F11" s="1119"/>
      <c r="G11" s="1119"/>
      <c r="H11" s="1119"/>
      <c r="I11" s="1119"/>
      <c r="J11" s="1119"/>
      <c r="K11" s="1119"/>
      <c r="L11" s="1119"/>
      <c r="M11" s="1119"/>
      <c r="N11" s="1119"/>
      <c r="O11" s="1119"/>
      <c r="P11" s="1119"/>
      <c r="Q11" s="1119"/>
      <c r="R11" s="1119"/>
      <c r="S11" s="1121"/>
      <c r="T11" s="1639">
        <f>IF('Sources and Basis Breakdown'!F105=0,'Sources and Basis Breakdown'!E105,'Sources and Basis Breakdown'!F105)</f>
        <v>10948333</v>
      </c>
      <c r="U11" s="1626"/>
      <c r="V11" s="1626"/>
      <c r="W11" s="1626"/>
      <c r="X11" s="1626"/>
      <c r="Y11" s="1625">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2.9" customHeight="1">
      <c r="B12" s="1633" t="s">
        <v>447</v>
      </c>
      <c r="C12" s="1013"/>
      <c r="D12" s="1013"/>
      <c r="E12" s="1013"/>
      <c r="F12" s="1013"/>
      <c r="G12" s="1013"/>
      <c r="H12" s="1013"/>
      <c r="I12" s="1013"/>
      <c r="J12" s="1013"/>
      <c r="K12" s="1013"/>
      <c r="L12" s="1013"/>
      <c r="M12" s="1013"/>
      <c r="N12" s="1013"/>
      <c r="O12" s="1013"/>
      <c r="P12" s="1013"/>
      <c r="Q12" s="1013"/>
      <c r="R12" s="1013"/>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35" t="s">
        <v>1705</v>
      </c>
      <c r="D13" s="1636"/>
      <c r="E13" s="1636"/>
      <c r="F13" s="1636"/>
      <c r="G13" s="1636"/>
      <c r="H13" s="1636"/>
      <c r="I13" s="1636"/>
      <c r="J13" s="1636"/>
      <c r="K13" s="1636"/>
      <c r="L13" s="1636"/>
      <c r="M13" s="1636"/>
      <c r="N13" s="1636"/>
      <c r="O13" s="1636"/>
      <c r="P13" s="1636"/>
      <c r="Q13" s="1636"/>
      <c r="R13" s="1636"/>
      <c r="S13" s="1637"/>
      <c r="T13" s="1627"/>
      <c r="U13" s="1624"/>
      <c r="V13" s="1624"/>
      <c r="W13" s="1624"/>
      <c r="X13" s="1624"/>
      <c r="Y13" s="1627"/>
      <c r="Z13" s="1624"/>
      <c r="AA13" s="1624"/>
      <c r="AB13" s="1624"/>
      <c r="AC13" s="1624"/>
      <c r="AD13" s="1624"/>
      <c r="AE13" s="1624"/>
      <c r="AF13" s="1624"/>
      <c r="AG13" s="1624"/>
      <c r="AH13" s="1624"/>
      <c r="AI13" s="1624"/>
      <c r="AJ13" s="1624"/>
      <c r="AK13" s="1624"/>
      <c r="AL13" s="1624"/>
      <c r="AM13" s="1624"/>
    </row>
    <row r="14" spans="1:40" ht="12.9" customHeight="1">
      <c r="B14" s="8"/>
      <c r="C14" s="1636" t="s">
        <v>767</v>
      </c>
      <c r="D14" s="1636"/>
      <c r="E14" s="1636"/>
      <c r="F14" s="1636"/>
      <c r="G14" s="1636"/>
      <c r="H14" s="1636"/>
      <c r="I14" s="1636"/>
      <c r="J14" s="1636"/>
      <c r="K14" s="1636"/>
      <c r="L14" s="1636"/>
      <c r="M14" s="1636"/>
      <c r="N14" s="1636"/>
      <c r="O14" s="1636"/>
      <c r="P14" s="1636"/>
      <c r="Q14" s="1636"/>
      <c r="R14" s="1636"/>
      <c r="S14" s="1637"/>
      <c r="T14" s="1196"/>
      <c r="U14" s="1213"/>
      <c r="V14" s="1213"/>
      <c r="W14" s="1213"/>
      <c r="X14" s="1213"/>
      <c r="Y14" s="1196"/>
      <c r="Z14" s="1213"/>
      <c r="AA14" s="1213"/>
      <c r="AB14" s="1213"/>
      <c r="AC14" s="1213"/>
      <c r="AD14" s="1213"/>
      <c r="AE14" s="1213"/>
      <c r="AF14" s="1213"/>
      <c r="AG14" s="1213"/>
      <c r="AH14" s="1213"/>
      <c r="AI14" s="1213"/>
      <c r="AJ14" s="1213"/>
      <c r="AK14" s="1213"/>
      <c r="AL14" s="1213"/>
      <c r="AM14" s="1213"/>
    </row>
    <row r="15" spans="1:40" ht="12.9" customHeight="1">
      <c r="B15" s="8"/>
      <c r="C15" s="1636" t="s">
        <v>768</v>
      </c>
      <c r="D15" s="1636"/>
      <c r="E15" s="1636"/>
      <c r="F15" s="1636"/>
      <c r="G15" s="1636"/>
      <c r="H15" s="1636"/>
      <c r="I15" s="1636"/>
      <c r="J15" s="1636"/>
      <c r="K15" s="1636"/>
      <c r="L15" s="1636"/>
      <c r="M15" s="1636"/>
      <c r="N15" s="1636"/>
      <c r="O15" s="1636"/>
      <c r="P15" s="1636"/>
      <c r="Q15" s="1636"/>
      <c r="R15" s="1636"/>
      <c r="S15" s="1637"/>
      <c r="T15" s="1196"/>
      <c r="U15" s="1213"/>
      <c r="V15" s="1213"/>
      <c r="W15" s="1213"/>
      <c r="X15" s="1213"/>
      <c r="Y15" s="1196"/>
      <c r="Z15" s="1213"/>
      <c r="AA15" s="1213"/>
      <c r="AB15" s="1213"/>
      <c r="AC15" s="1213"/>
      <c r="AD15" s="1213"/>
      <c r="AE15" s="1213"/>
      <c r="AF15" s="1213"/>
      <c r="AG15" s="1213"/>
      <c r="AH15" s="1213"/>
      <c r="AI15" s="1213"/>
      <c r="AJ15" s="1213"/>
      <c r="AK15" s="1213"/>
      <c r="AL15" s="1213"/>
      <c r="AM15" s="1213"/>
    </row>
    <row r="16" spans="1:40" ht="12.9" customHeight="1">
      <c r="B16" s="8"/>
      <c r="C16" s="1635" t="s">
        <v>1011</v>
      </c>
      <c r="D16" s="1635"/>
      <c r="E16" s="1635"/>
      <c r="F16" s="1635"/>
      <c r="G16" s="1635"/>
      <c r="H16" s="1635"/>
      <c r="I16" s="1635"/>
      <c r="J16" s="1635"/>
      <c r="K16" s="1635"/>
      <c r="L16" s="1635"/>
      <c r="M16" s="1635"/>
      <c r="N16" s="1635"/>
      <c r="O16" s="1635"/>
      <c r="P16" s="1635"/>
      <c r="Q16" s="1635"/>
      <c r="R16" s="1635"/>
      <c r="S16" s="1638"/>
      <c r="T16" s="1196"/>
      <c r="U16" s="1213"/>
      <c r="V16" s="1213"/>
      <c r="W16" s="1213"/>
      <c r="X16" s="1213"/>
      <c r="Y16" s="1196"/>
      <c r="Z16" s="1213"/>
      <c r="AA16" s="1213"/>
      <c r="AB16" s="1213"/>
      <c r="AC16" s="1213"/>
      <c r="AD16" s="1213"/>
      <c r="AE16" s="1213"/>
      <c r="AF16" s="1213"/>
      <c r="AG16" s="1213"/>
      <c r="AH16" s="1213"/>
      <c r="AI16" s="1213"/>
      <c r="AJ16" s="1213"/>
      <c r="AK16" s="1213"/>
      <c r="AL16" s="1213"/>
      <c r="AM16" s="1213"/>
    </row>
    <row r="17" spans="1:39" ht="12.9" customHeight="1">
      <c r="B17" s="8"/>
      <c r="C17" s="1636" t="s">
        <v>769</v>
      </c>
      <c r="D17" s="1636"/>
      <c r="E17" s="1636"/>
      <c r="F17" s="1636"/>
      <c r="G17" s="1636"/>
      <c r="H17" s="1636"/>
      <c r="I17" s="1636"/>
      <c r="J17" s="1636"/>
      <c r="K17" s="1636"/>
      <c r="L17" s="1636"/>
      <c r="M17" s="1636"/>
      <c r="N17" s="1636"/>
      <c r="O17" s="1636"/>
      <c r="P17" s="1636"/>
      <c r="Q17" s="1636"/>
      <c r="R17" s="1636"/>
      <c r="S17" s="1637"/>
      <c r="T17" s="1196"/>
      <c r="U17" s="1213"/>
      <c r="V17" s="1213"/>
      <c r="W17" s="1213"/>
      <c r="X17" s="1213"/>
      <c r="Y17" s="1196"/>
      <c r="Z17" s="1213"/>
      <c r="AA17" s="1213"/>
      <c r="AB17" s="1213"/>
      <c r="AC17" s="1213"/>
      <c r="AD17" s="1213"/>
      <c r="AE17" s="1213"/>
      <c r="AF17" s="1213"/>
      <c r="AG17" s="1213"/>
      <c r="AH17" s="1213"/>
      <c r="AI17" s="1213"/>
      <c r="AJ17" s="1213"/>
      <c r="AK17" s="1213"/>
      <c r="AL17" s="1213"/>
      <c r="AM17" s="1213"/>
    </row>
    <row r="18" spans="1:39" ht="12.9" customHeight="1">
      <c r="B18" s="937"/>
      <c r="C18" s="1631" t="s">
        <v>1216</v>
      </c>
      <c r="D18" s="1631"/>
      <c r="E18" s="1631"/>
      <c r="F18" s="1631"/>
      <c r="G18" s="1631"/>
      <c r="H18" s="1631"/>
      <c r="I18" s="1631"/>
      <c r="J18" s="1631"/>
      <c r="K18" s="1631"/>
      <c r="L18" s="1631"/>
      <c r="M18" s="1631"/>
      <c r="N18" s="1631"/>
      <c r="O18" s="1631"/>
      <c r="P18" s="1631"/>
      <c r="Q18" s="1631"/>
      <c r="R18" s="1631"/>
      <c r="S18" s="1632"/>
      <c r="T18" s="1194"/>
      <c r="U18" s="1195"/>
      <c r="V18" s="1195"/>
      <c r="W18" s="1195"/>
      <c r="X18" s="1196"/>
      <c r="Y18" s="1196"/>
      <c r="Z18" s="1213"/>
      <c r="AA18" s="1213"/>
      <c r="AB18" s="1213"/>
      <c r="AC18" s="1213"/>
      <c r="AD18" s="1213"/>
      <c r="AE18" s="1213"/>
      <c r="AF18" s="1213"/>
      <c r="AG18" s="1213"/>
      <c r="AH18" s="1213"/>
      <c r="AI18" s="1213"/>
      <c r="AJ18" s="1213"/>
      <c r="AK18" s="1213"/>
      <c r="AL18" s="1213"/>
      <c r="AM18" s="1213"/>
    </row>
    <row r="19" spans="1:39" ht="12.9" customHeight="1">
      <c r="B19" s="481"/>
      <c r="C19" s="1631" t="s">
        <v>1216</v>
      </c>
      <c r="D19" s="1631"/>
      <c r="E19" s="1631"/>
      <c r="F19" s="1631"/>
      <c r="G19" s="1631"/>
      <c r="H19" s="1631"/>
      <c r="I19" s="1631"/>
      <c r="J19" s="1631"/>
      <c r="K19" s="1631"/>
      <c r="L19" s="1631"/>
      <c r="M19" s="1631"/>
      <c r="N19" s="1631"/>
      <c r="O19" s="1631"/>
      <c r="P19" s="1631"/>
      <c r="Q19" s="1631"/>
      <c r="R19" s="1631"/>
      <c r="S19" s="1632"/>
      <c r="T19" s="1196"/>
      <c r="U19" s="1213"/>
      <c r="V19" s="1213"/>
      <c r="W19" s="1213"/>
      <c r="X19" s="1213"/>
      <c r="Y19" s="1196"/>
      <c r="Z19" s="1213"/>
      <c r="AA19" s="1213"/>
      <c r="AB19" s="1213"/>
      <c r="AC19" s="1213"/>
      <c r="AD19" s="1213"/>
      <c r="AE19" s="1213"/>
      <c r="AF19" s="1213"/>
      <c r="AG19" s="1213"/>
      <c r="AH19" s="1213"/>
      <c r="AI19" s="1213"/>
      <c r="AJ19" s="1213"/>
      <c r="AK19" s="1213"/>
      <c r="AL19" s="1213"/>
      <c r="AM19" s="1213"/>
    </row>
    <row r="20" spans="1:39" ht="12.9" customHeight="1">
      <c r="B20" s="1118" t="s">
        <v>770</v>
      </c>
      <c r="C20" s="1119"/>
      <c r="D20" s="1119"/>
      <c r="E20" s="1119"/>
      <c r="F20" s="1119"/>
      <c r="G20" s="1119"/>
      <c r="H20" s="1119"/>
      <c r="I20" s="1119"/>
      <c r="J20" s="1119"/>
      <c r="K20" s="1119"/>
      <c r="L20" s="1119"/>
      <c r="M20" s="1119"/>
      <c r="N20" s="1119"/>
      <c r="O20" s="1119"/>
      <c r="P20" s="1119"/>
      <c r="Q20" s="1119"/>
      <c r="R20" s="1119"/>
      <c r="S20" s="1121"/>
      <c r="T20" s="1606">
        <f>SUM(T13:X19)</f>
        <v>0</v>
      </c>
      <c r="U20" s="1248"/>
      <c r="V20" s="1248"/>
      <c r="W20" s="1248"/>
      <c r="X20" s="1248"/>
      <c r="Y20" s="1606">
        <f>SUM(Y13:AC19)</f>
        <v>0</v>
      </c>
      <c r="Z20" s="1248"/>
      <c r="AA20" s="1248"/>
      <c r="AB20" s="1248"/>
      <c r="AC20" s="1248"/>
      <c r="AD20" s="1248">
        <f>SUM(AD13:AH19)</f>
        <v>0</v>
      </c>
      <c r="AE20" s="1248"/>
      <c r="AF20" s="1248"/>
      <c r="AG20" s="1248"/>
      <c r="AH20" s="1248"/>
      <c r="AI20" s="1248">
        <f>SUM(AI13:AM19)</f>
        <v>0</v>
      </c>
      <c r="AJ20" s="1248"/>
      <c r="AK20" s="1248"/>
      <c r="AL20" s="1248"/>
      <c r="AM20" s="1248"/>
    </row>
    <row r="21" spans="1:39" ht="12.9" customHeight="1">
      <c r="B21" s="1118" t="s">
        <v>1704</v>
      </c>
      <c r="C21" s="1119"/>
      <c r="D21" s="1119"/>
      <c r="E21" s="1119"/>
      <c r="F21" s="1119"/>
      <c r="G21" s="1119"/>
      <c r="H21" s="1119"/>
      <c r="I21" s="1119"/>
      <c r="J21" s="1119"/>
      <c r="K21" s="1119"/>
      <c r="L21" s="1119"/>
      <c r="M21" s="1119"/>
      <c r="N21" s="1119"/>
      <c r="O21" s="1119"/>
      <c r="P21" s="1119"/>
      <c r="Q21" s="1119"/>
      <c r="R21" s="1119"/>
      <c r="S21" s="1121"/>
      <c r="T21" s="1196"/>
      <c r="U21" s="1213"/>
      <c r="V21" s="1213"/>
      <c r="W21" s="1213"/>
      <c r="X21" s="1213"/>
      <c r="Y21" s="1196"/>
      <c r="Z21" s="1213"/>
      <c r="AA21" s="1213"/>
      <c r="AB21" s="1213"/>
      <c r="AC21" s="1213"/>
      <c r="AD21" s="1196"/>
      <c r="AE21" s="1213"/>
      <c r="AF21" s="1213"/>
      <c r="AG21" s="1213"/>
      <c r="AH21" s="1213"/>
      <c r="AI21" s="1196"/>
      <c r="AJ21" s="1213"/>
      <c r="AK21" s="1213"/>
      <c r="AL21" s="1213"/>
      <c r="AM21" s="1213"/>
    </row>
    <row r="22" spans="1:39" ht="12.9" customHeight="1">
      <c r="B22" s="1118" t="s">
        <v>771</v>
      </c>
      <c r="C22" s="1119"/>
      <c r="D22" s="1119"/>
      <c r="E22" s="1119"/>
      <c r="F22" s="1119"/>
      <c r="G22" s="1119"/>
      <c r="H22" s="1119"/>
      <c r="I22" s="1119"/>
      <c r="J22" s="1119"/>
      <c r="K22" s="1119"/>
      <c r="L22" s="1119"/>
      <c r="M22" s="1119"/>
      <c r="N22" s="1119"/>
      <c r="O22" s="1119"/>
      <c r="P22" s="1119"/>
      <c r="Q22" s="1119"/>
      <c r="R22" s="1119"/>
      <c r="S22" s="1121"/>
      <c r="T22" s="1640">
        <f>(ABS(T20)+ABS(T21))*-1</f>
        <v>0</v>
      </c>
      <c r="U22" s="1641"/>
      <c r="V22" s="1641"/>
      <c r="W22" s="1641"/>
      <c r="X22" s="1641"/>
      <c r="Y22" s="1640">
        <f>(ABS(Y20)+ABS(Y21))*-1</f>
        <v>0</v>
      </c>
      <c r="Z22" s="1641"/>
      <c r="AA22" s="1641"/>
      <c r="AB22" s="1641"/>
      <c r="AC22" s="1641"/>
      <c r="AD22" s="1640">
        <f>(ABS(AD20)+ABS(AD21))*-1</f>
        <v>0</v>
      </c>
      <c r="AE22" s="1641"/>
      <c r="AF22" s="1641"/>
      <c r="AG22" s="1641"/>
      <c r="AH22" s="1641"/>
      <c r="AI22" s="1640">
        <f>(ABS(AI20)+ABS(AI21))*-1</f>
        <v>0</v>
      </c>
      <c r="AJ22" s="1641"/>
      <c r="AK22" s="1641"/>
      <c r="AL22" s="1641"/>
      <c r="AM22" s="1641"/>
    </row>
    <row r="23" spans="1:39" ht="12.9" customHeight="1">
      <c r="B23" s="1118" t="s">
        <v>1893</v>
      </c>
      <c r="C23" s="1119"/>
      <c r="D23" s="1119"/>
      <c r="E23" s="1119"/>
      <c r="F23" s="1119"/>
      <c r="G23" s="1119"/>
      <c r="H23" s="1119"/>
      <c r="I23" s="1119"/>
      <c r="J23" s="1119"/>
      <c r="K23" s="1119"/>
      <c r="L23" s="1119"/>
      <c r="M23" s="1119"/>
      <c r="N23" s="1119"/>
      <c r="O23" s="1119"/>
      <c r="P23" s="1119"/>
      <c r="Q23" s="1119"/>
      <c r="R23" s="1119"/>
      <c r="S23" s="1121"/>
      <c r="T23" s="1606">
        <f>T11+T22</f>
        <v>10948333</v>
      </c>
      <c r="U23" s="1248"/>
      <c r="V23" s="1248"/>
      <c r="W23" s="1248"/>
      <c r="X23" s="1248"/>
      <c r="Y23" s="1606">
        <f>Y11+Y22</f>
        <v>0</v>
      </c>
      <c r="Z23" s="1248"/>
      <c r="AA23" s="1248"/>
      <c r="AB23" s="1248"/>
      <c r="AC23" s="1248"/>
      <c r="AD23" s="1606">
        <f>IF(AD11=AD21,0,AD11)</f>
        <v>0</v>
      </c>
      <c r="AE23" s="1248"/>
      <c r="AF23" s="1248"/>
      <c r="AG23" s="1248"/>
      <c r="AH23" s="1248"/>
      <c r="AI23" s="1606">
        <f>IF(AI11=AI21,0,AI11)</f>
        <v>0</v>
      </c>
      <c r="AJ23" s="1248"/>
      <c r="AK23" s="1248"/>
      <c r="AL23" s="1248"/>
      <c r="AM23" s="1248"/>
    </row>
    <row r="24" spans="1:39" ht="12.9" customHeight="1">
      <c r="B24" s="1118" t="s">
        <v>1217</v>
      </c>
      <c r="C24" s="1119"/>
      <c r="D24" s="1119"/>
      <c r="E24" s="1119"/>
      <c r="F24" s="1119"/>
      <c r="G24" s="1119"/>
      <c r="H24" s="1119"/>
      <c r="I24" s="1119"/>
      <c r="J24" s="1119"/>
      <c r="K24" s="1119"/>
      <c r="L24" s="1119"/>
      <c r="M24" s="1119"/>
      <c r="N24" s="1119"/>
      <c r="O24" s="1119"/>
      <c r="P24" s="1119"/>
      <c r="Q24" s="1119"/>
      <c r="R24" s="1119"/>
      <c r="S24" s="1121"/>
      <c r="T24" s="1607">
        <f>Application!AJ1028</f>
        <v>35909200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 customHeight="1">
      <c r="B25" s="1647" t="s">
        <v>1895</v>
      </c>
      <c r="C25" s="1648"/>
      <c r="D25" s="1648"/>
      <c r="E25" s="1648"/>
      <c r="F25" s="1648"/>
      <c r="G25" s="1648"/>
      <c r="H25" s="1648"/>
      <c r="I25" s="1648"/>
      <c r="J25" s="1648"/>
      <c r="K25" s="1648"/>
      <c r="L25" s="1648"/>
      <c r="M25" s="1648"/>
      <c r="N25" s="1648"/>
      <c r="O25" s="1648"/>
      <c r="P25" s="1648"/>
      <c r="Q25" s="1648"/>
      <c r="R25" s="1648"/>
      <c r="S25" s="1649"/>
      <c r="T25" s="1642">
        <f>IF(OR(AND(Application!T193="no",Application!T194="no",Application!T196="no",Application!Y211="no"),Application!T195="yes"),1,1.3)</f>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 customHeight="1">
      <c r="B26" s="1118" t="s">
        <v>773</v>
      </c>
      <c r="C26" s="1119"/>
      <c r="D26" s="1119"/>
      <c r="E26" s="1119"/>
      <c r="F26" s="1119"/>
      <c r="G26" s="1119"/>
      <c r="H26" s="1119"/>
      <c r="I26" s="1119"/>
      <c r="J26" s="1119"/>
      <c r="K26" s="1119"/>
      <c r="L26" s="1119"/>
      <c r="M26" s="1119"/>
      <c r="N26" s="1119"/>
      <c r="O26" s="1119"/>
      <c r="P26" s="1119"/>
      <c r="Q26" s="1119"/>
      <c r="R26" s="1119"/>
      <c r="S26" s="1121"/>
      <c r="T26" s="1103">
        <f>T23*T25</f>
        <v>10948333</v>
      </c>
      <c r="U26" s="1618"/>
      <c r="V26" s="1618"/>
      <c r="W26" s="1618"/>
      <c r="X26" s="1618"/>
      <c r="Y26" s="1103">
        <f>Y23*Y25</f>
        <v>0</v>
      </c>
      <c r="Z26" s="1618"/>
      <c r="AA26" s="1618"/>
      <c r="AB26" s="1618"/>
      <c r="AC26" s="1618"/>
      <c r="AD26" s="1103">
        <f>AD23*AD25</f>
        <v>0</v>
      </c>
      <c r="AE26" s="1618"/>
      <c r="AF26" s="1618"/>
      <c r="AG26" s="1618"/>
      <c r="AH26" s="1618"/>
      <c r="AI26" s="1103">
        <f>AI23*AI25</f>
        <v>0</v>
      </c>
      <c r="AJ26" s="1618"/>
      <c r="AK26" s="1618"/>
      <c r="AL26" s="1618"/>
      <c r="AM26" s="1618"/>
    </row>
    <row r="27" spans="1:39" ht="12.9"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 customHeight="1">
      <c r="A28" s="3"/>
      <c r="B28" s="1118" t="s">
        <v>842</v>
      </c>
      <c r="C28" s="1119"/>
      <c r="D28" s="1119"/>
      <c r="E28" s="1119"/>
      <c r="F28" s="1119"/>
      <c r="G28" s="1119"/>
      <c r="H28" s="1119"/>
      <c r="I28" s="1119"/>
      <c r="J28" s="1119"/>
      <c r="K28" s="1119"/>
      <c r="L28" s="1119"/>
      <c r="M28" s="1119"/>
      <c r="N28" s="1119"/>
      <c r="O28" s="1119"/>
      <c r="P28" s="1119"/>
      <c r="Q28" s="1119"/>
      <c r="R28" s="1119"/>
      <c r="S28" s="1121"/>
      <c r="T28" s="1103">
        <f>IF(ISERROR((T26*T27)),0,(T26*T27))</f>
        <v>10948333</v>
      </c>
      <c r="U28" s="1618"/>
      <c r="V28" s="1618"/>
      <c r="W28" s="1618"/>
      <c r="X28" s="1618"/>
      <c r="Y28" s="1103">
        <f>IF(ISERROR((Y26*Y27)),0,(Y26*Y27))</f>
        <v>0</v>
      </c>
      <c r="Z28" s="1618"/>
      <c r="AA28" s="1618"/>
      <c r="AB28" s="1618"/>
      <c r="AC28" s="1618"/>
      <c r="AD28" s="1103">
        <f>IF(ISERROR((AD26*AD27)),0,(AD26*AD27))</f>
        <v>0</v>
      </c>
      <c r="AE28" s="1618"/>
      <c r="AF28" s="1618"/>
      <c r="AG28" s="1618"/>
      <c r="AH28" s="1618"/>
      <c r="AI28" s="1103">
        <f>IF(ISERROR((AI26*AI27)),0,(AI26*AI27))</f>
        <v>0</v>
      </c>
      <c r="AJ28" s="1618"/>
      <c r="AK28" s="1618"/>
      <c r="AL28" s="1618"/>
      <c r="AM28" s="1618"/>
    </row>
    <row r="29" spans="1:39" ht="12.9" customHeight="1">
      <c r="B29" s="1118" t="s">
        <v>622</v>
      </c>
      <c r="C29" s="1119"/>
      <c r="D29" s="1119"/>
      <c r="E29" s="1119"/>
      <c r="F29" s="1119"/>
      <c r="G29" s="1119"/>
      <c r="H29" s="1119"/>
      <c r="I29" s="1119"/>
      <c r="J29" s="1119"/>
      <c r="K29" s="1119"/>
      <c r="L29" s="1119"/>
      <c r="M29" s="1119"/>
      <c r="N29" s="1119"/>
      <c r="O29" s="1119"/>
      <c r="P29" s="1119"/>
      <c r="Q29" s="1119"/>
      <c r="R29" s="1119"/>
      <c r="S29" s="1121"/>
      <c r="T29" s="1607">
        <f>T28+Y28+AD28+AI28</f>
        <v>10948333</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 customHeight="1">
      <c r="B30" s="1620" t="s">
        <v>1894</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2.9" customHeight="1">
      <c r="B31" s="1602" t="s">
        <v>1896</v>
      </c>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row>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38" t="s">
        <v>41</v>
      </c>
      <c r="AE35" s="1238"/>
      <c r="AF35" s="1238"/>
      <c r="AG35" s="1238"/>
      <c r="AH35" s="1238"/>
    </row>
    <row r="36" spans="1:44" ht="12.9" customHeight="1">
      <c r="B36" s="202"/>
      <c r="X36" s="71"/>
      <c r="Y36" s="1609"/>
      <c r="Z36" s="1609"/>
      <c r="AA36" s="1609"/>
      <c r="AB36" s="1609"/>
      <c r="AC36" s="1609"/>
      <c r="AD36" s="1238"/>
      <c r="AE36" s="1238"/>
      <c r="AF36" s="1238"/>
      <c r="AG36" s="1238"/>
      <c r="AH36" s="1238"/>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8"/>
      <c r="AE37" s="1238"/>
      <c r="AF37" s="1238"/>
      <c r="AG37" s="1238"/>
      <c r="AH37" s="1238"/>
    </row>
    <row r="38" spans="1:44" ht="12.9" customHeight="1">
      <c r="A38" s="3"/>
      <c r="B38" s="1118" t="s">
        <v>842</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48">
        <f>IF(T24&gt;=(T23+Y23+AD23+AI23),T28+Y28,0)</f>
        <v>10948333</v>
      </c>
      <c r="Z38" s="1248"/>
      <c r="AA38" s="1248"/>
      <c r="AB38" s="1248"/>
      <c r="AC38" s="1248"/>
      <c r="AD38" s="1248">
        <f>IF(T24&gt;=(T23+Y23+AD23+AI23),AD28+AI28,0)</f>
        <v>0</v>
      </c>
      <c r="AE38" s="1248"/>
      <c r="AF38" s="1248"/>
      <c r="AG38" s="1248"/>
      <c r="AH38" s="1248"/>
    </row>
    <row r="39" spans="1:44" ht="12.9" customHeight="1">
      <c r="B39" s="1118" t="s">
        <v>1803</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605">
        <v>0.09</v>
      </c>
      <c r="Z39" s="1605"/>
      <c r="AA39" s="1605"/>
      <c r="AB39" s="1605"/>
      <c r="AC39" s="1605"/>
      <c r="AD39" s="1605">
        <v>0.04</v>
      </c>
      <c r="AE39" s="1605"/>
      <c r="AF39" s="1605"/>
      <c r="AG39" s="1605"/>
      <c r="AH39" s="1605"/>
    </row>
    <row r="40" spans="1:44" ht="12.9"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48">
        <f>ROUND(Y38*Y39,0)</f>
        <v>985350</v>
      </c>
      <c r="Z40" s="1248"/>
      <c r="AA40" s="1248"/>
      <c r="AB40" s="1248"/>
      <c r="AC40" s="1248"/>
      <c r="AD40" s="1606">
        <f>ROUND(AD38*AD39,0)</f>
        <v>0</v>
      </c>
      <c r="AE40" s="1248"/>
      <c r="AF40" s="1248"/>
      <c r="AG40" s="1248"/>
      <c r="AH40" s="1248"/>
    </row>
    <row r="41" spans="1:44" ht="12.9" customHeight="1">
      <c r="B41" s="1118" t="s">
        <v>616</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7">
        <f>IF(Application!Y211="No",'Basis &amp; Credits'!AR42,AR43)</f>
        <v>985350</v>
      </c>
      <c r="Z41" s="1608"/>
      <c r="AA41" s="1608"/>
      <c r="AB41" s="1608"/>
      <c r="AC41" s="1608"/>
      <c r="AD41" s="1608"/>
      <c r="AE41" s="1608"/>
      <c r="AF41" s="1608"/>
      <c r="AG41" s="1608"/>
      <c r="AH41" s="1606"/>
    </row>
    <row r="42" spans="1:44" ht="12.9" customHeight="1">
      <c r="A42" s="3"/>
      <c r="B42" s="1617" t="s">
        <v>1804</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985350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985350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239">
        <f>'Sources and Uses Budget'!B104-(MAX(IF('Sources and Uses Budget'!B15="",0,'Sources and Uses Budget'!B15),IF(Application!AG395="",0,Application!AG395)))</f>
        <v>18037480</v>
      </c>
      <c r="AC46" s="1240"/>
      <c r="AD46" s="1240"/>
      <c r="AE46" s="1240"/>
      <c r="AF46" s="1241"/>
    </row>
    <row r="47" spans="1:44" ht="12.9" customHeight="1">
      <c r="D47" s="3" t="s">
        <v>836</v>
      </c>
      <c r="AB47" s="1239">
        <f>Application!AO641-MAX(IF('Sources and Uses Budget'!B15="",0,'Sources and Uses Budget'!B15),IF(Application!AG395="",0,Application!AG395))</f>
        <v>8348205</v>
      </c>
      <c r="AC47" s="1240"/>
      <c r="AD47" s="1240"/>
      <c r="AE47" s="1240"/>
      <c r="AF47" s="1241"/>
    </row>
    <row r="48" spans="1:44" ht="12.9" customHeight="1">
      <c r="D48" s="3" t="s">
        <v>378</v>
      </c>
      <c r="AB48" s="1239">
        <f>AB46-AB47</f>
        <v>9689275</v>
      </c>
      <c r="AC48" s="1240"/>
      <c r="AD48" s="1240"/>
      <c r="AE48" s="1240"/>
      <c r="AF48" s="1241"/>
    </row>
    <row r="49" spans="1:40" ht="12.9" customHeight="1">
      <c r="D49" s="3" t="s">
        <v>871</v>
      </c>
      <c r="AA49" s="34"/>
      <c r="AB49" s="1612">
        <v>0.75</v>
      </c>
      <c r="AC49" s="1613"/>
      <c r="AD49" s="1613"/>
      <c r="AE49" s="1613"/>
      <c r="AF49" s="1614"/>
    </row>
    <row r="50" spans="1:40" s="321" customFormat="1" ht="12.9" customHeight="1">
      <c r="A50"/>
      <c r="B50"/>
      <c r="C50"/>
      <c r="D50"/>
      <c r="E50" s="1619" t="s">
        <v>2329</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39">
        <f>ROUND(IF(ISERROR((AB48/AB49)),0,(AB48/AB49)),0)</f>
        <v>12919033</v>
      </c>
      <c r="AC53" s="1240"/>
      <c r="AD53" s="1240"/>
      <c r="AE53" s="1240"/>
      <c r="AF53" s="1241"/>
    </row>
    <row r="54" spans="1:40" ht="12.9" customHeight="1">
      <c r="D54" s="3" t="s">
        <v>560</v>
      </c>
      <c r="AB54" s="1239">
        <f>(AB53/10)</f>
        <v>1291903.3</v>
      </c>
      <c r="AC54" s="1240"/>
      <c r="AD54" s="1240"/>
      <c r="AE54" s="1240"/>
      <c r="AF54" s="1241"/>
    </row>
    <row r="55" spans="1:40" ht="12.9" customHeight="1">
      <c r="D55" s="3" t="s">
        <v>341</v>
      </c>
      <c r="AB55" s="1239">
        <f>(IF((Y41&lt;AB54),Y41,AB54))</f>
        <v>985350</v>
      </c>
      <c r="AC55" s="1240"/>
      <c r="AD55" s="1240"/>
      <c r="AE55" s="1240"/>
      <c r="AF55" s="1241"/>
    </row>
    <row r="56" spans="1:40" ht="12.9" customHeight="1">
      <c r="D56" s="3" t="s">
        <v>107</v>
      </c>
      <c r="AB56" s="1239">
        <f>ROUND((10*AB55*AB49),0)</f>
        <v>7390125</v>
      </c>
      <c r="AC56" s="1240"/>
      <c r="AD56" s="1240"/>
      <c r="AE56" s="1240"/>
      <c r="AF56" s="1241"/>
    </row>
    <row r="57" spans="1:40" ht="12.9" customHeight="1">
      <c r="D57" s="3"/>
      <c r="AB57" s="274"/>
      <c r="AC57" s="274"/>
      <c r="AD57" s="274"/>
      <c r="AE57" s="274"/>
      <c r="AF57" s="274"/>
    </row>
    <row r="58" spans="1:40" ht="12.9" customHeight="1">
      <c r="D58" s="3" t="s">
        <v>106</v>
      </c>
      <c r="AB58" s="1252">
        <f>AB48-AB56</f>
        <v>2299150</v>
      </c>
      <c r="AC58" s="1252"/>
      <c r="AD58" s="1252"/>
      <c r="AE58" s="1252"/>
      <c r="AF58" s="1252"/>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 customHeight="1" thickTop="1">
      <c r="A61" s="1200"/>
      <c r="B61" s="1200"/>
      <c r="C61" s="1200"/>
      <c r="D61" s="1200"/>
      <c r="E61" s="1200"/>
      <c r="F61" s="1200"/>
      <c r="G61" s="1200"/>
      <c r="H61" s="1200"/>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row>
    <row r="62" spans="1:40" ht="12.9" customHeight="1">
      <c r="A62" s="3" t="s">
        <v>122</v>
      </c>
      <c r="C62" s="3" t="s">
        <v>509</v>
      </c>
      <c r="Y62" s="1559" t="s">
        <v>298</v>
      </c>
      <c r="Z62" s="1559"/>
      <c r="AA62" s="1559"/>
      <c r="AB62" s="1559"/>
      <c r="AC62" s="1559"/>
      <c r="AD62" s="1559" t="s">
        <v>41</v>
      </c>
      <c r="AE62" s="1559"/>
      <c r="AF62" s="1559"/>
      <c r="AG62" s="1559"/>
      <c r="AH62" s="1559"/>
    </row>
    <row r="63" spans="1:40" ht="12.9"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10948333</v>
      </c>
      <c r="Z63" s="1615"/>
      <c r="AA63" s="1615"/>
      <c r="AB63" s="1615"/>
      <c r="AC63" s="1615"/>
      <c r="AD63" s="1248">
        <f>IF(AND(T25=1.3,Application!D214="At-Risk"),AI28,IF(Application!D214&lt;&gt;"At-Risk",0,AD28))</f>
        <v>0</v>
      </c>
      <c r="AE63" s="1615"/>
      <c r="AF63" s="1615"/>
      <c r="AG63" s="1615"/>
      <c r="AH63" s="1615"/>
    </row>
    <row r="64" spans="1:40" ht="12.9"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21.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f>IF(Application!W198="Yes",95%, 30%)</f>
        <v>0.3</v>
      </c>
      <c r="Z66" s="1611"/>
      <c r="AA66" s="1611"/>
      <c r="AB66" s="1611"/>
      <c r="AC66" s="1611"/>
      <c r="AD66" s="1611">
        <f>IF(Application!W198="Yes",95%, 13%)</f>
        <v>0.13</v>
      </c>
      <c r="AE66" s="1611"/>
      <c r="AF66" s="1611"/>
      <c r="AG66" s="1611"/>
      <c r="AH66" s="1611"/>
    </row>
    <row r="67" spans="1:34" ht="12.9" customHeight="1">
      <c r="C67" s="3"/>
      <c r="D67" s="3" t="s">
        <v>940</v>
      </c>
      <c r="Y67" s="1248">
        <f>ROUND(Y63*Y66,0)</f>
        <v>3284500</v>
      </c>
      <c r="Z67" s="1615"/>
      <c r="AA67" s="1615"/>
      <c r="AB67" s="1615"/>
      <c r="AC67" s="1615"/>
      <c r="AD67" s="1248">
        <f>IF(OR(Application!D211="At-Risk",Application!D211="At-Risk/Located in Rural Census Tract",Application!D214="At-Risk"),ROUND(AD63*AD66,0),"$0")</f>
        <v>0</v>
      </c>
      <c r="AE67" s="1248"/>
      <c r="AF67" s="1248"/>
      <c r="AG67" s="1248"/>
      <c r="AH67" s="1248"/>
    </row>
    <row r="68" spans="1:34" ht="12.9"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872</v>
      </c>
      <c r="AB70" s="1612">
        <v>0.7</v>
      </c>
      <c r="AC70" s="1613"/>
      <c r="AD70" s="1613"/>
      <c r="AE70" s="1613"/>
      <c r="AF70" s="1614"/>
    </row>
    <row r="71" spans="1:34" ht="12.9" customHeight="1">
      <c r="A71" s="3"/>
      <c r="C71" s="3"/>
      <c r="D71" s="3"/>
      <c r="E71" s="1616" t="s">
        <v>2231</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92">
        <f>ROUND(IF(ISERROR((AB58/AB70)),0,(AB58/AB70)),0)</f>
        <v>3284500</v>
      </c>
      <c r="AC75" s="1292"/>
      <c r="AD75" s="1292"/>
      <c r="AE75" s="1292"/>
      <c r="AF75" s="1292"/>
    </row>
    <row r="76" spans="1:34" ht="12.9" customHeight="1">
      <c r="C76" s="3"/>
      <c r="D76" s="3" t="s">
        <v>105</v>
      </c>
      <c r="AB76" s="1206">
        <f>ROUNDUP(MIN((Y67+AD67),AB75),0)</f>
        <v>3284500</v>
      </c>
      <c r="AC76" s="1207"/>
      <c r="AD76" s="1207"/>
      <c r="AE76" s="1207"/>
      <c r="AF76" s="1208"/>
    </row>
    <row r="77" spans="1:34" ht="12.9" customHeight="1">
      <c r="C77" s="3"/>
      <c r="D77" s="3" t="s">
        <v>941</v>
      </c>
      <c r="AB77" s="1610">
        <f>AB76*AB70</f>
        <v>2299150</v>
      </c>
      <c r="AC77" s="1610"/>
      <c r="AD77" s="1610"/>
      <c r="AE77" s="1610"/>
      <c r="AF77" s="1610"/>
    </row>
    <row r="78" spans="1:34" ht="12.9" customHeight="1">
      <c r="C78" s="3"/>
      <c r="D78" s="3"/>
      <c r="AB78" s="595"/>
      <c r="AC78" s="595"/>
      <c r="AD78" s="595"/>
      <c r="AE78" s="595"/>
      <c r="AF78" s="595"/>
    </row>
    <row r="79" spans="1:34" ht="12.9" customHeight="1">
      <c r="D79" s="3" t="s">
        <v>106</v>
      </c>
      <c r="AB79" s="1252">
        <f>AB48-(AB56+AB77)</f>
        <v>0</v>
      </c>
      <c r="AC79" s="1252"/>
      <c r="AD79" s="1252"/>
      <c r="AE79" s="1252"/>
      <c r="AF79" s="1252"/>
    </row>
    <row r="80" spans="1:34" ht="12.9" customHeight="1">
      <c r="F80" s="16"/>
      <c r="J80" s="16" t="str">
        <f>IF(AB79&gt;0,"FUNDING GAP MUST NOT EXCEED ZERO","")</f>
        <v/>
      </c>
    </row>
    <row r="81" spans="4:4" ht="12.9"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53" workbookViewId="0">
      <selection activeCell="D9" sqref="D9"/>
    </sheetView>
  </sheetViews>
  <sheetFormatPr defaultColWidth="8.84375" defaultRowHeight="11.6" zeroHeight="1"/>
  <cols>
    <col min="1" max="1" width="32.53515625" style="480" customWidth="1"/>
    <col min="2" max="3" width="12.07421875" style="478" customWidth="1"/>
    <col min="4" max="4" width="12.84375" style="478" customWidth="1"/>
    <col min="5" max="6" width="12.69140625" style="478" customWidth="1"/>
    <col min="7" max="7" width="13.4609375" style="478" customWidth="1"/>
    <col min="8" max="9" width="12.07421875" style="478" customWidth="1"/>
    <col min="10" max="10" width="12.07421875" style="572" customWidth="1"/>
    <col min="11" max="11" width="7" style="578" customWidth="1"/>
    <col min="12" max="16384" width="8.84375" style="478"/>
  </cols>
  <sheetData>
    <row r="1" spans="1:11" s="349" customFormat="1" ht="12.9">
      <c r="A1" s="1653" t="s">
        <v>1811</v>
      </c>
      <c r="B1" s="1654"/>
      <c r="C1" s="1654"/>
      <c r="D1" s="1654"/>
      <c r="E1" s="1654"/>
      <c r="F1" s="1654"/>
      <c r="G1" s="1654"/>
      <c r="H1" s="1654"/>
      <c r="I1" s="1654"/>
      <c r="J1" s="1655"/>
      <c r="K1" s="575"/>
    </row>
    <row r="2" spans="1:11" s="593" customFormat="1" ht="69.45">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3">
      <c r="A4" s="298" t="s">
        <v>67</v>
      </c>
      <c r="B4" s="581">
        <f>'Sources and Uses Budget'!C4</f>
        <v>360000</v>
      </c>
      <c r="C4" s="582"/>
      <c r="D4" s="582">
        <f>+B4</f>
        <v>360000</v>
      </c>
      <c r="E4" s="583"/>
      <c r="F4" s="583"/>
      <c r="G4" s="583"/>
      <c r="H4" s="583"/>
      <c r="I4" s="583"/>
      <c r="J4" s="583"/>
      <c r="K4" s="576"/>
    </row>
    <row r="5" spans="1:11" s="251" customFormat="1" ht="13.3">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3">
      <c r="A8" s="299" t="s">
        <v>703</v>
      </c>
      <c r="B8" s="581">
        <f>'Sources and Uses Budget'!C8</f>
        <v>360000</v>
      </c>
      <c r="C8" s="581">
        <f>SUM(C4:C7)</f>
        <v>0</v>
      </c>
      <c r="D8" s="581">
        <f>SUM(D4:D7)</f>
        <v>360000</v>
      </c>
      <c r="E8" s="583"/>
      <c r="F8" s="583"/>
      <c r="G8" s="583"/>
      <c r="H8" s="583"/>
      <c r="I8" s="583"/>
      <c r="J8" s="583"/>
      <c r="K8" s="576"/>
    </row>
    <row r="9" spans="1:11" s="251" customFormat="1">
      <c r="A9" s="237" t="s">
        <v>1712</v>
      </c>
      <c r="B9" s="581">
        <f>'Sources and Uses Budget'!C9</f>
        <v>5540000</v>
      </c>
      <c r="C9" s="582"/>
      <c r="D9" s="582">
        <f>+B9</f>
        <v>5540000</v>
      </c>
      <c r="E9" s="583"/>
      <c r="F9" s="583"/>
      <c r="G9" s="583"/>
      <c r="H9" s="581">
        <f>'Sources and Uses Budget'!T9</f>
        <v>0</v>
      </c>
      <c r="I9" s="582"/>
      <c r="J9" s="582"/>
      <c r="K9" s="576"/>
    </row>
    <row r="10" spans="1:11" s="251" customFormat="1" ht="13.3">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5540000</v>
      </c>
      <c r="C11" s="581">
        <f>SUM(C9:C10)</f>
        <v>0</v>
      </c>
      <c r="D11" s="581">
        <f>SUM(D9:D10)</f>
        <v>5540000</v>
      </c>
      <c r="E11" s="583"/>
      <c r="F11" s="583"/>
      <c r="G11" s="583"/>
      <c r="H11" s="581">
        <f>'Sources and Uses Budget'!T11</f>
        <v>0</v>
      </c>
      <c r="I11" s="581">
        <f>SUM(I9:I10)</f>
        <v>0</v>
      </c>
      <c r="J11" s="581">
        <f>SUM(J9:J10)</f>
        <v>0</v>
      </c>
      <c r="K11" s="576"/>
    </row>
    <row r="12" spans="1:11" s="251" customFormat="1">
      <c r="A12" s="241" t="s">
        <v>710</v>
      </c>
      <c r="B12" s="581">
        <f>'Sources and Uses Budget'!C12</f>
        <v>5900000</v>
      </c>
      <c r="C12" s="581">
        <f>SUM(C8+C11)</f>
        <v>0</v>
      </c>
      <c r="D12" s="581">
        <f>SUM(D8+D11)</f>
        <v>5900000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3.15">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621025</v>
      </c>
      <c r="C17" s="582"/>
      <c r="D17" s="582">
        <f>+B17</f>
        <v>621025</v>
      </c>
      <c r="E17" s="581">
        <f>'Sources and Uses Budget'!S17</f>
        <v>621025</v>
      </c>
      <c r="F17" s="582"/>
      <c r="G17" s="582">
        <f>+E17</f>
        <v>621025</v>
      </c>
      <c r="H17" s="581">
        <f>'Sources and Uses Budget'!T17</f>
        <v>0</v>
      </c>
      <c r="I17" s="582"/>
      <c r="J17" s="582"/>
      <c r="K17" s="576"/>
    </row>
    <row r="18" spans="1:11" s="251" customFormat="1">
      <c r="A18" s="237" t="s">
        <v>910</v>
      </c>
      <c r="B18" s="581">
        <f>'Sources and Uses Budget'!C18</f>
        <v>5234810</v>
      </c>
      <c r="C18" s="582"/>
      <c r="D18" s="582">
        <f t="shared" ref="D18:D24" si="0">+B18</f>
        <v>5234810</v>
      </c>
      <c r="E18" s="581">
        <f>'Sources and Uses Budget'!S18</f>
        <v>5234810</v>
      </c>
      <c r="F18" s="582"/>
      <c r="G18" s="582">
        <f t="shared" ref="G18:G24" si="1">+E18</f>
        <v>5234810</v>
      </c>
      <c r="H18" s="581">
        <f>'Sources and Uses Budget'!T18</f>
        <v>0</v>
      </c>
      <c r="I18" s="582"/>
      <c r="J18" s="582"/>
      <c r="K18" s="576"/>
    </row>
    <row r="19" spans="1:11" s="251" customFormat="1">
      <c r="A19" s="237" t="s">
        <v>911</v>
      </c>
      <c r="B19" s="581">
        <f>'Sources and Uses Budget'!C19</f>
        <v>351350</v>
      </c>
      <c r="C19" s="582"/>
      <c r="D19" s="582">
        <f t="shared" si="0"/>
        <v>351350</v>
      </c>
      <c r="E19" s="581">
        <f>'Sources and Uses Budget'!S19</f>
        <v>351350</v>
      </c>
      <c r="F19" s="582"/>
      <c r="G19" s="582">
        <f t="shared" si="1"/>
        <v>351350</v>
      </c>
      <c r="H19" s="581">
        <f>'Sources and Uses Budget'!T19</f>
        <v>0</v>
      </c>
      <c r="I19" s="582"/>
      <c r="J19" s="582"/>
      <c r="K19" s="576"/>
    </row>
    <row r="20" spans="1:11" s="251" customFormat="1">
      <c r="A20" s="237" t="s">
        <v>912</v>
      </c>
      <c r="B20" s="581">
        <f>'Sources and Uses Budget'!C20</f>
        <v>124143</v>
      </c>
      <c r="C20" s="582"/>
      <c r="D20" s="582">
        <f t="shared" si="0"/>
        <v>124143</v>
      </c>
      <c r="E20" s="581">
        <f>'Sources and Uses Budget'!S20</f>
        <v>124143</v>
      </c>
      <c r="F20" s="582"/>
      <c r="G20" s="582">
        <f t="shared" si="1"/>
        <v>124143</v>
      </c>
      <c r="H20" s="581">
        <f>'Sources and Uses Budget'!T20</f>
        <v>0</v>
      </c>
      <c r="I20" s="582"/>
      <c r="J20" s="582"/>
      <c r="K20" s="576"/>
    </row>
    <row r="21" spans="1:11" s="251" customFormat="1">
      <c r="A21" s="237" t="s">
        <v>913</v>
      </c>
      <c r="B21" s="581">
        <f>'Sources and Uses Budget'!C21</f>
        <v>343431</v>
      </c>
      <c r="C21" s="582"/>
      <c r="D21" s="582">
        <f t="shared" si="0"/>
        <v>343431</v>
      </c>
      <c r="E21" s="581">
        <f>'Sources and Uses Budget'!S21</f>
        <v>343431</v>
      </c>
      <c r="F21" s="582"/>
      <c r="G21" s="582">
        <f t="shared" si="1"/>
        <v>343431</v>
      </c>
      <c r="H21" s="581">
        <f>'Sources and Uses Budget'!T21</f>
        <v>0</v>
      </c>
      <c r="I21" s="582"/>
      <c r="J21" s="582"/>
      <c r="K21" s="576"/>
    </row>
    <row r="22" spans="1:11" s="251" customFormat="1">
      <c r="A22" s="237" t="s">
        <v>914</v>
      </c>
      <c r="B22" s="581">
        <f>'Sources and Uses Budget'!C22</f>
        <v>0</v>
      </c>
      <c r="C22" s="582"/>
      <c r="D22" s="582">
        <f t="shared" si="0"/>
        <v>0</v>
      </c>
      <c r="E22" s="581">
        <f>'Sources and Uses Budget'!S22</f>
        <v>0</v>
      </c>
      <c r="F22" s="582"/>
      <c r="G22" s="582">
        <f t="shared" si="1"/>
        <v>0</v>
      </c>
      <c r="H22" s="581">
        <f>'Sources and Uses Budget'!T22</f>
        <v>0</v>
      </c>
      <c r="I22" s="582"/>
      <c r="J22" s="582"/>
      <c r="K22" s="576"/>
    </row>
    <row r="23" spans="1:11" s="251" customFormat="1">
      <c r="A23" s="237" t="s">
        <v>915</v>
      </c>
      <c r="B23" s="581">
        <f>'Sources and Uses Budget'!C23</f>
        <v>112797</v>
      </c>
      <c r="C23" s="582"/>
      <c r="D23" s="582">
        <f t="shared" si="0"/>
        <v>112797</v>
      </c>
      <c r="E23" s="581">
        <f>'Sources and Uses Budget'!S23</f>
        <v>112797</v>
      </c>
      <c r="F23" s="582"/>
      <c r="G23" s="582">
        <f t="shared" si="1"/>
        <v>112797</v>
      </c>
      <c r="H23" s="581">
        <f>'Sources and Uses Budget'!T23</f>
        <v>0</v>
      </c>
      <c r="I23" s="582"/>
      <c r="J23" s="582"/>
      <c r="K23" s="576"/>
    </row>
    <row r="24" spans="1:11" s="251" customFormat="1" ht="23.15">
      <c r="A24" s="237" t="str">
        <f>'Sources and Uses Budget'!$A25</f>
        <v>Other: Third Party Construction Management</v>
      </c>
      <c r="B24" s="581">
        <f>'Sources and Uses Budget'!C25</f>
        <v>150000</v>
      </c>
      <c r="C24" s="582"/>
      <c r="D24" s="582">
        <f t="shared" si="0"/>
        <v>150000</v>
      </c>
      <c r="E24" s="581">
        <f>'Sources and Uses Budget'!S25</f>
        <v>150000</v>
      </c>
      <c r="F24" s="582"/>
      <c r="G24" s="582">
        <f t="shared" si="1"/>
        <v>150000</v>
      </c>
      <c r="H24" s="581">
        <f>'Sources and Uses Budget'!T25</f>
        <v>0</v>
      </c>
      <c r="I24" s="582"/>
      <c r="J24" s="582"/>
      <c r="K24" s="576"/>
    </row>
    <row r="25" spans="1:11" s="251" customFormat="1">
      <c r="A25" s="241" t="s">
        <v>222</v>
      </c>
      <c r="B25" s="581">
        <f>'Sources and Uses Budget'!C26</f>
        <v>6937556</v>
      </c>
      <c r="C25" s="581">
        <f>SUM(C17:C24)</f>
        <v>0</v>
      </c>
      <c r="D25" s="581">
        <f>SUM(D17:D24)</f>
        <v>6937556</v>
      </c>
      <c r="E25" s="581">
        <f>'Sources and Uses Budget'!S26</f>
        <v>6937556</v>
      </c>
      <c r="F25" s="584">
        <f>SUM(F17:F24)</f>
        <v>0</v>
      </c>
      <c r="G25" s="584">
        <f>SUM(G17:G24)</f>
        <v>6937556</v>
      </c>
      <c r="H25" s="581">
        <f>'Sources and Uses Budget'!T26</f>
        <v>0</v>
      </c>
      <c r="I25" s="584">
        <f>SUM(I17:I24)</f>
        <v>0</v>
      </c>
      <c r="J25" s="584">
        <f>SUM(J17:J24)</f>
        <v>0</v>
      </c>
      <c r="K25" s="576"/>
    </row>
    <row r="26" spans="1:11" s="251" customFormat="1">
      <c r="A26" s="241" t="s">
        <v>916</v>
      </c>
      <c r="B26" s="581">
        <f>'Sources and Uses Budget'!C27</f>
        <v>303000</v>
      </c>
      <c r="C26" s="582"/>
      <c r="D26" s="582">
        <f>+B26</f>
        <v>303000</v>
      </c>
      <c r="E26" s="581">
        <f>'Sources and Uses Budget'!S27</f>
        <v>303000</v>
      </c>
      <c r="F26" s="582"/>
      <c r="G26" s="582">
        <f>+E26</f>
        <v>303000</v>
      </c>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150000</v>
      </c>
      <c r="C39" s="582"/>
      <c r="D39" s="582">
        <f>+B39</f>
        <v>150000</v>
      </c>
      <c r="E39" s="581">
        <f>'Sources and Uses Budget'!S40</f>
        <v>150000</v>
      </c>
      <c r="F39" s="582"/>
      <c r="G39" s="582">
        <f>+E39</f>
        <v>150000</v>
      </c>
      <c r="H39" s="581">
        <f>'Sources and Uses Budget'!T40</f>
        <v>0</v>
      </c>
      <c r="I39" s="582"/>
      <c r="J39" s="582"/>
      <c r="K39" s="576"/>
    </row>
    <row r="40" spans="1:11" s="251" customFormat="1">
      <c r="A40" s="237" t="s">
        <v>921</v>
      </c>
      <c r="B40" s="581">
        <f>'Sources and Uses Budget'!C41</f>
        <v>50000</v>
      </c>
      <c r="C40" s="582"/>
      <c r="D40" s="582">
        <f>+B40</f>
        <v>50000</v>
      </c>
      <c r="E40" s="581">
        <f>'Sources and Uses Budget'!S41</f>
        <v>50000</v>
      </c>
      <c r="F40" s="582"/>
      <c r="G40" s="582">
        <f>+E40</f>
        <v>50000</v>
      </c>
      <c r="H40" s="581">
        <f>'Sources and Uses Budget'!T41</f>
        <v>0</v>
      </c>
      <c r="I40" s="582"/>
      <c r="J40" s="582"/>
      <c r="K40" s="576"/>
    </row>
    <row r="41" spans="1:11" s="251" customFormat="1">
      <c r="A41" s="241" t="s">
        <v>922</v>
      </c>
      <c r="B41" s="581">
        <f>'Sources and Uses Budget'!C42</f>
        <v>200000</v>
      </c>
      <c r="C41" s="581">
        <f>SUM(C38:C40)</f>
        <v>0</v>
      </c>
      <c r="D41" s="581">
        <f>SUM(D38:D40)</f>
        <v>200000</v>
      </c>
      <c r="E41" s="581">
        <f>'Sources and Uses Budget'!S42</f>
        <v>200000</v>
      </c>
      <c r="F41" s="584">
        <f>SUM(F39:F40)</f>
        <v>0</v>
      </c>
      <c r="G41" s="584">
        <f>SUM(G39:G40)</f>
        <v>200000</v>
      </c>
      <c r="H41" s="581">
        <f>'Sources and Uses Budget'!T42</f>
        <v>0</v>
      </c>
      <c r="I41" s="584">
        <f>SUM(I39:I40)</f>
        <v>0</v>
      </c>
      <c r="J41" s="584">
        <f>SUM(J39:J40)</f>
        <v>0</v>
      </c>
      <c r="K41" s="576"/>
    </row>
    <row r="42" spans="1:11" s="251" customFormat="1">
      <c r="A42" s="241" t="s">
        <v>923</v>
      </c>
      <c r="B42" s="581">
        <f>'Sources and Uses Budget'!C43</f>
        <v>50000</v>
      </c>
      <c r="C42" s="582"/>
      <c r="D42" s="582">
        <f>+B42</f>
        <v>50000</v>
      </c>
      <c r="E42" s="581">
        <f>'Sources and Uses Budget'!S43</f>
        <v>50000</v>
      </c>
      <c r="F42" s="582"/>
      <c r="G42" s="582">
        <f>+E42</f>
        <v>50000</v>
      </c>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952500</v>
      </c>
      <c r="C44" s="582"/>
      <c r="D44" s="582">
        <f>+B44</f>
        <v>952500</v>
      </c>
      <c r="E44" s="581">
        <f>'Sources and Uses Budget'!S45</f>
        <v>635000</v>
      </c>
      <c r="F44" s="582"/>
      <c r="G44" s="582">
        <f>+E44</f>
        <v>635000</v>
      </c>
      <c r="H44" s="581">
        <f>'Sources and Uses Budget'!T45</f>
        <v>0</v>
      </c>
      <c r="I44" s="582"/>
      <c r="J44" s="582"/>
      <c r="K44" s="576"/>
    </row>
    <row r="45" spans="1:11" s="251" customFormat="1">
      <c r="A45" s="237" t="s">
        <v>926</v>
      </c>
      <c r="B45" s="581">
        <f>'Sources and Uses Budget'!C46</f>
        <v>100000</v>
      </c>
      <c r="C45" s="582"/>
      <c r="D45" s="582">
        <f t="shared" ref="D45:D51" si="2">+B45</f>
        <v>100000</v>
      </c>
      <c r="E45" s="581">
        <f>'Sources and Uses Budget'!S46</f>
        <v>100000</v>
      </c>
      <c r="F45" s="582"/>
      <c r="G45" s="582">
        <f t="shared" ref="G45:G51" si="3">+E45</f>
        <v>100000</v>
      </c>
      <c r="H45" s="581">
        <f>'Sources and Uses Budget'!T46</f>
        <v>0</v>
      </c>
      <c r="I45" s="582"/>
      <c r="J45" s="582"/>
      <c r="K45" s="576"/>
    </row>
    <row r="46" spans="1:11" s="251" customFormat="1" ht="12" customHeight="1">
      <c r="A46" s="237" t="s">
        <v>927</v>
      </c>
      <c r="B46" s="581">
        <f>'Sources and Uses Budget'!C47</f>
        <v>0</v>
      </c>
      <c r="C46" s="582"/>
      <c r="D46" s="582">
        <f t="shared" si="2"/>
        <v>0</v>
      </c>
      <c r="E46" s="581">
        <f>'Sources and Uses Budget'!S47</f>
        <v>0</v>
      </c>
      <c r="F46" s="582"/>
      <c r="G46" s="582">
        <f t="shared" si="3"/>
        <v>0</v>
      </c>
      <c r="H46" s="581">
        <f>'Sources and Uses Budget'!T47</f>
        <v>0</v>
      </c>
      <c r="I46" s="582"/>
      <c r="J46" s="582"/>
      <c r="K46" s="576"/>
    </row>
    <row r="47" spans="1:11" s="251" customFormat="1">
      <c r="A47" s="237" t="s">
        <v>928</v>
      </c>
      <c r="B47" s="581">
        <f>'Sources and Uses Budget'!C48</f>
        <v>100687</v>
      </c>
      <c r="C47" s="582"/>
      <c r="D47" s="582">
        <f t="shared" si="2"/>
        <v>100687</v>
      </c>
      <c r="E47" s="581">
        <f>'Sources and Uses Budget'!S48</f>
        <v>100687</v>
      </c>
      <c r="F47" s="582"/>
      <c r="G47" s="582">
        <f t="shared" si="3"/>
        <v>100687</v>
      </c>
      <c r="H47" s="581">
        <f>'Sources and Uses Budget'!T48</f>
        <v>0</v>
      </c>
      <c r="I47" s="582"/>
      <c r="J47" s="582"/>
      <c r="K47" s="576"/>
    </row>
    <row r="48" spans="1:11" s="251" customFormat="1">
      <c r="A48" s="237" t="s">
        <v>931</v>
      </c>
      <c r="B48" s="581">
        <f>'Sources and Uses Budget'!C49</f>
        <v>40000</v>
      </c>
      <c r="C48" s="582"/>
      <c r="D48" s="582">
        <f t="shared" si="2"/>
        <v>40000</v>
      </c>
      <c r="E48" s="581">
        <f>'Sources and Uses Budget'!S49</f>
        <v>40000</v>
      </c>
      <c r="F48" s="582"/>
      <c r="G48" s="582">
        <f t="shared" si="3"/>
        <v>40000</v>
      </c>
      <c r="H48" s="581">
        <f>'Sources and Uses Budget'!T49</f>
        <v>0</v>
      </c>
      <c r="I48" s="582"/>
      <c r="J48" s="582"/>
      <c r="K48" s="576"/>
    </row>
    <row r="49" spans="1:11" s="251" customFormat="1">
      <c r="A49" s="237" t="s">
        <v>929</v>
      </c>
      <c r="B49" s="581">
        <f>'Sources and Uses Budget'!C50</f>
        <v>0</v>
      </c>
      <c r="C49" s="582"/>
      <c r="D49" s="582">
        <f t="shared" si="2"/>
        <v>0</v>
      </c>
      <c r="E49" s="581">
        <f>'Sources and Uses Budget'!S50</f>
        <v>0</v>
      </c>
      <c r="F49" s="582"/>
      <c r="G49" s="582">
        <f t="shared" si="3"/>
        <v>0</v>
      </c>
      <c r="H49" s="581">
        <f>'Sources and Uses Budget'!T50</f>
        <v>0</v>
      </c>
      <c r="I49" s="582"/>
      <c r="J49" s="582"/>
      <c r="K49" s="576"/>
    </row>
    <row r="50" spans="1:11" s="251" customFormat="1">
      <c r="A50" s="237" t="s">
        <v>930</v>
      </c>
      <c r="B50" s="581">
        <f>'Sources and Uses Budget'!C51</f>
        <v>100000</v>
      </c>
      <c r="C50" s="582"/>
      <c r="D50" s="582">
        <f t="shared" si="2"/>
        <v>100000</v>
      </c>
      <c r="E50" s="581">
        <f>'Sources and Uses Budget'!S51</f>
        <v>100000</v>
      </c>
      <c r="F50" s="582"/>
      <c r="G50" s="582">
        <f t="shared" si="3"/>
        <v>100000</v>
      </c>
      <c r="H50" s="581">
        <f>'Sources and Uses Budget'!T51</f>
        <v>0</v>
      </c>
      <c r="I50" s="582"/>
      <c r="J50" s="582"/>
      <c r="K50" s="576"/>
    </row>
    <row r="51" spans="1:11" s="251" customFormat="1">
      <c r="A51" s="237" t="str">
        <f>'Sources and Uses Budget'!$A52</f>
        <v>Other: (Specify)</v>
      </c>
      <c r="B51" s="581">
        <f>'Sources and Uses Budget'!C52</f>
        <v>0</v>
      </c>
      <c r="C51" s="582"/>
      <c r="D51" s="582">
        <f t="shared" si="2"/>
        <v>0</v>
      </c>
      <c r="E51" s="581">
        <f>'Sources and Uses Budget'!S52</f>
        <v>0</v>
      </c>
      <c r="F51" s="582"/>
      <c r="G51" s="582">
        <f t="shared" si="3"/>
        <v>0</v>
      </c>
      <c r="H51" s="581">
        <f>'Sources and Uses Budget'!T52</f>
        <v>0</v>
      </c>
      <c r="I51" s="582"/>
      <c r="J51" s="582"/>
      <c r="K51" s="576"/>
    </row>
    <row r="52" spans="1:11" s="574" customFormat="1">
      <c r="A52" s="241" t="s">
        <v>932</v>
      </c>
      <c r="B52" s="581">
        <f>'Sources and Uses Budget'!C53</f>
        <v>1293187</v>
      </c>
      <c r="C52" s="584">
        <f>SUM(C44:C51)</f>
        <v>0</v>
      </c>
      <c r="D52" s="584">
        <f>SUM(D44:D51)</f>
        <v>1293187</v>
      </c>
      <c r="E52" s="581">
        <f>'Sources and Uses Budget'!S53</f>
        <v>975687</v>
      </c>
      <c r="F52" s="584">
        <f>SUM(F44:F51)</f>
        <v>0</v>
      </c>
      <c r="G52" s="584">
        <f>SUM(G44:G51)</f>
        <v>975687</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55500</v>
      </c>
      <c r="C54" s="582"/>
      <c r="D54" s="582">
        <f>+B54</f>
        <v>55500</v>
      </c>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10000</v>
      </c>
      <c r="C56" s="582"/>
      <c r="D56" s="582">
        <f>+B56</f>
        <v>10000</v>
      </c>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5" customHeight="1">
      <c r="A60" s="241" t="s">
        <v>500</v>
      </c>
      <c r="B60" s="581">
        <f>'Sources and Uses Budget'!C61</f>
        <v>65500</v>
      </c>
      <c r="C60" s="581">
        <f>SUM(C54:C59)</f>
        <v>0</v>
      </c>
      <c r="D60" s="581">
        <f>SUM(D54:D59)</f>
        <v>65500</v>
      </c>
      <c r="E60" s="583"/>
      <c r="F60" s="583"/>
      <c r="G60" s="583"/>
      <c r="H60" s="583"/>
      <c r="I60" s="583"/>
      <c r="J60" s="583"/>
      <c r="K60" s="576"/>
    </row>
    <row r="61" spans="1:11" s="251" customFormat="1">
      <c r="A61" s="247" t="s">
        <v>501</v>
      </c>
      <c r="B61" s="581">
        <f>'Sources and Uses Budget'!C62</f>
        <v>14749243</v>
      </c>
      <c r="C61" s="581">
        <f>SUM(C8+C11+C13+C14+C15+C25+C26+C37+C41+C42+C52+C60)</f>
        <v>0</v>
      </c>
      <c r="D61" s="581">
        <f>SUM(D8+D11+D13+D14+D15+D25+D26+D37+D41+D42+D52+D60)</f>
        <v>14749243</v>
      </c>
      <c r="E61" s="581">
        <f>'Sources and Uses Budget'!S62</f>
        <v>8466243</v>
      </c>
      <c r="F61" s="581">
        <f>SUM(F10+F13+F14+F15+F25+F26+F37+F41+F42+F52)</f>
        <v>0</v>
      </c>
      <c r="G61" s="581">
        <f>SUM(G10+G13+G14+G15+G25+G26+G37+G41+G42+G52)</f>
        <v>8466243</v>
      </c>
      <c r="H61" s="581">
        <f>'Sources and Uses Budget'!T62</f>
        <v>0</v>
      </c>
      <c r="I61" s="581">
        <f>SUM(I11+I13+I14+I15+I25+I26+I37+I41+I42+I52)</f>
        <v>0</v>
      </c>
      <c r="J61" s="581">
        <f>SUM(J11+J13+J14+J15+J25+J26+J37+J41+J42+J52)</f>
        <v>0</v>
      </c>
      <c r="K61" s="576"/>
    </row>
    <row r="62" spans="1:11" s="251" customFormat="1" ht="23.15">
      <c r="A62" s="233" t="s">
        <v>1940</v>
      </c>
      <c r="B62" s="580"/>
      <c r="C62" s="580"/>
      <c r="D62" s="580"/>
      <c r="E62" s="580"/>
      <c r="F62" s="580"/>
      <c r="G62" s="580"/>
      <c r="H62" s="580"/>
      <c r="I62" s="580"/>
      <c r="J62" s="580"/>
      <c r="K62" s="576"/>
    </row>
    <row r="63" spans="1:11" s="251" customFormat="1">
      <c r="A63" s="237" t="s">
        <v>284</v>
      </c>
      <c r="B63" s="581">
        <f>'Sources and Uses Budget'!C64</f>
        <v>85000</v>
      </c>
      <c r="C63" s="582"/>
      <c r="D63" s="582">
        <f>+B63</f>
        <v>85000</v>
      </c>
      <c r="E63" s="581">
        <f>'Sources and Uses Budget'!S64</f>
        <v>85000</v>
      </c>
      <c r="F63" s="582"/>
      <c r="G63" s="582">
        <f>+E63</f>
        <v>85000</v>
      </c>
      <c r="H63" s="581">
        <f>'Sources and Uses Budget'!T64</f>
        <v>0</v>
      </c>
      <c r="I63" s="582"/>
      <c r="J63" s="582"/>
      <c r="K63" s="576"/>
    </row>
    <row r="64" spans="1:11" s="251" customFormat="1" ht="23.15">
      <c r="A64" s="237" t="s">
        <v>1941</v>
      </c>
      <c r="B64" s="581">
        <f>'Sources and Uses Budget'!C65</f>
        <v>0</v>
      </c>
      <c r="C64" s="582"/>
      <c r="D64" s="582"/>
      <c r="E64" s="581">
        <f>'Sources and Uses Budget'!S65</f>
        <v>0</v>
      </c>
      <c r="F64" s="582"/>
      <c r="G64" s="582">
        <f>+E64</f>
        <v>0</v>
      </c>
      <c r="H64" s="581">
        <f>'Sources and Uses Budget'!T65</f>
        <v>0</v>
      </c>
      <c r="I64" s="582"/>
      <c r="J64" s="582"/>
      <c r="K64" s="576"/>
    </row>
    <row r="65" spans="1:11" s="251" customFormat="1" ht="23.15">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Partnership Legal</v>
      </c>
      <c r="B67" s="581">
        <f>'Sources and Uses Budget'!C68</f>
        <v>80000</v>
      </c>
      <c r="C67" s="582"/>
      <c r="D67" s="582">
        <f>+B67</f>
        <v>80000</v>
      </c>
      <c r="E67" s="581">
        <f>'Sources and Uses Budget'!S68</f>
        <v>40000</v>
      </c>
      <c r="F67" s="582"/>
      <c r="G67" s="582">
        <f>+E67</f>
        <v>40000</v>
      </c>
      <c r="H67" s="581">
        <f>'Sources and Uses Budget'!T68</f>
        <v>0</v>
      </c>
      <c r="I67" s="582"/>
      <c r="J67" s="582"/>
      <c r="K67" s="576"/>
    </row>
    <row r="68" spans="1:11" s="251" customFormat="1">
      <c r="A68" s="241" t="s">
        <v>1944</v>
      </c>
      <c r="B68" s="581">
        <f>'Sources and Uses Budget'!C69</f>
        <v>165000</v>
      </c>
      <c r="C68" s="581">
        <f>SUM(C62:C67)</f>
        <v>0</v>
      </c>
      <c r="D68" s="581">
        <f>SUM(D62:D67)</f>
        <v>165000</v>
      </c>
      <c r="E68" s="581">
        <f>'Sources and Uses Budget'!S69</f>
        <v>125000</v>
      </c>
      <c r="F68" s="584">
        <f>SUM(F63:F67)</f>
        <v>0</v>
      </c>
      <c r="G68" s="584">
        <f>SUM(G63:G67)</f>
        <v>125000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594665</v>
      </c>
      <c r="C73" s="582"/>
      <c r="D73" s="582">
        <f>+B73</f>
        <v>594665</v>
      </c>
      <c r="E73" s="583"/>
      <c r="F73" s="583"/>
      <c r="G73" s="583"/>
      <c r="H73" s="583"/>
      <c r="I73" s="583"/>
      <c r="J73" s="583"/>
      <c r="K73" s="576"/>
    </row>
    <row r="74" spans="1:11" s="251" customFormat="1">
      <c r="A74" s="237" t="str">
        <f>'Sources and Uses Budget'!$A75</f>
        <v>Other: Existing Replacement Reserves</v>
      </c>
      <c r="B74" s="581">
        <f>'Sources and Uses Budget'!C75</f>
        <v>75855</v>
      </c>
      <c r="C74" s="582"/>
      <c r="D74" s="582">
        <f>+B74</f>
        <v>75855</v>
      </c>
      <c r="E74" s="583"/>
      <c r="F74" s="583"/>
      <c r="G74" s="583"/>
      <c r="H74" s="583"/>
      <c r="I74" s="583"/>
      <c r="J74" s="583"/>
      <c r="K74" s="576"/>
    </row>
    <row r="75" spans="1:11" s="251" customFormat="1">
      <c r="A75" s="241" t="s">
        <v>289</v>
      </c>
      <c r="B75" s="581">
        <f>'Sources and Uses Budget'!C76</f>
        <v>670520</v>
      </c>
      <c r="C75" s="581">
        <f>SUM(C70:C74)</f>
        <v>0</v>
      </c>
      <c r="D75" s="581">
        <f>SUM(D70:D74)</f>
        <v>670520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585583</v>
      </c>
      <c r="C77" s="582"/>
      <c r="D77" s="582">
        <f>+B77</f>
        <v>585583</v>
      </c>
      <c r="E77" s="581">
        <f>'Sources and Uses Budget'!S78</f>
        <v>585583</v>
      </c>
      <c r="F77" s="582"/>
      <c r="G77" s="582">
        <f>+E77</f>
        <v>585583</v>
      </c>
      <c r="H77" s="581">
        <f>'Sources and Uses Budget'!T78</f>
        <v>0</v>
      </c>
      <c r="I77" s="582"/>
      <c r="J77" s="582"/>
      <c r="K77" s="576"/>
    </row>
    <row r="78" spans="1:11" s="251" customFormat="1">
      <c r="A78" s="237" t="s">
        <v>538</v>
      </c>
      <c r="B78" s="581">
        <f>'Sources and Uses Budget'!C79</f>
        <v>100000</v>
      </c>
      <c r="C78" s="582"/>
      <c r="D78" s="582">
        <f>+B78</f>
        <v>100000</v>
      </c>
      <c r="E78" s="581">
        <f>'Sources and Uses Budget'!S79</f>
        <v>100000</v>
      </c>
      <c r="F78" s="582"/>
      <c r="G78" s="582">
        <f>+E78</f>
        <v>100000</v>
      </c>
      <c r="H78" s="581">
        <f>'Sources and Uses Budget'!T79</f>
        <v>0</v>
      </c>
      <c r="I78" s="582"/>
      <c r="J78" s="582"/>
      <c r="K78" s="576"/>
    </row>
    <row r="79" spans="1:11" s="251" customFormat="1">
      <c r="A79" s="241" t="s">
        <v>1733</v>
      </c>
      <c r="B79" s="581">
        <f>'Sources and Uses Budget'!C80</f>
        <v>685583</v>
      </c>
      <c r="C79" s="664">
        <f>SUM(C77:C78)</f>
        <v>0</v>
      </c>
      <c r="D79" s="664">
        <f>SUM(D77:D78)</f>
        <v>685583</v>
      </c>
      <c r="E79" s="581">
        <f>'Sources and Uses Budget'!S80</f>
        <v>685583</v>
      </c>
      <c r="F79" s="664">
        <f>SUM(F77:F78)</f>
        <v>0</v>
      </c>
      <c r="G79" s="664">
        <f>SUM(G77:G78)</f>
        <v>685583</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5" customHeight="1">
      <c r="A81" s="237" t="s">
        <v>2098</v>
      </c>
      <c r="B81" s="581">
        <f>'Sources and Uses Budget'!C82</f>
        <v>85627</v>
      </c>
      <c r="C81" s="582"/>
      <c r="D81" s="582">
        <f>+B81</f>
        <v>85627</v>
      </c>
      <c r="E81" s="583"/>
      <c r="F81" s="583"/>
      <c r="G81" s="583"/>
      <c r="H81" s="583"/>
      <c r="I81" s="583"/>
      <c r="J81" s="583"/>
      <c r="K81" s="576"/>
    </row>
    <row r="82" spans="1:11" s="251" customFormat="1">
      <c r="A82" s="237" t="s">
        <v>516</v>
      </c>
      <c r="B82" s="581">
        <f>'Sources and Uses Budget'!C83</f>
        <v>60000</v>
      </c>
      <c r="C82" s="582"/>
      <c r="D82" s="582">
        <f t="shared" ref="D82:D93" si="4">+B82</f>
        <v>60000</v>
      </c>
      <c r="E82" s="581">
        <f>'Sources and Uses Budget'!S83</f>
        <v>60000</v>
      </c>
      <c r="F82" s="582"/>
      <c r="G82" s="582">
        <f>+E82</f>
        <v>60000</v>
      </c>
      <c r="H82" s="581">
        <f>'Sources and Uses Budget'!T83</f>
        <v>0</v>
      </c>
      <c r="I82" s="582"/>
      <c r="J82" s="582"/>
      <c r="K82" s="576"/>
    </row>
    <row r="83" spans="1:11" s="251" customFormat="1">
      <c r="A83" s="237" t="s">
        <v>517</v>
      </c>
      <c r="B83" s="581">
        <f>'Sources and Uses Budget'!C84</f>
        <v>0</v>
      </c>
      <c r="C83" s="582"/>
      <c r="D83" s="582">
        <f t="shared" si="4"/>
        <v>0</v>
      </c>
      <c r="E83" s="581">
        <f>'Sources and Uses Budget'!S84</f>
        <v>0</v>
      </c>
      <c r="F83" s="582"/>
      <c r="G83" s="582">
        <f t="shared" ref="G83:G85" si="5">+E83</f>
        <v>0</v>
      </c>
      <c r="H83" s="581">
        <f>'Sources and Uses Budget'!T84</f>
        <v>0</v>
      </c>
      <c r="I83" s="582"/>
      <c r="J83" s="582"/>
      <c r="K83" s="576"/>
    </row>
    <row r="84" spans="1:11" s="251" customFormat="1">
      <c r="A84" s="237" t="s">
        <v>518</v>
      </c>
      <c r="B84" s="581">
        <f>'Sources and Uses Budget'!C85</f>
        <v>23217</v>
      </c>
      <c r="C84" s="582"/>
      <c r="D84" s="582">
        <f t="shared" si="4"/>
        <v>23217</v>
      </c>
      <c r="E84" s="581">
        <f>'Sources and Uses Budget'!S85</f>
        <v>23217</v>
      </c>
      <c r="F84" s="582"/>
      <c r="G84" s="582">
        <f t="shared" si="5"/>
        <v>23217</v>
      </c>
      <c r="H84" s="581">
        <f>'Sources and Uses Budget'!T85</f>
        <v>0</v>
      </c>
      <c r="I84" s="582"/>
      <c r="J84" s="582"/>
      <c r="K84" s="576"/>
    </row>
    <row r="85" spans="1:11" s="251" customFormat="1">
      <c r="A85" s="237" t="s">
        <v>519</v>
      </c>
      <c r="B85" s="581">
        <f>'Sources and Uses Budget'!C86</f>
        <v>0</v>
      </c>
      <c r="C85" s="582"/>
      <c r="D85" s="582">
        <f t="shared" si="4"/>
        <v>0</v>
      </c>
      <c r="E85" s="581">
        <f>'Sources and Uses Budget'!S86</f>
        <v>0</v>
      </c>
      <c r="F85" s="582"/>
      <c r="G85" s="582">
        <f t="shared" si="5"/>
        <v>0</v>
      </c>
      <c r="H85" s="581">
        <f>'Sources and Uses Budget'!T86</f>
        <v>0</v>
      </c>
      <c r="I85" s="582"/>
      <c r="J85" s="582"/>
      <c r="K85" s="576"/>
    </row>
    <row r="86" spans="1:11" s="251" customFormat="1">
      <c r="A86" s="237" t="s">
        <v>520</v>
      </c>
      <c r="B86" s="581">
        <f>'Sources and Uses Budget'!C87</f>
        <v>10000</v>
      </c>
      <c r="C86" s="582"/>
      <c r="D86" s="582">
        <f t="shared" si="4"/>
        <v>10000</v>
      </c>
      <c r="E86" s="583"/>
      <c r="F86" s="583"/>
      <c r="G86" s="583"/>
      <c r="H86" s="583"/>
      <c r="I86" s="583"/>
      <c r="J86" s="583"/>
      <c r="K86" s="576"/>
    </row>
    <row r="87" spans="1:11" s="251" customFormat="1">
      <c r="A87" s="237" t="s">
        <v>521</v>
      </c>
      <c r="B87" s="581">
        <f>'Sources and Uses Budget'!C88</f>
        <v>50000</v>
      </c>
      <c r="C87" s="582"/>
      <c r="D87" s="582">
        <f t="shared" si="4"/>
        <v>50000</v>
      </c>
      <c r="E87" s="581">
        <f>'Sources and Uses Budget'!S88</f>
        <v>50000</v>
      </c>
      <c r="F87" s="582"/>
      <c r="G87" s="582">
        <f>+E87</f>
        <v>50000</v>
      </c>
      <c r="H87" s="581">
        <f>'Sources and Uses Budget'!T88</f>
        <v>0</v>
      </c>
      <c r="I87" s="582"/>
      <c r="J87" s="582"/>
      <c r="K87" s="576"/>
    </row>
    <row r="88" spans="1:11" s="251" customFormat="1">
      <c r="A88" s="237" t="s">
        <v>522</v>
      </c>
      <c r="B88" s="581">
        <f>'Sources and Uses Budget'!C89</f>
        <v>10000</v>
      </c>
      <c r="C88" s="582"/>
      <c r="D88" s="582">
        <f t="shared" si="4"/>
        <v>10000</v>
      </c>
      <c r="E88" s="581">
        <f>'Sources and Uses Budget'!S89</f>
        <v>10000</v>
      </c>
      <c r="F88" s="582"/>
      <c r="G88" s="582">
        <f t="shared" ref="G88:G93" si="6">+E88</f>
        <v>10000</v>
      </c>
      <c r="H88" s="581">
        <f>'Sources and Uses Budget'!T89</f>
        <v>0</v>
      </c>
      <c r="I88" s="582"/>
      <c r="J88" s="582"/>
      <c r="K88" s="576"/>
    </row>
    <row r="89" spans="1:11" s="251" customFormat="1">
      <c r="A89" s="237" t="s">
        <v>1314</v>
      </c>
      <c r="B89" s="581">
        <f>'Sources and Uses Budget'!C90</f>
        <v>20670</v>
      </c>
      <c r="C89" s="582"/>
      <c r="D89" s="582">
        <f t="shared" si="4"/>
        <v>20670</v>
      </c>
      <c r="E89" s="581">
        <f>'Sources and Uses Budget'!S90</f>
        <v>20670</v>
      </c>
      <c r="F89" s="582"/>
      <c r="G89" s="582">
        <f t="shared" si="6"/>
        <v>20670</v>
      </c>
      <c r="H89" s="581">
        <f>'Sources and Uses Budget'!T90</f>
        <v>0</v>
      </c>
      <c r="I89" s="582"/>
      <c r="J89" s="582"/>
      <c r="K89" s="576"/>
    </row>
    <row r="90" spans="1:11" s="251" customFormat="1">
      <c r="A90" s="237" t="s">
        <v>1731</v>
      </c>
      <c r="B90" s="581">
        <f>'Sources and Uses Budget'!C91</f>
        <v>10000</v>
      </c>
      <c r="C90" s="582"/>
      <c r="D90" s="582">
        <f t="shared" si="4"/>
        <v>10000</v>
      </c>
      <c r="E90" s="581">
        <f>'Sources and Uses Budget'!S91</f>
        <v>10000</v>
      </c>
      <c r="F90" s="582"/>
      <c r="G90" s="582">
        <f t="shared" si="6"/>
        <v>10000</v>
      </c>
      <c r="H90" s="581">
        <f>'Sources and Uses Budget'!T91</f>
        <v>0</v>
      </c>
      <c r="I90" s="582"/>
      <c r="J90" s="582"/>
      <c r="K90" s="576"/>
    </row>
    <row r="91" spans="1:11" s="251" customFormat="1">
      <c r="A91" s="237" t="str">
        <f>'Sources and Uses Budget'!$A92</f>
        <v>Other: Capital Needs Assessment</v>
      </c>
      <c r="B91" s="581">
        <f>'Sources and Uses Budget'!C92</f>
        <v>10000</v>
      </c>
      <c r="C91" s="582"/>
      <c r="D91" s="582">
        <f t="shared" si="4"/>
        <v>10000</v>
      </c>
      <c r="E91" s="581">
        <f>'Sources and Uses Budget'!S92</f>
        <v>10000</v>
      </c>
      <c r="F91" s="582"/>
      <c r="G91" s="582">
        <f t="shared" si="6"/>
        <v>10000</v>
      </c>
      <c r="H91" s="581">
        <f>'Sources and Uses Budget'!T92</f>
        <v>0</v>
      </c>
      <c r="I91" s="582"/>
      <c r="J91" s="582"/>
      <c r="K91" s="576"/>
    </row>
    <row r="92" spans="1:11" s="251" customFormat="1">
      <c r="A92" s="237" t="str">
        <f>'Sources and Uses Budget'!$A93</f>
        <v>Other: Energy Audit</v>
      </c>
      <c r="B92" s="581">
        <f>'Sources and Uses Budget'!C93</f>
        <v>60000</v>
      </c>
      <c r="C92" s="582"/>
      <c r="D92" s="582">
        <f t="shared" si="4"/>
        <v>60000</v>
      </c>
      <c r="E92" s="581">
        <f>'Sources and Uses Budget'!S93</f>
        <v>60000</v>
      </c>
      <c r="F92" s="582"/>
      <c r="G92" s="582">
        <f t="shared" si="6"/>
        <v>60000</v>
      </c>
      <c r="H92" s="581">
        <f>'Sources and Uses Budget'!T93</f>
        <v>0</v>
      </c>
      <c r="I92" s="582"/>
      <c r="J92" s="582"/>
      <c r="K92" s="576"/>
    </row>
    <row r="93" spans="1:11" s="251" customFormat="1">
      <c r="A93" s="237" t="str">
        <f>'Sources and Uses Budget'!$A94</f>
        <v>Other: (Specify)</v>
      </c>
      <c r="B93" s="581">
        <f>'Sources and Uses Budget'!C94</f>
        <v>0</v>
      </c>
      <c r="C93" s="582"/>
      <c r="D93" s="582">
        <f t="shared" si="4"/>
        <v>0</v>
      </c>
      <c r="E93" s="581">
        <f>'Sources and Uses Budget'!S94</f>
        <v>0</v>
      </c>
      <c r="F93" s="582"/>
      <c r="G93" s="582">
        <f t="shared" si="6"/>
        <v>0</v>
      </c>
      <c r="H93" s="581">
        <f>'Sources and Uses Budget'!T94</f>
        <v>0</v>
      </c>
      <c r="I93" s="582"/>
      <c r="J93" s="582"/>
      <c r="K93" s="576"/>
    </row>
    <row r="94" spans="1:11" s="251" customFormat="1">
      <c r="A94" s="241" t="s">
        <v>523</v>
      </c>
      <c r="B94" s="581">
        <f>'Sources and Uses Budget'!C95</f>
        <v>339514</v>
      </c>
      <c r="C94" s="581">
        <f>SUM(C81:C93)</f>
        <v>0</v>
      </c>
      <c r="D94" s="581">
        <f>SUM(D81:D93)</f>
        <v>339514</v>
      </c>
      <c r="E94" s="581">
        <f>'Sources and Uses Budget'!S95</f>
        <v>243887</v>
      </c>
      <c r="F94" s="584">
        <f>SUM(F82:F85,F87:F93)</f>
        <v>0</v>
      </c>
      <c r="G94" s="584">
        <f>SUM(G82:G85,G87:G93)</f>
        <v>243887</v>
      </c>
      <c r="H94" s="581">
        <f>'Sources and Uses Budget'!T95</f>
        <v>0</v>
      </c>
      <c r="I94" s="581">
        <f>SUM(I82:I85,I87:I93)</f>
        <v>0</v>
      </c>
      <c r="J94" s="581">
        <f>SUM(J82:J85,J87:J93)</f>
        <v>0</v>
      </c>
      <c r="K94" s="576"/>
    </row>
    <row r="95" spans="1:11" s="251" customFormat="1">
      <c r="A95" s="241" t="s">
        <v>1354</v>
      </c>
      <c r="B95" s="581">
        <f>'Sources and Uses Budget'!C96</f>
        <v>16609860</v>
      </c>
      <c r="C95" s="581">
        <f>SUM(C61+C68+C75+C79+C94)</f>
        <v>0</v>
      </c>
      <c r="D95" s="581">
        <f>SUM(D61+D68+D75+D79+D94)</f>
        <v>16609860</v>
      </c>
      <c r="E95" s="581">
        <f>'Sources and Uses Budget'!S96</f>
        <v>9520713</v>
      </c>
      <c r="F95" s="584">
        <f>SUM(+F61+F68+F79+F94)</f>
        <v>0</v>
      </c>
      <c r="G95" s="584">
        <f>SUM(+G61+G68+G79+G94)</f>
        <v>9520713</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1427620</v>
      </c>
      <c r="C97" s="582"/>
      <c r="D97" s="582">
        <f>+B97</f>
        <v>1427620</v>
      </c>
      <c r="E97" s="581">
        <f>'Sources and Uses Budget'!S98</f>
        <v>1427620</v>
      </c>
      <c r="F97" s="582"/>
      <c r="G97" s="582">
        <f>+E97</f>
        <v>1427620</v>
      </c>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1427620</v>
      </c>
      <c r="C102" s="581">
        <f>SUM(C97:C101)</f>
        <v>0</v>
      </c>
      <c r="D102" s="581">
        <f>SUM(D97:D101)</f>
        <v>1427620</v>
      </c>
      <c r="E102" s="581">
        <f>'Sources and Uses Budget'!S103</f>
        <v>1427620</v>
      </c>
      <c r="F102" s="584">
        <f>SUM(F97:F101)</f>
        <v>0</v>
      </c>
      <c r="G102" s="584">
        <f>SUM(G97:G101)</f>
        <v>1427620</v>
      </c>
      <c r="H102" s="581">
        <f>'Sources and Uses Budget'!T103</f>
        <v>0</v>
      </c>
      <c r="I102" s="584">
        <f>SUM(I97:I101)</f>
        <v>0</v>
      </c>
      <c r="J102" s="584">
        <f>SUM(J97:J101)</f>
        <v>0</v>
      </c>
      <c r="K102" s="576"/>
    </row>
    <row r="103" spans="1:11" s="251" customFormat="1">
      <c r="A103" s="241" t="s">
        <v>1355</v>
      </c>
      <c r="B103" s="581">
        <f>'Sources and Uses Budget'!C104</f>
        <v>18037480</v>
      </c>
      <c r="C103" s="584">
        <f>SUM(C95+C102)</f>
        <v>0</v>
      </c>
      <c r="D103" s="584">
        <f>SUM(D95+D102)</f>
        <v>18037480</v>
      </c>
      <c r="E103" s="581">
        <f>'Sources and Uses Budget'!S104</f>
        <v>10948333</v>
      </c>
      <c r="F103" s="584">
        <f>F95+F102</f>
        <v>0</v>
      </c>
      <c r="G103" s="584">
        <f>G95+G102</f>
        <v>10948333</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10948333</v>
      </c>
      <c r="F105" s="584">
        <f>F103+F104</f>
        <v>0</v>
      </c>
      <c r="G105" s="584">
        <f>G103+G104</f>
        <v>10948333</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B696" workbookViewId="0">
      <selection activeCell="AJ556" sqref="AJ556"/>
    </sheetView>
  </sheetViews>
  <sheetFormatPr defaultColWidth="0" defaultRowHeight="12.45" zeroHeight="1"/>
  <cols>
    <col min="1" max="3" width="2.4609375" style="21" customWidth="1"/>
    <col min="4" max="4" width="3.07421875" style="21" customWidth="1"/>
    <col min="5" max="5" width="3.4609375" style="21" customWidth="1"/>
    <col min="6" max="6" width="2.84375" style="21" customWidth="1"/>
    <col min="7" max="16" width="2.4609375" style="21" customWidth="1"/>
    <col min="17" max="17" width="3.07421875" style="21" customWidth="1"/>
    <col min="18" max="18" width="4.53515625" style="21" customWidth="1"/>
    <col min="19" max="26" width="2.4609375" style="21" customWidth="1"/>
    <col min="27" max="30" width="2.53515625" style="21" customWidth="1"/>
    <col min="31" max="32" width="2.4609375" style="21" customWidth="1"/>
    <col min="33" max="33" width="3.4609375" style="21" customWidth="1"/>
    <col min="34" max="36" width="2.4609375" style="21" customWidth="1"/>
    <col min="37" max="37" width="5.53515625" style="21" customWidth="1"/>
    <col min="38" max="38" width="2.4609375" style="21" customWidth="1"/>
    <col min="39" max="39" width="3.4609375" style="21" customWidth="1"/>
    <col min="40" max="40" width="5.53515625" style="666" customWidth="1"/>
    <col min="41" max="41" width="6.69140625" style="38" hidden="1" customWidth="1"/>
    <col min="42" max="43" width="7" style="21" hidden="1" customWidth="1"/>
    <col min="44" max="44" width="9.07421875" style="21" hidden="1" customWidth="1"/>
    <col min="45" max="45" width="6.69140625" style="21" hidden="1" customWidth="1"/>
    <col min="46" max="55" width="5.53515625" style="21" hidden="1" customWidth="1"/>
    <col min="56" max="60" width="5.53515625" style="40" hidden="1" customWidth="1"/>
    <col min="61" max="109" width="5.53515625" style="21" hidden="1" customWidth="1"/>
    <col min="110" max="153" width="0" style="21" hidden="1" customWidth="1"/>
    <col min="154" max="154" width="9.07421875" style="21" hidden="1" customWidth="1"/>
    <col min="155" max="16384" width="9.07421875" style="21" hidden="1"/>
  </cols>
  <sheetData>
    <row r="1" spans="1:43" ht="15.75" customHeight="1">
      <c r="A1" s="1622" t="s">
        <v>845</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2" t="s">
        <v>364</v>
      </c>
      <c r="AF4" s="1802"/>
      <c r="AG4" s="1802"/>
      <c r="AH4" s="1802"/>
      <c r="AI4" s="1802"/>
      <c r="AJ4" s="1802"/>
      <c r="AK4" s="1802"/>
      <c r="AL4" s="18"/>
      <c r="AN4" s="668"/>
    </row>
    <row r="5" spans="1:43" s="3" customFormat="1" ht="12.9"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8" t="s">
        <v>853</v>
      </c>
      <c r="AG6" s="1698"/>
      <c r="AH6" s="1698"/>
      <c r="AI6" s="1698"/>
      <c r="AJ6" s="1698"/>
      <c r="AK6" s="1698"/>
      <c r="AL6" s="169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5" t="s">
        <v>2484</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5" t="s">
        <v>1242</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8" t="s">
        <v>124</v>
      </c>
      <c r="AC13" s="180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5" t="s">
        <v>1118</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2" t="s">
        <v>2191</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1"/>
      <c r="AM20" s="27"/>
      <c r="AN20" s="667"/>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1"/>
      <c r="AM21" s="27"/>
      <c r="AN21" s="667"/>
      <c r="AP21" s="338"/>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1"/>
      <c r="AM22" s="27"/>
      <c r="AN22" s="667"/>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1"/>
      <c r="AM23" s="27"/>
      <c r="AN23" s="279"/>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1"/>
      <c r="AM24" s="27"/>
      <c r="AN24" s="669"/>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1"/>
      <c r="AM25" s="27"/>
      <c r="AN25" s="669"/>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1"/>
      <c r="AM26" s="27"/>
      <c r="AN26" s="279"/>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1"/>
      <c r="AM27" s="27"/>
      <c r="AN27" s="611"/>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1"/>
      <c r="AM28" s="27"/>
      <c r="AN28" s="611"/>
    </row>
    <row r="29" spans="1:42" s="4" customFormat="1" ht="31.6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1"/>
      <c r="AM29" s="27"/>
      <c r="AN29" s="611"/>
    </row>
    <row r="30" spans="1:42" s="4" customFormat="1" ht="12.75" customHeight="1">
      <c r="A30" s="5"/>
      <c r="B30" s="1798"/>
      <c r="C30" s="1798"/>
      <c r="D30" s="1798"/>
      <c r="E30" s="1798"/>
      <c r="F30" s="1798"/>
      <c r="G30" s="1798"/>
      <c r="H30" s="1798"/>
      <c r="I30" s="1798"/>
      <c r="J30" s="1798"/>
      <c r="K30" s="1798"/>
      <c r="L30" s="1798"/>
      <c r="M30" s="1798"/>
      <c r="N30" s="1798"/>
      <c r="O30" s="1798"/>
      <c r="P30" s="1798"/>
      <c r="Q30" s="1798"/>
      <c r="R30" s="1798"/>
      <c r="S30" s="1798"/>
      <c r="T30" s="1798"/>
      <c r="U30" s="1798"/>
      <c r="V30" s="1798"/>
      <c r="W30" s="1798"/>
      <c r="X30" s="1798"/>
      <c r="Y30" s="1798"/>
      <c r="Z30" s="1798"/>
      <c r="AA30" s="1798"/>
      <c r="AB30" s="1798"/>
      <c r="AC30" s="1798"/>
      <c r="AD30" s="1798"/>
      <c r="AE30" s="1798"/>
      <c r="AF30" s="1798"/>
      <c r="AG30" s="1798"/>
      <c r="AH30" s="1798"/>
      <c r="AI30" s="1798"/>
      <c r="AJ30" s="1798"/>
      <c r="AK30" s="1798"/>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61</v>
      </c>
      <c r="AG33" s="1698"/>
      <c r="AH33" s="1698"/>
      <c r="AI33" s="1698"/>
      <c r="AJ33" s="1698"/>
      <c r="AK33" s="1698"/>
      <c r="AL33" s="169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7" t="str">
        <f>Application!AA329</f>
        <v>Michaels Management-Affordable, LLC</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5" t="s">
        <v>1246</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5" t="s">
        <v>1118</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8"/>
      <c r="AL47" s="317"/>
      <c r="AM47" s="90"/>
      <c r="AN47" s="279"/>
    </row>
    <row r="48" spans="1:42" s="4" customFormat="1" ht="12.75" customHeight="1">
      <c r="A48" s="5"/>
      <c r="B48" s="42"/>
      <c r="R48" s="5"/>
      <c r="S48" s="42"/>
      <c r="AN48" s="279"/>
    </row>
    <row r="49" spans="1:46" s="4" customFormat="1" ht="12.75" customHeight="1">
      <c r="B49" s="1672" t="s">
        <v>1467</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1"/>
      <c r="AM49" s="27"/>
      <c r="AN49" s="279"/>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1"/>
      <c r="AM50" s="27"/>
      <c r="AN50" s="279"/>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1"/>
      <c r="AM51" s="27"/>
      <c r="AN51" s="279"/>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1"/>
      <c r="AM52" s="27"/>
      <c r="AN52" s="279"/>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1"/>
      <c r="AM53" s="27"/>
      <c r="AN53" s="279"/>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1"/>
      <c r="AM54" s="27"/>
      <c r="AN54" s="279"/>
    </row>
    <row r="55" spans="1:46" s="4" customFormat="1" ht="33.450000000000003"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2" t="s">
        <v>2184</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1"/>
      <c r="AM57" s="27"/>
      <c r="AN57" s="279"/>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1"/>
      <c r="AM58" s="27"/>
      <c r="AN58" s="279"/>
    </row>
    <row r="59" spans="1:46" s="4" customFormat="1" ht="22.95" customHeight="1">
      <c r="A59" s="423"/>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799">
        <f>$AJ$31+$AJ$47</f>
        <v>10</v>
      </c>
      <c r="AL61" s="1800"/>
      <c r="AM61" s="1801"/>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2" t="s">
        <v>364</v>
      </c>
      <c r="AF64" s="1802"/>
      <c r="AG64" s="1802"/>
      <c r="AH64" s="1802"/>
      <c r="AI64" s="1802"/>
      <c r="AJ64" s="1802"/>
      <c r="AK64" s="1802"/>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5" t="s">
        <v>563</v>
      </c>
      <c r="C66" s="1795"/>
      <c r="D66" s="1795"/>
      <c r="E66" s="1795"/>
      <c r="F66" s="1795"/>
      <c r="G66" s="1795"/>
      <c r="H66" s="1795"/>
      <c r="I66" s="1795"/>
      <c r="J66" s="1795"/>
      <c r="K66" s="1795"/>
      <c r="AF66" s="1698" t="s">
        <v>937</v>
      </c>
      <c r="AG66" s="1698"/>
      <c r="AH66" s="1698"/>
      <c r="AI66" s="1698"/>
      <c r="AJ66" s="1698"/>
      <c r="AK66" s="1698"/>
      <c r="AL66" s="1698"/>
      <c r="AN66" s="279"/>
      <c r="AP66" s="4" t="s">
        <v>124</v>
      </c>
      <c r="AS66" s="4" t="s">
        <v>664</v>
      </c>
      <c r="AT66" s="4">
        <v>10</v>
      </c>
    </row>
    <row r="67" spans="1:46" s="4" customFormat="1" ht="12.75" customHeight="1">
      <c r="B67" s="1796" t="s">
        <v>1318</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1">
        <f>VLOOKUP($B$66,$AS$64:$AU$69,2,FALSE)</f>
        <v>10</v>
      </c>
      <c r="AL68" s="1082"/>
      <c r="AM68" s="1082"/>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2" t="s">
        <v>976</v>
      </c>
      <c r="AF73" s="1802"/>
      <c r="AG73" s="1802"/>
      <c r="AH73" s="1802"/>
      <c r="AI73" s="1802"/>
      <c r="AJ73" s="1802"/>
      <c r="AK73" s="180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2" t="s">
        <v>2100</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1"/>
      <c r="AM75" s="27"/>
      <c r="AN75" s="279"/>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1"/>
      <c r="AM76" s="27"/>
      <c r="AN76" s="279"/>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1"/>
      <c r="AM77" s="27"/>
      <c r="AN77" s="279"/>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1"/>
      <c r="AM78" s="27"/>
      <c r="AN78" s="279"/>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1"/>
      <c r="AM79" s="27"/>
      <c r="AN79" s="279"/>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1"/>
      <c r="AM80" s="27"/>
      <c r="AN80" s="279"/>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1"/>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1"/>
      <c r="AN82" s="279"/>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1"/>
      <c r="AN83" s="279"/>
    </row>
    <row r="84" spans="1:42" s="4" customFormat="1" ht="14.4"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1"/>
      <c r="AN84" s="279"/>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8" t="s">
        <v>853</v>
      </c>
      <c r="AG90" s="1698"/>
      <c r="AH90" s="1698"/>
      <c r="AI90" s="1698"/>
      <c r="AJ90" s="1698"/>
      <c r="AK90" s="1698"/>
      <c r="AL90" s="1698"/>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8" t="s">
        <v>58</v>
      </c>
      <c r="AG95" s="1698"/>
      <c r="AH95" s="1698"/>
      <c r="AI95" s="1698"/>
      <c r="AJ95" s="1698"/>
      <c r="AK95" s="1698"/>
      <c r="AL95" s="1698"/>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8" t="s">
        <v>59</v>
      </c>
      <c r="AG100" s="1698"/>
      <c r="AH100" s="1698"/>
      <c r="AI100" s="1698"/>
      <c r="AJ100" s="1698"/>
      <c r="AK100" s="1698"/>
      <c r="AL100" s="1698"/>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8" t="s">
        <v>60</v>
      </c>
      <c r="AG105" s="1698"/>
      <c r="AH105" s="1698"/>
      <c r="AI105" s="1698"/>
      <c r="AJ105" s="1698"/>
      <c r="AK105" s="1698"/>
      <c r="AL105" s="1698"/>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8" t="s">
        <v>61</v>
      </c>
      <c r="AG109" s="1698"/>
      <c r="AH109" s="1698"/>
      <c r="AI109" s="1698"/>
      <c r="AJ109" s="1698"/>
      <c r="AK109" s="1698"/>
      <c r="AL109" s="1698"/>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5" t="s">
        <v>124</v>
      </c>
      <c r="I112" s="1705"/>
      <c r="J112" s="114"/>
      <c r="K112" s="114"/>
      <c r="L112" s="114"/>
      <c r="M112" s="933" t="s">
        <v>2086</v>
      </c>
      <c r="R112" s="1804"/>
      <c r="S112" s="1804"/>
      <c r="T112" s="1804"/>
      <c r="U112" s="1804"/>
      <c r="V112" s="1804"/>
      <c r="W112" s="1804"/>
      <c r="Y112" s="1582" t="str">
        <f>IF(AND(H112="(i)",NOT(Application!AF419&gt;25)),AO103,IF(AND(H112="(iv)",OR(R112=AO108,R112=AO109),NOT(AP94)),AO104,""))</f>
        <v/>
      </c>
      <c r="Z112" s="1582"/>
      <c r="AA112" s="1582"/>
      <c r="AB112" s="1582"/>
      <c r="AC112" s="1582"/>
      <c r="AD112" s="1582"/>
      <c r="AE112" s="1582"/>
      <c r="AF112" s="1582"/>
      <c r="AG112" s="1582"/>
      <c r="AH112" s="1582"/>
      <c r="AI112" s="1582"/>
      <c r="AJ112" s="1582"/>
      <c r="AK112" s="1582"/>
      <c r="AL112" s="1582"/>
      <c r="AM112" s="1805"/>
      <c r="AN112" s="953"/>
    </row>
    <row r="113" spans="1:47" s="4" customFormat="1" ht="12.75" customHeight="1">
      <c r="B113" s="5"/>
      <c r="C113" s="113"/>
      <c r="E113" s="114"/>
      <c r="F113" s="114"/>
      <c r="G113" s="114"/>
      <c r="H113" s="114"/>
      <c r="I113" s="114"/>
      <c r="J113" s="114"/>
      <c r="K113" s="114"/>
      <c r="L113" s="114"/>
      <c r="M113" s="114"/>
      <c r="Y113" s="1582"/>
      <c r="Z113" s="1582"/>
      <c r="AA113" s="1582"/>
      <c r="AB113" s="1582"/>
      <c r="AC113" s="1582"/>
      <c r="AD113" s="1582"/>
      <c r="AE113" s="1582"/>
      <c r="AF113" s="1582"/>
      <c r="AG113" s="1582"/>
      <c r="AH113" s="1582"/>
      <c r="AI113" s="1582"/>
      <c r="AJ113" s="1582"/>
      <c r="AK113" s="1582"/>
      <c r="AL113" s="1582"/>
      <c r="AM113" s="1805"/>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9" t="s">
        <v>2230</v>
      </c>
      <c r="E116" s="1809"/>
      <c r="F116" s="1809"/>
      <c r="G116" s="1809"/>
      <c r="H116" s="1809"/>
      <c r="I116" s="1809"/>
      <c r="J116" s="1809"/>
      <c r="K116" s="1809"/>
      <c r="L116" s="1809"/>
      <c r="M116" s="1809"/>
      <c r="N116" s="1809"/>
      <c r="O116" s="1809"/>
      <c r="P116" s="1809"/>
      <c r="Q116" s="1809"/>
      <c r="R116" s="1809"/>
      <c r="S116" s="1809"/>
      <c r="T116" s="1809"/>
      <c r="U116" s="1809"/>
      <c r="V116" s="1809"/>
      <c r="W116" s="1809"/>
      <c r="X116" s="1809"/>
      <c r="Y116" s="1809"/>
      <c r="Z116" s="1809"/>
      <c r="AA116" s="1809"/>
      <c r="AB116" s="1809"/>
      <c r="AC116" s="1809"/>
      <c r="AD116" s="1809"/>
      <c r="AE116" s="1809"/>
      <c r="AF116" s="1809"/>
      <c r="AG116" s="1809"/>
      <c r="AH116" s="1809"/>
      <c r="AN116" s="279"/>
      <c r="AO116" s="4" t="s">
        <v>124</v>
      </c>
      <c r="AP116" s="469">
        <v>0</v>
      </c>
    </row>
    <row r="117" spans="1:47" s="4" customFormat="1" ht="12.75" customHeight="1">
      <c r="B117" s="5"/>
      <c r="C117" s="113"/>
      <c r="D117" s="1809"/>
      <c r="E117" s="1809"/>
      <c r="F117" s="1809"/>
      <c r="G117" s="1809"/>
      <c r="H117" s="1809"/>
      <c r="I117" s="1809"/>
      <c r="J117" s="1809"/>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N117" s="279"/>
      <c r="AO117" s="4" t="s">
        <v>1468</v>
      </c>
      <c r="AP117" s="4">
        <v>3</v>
      </c>
    </row>
    <row r="118" spans="1:47" s="4" customFormat="1" ht="12.75" customHeight="1">
      <c r="B118" s="5"/>
      <c r="C118" s="113"/>
      <c r="E118" s="4" t="s">
        <v>147</v>
      </c>
      <c r="F118" s="114"/>
      <c r="G118" s="114"/>
      <c r="H118" s="1803" t="s">
        <v>124</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5" t="s">
        <v>124</v>
      </c>
      <c r="C120" s="1795"/>
      <c r="D120" s="49"/>
      <c r="E120" s="1672" t="s">
        <v>1757</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79"/>
    </row>
    <row r="121" spans="1:47" s="4" customFormat="1" ht="12.75" customHeight="1">
      <c r="B121" s="5"/>
      <c r="C121" s="113"/>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79"/>
    </row>
    <row r="122" spans="1:47" s="4" customFormat="1" ht="12.75" customHeight="1">
      <c r="B122" s="5"/>
      <c r="C122" s="113"/>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79"/>
    </row>
    <row r="123" spans="1:47" s="4" customFormat="1" ht="12.75" customHeight="1">
      <c r="B123" s="5"/>
      <c r="C123" s="113"/>
      <c r="D123" s="297"/>
      <c r="E123" s="1798"/>
      <c r="F123" s="1798"/>
      <c r="G123" s="1798"/>
      <c r="H123" s="1798"/>
      <c r="I123" s="1798"/>
      <c r="J123" s="1798"/>
      <c r="K123" s="1798"/>
      <c r="L123" s="1798"/>
      <c r="M123" s="1798"/>
      <c r="N123" s="1798"/>
      <c r="O123" s="1798"/>
      <c r="P123" s="1798"/>
      <c r="Q123" s="1798"/>
      <c r="R123" s="1798"/>
      <c r="S123" s="1798"/>
      <c r="T123" s="1798"/>
      <c r="U123" s="1798"/>
      <c r="V123" s="1798"/>
      <c r="W123" s="1798"/>
      <c r="X123" s="1798"/>
      <c r="Y123" s="1798"/>
      <c r="Z123" s="1798"/>
      <c r="AA123" s="1798"/>
      <c r="AB123" s="1798"/>
      <c r="AC123" s="1798"/>
      <c r="AD123" s="1798"/>
      <c r="AE123" s="1798"/>
      <c r="AF123" s="1798"/>
      <c r="AG123" s="1798"/>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1">
        <f>VLOOKUP($H$112,$AO$96:$AP$101,2,FALSE)+IF(R112=AO108,0,VLOOKUP($H$118,$AO$116:$AP$118,2,FALSE))</f>
        <v>0</v>
      </c>
      <c r="AK124" s="108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7" t="s">
        <v>1825</v>
      </c>
      <c r="F128" s="1807"/>
      <c r="G128" s="1807"/>
      <c r="H128" s="1807"/>
      <c r="I128" s="1807"/>
      <c r="J128" s="1807"/>
      <c r="K128" s="1807"/>
      <c r="L128" s="1807"/>
      <c r="M128" s="1807"/>
      <c r="N128" s="1807"/>
      <c r="O128" s="1807"/>
      <c r="P128" s="1807"/>
      <c r="Q128" s="1807"/>
      <c r="R128" s="1807"/>
      <c r="S128" s="1807"/>
      <c r="T128" s="1807"/>
      <c r="U128" s="1807"/>
      <c r="V128" s="1807"/>
      <c r="W128" s="1807"/>
      <c r="X128" s="1807"/>
      <c r="Y128" s="1807"/>
      <c r="Z128" s="1807"/>
      <c r="AA128" s="1807"/>
      <c r="AB128" s="1807"/>
      <c r="AC128" s="1807"/>
      <c r="AD128" s="1807"/>
      <c r="AF128" s="1698" t="s">
        <v>61</v>
      </c>
      <c r="AG128" s="1698"/>
      <c r="AH128" s="1698"/>
      <c r="AI128" s="1698"/>
      <c r="AJ128" s="1698"/>
      <c r="AK128" s="1698"/>
      <c r="AL128" s="1698"/>
      <c r="AM128" s="4"/>
      <c r="AN128" s="296"/>
      <c r="AO128" s="4" t="str">
        <f>S133</f>
        <v>N/A</v>
      </c>
    </row>
    <row r="129" spans="1:42" s="4" customFormat="1" ht="12.75" customHeight="1">
      <c r="A129" s="118"/>
      <c r="B129" s="5"/>
      <c r="C129" s="113"/>
      <c r="D129" s="26"/>
      <c r="E129" s="1807"/>
      <c r="F129" s="1807"/>
      <c r="G129" s="1807"/>
      <c r="H129" s="1807"/>
      <c r="I129" s="1807"/>
      <c r="J129" s="1807"/>
      <c r="K129" s="1807"/>
      <c r="L129" s="1807"/>
      <c r="M129" s="1807"/>
      <c r="N129" s="1807"/>
      <c r="O129" s="1807"/>
      <c r="P129" s="1807"/>
      <c r="Q129" s="1807"/>
      <c r="R129" s="1807"/>
      <c r="S129" s="1807"/>
      <c r="T129" s="1807"/>
      <c r="U129" s="1807"/>
      <c r="V129" s="1807"/>
      <c r="W129" s="1807"/>
      <c r="X129" s="1807"/>
      <c r="Y129" s="1807"/>
      <c r="Z129" s="1807"/>
      <c r="AA129" s="1807"/>
      <c r="AB129" s="1807"/>
      <c r="AC129" s="1807"/>
      <c r="AD129" s="1807"/>
      <c r="AF129" s="5"/>
      <c r="AN129" s="279"/>
    </row>
    <row r="130" spans="1:42" s="4" customFormat="1" ht="12.75" customHeight="1">
      <c r="B130" s="5"/>
      <c r="C130" s="45"/>
      <c r="D130" s="26"/>
      <c r="E130" s="1807"/>
      <c r="F130" s="1807"/>
      <c r="G130" s="1807"/>
      <c r="H130" s="1807"/>
      <c r="I130" s="1807"/>
      <c r="J130" s="1807"/>
      <c r="K130" s="1807"/>
      <c r="L130" s="1807"/>
      <c r="M130" s="1807"/>
      <c r="N130" s="1807"/>
      <c r="O130" s="1807"/>
      <c r="P130" s="1807"/>
      <c r="Q130" s="1807"/>
      <c r="R130" s="1807"/>
      <c r="S130" s="1807"/>
      <c r="T130" s="1807"/>
      <c r="U130" s="1807"/>
      <c r="V130" s="1807"/>
      <c r="W130" s="1807"/>
      <c r="X130" s="1807"/>
      <c r="Y130" s="1807"/>
      <c r="Z130" s="1807"/>
      <c r="AA130" s="1807"/>
      <c r="AB130" s="1807"/>
      <c r="AC130" s="1807"/>
      <c r="AD130" s="1807"/>
      <c r="AF130" s="5"/>
      <c r="AN130" s="279"/>
    </row>
    <row r="131" spans="1:42" s="4" customFormat="1" ht="12.75" customHeight="1">
      <c r="A131" s="35"/>
      <c r="B131" s="100"/>
      <c r="C131" s="119"/>
      <c r="D131" s="26"/>
      <c r="E131" s="1807"/>
      <c r="F131" s="1807"/>
      <c r="G131" s="1807"/>
      <c r="H131" s="1807"/>
      <c r="I131" s="1807"/>
      <c r="J131" s="1807"/>
      <c r="K131" s="1807"/>
      <c r="L131" s="1807"/>
      <c r="M131" s="1807"/>
      <c r="N131" s="1807"/>
      <c r="O131" s="1807"/>
      <c r="P131" s="1807"/>
      <c r="Q131" s="1807"/>
      <c r="R131" s="1807"/>
      <c r="S131" s="1807"/>
      <c r="T131" s="1807"/>
      <c r="U131" s="1807"/>
      <c r="V131" s="1807"/>
      <c r="W131" s="1807"/>
      <c r="X131" s="1807"/>
      <c r="Y131" s="1807"/>
      <c r="Z131" s="1807"/>
      <c r="AA131" s="1807"/>
      <c r="AB131" s="1807"/>
      <c r="AC131" s="1807"/>
      <c r="AD131" s="1807"/>
      <c r="AE131" s="19"/>
      <c r="AF131" s="100"/>
      <c r="AG131" s="19"/>
      <c r="AH131" s="19"/>
      <c r="AI131" s="19"/>
      <c r="AJ131" s="19"/>
      <c r="AN131" s="279"/>
    </row>
    <row r="132" spans="1:42" s="4" customFormat="1" ht="22.95" customHeight="1">
      <c r="B132" s="100"/>
      <c r="C132" s="119"/>
      <c r="D132" s="26"/>
      <c r="E132" s="1807"/>
      <c r="F132" s="1807"/>
      <c r="G132" s="1807"/>
      <c r="H132" s="1807"/>
      <c r="I132" s="1807"/>
      <c r="J132" s="1807"/>
      <c r="K132" s="1807"/>
      <c r="L132" s="1807"/>
      <c r="M132" s="1807"/>
      <c r="N132" s="1807"/>
      <c r="O132" s="1807"/>
      <c r="P132" s="1807"/>
      <c r="Q132" s="1807"/>
      <c r="R132" s="1807"/>
      <c r="S132" s="1807"/>
      <c r="T132" s="1807"/>
      <c r="U132" s="1807"/>
      <c r="V132" s="1807"/>
      <c r="W132" s="1807"/>
      <c r="X132" s="1807"/>
      <c r="Y132" s="1807"/>
      <c r="Z132" s="1807"/>
      <c r="AA132" s="1807"/>
      <c r="AB132" s="1807"/>
      <c r="AC132" s="1807"/>
      <c r="AD132" s="1807"/>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6" t="s">
        <v>124</v>
      </c>
      <c r="T133" s="1806"/>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8" t="s">
        <v>103</v>
      </c>
      <c r="AG135" s="1698"/>
      <c r="AH135" s="1698"/>
      <c r="AI135" s="1698"/>
      <c r="AJ135" s="1698"/>
      <c r="AK135" s="1698"/>
      <c r="AL135" s="169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5" t="s">
        <v>580</v>
      </c>
      <c r="I137" s="170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1">
        <f>VLOOKUP($H$137,$AO$133:$AP$135,2,FALSE)</f>
        <v>3</v>
      </c>
      <c r="AK139" s="108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8" t="s">
        <v>61</v>
      </c>
      <c r="AG143" s="1698"/>
      <c r="AH143" s="1698"/>
      <c r="AI143" s="1698"/>
      <c r="AJ143" s="1698"/>
      <c r="AK143" s="1698"/>
      <c r="AL143" s="169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103</v>
      </c>
      <c r="AG146" s="1698"/>
      <c r="AH146" s="1698"/>
      <c r="AI146" s="1698"/>
      <c r="AJ146" s="1698"/>
      <c r="AK146" s="1698"/>
      <c r="AL146" s="1698"/>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5" t="s">
        <v>580</v>
      </c>
      <c r="I149" s="170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1">
        <f>VLOOKUP(H149,AO140:AP142,2,FALSE)</f>
        <v>3</v>
      </c>
      <c r="AK151" s="108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2" t="s">
        <v>745</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0"/>
      <c r="AF156" s="1300" t="s">
        <v>59</v>
      </c>
      <c r="AG156" s="1300"/>
      <c r="AH156" s="1300"/>
      <c r="AI156" s="1300"/>
      <c r="AJ156" s="1300"/>
      <c r="AK156" s="1300"/>
      <c r="AL156" s="1300"/>
      <c r="AN156" s="279"/>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0"/>
      <c r="AF157" s="340"/>
      <c r="AG157" s="340"/>
      <c r="AH157" s="340"/>
      <c r="AI157" s="340"/>
      <c r="AJ157" s="340"/>
      <c r="AK157" s="340"/>
      <c r="AL157" s="340"/>
      <c r="AN157" s="279"/>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2" t="s">
        <v>1706</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0"/>
      <c r="AF160" s="1300" t="s">
        <v>60</v>
      </c>
      <c r="AG160" s="1300"/>
      <c r="AH160" s="1300"/>
      <c r="AI160" s="1300"/>
      <c r="AJ160" s="1300"/>
      <c r="AK160" s="1300"/>
      <c r="AL160" s="1300"/>
      <c r="AN160" s="279"/>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0"/>
      <c r="AF161" s="340"/>
      <c r="AG161" s="340"/>
      <c r="AH161" s="340"/>
      <c r="AI161" s="340"/>
      <c r="AJ161" s="340"/>
      <c r="AK161" s="340"/>
      <c r="AL161" s="340"/>
      <c r="AN161" s="279"/>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2" t="s">
        <v>1707</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0"/>
      <c r="AF164" s="1300" t="s">
        <v>61</v>
      </c>
      <c r="AG164" s="1300"/>
      <c r="AH164" s="1300"/>
      <c r="AI164" s="1300"/>
      <c r="AJ164" s="1300"/>
      <c r="AK164" s="1300"/>
      <c r="AL164" s="1300"/>
      <c r="AN164" s="279"/>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300"/>
      <c r="AF165" s="1300"/>
      <c r="AG165" s="1300"/>
      <c r="AH165" s="1300"/>
      <c r="AI165" s="1300"/>
      <c r="AJ165" s="1300"/>
      <c r="AK165" s="1300"/>
      <c r="AL165" s="963"/>
      <c r="AN165" s="279"/>
    </row>
    <row r="166" spans="1:42" s="4" customFormat="1" ht="12.75" customHeight="1">
      <c r="A166" s="118"/>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2" t="s">
        <v>1708</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0"/>
      <c r="AF168" s="1300" t="s">
        <v>60</v>
      </c>
      <c r="AG168" s="1300"/>
      <c r="AH168" s="1300"/>
      <c r="AI168" s="1300"/>
      <c r="AJ168" s="1300"/>
      <c r="AK168" s="1300"/>
      <c r="AL168" s="1300"/>
      <c r="AN168" s="279"/>
    </row>
    <row r="169" spans="1:42" s="4" customFormat="1" ht="12.75" customHeight="1">
      <c r="A169" s="109"/>
      <c r="B169" s="5"/>
      <c r="C169" s="124"/>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72" t="s">
        <v>1709</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0"/>
      <c r="AF172" s="1300" t="s">
        <v>61</v>
      </c>
      <c r="AG172" s="1300"/>
      <c r="AH172" s="1300"/>
      <c r="AI172" s="1300"/>
      <c r="AJ172" s="1300"/>
      <c r="AK172" s="1300"/>
      <c r="AL172" s="1300"/>
      <c r="AM172" s="20"/>
      <c r="AN172" s="279"/>
      <c r="AO172" s="26" t="s">
        <v>889</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2" t="s">
        <v>1470</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0"/>
      <c r="AF176" s="1300" t="s">
        <v>103</v>
      </c>
      <c r="AG176" s="1300"/>
      <c r="AH176" s="1300"/>
      <c r="AI176" s="1300"/>
      <c r="AJ176" s="1300"/>
      <c r="AK176" s="1300"/>
      <c r="AL176" s="1300"/>
      <c r="AM176" s="20"/>
      <c r="AN176" s="279"/>
      <c r="AO176" s="26" t="s">
        <v>281</v>
      </c>
      <c r="AP176" s="4">
        <v>1</v>
      </c>
    </row>
    <row r="177" spans="1:61" s="4" customFormat="1" ht="22.95" customHeight="1">
      <c r="A177" s="118"/>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2" t="s">
        <v>1471</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0"/>
      <c r="AF179" s="1300" t="s">
        <v>318</v>
      </c>
      <c r="AG179" s="1300"/>
      <c r="AH179" s="1300"/>
      <c r="AI179" s="1300"/>
      <c r="AJ179" s="1300"/>
      <c r="AK179" s="1300"/>
      <c r="AL179" s="1300"/>
      <c r="AM179" s="20"/>
      <c r="AN179" s="279"/>
    </row>
    <row r="180" spans="1:61" s="4" customFormat="1" ht="22.95" customHeight="1">
      <c r="A180" s="118"/>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5" t="s">
        <v>580</v>
      </c>
      <c r="I182" s="170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1">
        <f>VLOOKUP($H$182,$AO$169:$AP$176,2,FALSE)</f>
        <v>5</v>
      </c>
      <c r="AK184" s="108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7" t="s">
        <v>2283</v>
      </c>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D188" s="5"/>
      <c r="AF188" s="1160" t="s">
        <v>61</v>
      </c>
      <c r="AG188" s="1160"/>
      <c r="AH188" s="1160"/>
      <c r="AI188" s="1160"/>
      <c r="AJ188" s="1160"/>
      <c r="AK188" s="1160"/>
      <c r="AL188" s="1160"/>
      <c r="AN188" s="279"/>
    </row>
    <row r="189" spans="1:61" s="4" customFormat="1" ht="12.75" customHeight="1">
      <c r="A189" s="118"/>
      <c r="B189" s="5"/>
      <c r="C189" s="128"/>
      <c r="D189" s="26"/>
      <c r="E189" s="1707"/>
      <c r="F189" s="1707"/>
      <c r="G189" s="1707"/>
      <c r="H189" s="1707"/>
      <c r="I189" s="1707"/>
      <c r="J189" s="1707"/>
      <c r="K189" s="1707"/>
      <c r="L189" s="1707"/>
      <c r="M189" s="1707"/>
      <c r="N189" s="1707"/>
      <c r="O189" s="1707"/>
      <c r="P189" s="1707"/>
      <c r="Q189" s="1707"/>
      <c r="R189" s="1707"/>
      <c r="S189" s="1707"/>
      <c r="T189" s="1707"/>
      <c r="U189" s="1707"/>
      <c r="V189" s="1707"/>
      <c r="W189" s="1707"/>
      <c r="X189" s="1707"/>
      <c r="Y189" s="1707"/>
      <c r="Z189" s="1707"/>
      <c r="AA189" s="1707"/>
      <c r="AB189" s="1707"/>
      <c r="AD189" s="5"/>
      <c r="AF189" s="1160"/>
      <c r="AG189" s="1160"/>
      <c r="AH189" s="1160"/>
      <c r="AI189" s="1160"/>
      <c r="AJ189" s="1160"/>
      <c r="AK189" s="1160"/>
      <c r="AL189" s="116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2" t="s">
        <v>2216</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300" t="s">
        <v>61</v>
      </c>
      <c r="AG191" s="1300"/>
      <c r="AH191" s="1300"/>
      <c r="AI191" s="1300"/>
      <c r="AJ191" s="1300"/>
      <c r="AK191" s="1300"/>
      <c r="AL191" s="1300"/>
      <c r="AN191" s="279"/>
      <c r="AO191" s="26" t="s">
        <v>580</v>
      </c>
      <c r="AP191" s="4">
        <v>3</v>
      </c>
    </row>
    <row r="192" spans="1:61" s="4" customFormat="1" ht="12.75" customHeight="1">
      <c r="B192" s="5"/>
      <c r="C192" s="119"/>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300"/>
      <c r="AG192" s="1300"/>
      <c r="AH192" s="1300"/>
      <c r="AI192" s="1300"/>
      <c r="AJ192" s="1300"/>
      <c r="AK192" s="1300"/>
      <c r="AL192" s="1300"/>
      <c r="AN192" s="279"/>
      <c r="AO192" s="26" t="s">
        <v>197</v>
      </c>
      <c r="AP192" s="26">
        <f>3*$AO$197</f>
        <v>0</v>
      </c>
    </row>
    <row r="193" spans="1:53" s="4" customFormat="1" ht="12.75" customHeight="1">
      <c r="B193" s="5"/>
      <c r="C193" s="119"/>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0"/>
      <c r="AG193" s="19"/>
      <c r="AH193" s="19"/>
      <c r="AI193" s="19"/>
      <c r="AJ193" s="19"/>
      <c r="AK193" s="19"/>
      <c r="AL193" s="19"/>
      <c r="AN193" s="279"/>
      <c r="AO193" s="4" t="s">
        <v>889</v>
      </c>
      <c r="AP193" s="26">
        <f>2*$AO$197</f>
        <v>0</v>
      </c>
    </row>
    <row r="194" spans="1:53" s="4" customFormat="1" ht="6.75" customHeight="1">
      <c r="B194" s="5"/>
      <c r="C194" s="119"/>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2" t="s">
        <v>2217</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300" t="s">
        <v>103</v>
      </c>
      <c r="AG196" s="1300"/>
      <c r="AH196" s="1300"/>
      <c r="AI196" s="1300"/>
      <c r="AJ196" s="1300"/>
      <c r="AK196" s="1300"/>
      <c r="AL196" s="1300"/>
      <c r="AN196" s="279"/>
      <c r="AY196" s="4" t="s">
        <v>2218</v>
      </c>
      <c r="AZ196" s="955">
        <f>Application!S215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300"/>
      <c r="AG197" s="1300"/>
      <c r="AH197" s="1300"/>
      <c r="AI197" s="1300"/>
      <c r="AJ197" s="1300"/>
      <c r="AK197" s="1300"/>
      <c r="AL197" s="1300"/>
      <c r="AN197" s="279"/>
      <c r="AO197" s="125" t="b">
        <f>IF(OR(Application!D214="Special Needs",Application!D211="At-Risk and Special Needs"),IF(BA203&gt;=0.25,TRUE,FALSE),IF(AZ203&gt;=0.25,TRUE,FALSE))</f>
        <v>0</v>
      </c>
      <c r="AY197" s="4" t="s">
        <v>2219</v>
      </c>
      <c r="AZ197" s="955">
        <f>Application!G738</f>
        <v>100</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79"/>
      <c r="AY198" s="4" t="s">
        <v>2221</v>
      </c>
      <c r="AZ198" s="4">
        <f>Application!CC634</f>
        <v>0</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2"/>
      <c r="AY199" s="4" t="s">
        <v>2222</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3" t="s">
        <v>2273</v>
      </c>
      <c r="F201" s="1703"/>
      <c r="G201" s="1703"/>
      <c r="H201" s="1703"/>
      <c r="I201" s="1703"/>
      <c r="J201" s="1703"/>
      <c r="K201" s="1703"/>
      <c r="L201" s="1703"/>
      <c r="M201" s="1703"/>
      <c r="N201" s="1703"/>
      <c r="O201" s="1703"/>
      <c r="P201" s="1703"/>
      <c r="Q201" s="1703"/>
      <c r="R201" s="1703"/>
      <c r="S201" s="1703"/>
      <c r="T201" s="1703"/>
      <c r="U201" s="1703"/>
      <c r="V201" s="1703"/>
      <c r="W201" s="1703"/>
      <c r="X201" s="1703"/>
      <c r="Y201" s="1703"/>
      <c r="Z201" s="1703"/>
      <c r="AA201" s="1703"/>
      <c r="AB201" s="1703"/>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3"/>
      <c r="F202" s="1703"/>
      <c r="G202" s="1703"/>
      <c r="H202" s="1703"/>
      <c r="I202" s="1703"/>
      <c r="J202" s="1703"/>
      <c r="K202" s="1703"/>
      <c r="L202" s="1703"/>
      <c r="M202" s="1703"/>
      <c r="N202" s="1703"/>
      <c r="O202" s="1703"/>
      <c r="P202" s="1703"/>
      <c r="Q202" s="1703"/>
      <c r="R202" s="1703"/>
      <c r="S202" s="1703"/>
      <c r="T202" s="1703"/>
      <c r="U202" s="1703"/>
      <c r="V202" s="1703"/>
      <c r="W202" s="1703"/>
      <c r="X202" s="1703"/>
      <c r="Y202" s="1703"/>
      <c r="Z202" s="1703"/>
      <c r="AA202" s="1703"/>
      <c r="AB202" s="1703"/>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03"/>
      <c r="F203" s="1703"/>
      <c r="G203" s="1703"/>
      <c r="H203" s="1703"/>
      <c r="I203" s="1703"/>
      <c r="J203" s="1703"/>
      <c r="K203" s="1703"/>
      <c r="L203" s="1703"/>
      <c r="M203" s="1703"/>
      <c r="N203" s="1703"/>
      <c r="O203" s="1703"/>
      <c r="P203" s="1703"/>
      <c r="Q203" s="1703"/>
      <c r="R203" s="1703"/>
      <c r="S203" s="1703"/>
      <c r="T203" s="1703"/>
      <c r="U203" s="1703"/>
      <c r="V203" s="1703"/>
      <c r="W203" s="1703"/>
      <c r="X203" s="1703"/>
      <c r="Y203" s="1703"/>
      <c r="Z203" s="1703"/>
      <c r="AA203" s="1703"/>
      <c r="AB203" s="1703"/>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05" t="s">
        <v>124</v>
      </c>
      <c r="I204" s="170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1">
        <f>VLOOKUP($H$204,$AO$190:$AP$193,2,FALSE)</f>
        <v>0</v>
      </c>
      <c r="AK206" s="108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6" t="s">
        <v>1253</v>
      </c>
      <c r="F210" s="1706"/>
      <c r="G210" s="1706"/>
      <c r="H210" s="1706"/>
      <c r="I210" s="1706"/>
      <c r="J210" s="1706"/>
      <c r="K210" s="1706"/>
      <c r="L210" s="1706"/>
      <c r="M210" s="1706"/>
      <c r="N210" s="1706"/>
      <c r="O210" s="1706"/>
      <c r="P210" s="1706"/>
      <c r="Q210" s="1706"/>
      <c r="R210" s="1706"/>
      <c r="S210" s="1706"/>
      <c r="T210" s="1706"/>
      <c r="U210" s="1706"/>
      <c r="V210" s="1706"/>
      <c r="W210" s="1706"/>
      <c r="X210" s="1706"/>
      <c r="Y210" s="1706"/>
      <c r="Z210" s="1706"/>
      <c r="AA210" s="1706"/>
      <c r="AB210" s="1706"/>
      <c r="AC210" s="4"/>
      <c r="AD210" s="4"/>
      <c r="AF210" s="1698" t="s">
        <v>61</v>
      </c>
      <c r="AG210" s="1698"/>
      <c r="AH210" s="1698"/>
      <c r="AI210" s="1698"/>
      <c r="AJ210" s="1698"/>
      <c r="AK210" s="1698"/>
      <c r="AL210" s="1698"/>
      <c r="AM210" s="4"/>
      <c r="AN210" s="202"/>
      <c r="AO210" s="4" t="s">
        <v>124</v>
      </c>
      <c r="AP210" s="469">
        <v>0</v>
      </c>
    </row>
    <row r="211" spans="1:52" customFormat="1" ht="11.9" customHeight="1">
      <c r="A211" s="4"/>
      <c r="B211" s="5"/>
      <c r="C211" s="113"/>
      <c r="D211" s="26"/>
      <c r="E211" s="1706"/>
      <c r="F211" s="1706"/>
      <c r="G211" s="1706"/>
      <c r="H211" s="1706"/>
      <c r="I211" s="1706"/>
      <c r="J211" s="1706"/>
      <c r="K211" s="1706"/>
      <c r="L211" s="1706"/>
      <c r="M211" s="1706"/>
      <c r="N211" s="1706"/>
      <c r="O211" s="1706"/>
      <c r="P211" s="1706"/>
      <c r="Q211" s="1706"/>
      <c r="R211" s="1706"/>
      <c r="S211" s="1706"/>
      <c r="T211" s="1706"/>
      <c r="U211" s="1706"/>
      <c r="V211" s="1706"/>
      <c r="W211" s="1706"/>
      <c r="X211" s="1706"/>
      <c r="Y211" s="1706"/>
      <c r="Z211" s="1706"/>
      <c r="AA211" s="1706"/>
      <c r="AB211" s="1706"/>
      <c r="AC211" s="4"/>
      <c r="AD211" s="4"/>
      <c r="AE211" s="4"/>
      <c r="AM211" s="4"/>
      <c r="AN211" s="202"/>
      <c r="AO211" s="26" t="s">
        <v>580</v>
      </c>
      <c r="AP211" s="4">
        <v>3</v>
      </c>
    </row>
    <row r="212" spans="1:52" customFormat="1" ht="13.95" customHeight="1">
      <c r="A212" s="4"/>
      <c r="B212" s="42"/>
      <c r="C212" s="45"/>
      <c r="D212" s="26"/>
      <c r="E212" s="1706"/>
      <c r="F212" s="1706"/>
      <c r="G212" s="1706"/>
      <c r="H212" s="1706"/>
      <c r="I212" s="1706"/>
      <c r="J212" s="1706"/>
      <c r="K212" s="1706"/>
      <c r="L212" s="1706"/>
      <c r="M212" s="1706"/>
      <c r="N212" s="1706"/>
      <c r="O212" s="1706"/>
      <c r="P212" s="1706"/>
      <c r="Q212" s="1706"/>
      <c r="R212" s="1706"/>
      <c r="S212" s="1706"/>
      <c r="T212" s="1706"/>
      <c r="U212" s="1706"/>
      <c r="V212" s="1706"/>
      <c r="W212" s="1706"/>
      <c r="X212" s="1706"/>
      <c r="Y212" s="1706"/>
      <c r="Z212" s="1706"/>
      <c r="AA212" s="1706"/>
      <c r="AB212" s="1706"/>
      <c r="AC212" s="4"/>
      <c r="AD212" s="4"/>
      <c r="AE212" s="19"/>
      <c r="AM212" s="4"/>
      <c r="AN212" s="202"/>
      <c r="AO212" s="26" t="s">
        <v>197</v>
      </c>
      <c r="AP212" s="4">
        <v>2</v>
      </c>
    </row>
    <row r="213" spans="1:52" customFormat="1" ht="13.95" customHeight="1">
      <c r="A213" s="4"/>
      <c r="B213" s="5"/>
      <c r="C213" s="45"/>
      <c r="D213" s="26" t="s">
        <v>197</v>
      </c>
      <c r="E213" s="1709" t="s">
        <v>1254</v>
      </c>
      <c r="F213" s="1709"/>
      <c r="G213" s="1709"/>
      <c r="H213" s="1709"/>
      <c r="I213" s="1709"/>
      <c r="J213" s="1709"/>
      <c r="K213" s="1709"/>
      <c r="L213" s="1709"/>
      <c r="M213" s="1709"/>
      <c r="N213" s="1709"/>
      <c r="O213" s="1709"/>
      <c r="P213" s="1709"/>
      <c r="Q213" s="1709"/>
      <c r="R213" s="1709"/>
      <c r="S213" s="1709"/>
      <c r="T213" s="1709"/>
      <c r="U213" s="1709"/>
      <c r="V213" s="1709"/>
      <c r="W213" s="1709"/>
      <c r="X213" s="1709"/>
      <c r="Y213" s="1709"/>
      <c r="Z213" s="1709"/>
      <c r="AA213" s="1709"/>
      <c r="AB213" s="1709"/>
      <c r="AC213" s="4"/>
      <c r="AD213" s="4"/>
      <c r="AF213" s="1698" t="s">
        <v>103</v>
      </c>
      <c r="AG213" s="1698"/>
      <c r="AH213" s="1698"/>
      <c r="AI213" s="1698"/>
      <c r="AJ213" s="1698"/>
      <c r="AK213" s="1698"/>
      <c r="AL213" s="1698"/>
      <c r="AM213" s="4"/>
      <c r="AN213" s="670"/>
      <c r="AP213" s="21"/>
    </row>
    <row r="214" spans="1:52" customFormat="1" ht="12.75" customHeight="1">
      <c r="A214" s="4"/>
      <c r="B214" s="5"/>
      <c r="C214" s="113"/>
      <c r="D214" s="4"/>
      <c r="E214" s="1709"/>
      <c r="F214" s="1709"/>
      <c r="G214" s="1709"/>
      <c r="H214" s="1709"/>
      <c r="I214" s="1709"/>
      <c r="J214" s="1709"/>
      <c r="K214" s="1709"/>
      <c r="L214" s="1709"/>
      <c r="M214" s="1709"/>
      <c r="N214" s="1709"/>
      <c r="O214" s="1709"/>
      <c r="P214" s="1709"/>
      <c r="Q214" s="1709"/>
      <c r="R214" s="1709"/>
      <c r="S214" s="1709"/>
      <c r="T214" s="1709"/>
      <c r="U214" s="1709"/>
      <c r="V214" s="1709"/>
      <c r="W214" s="1709"/>
      <c r="X214" s="1709"/>
      <c r="Y214" s="1709"/>
      <c r="Z214" s="1709"/>
      <c r="AA214" s="1709"/>
      <c r="AB214" s="1709"/>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09"/>
      <c r="F215" s="1709"/>
      <c r="G215" s="1709"/>
      <c r="H215" s="1709"/>
      <c r="I215" s="1709"/>
      <c r="J215" s="1709"/>
      <c r="K215" s="1709"/>
      <c r="L215" s="1709"/>
      <c r="M215" s="1709"/>
      <c r="N215" s="1709"/>
      <c r="O215" s="1709"/>
      <c r="P215" s="1709"/>
      <c r="Q215" s="1709"/>
      <c r="R215" s="1709"/>
      <c r="S215" s="1709"/>
      <c r="T215" s="1709"/>
      <c r="U215" s="1709"/>
      <c r="V215" s="1709"/>
      <c r="W215" s="1709"/>
      <c r="X215" s="1709"/>
      <c r="Y215" s="1709"/>
      <c r="Z215" s="1709"/>
      <c r="AA215" s="1709"/>
      <c r="AB215" s="1709"/>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705" t="s">
        <v>580</v>
      </c>
      <c r="I216" s="170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1">
        <f>VLOOKUP($H$216,$AO$210:$AP$212,2,FALSE)</f>
        <v>3</v>
      </c>
      <c r="AK218" s="1084"/>
      <c r="AL218" s="10"/>
      <c r="AM218" s="4"/>
      <c r="AN218" s="202"/>
      <c r="AP218" s="1081"/>
      <c r="AQ218" s="108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2" t="s">
        <v>1487</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98" t="s">
        <v>61</v>
      </c>
      <c r="AG222" s="1698"/>
      <c r="AH222" s="1698"/>
      <c r="AI222" s="1698"/>
      <c r="AJ222" s="1698"/>
      <c r="AK222" s="1698"/>
      <c r="AL222" s="1698"/>
      <c r="AM222" s="4"/>
      <c r="AN222" s="202"/>
      <c r="AO222" s="38"/>
      <c r="AP222" s="21"/>
      <c r="AT222" s="21"/>
      <c r="AU222" s="21"/>
      <c r="AV222" s="21"/>
      <c r="AW222" s="21"/>
      <c r="AX222" s="21"/>
      <c r="AY222" s="21"/>
      <c r="AZ222" s="21"/>
    </row>
    <row r="223" spans="1:52" customFormat="1">
      <c r="A223" s="4"/>
      <c r="B223" s="5"/>
      <c r="C223" s="113"/>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2" t="s">
        <v>881</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698" t="s">
        <v>103</v>
      </c>
      <c r="AG225" s="1698"/>
      <c r="AH225" s="1698"/>
      <c r="AI225" s="1698"/>
      <c r="AJ225" s="1698"/>
      <c r="AK225" s="1698"/>
      <c r="AL225" s="1698"/>
      <c r="AM225" s="4"/>
      <c r="AN225" s="202"/>
      <c r="AO225" s="4" t="s">
        <v>124</v>
      </c>
      <c r="AP225" s="469">
        <v>0</v>
      </c>
      <c r="AT225" s="21"/>
      <c r="AU225" s="21"/>
      <c r="AV225" s="21"/>
      <c r="AW225" s="21"/>
      <c r="AX225" s="21"/>
      <c r="AY225" s="21"/>
      <c r="AZ225" s="21"/>
    </row>
    <row r="226" spans="1:82" customFormat="1">
      <c r="A226" s="4"/>
      <c r="B226" s="5"/>
      <c r="C226" s="113"/>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5" t="s">
        <v>124</v>
      </c>
      <c r="I228" s="170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1">
        <f>VLOOKUP($H$228,$AO$225:$AP$227,2,FALSE)</f>
        <v>0</v>
      </c>
      <c r="AK230" s="108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2" t="s">
        <v>1122</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698" t="s">
        <v>61</v>
      </c>
      <c r="AG234" s="1698"/>
      <c r="AH234" s="1698"/>
      <c r="AI234" s="1698"/>
      <c r="AJ234" s="1698"/>
      <c r="AK234" s="1698"/>
      <c r="AL234" s="1698"/>
      <c r="AM234" s="4"/>
      <c r="AN234" s="202"/>
      <c r="AT234" s="21"/>
      <c r="AU234" s="21"/>
      <c r="AV234" s="21"/>
      <c r="AW234" s="21"/>
      <c r="AX234" s="21"/>
      <c r="AY234" s="21"/>
      <c r="AZ234" s="21"/>
    </row>
    <row r="235" spans="1:82" customFormat="1">
      <c r="A235" s="4"/>
      <c r="B235" s="5"/>
      <c r="C235" s="113"/>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2"/>
    </row>
    <row r="236" spans="1:82" customFormat="1" ht="12.75" customHeight="1">
      <c r="A236" s="4"/>
      <c r="B236" s="5"/>
      <c r="C236" s="113"/>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2" t="s">
        <v>1123</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1"/>
      <c r="AC238" s="4"/>
      <c r="AD238" s="4"/>
      <c r="AF238" s="1698" t="s">
        <v>103</v>
      </c>
      <c r="AG238" s="1698"/>
      <c r="AH238" s="1698"/>
      <c r="AI238" s="1698"/>
      <c r="AJ238" s="1698"/>
      <c r="AK238" s="1698"/>
      <c r="AL238" s="1698"/>
      <c r="AM238" s="4"/>
      <c r="AN238" s="202"/>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5" t="s">
        <v>580</v>
      </c>
      <c r="I242" s="170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1">
        <f>VLOOKUP($H$242,$AO$225:$AP$227,2,FALSE)</f>
        <v>3</v>
      </c>
      <c r="AK244" s="108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2" t="s">
        <v>317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98" t="s">
        <v>103</v>
      </c>
      <c r="AG248" s="1698"/>
      <c r="AH248" s="1698"/>
      <c r="AI248" s="1698"/>
      <c r="AJ248" s="1698"/>
      <c r="AK248" s="1698"/>
      <c r="AL248" s="169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1255</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698" t="s">
        <v>318</v>
      </c>
      <c r="AG251" s="1698"/>
      <c r="AH251" s="1698"/>
      <c r="AI251" s="1698"/>
      <c r="AJ251" s="1698"/>
      <c r="AK251" s="1698"/>
      <c r="AL251" s="169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5" t="s">
        <v>580</v>
      </c>
      <c r="I254" s="170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1">
        <f>VLOOKUP($H$254,$AO$246:$AP$248,2,FALSE)</f>
        <v>2</v>
      </c>
      <c r="AK256" s="108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580</v>
      </c>
      <c r="E260" s="1672" t="s">
        <v>1937</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698" t="s">
        <v>103</v>
      </c>
      <c r="AG260" s="1698"/>
      <c r="AH260" s="1698"/>
      <c r="AI260" s="1698"/>
      <c r="AJ260" s="1698"/>
      <c r="AK260" s="1698"/>
      <c r="AL260" s="1698"/>
      <c r="AM260" s="102"/>
      <c r="AN260" s="202"/>
      <c r="AO260" s="4" t="s">
        <v>124</v>
      </c>
      <c r="AP260" s="469">
        <v>0</v>
      </c>
    </row>
    <row r="261" spans="1:82" customFormat="1">
      <c r="A261" s="4"/>
      <c r="B261" s="100"/>
      <c r="C261" s="135"/>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4" t="s">
        <v>1938</v>
      </c>
      <c r="F264" s="1704"/>
      <c r="G264" s="1704"/>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c r="AD264" s="1704"/>
      <c r="AF264" s="1698" t="s">
        <v>61</v>
      </c>
      <c r="AG264" s="1698"/>
      <c r="AH264" s="1698"/>
      <c r="AI264" s="1698"/>
      <c r="AJ264" s="1698"/>
      <c r="AK264" s="1698"/>
      <c r="AL264" s="1698"/>
      <c r="AM264" s="102"/>
      <c r="AN264" s="279"/>
    </row>
    <row r="265" spans="1:82" s="4" customFormat="1" ht="12.75" customHeight="1">
      <c r="B265" s="100"/>
      <c r="C265" s="135"/>
      <c r="D265" s="26"/>
      <c r="E265" s="1704"/>
      <c r="F265" s="1704"/>
      <c r="G265" s="1704"/>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c r="AD265" s="1704"/>
      <c r="AE265" s="106"/>
      <c r="AF265" s="106"/>
      <c r="AG265" s="106"/>
      <c r="AH265" s="106"/>
      <c r="AI265" s="106"/>
      <c r="AJ265" s="106"/>
      <c r="AK265" s="106"/>
      <c r="AL265" s="106"/>
      <c r="AM265" s="102"/>
      <c r="AN265" s="279"/>
    </row>
    <row r="266" spans="1:82" s="4" customFormat="1" ht="12.75" customHeight="1">
      <c r="B266" s="100"/>
      <c r="C266" s="135"/>
      <c r="D266" s="26"/>
      <c r="E266" s="1704"/>
      <c r="F266" s="1704"/>
      <c r="G266" s="1704"/>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c r="AD266" s="1704"/>
      <c r="AE266" s="106"/>
      <c r="AF266" s="106"/>
      <c r="AG266" s="106"/>
      <c r="AH266" s="106"/>
      <c r="AI266" s="106"/>
      <c r="AJ266" s="106"/>
      <c r="AK266" s="106"/>
      <c r="AL266" s="106"/>
      <c r="AM266" s="102"/>
      <c r="AN266" s="279"/>
    </row>
    <row r="267" spans="1:82" s="4" customFormat="1" ht="12.75" customHeight="1">
      <c r="B267" s="100"/>
      <c r="C267" s="135"/>
      <c r="D267" s="26"/>
      <c r="E267" s="1704"/>
      <c r="F267" s="1704"/>
      <c r="G267" s="1704"/>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c r="AD267" s="170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5" t="s">
        <v>124</v>
      </c>
      <c r="I269" s="170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1">
        <f>VLOOKUP($H$269,$AO$260:$AP$262,2,FALSE)</f>
        <v>0</v>
      </c>
      <c r="AK271" s="108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580</v>
      </c>
      <c r="E275" s="1672" t="s">
        <v>2193</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698" t="s">
        <v>1627</v>
      </c>
      <c r="AG275" s="1698"/>
      <c r="AH275" s="1698"/>
      <c r="AI275" s="1698"/>
      <c r="AJ275" s="1698"/>
      <c r="AK275" s="1698"/>
      <c r="AL275" s="1698"/>
      <c r="AM275" s="102"/>
      <c r="AN275" s="202"/>
      <c r="AO275" s="26" t="s">
        <v>108</v>
      </c>
      <c r="AP275" s="4">
        <v>8</v>
      </c>
      <c r="AT275" s="425"/>
      <c r="AU275" s="425"/>
      <c r="AV275" s="425"/>
      <c r="AW275" s="425"/>
      <c r="AX275" s="425"/>
      <c r="AY275" s="425"/>
      <c r="AZ275" s="425"/>
    </row>
    <row r="276" spans="1:82" customFormat="1">
      <c r="A276" s="4"/>
      <c r="B276" s="100"/>
      <c r="C276" s="135"/>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5" t="s">
        <v>124</v>
      </c>
      <c r="I279" s="170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1">
        <f>VLOOKUP($H$279,$AO$274:$AP$275,2,FALSE)</f>
        <v>0</v>
      </c>
      <c r="AK281" s="108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1">
        <f>$AJ$124+$AJ$139+$AJ$151+$AJ$184+$AJ$206+$AJ$218+$AJ$230+$AJ$244+$AJ$256+$AJ$271+AJ281</f>
        <v>19</v>
      </c>
      <c r="AL283" s="1082"/>
      <c r="AM283" s="108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9" t="s">
        <v>2485</v>
      </c>
      <c r="I287" s="1069"/>
      <c r="J287" s="1069"/>
      <c r="K287" s="1069"/>
      <c r="L287" s="1069"/>
      <c r="M287" s="1069"/>
      <c r="N287" s="1069"/>
      <c r="O287" s="1069"/>
      <c r="P287" s="1069"/>
      <c r="Q287" s="1069"/>
      <c r="R287" s="1069"/>
      <c r="S287"/>
      <c r="T287" s="41" t="s">
        <v>89</v>
      </c>
      <c r="U287"/>
      <c r="V287" s="41"/>
      <c r="W287" s="41"/>
      <c r="X287" s="41"/>
      <c r="Y287" s="41"/>
      <c r="Z287"/>
      <c r="AA287" s="1069" t="s">
        <v>2492</v>
      </c>
      <c r="AB287" s="1069"/>
      <c r="AC287" s="1069"/>
      <c r="AD287" s="1069"/>
      <c r="AE287" s="1069"/>
      <c r="AF287" s="1069"/>
      <c r="AG287" s="1069"/>
      <c r="AH287" s="1069"/>
      <c r="AI287" s="1069"/>
      <c r="AJ287" s="1069"/>
      <c r="AK287" s="1069"/>
      <c r="AL287" s="10"/>
      <c r="AN287" s="279"/>
      <c r="AP287" t="s">
        <v>91</v>
      </c>
    </row>
    <row r="288" spans="1:82" s="4" customFormat="1" ht="12.75" customHeight="1">
      <c r="B288" s="41" t="s">
        <v>698</v>
      </c>
      <c r="C288" s="41"/>
      <c r="D288" s="41"/>
      <c r="E288" s="41"/>
      <c r="F288" s="41"/>
      <c r="G288"/>
      <c r="H288" s="1067" t="s">
        <v>2486</v>
      </c>
      <c r="I288" s="1067"/>
      <c r="J288" s="1067"/>
      <c r="K288" s="1067"/>
      <c r="L288" s="1067"/>
      <c r="M288" s="1067"/>
      <c r="N288" s="1067"/>
      <c r="O288" s="1067"/>
      <c r="P288" s="1067"/>
      <c r="Q288" s="1067"/>
      <c r="R288" s="1067"/>
      <c r="S288"/>
      <c r="T288" s="41" t="s">
        <v>698</v>
      </c>
      <c r="U288"/>
      <c r="V288" s="41"/>
      <c r="W288" s="41"/>
      <c r="X288" s="41"/>
      <c r="Y288" s="41"/>
      <c r="Z288"/>
      <c r="AA288" s="1067" t="s">
        <v>2493</v>
      </c>
      <c r="AB288" s="1067"/>
      <c r="AC288" s="1067"/>
      <c r="AD288" s="1067"/>
      <c r="AE288" s="1067"/>
      <c r="AF288" s="1067"/>
      <c r="AG288" s="1067"/>
      <c r="AH288" s="1067"/>
      <c r="AI288" s="1067"/>
      <c r="AJ288" s="1067"/>
      <c r="AK288" s="1067"/>
      <c r="AL288" s="10"/>
      <c r="AN288" s="279"/>
      <c r="AP288" t="s">
        <v>92</v>
      </c>
    </row>
    <row r="289" spans="1:42" s="4" customFormat="1" ht="12.75" customHeight="1">
      <c r="B289" s="41" t="s">
        <v>99</v>
      </c>
      <c r="C289" s="41"/>
      <c r="D289" s="41"/>
      <c r="E289" s="41"/>
      <c r="F289" s="41"/>
      <c r="G289"/>
      <c r="H289" s="1067" t="s">
        <v>2487</v>
      </c>
      <c r="I289" s="1067"/>
      <c r="J289" s="1067"/>
      <c r="K289" s="1067"/>
      <c r="L289" s="1067"/>
      <c r="M289" s="1067"/>
      <c r="N289" s="1067"/>
      <c r="O289" s="1067"/>
      <c r="P289" s="1067"/>
      <c r="Q289" s="1067"/>
      <c r="R289" s="1067"/>
      <c r="S289"/>
      <c r="T289" s="41" t="s">
        <v>99</v>
      </c>
      <c r="U289"/>
      <c r="V289" s="41"/>
      <c r="W289" s="41"/>
      <c r="X289" s="41"/>
      <c r="Y289" s="41"/>
      <c r="Z289"/>
      <c r="AA289" s="1067" t="s">
        <v>2487</v>
      </c>
      <c r="AB289" s="1067"/>
      <c r="AC289" s="1067"/>
      <c r="AD289" s="1067"/>
      <c r="AE289" s="1067"/>
      <c r="AF289" s="1067"/>
      <c r="AG289" s="1067"/>
      <c r="AH289" s="1067"/>
      <c r="AI289" s="1067"/>
      <c r="AJ289" s="1067"/>
      <c r="AK289" s="1067"/>
      <c r="AL289" s="10"/>
      <c r="AN289" s="279"/>
      <c r="AO289" s="209"/>
      <c r="AP289" t="s">
        <v>93</v>
      </c>
    </row>
    <row r="290" spans="1:42" s="4" customFormat="1" ht="12.75" customHeight="1">
      <c r="B290" s="41" t="s">
        <v>374</v>
      </c>
      <c r="C290" s="41"/>
      <c r="D290" s="41"/>
      <c r="E290" s="41"/>
      <c r="F290" s="41"/>
      <c r="G290"/>
      <c r="H290" s="1067" t="s">
        <v>2488</v>
      </c>
      <c r="I290" s="1067"/>
      <c r="J290" s="1067"/>
      <c r="K290" s="1067"/>
      <c r="L290" s="1067"/>
      <c r="M290" s="1067"/>
      <c r="N290" s="1067"/>
      <c r="O290" s="1067"/>
      <c r="P290" s="1067"/>
      <c r="Q290" s="1067"/>
      <c r="R290" s="1067"/>
      <c r="S290"/>
      <c r="T290" s="41" t="s">
        <v>374</v>
      </c>
      <c r="U290"/>
      <c r="V290" s="41"/>
      <c r="W290" s="41"/>
      <c r="X290" s="41"/>
      <c r="Y290" s="41"/>
      <c r="Z290"/>
      <c r="AA290" s="1067" t="s">
        <v>2494</v>
      </c>
      <c r="AB290" s="1067"/>
      <c r="AC290" s="1067"/>
      <c r="AD290" s="1067"/>
      <c r="AE290" s="1067"/>
      <c r="AF290" s="1067"/>
      <c r="AG290" s="1067"/>
      <c r="AH290" s="1067"/>
      <c r="AI290" s="1067"/>
      <c r="AJ290" s="1067"/>
      <c r="AK290" s="1067"/>
      <c r="AL290" s="10"/>
      <c r="AN290" s="279"/>
      <c r="AO290" s="209"/>
      <c r="AP290" t="s">
        <v>347</v>
      </c>
    </row>
    <row r="291" spans="1:42" s="4" customFormat="1" ht="12.75" customHeight="1">
      <c r="B291" s="41" t="s">
        <v>375</v>
      </c>
      <c r="C291" s="41"/>
      <c r="D291" s="41"/>
      <c r="E291" s="41"/>
      <c r="F291" s="41"/>
      <c r="G291" s="41"/>
      <c r="H291" s="1070" t="s">
        <v>2489</v>
      </c>
      <c r="I291" s="1070"/>
      <c r="J291" s="1070"/>
      <c r="K291" s="1070"/>
      <c r="L291" s="1070"/>
      <c r="M291" s="1070"/>
      <c r="N291" s="5" t="s">
        <v>817</v>
      </c>
      <c r="O291" s="5"/>
      <c r="P291" s="1066"/>
      <c r="Q291" s="1066"/>
      <c r="R291" s="1066"/>
      <c r="S291" s="41"/>
      <c r="T291" s="41" t="s">
        <v>375</v>
      </c>
      <c r="U291"/>
      <c r="V291" s="41"/>
      <c r="W291" s="41"/>
      <c r="X291" s="41"/>
      <c r="Y291" s="41"/>
      <c r="Z291"/>
      <c r="AA291" s="1070" t="s">
        <v>2495</v>
      </c>
      <c r="AB291" s="1070"/>
      <c r="AC291" s="1070"/>
      <c r="AD291" s="1070"/>
      <c r="AE291" s="1070"/>
      <c r="AF291" s="1070"/>
      <c r="AG291" s="5" t="s">
        <v>817</v>
      </c>
      <c r="AH291" s="5"/>
      <c r="AI291" s="1066"/>
      <c r="AJ291" s="1066"/>
      <c r="AK291" s="1066"/>
      <c r="AL291" s="10"/>
      <c r="AN291" s="279"/>
      <c r="AO291" s="209"/>
      <c r="AP291" t="s">
        <v>2288</v>
      </c>
    </row>
    <row r="292" spans="1:42" s="4" customFormat="1" ht="12.75" customHeight="1">
      <c r="B292" s="41" t="s">
        <v>88</v>
      </c>
      <c r="C292" s="41"/>
      <c r="D292" s="41"/>
      <c r="E292" s="41"/>
      <c r="F292" s="41"/>
      <c r="G292" s="41"/>
      <c r="H292" s="1067" t="s">
        <v>92</v>
      </c>
      <c r="I292" s="1067"/>
      <c r="J292" s="1067"/>
      <c r="K292" s="1067"/>
      <c r="L292" s="1067"/>
      <c r="M292" s="1067"/>
      <c r="N292" s="1067"/>
      <c r="O292" s="1067"/>
      <c r="P292" s="1067"/>
      <c r="Q292" s="1067"/>
      <c r="R292" s="1067"/>
      <c r="S292" s="41"/>
      <c r="T292" s="41" t="s">
        <v>88</v>
      </c>
      <c r="U292"/>
      <c r="V292" s="41"/>
      <c r="W292" s="41"/>
      <c r="X292" s="41"/>
      <c r="Y292" s="41"/>
      <c r="Z292"/>
      <c r="AA292" s="1067" t="s">
        <v>93</v>
      </c>
      <c r="AB292" s="1067"/>
      <c r="AC292" s="1067"/>
      <c r="AD292" s="1067"/>
      <c r="AE292" s="1067"/>
      <c r="AF292" s="1067"/>
      <c r="AG292" s="1067"/>
      <c r="AH292" s="1067"/>
      <c r="AI292" s="1067"/>
      <c r="AJ292" s="1067"/>
      <c r="AK292" s="1067"/>
      <c r="AL292" s="10"/>
      <c r="AN292" s="279"/>
      <c r="AO292" s="209"/>
      <c r="AP292" t="s">
        <v>100</v>
      </c>
    </row>
    <row r="293" spans="1:42" s="4" customFormat="1" ht="12.75" customHeight="1">
      <c r="B293" s="41" t="s">
        <v>90</v>
      </c>
      <c r="C293" s="41"/>
      <c r="D293" s="41"/>
      <c r="E293" s="41"/>
      <c r="F293" s="41"/>
      <c r="G293" s="41"/>
      <c r="H293" s="1067" t="s">
        <v>2490</v>
      </c>
      <c r="I293" s="1067"/>
      <c r="J293" s="1067"/>
      <c r="K293" s="1067"/>
      <c r="L293" s="1067"/>
      <c r="M293" s="1067"/>
      <c r="N293" s="1067"/>
      <c r="O293" s="1067"/>
      <c r="P293" s="1067"/>
      <c r="Q293" s="1067"/>
      <c r="R293" s="1067"/>
      <c r="S293" s="41"/>
      <c r="T293" s="41" t="s">
        <v>90</v>
      </c>
      <c r="U293"/>
      <c r="V293" s="41"/>
      <c r="W293" s="41"/>
      <c r="X293" s="41"/>
      <c r="Y293" s="41"/>
      <c r="Z293"/>
      <c r="AA293" s="1067" t="s">
        <v>2496</v>
      </c>
      <c r="AB293" s="1067"/>
      <c r="AC293" s="1067"/>
      <c r="AD293" s="1067"/>
      <c r="AE293" s="1067"/>
      <c r="AF293" s="1067"/>
      <c r="AG293" s="1067"/>
      <c r="AH293" s="1067"/>
      <c r="AI293" s="1067"/>
      <c r="AJ293" s="1067"/>
      <c r="AK293" s="1067"/>
      <c r="AL293" s="10"/>
      <c r="AN293" s="279"/>
      <c r="AP293" t="s">
        <v>97</v>
      </c>
    </row>
    <row r="294" spans="1:42" s="4" customFormat="1" ht="12.75" customHeight="1">
      <c r="B294" s="41" t="s">
        <v>101</v>
      </c>
      <c r="C294" s="41"/>
      <c r="D294" s="41"/>
      <c r="E294" s="41"/>
      <c r="F294" s="41"/>
      <c r="G294" s="41"/>
      <c r="H294" s="1697" t="s">
        <v>2491</v>
      </c>
      <c r="I294" s="1697"/>
      <c r="J294" s="1697"/>
      <c r="K294" s="1697"/>
      <c r="L294" s="1697"/>
      <c r="M294" s="1697"/>
      <c r="N294" s="1697"/>
      <c r="O294" s="1697"/>
      <c r="P294" s="1697"/>
      <c r="Q294" s="1697"/>
      <c r="R294" s="1697"/>
      <c r="S294" s="41"/>
      <c r="T294" s="41" t="s">
        <v>101</v>
      </c>
      <c r="U294" s="41"/>
      <c r="V294" s="41"/>
      <c r="W294" s="41"/>
      <c r="X294" s="41"/>
      <c r="Y294" s="41"/>
      <c r="Z294" s="12"/>
      <c r="AA294" s="1697" t="s">
        <v>2497</v>
      </c>
      <c r="AB294" s="1697"/>
      <c r="AC294" s="1697"/>
      <c r="AD294" s="1697"/>
      <c r="AE294" s="1697"/>
      <c r="AF294" s="1697"/>
      <c r="AG294" s="1697"/>
      <c r="AH294" s="1697"/>
      <c r="AI294" s="1697"/>
      <c r="AJ294" s="1697"/>
      <c r="AK294" s="1697"/>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9" t="s">
        <v>2498</v>
      </c>
      <c r="I296" s="1069"/>
      <c r="J296" s="1069"/>
      <c r="K296" s="1069"/>
      <c r="L296" s="1069"/>
      <c r="M296" s="1069"/>
      <c r="N296" s="1069"/>
      <c r="O296" s="1069"/>
      <c r="P296" s="1069"/>
      <c r="Q296" s="1069"/>
      <c r="R296" s="1069"/>
      <c r="S296"/>
      <c r="T296" s="41" t="s">
        <v>89</v>
      </c>
      <c r="U296"/>
      <c r="V296" s="41"/>
      <c r="W296" s="41"/>
      <c r="X296" s="41"/>
      <c r="Y296" s="41"/>
      <c r="Z296"/>
      <c r="AA296" s="1069" t="s">
        <v>2504</v>
      </c>
      <c r="AB296" s="1069"/>
      <c r="AC296" s="1069"/>
      <c r="AD296" s="1069"/>
      <c r="AE296" s="1069"/>
      <c r="AF296" s="1069"/>
      <c r="AG296" s="1069"/>
      <c r="AH296" s="1069"/>
      <c r="AI296" s="1069"/>
      <c r="AJ296" s="1069"/>
      <c r="AK296" s="1069"/>
      <c r="AL296" s="10"/>
      <c r="AN296" s="279"/>
      <c r="AP296" t="s">
        <v>96</v>
      </c>
    </row>
    <row r="297" spans="1:42" s="20" customFormat="1" ht="12.75" customHeight="1">
      <c r="A297" s="4"/>
      <c r="B297" s="41" t="s">
        <v>698</v>
      </c>
      <c r="C297" s="41"/>
      <c r="D297" s="41"/>
      <c r="E297" s="41"/>
      <c r="F297" s="41"/>
      <c r="G297"/>
      <c r="H297" s="1067" t="s">
        <v>2499</v>
      </c>
      <c r="I297" s="1067"/>
      <c r="J297" s="1067"/>
      <c r="K297" s="1067"/>
      <c r="L297" s="1067"/>
      <c r="M297" s="1067"/>
      <c r="N297" s="1067"/>
      <c r="O297" s="1067"/>
      <c r="P297" s="1067"/>
      <c r="Q297" s="1067"/>
      <c r="R297" s="1067"/>
      <c r="S297"/>
      <c r="T297" s="41" t="s">
        <v>698</v>
      </c>
      <c r="U297"/>
      <c r="V297" s="41"/>
      <c r="W297" s="41"/>
      <c r="X297" s="41"/>
      <c r="Y297" s="41"/>
      <c r="Z297"/>
      <c r="AA297" s="1067" t="s">
        <v>2505</v>
      </c>
      <c r="AB297" s="1067"/>
      <c r="AC297" s="1067"/>
      <c r="AD297" s="1067"/>
      <c r="AE297" s="1067"/>
      <c r="AF297" s="1067"/>
      <c r="AG297" s="1067"/>
      <c r="AH297" s="1067"/>
      <c r="AI297" s="1067"/>
      <c r="AJ297" s="1067"/>
      <c r="AK297" s="1067"/>
      <c r="AL297" s="10"/>
      <c r="AM297" s="4"/>
      <c r="AN297" s="279"/>
      <c r="AO297" s="4"/>
      <c r="AP297" s="48" t="s">
        <v>348</v>
      </c>
    </row>
    <row r="298" spans="1:42" s="20" customFormat="1" ht="12.75" customHeight="1">
      <c r="A298" s="4"/>
      <c r="B298" s="41" t="s">
        <v>99</v>
      </c>
      <c r="C298" s="41"/>
      <c r="D298" s="41"/>
      <c r="E298" s="41"/>
      <c r="F298" s="41"/>
      <c r="G298"/>
      <c r="H298" s="1067" t="s">
        <v>2487</v>
      </c>
      <c r="I298" s="1067"/>
      <c r="J298" s="1067"/>
      <c r="K298" s="1067"/>
      <c r="L298" s="1067"/>
      <c r="M298" s="1067"/>
      <c r="N298" s="1067"/>
      <c r="O298" s="1067"/>
      <c r="P298" s="1067"/>
      <c r="Q298" s="1067"/>
      <c r="R298" s="1067"/>
      <c r="S298"/>
      <c r="T298" s="41" t="s">
        <v>99</v>
      </c>
      <c r="U298"/>
      <c r="V298" s="41"/>
      <c r="W298" s="41"/>
      <c r="X298" s="41"/>
      <c r="Y298" s="41"/>
      <c r="Z298"/>
      <c r="AA298" s="1067" t="s">
        <v>2506</v>
      </c>
      <c r="AB298" s="1067"/>
      <c r="AC298" s="1067"/>
      <c r="AD298" s="1067"/>
      <c r="AE298" s="1067"/>
      <c r="AF298" s="1067"/>
      <c r="AG298" s="1067"/>
      <c r="AH298" s="1067"/>
      <c r="AI298" s="1067"/>
      <c r="AJ298" s="1067"/>
      <c r="AK298" s="1067"/>
      <c r="AL298" s="10"/>
      <c r="AM298" s="4"/>
      <c r="AN298" s="279"/>
      <c r="AO298" s="4"/>
    </row>
    <row r="299" spans="1:42" s="4" customFormat="1" ht="12.75" customHeight="1">
      <c r="B299" s="41" t="s">
        <v>374</v>
      </c>
      <c r="C299" s="41"/>
      <c r="D299" s="41"/>
      <c r="E299" s="41"/>
      <c r="F299" s="41"/>
      <c r="G299"/>
      <c r="H299" s="1067" t="s">
        <v>2500</v>
      </c>
      <c r="I299" s="1067"/>
      <c r="J299" s="1067"/>
      <c r="K299" s="1067"/>
      <c r="L299" s="1067"/>
      <c r="M299" s="1067"/>
      <c r="N299" s="1067"/>
      <c r="O299" s="1067"/>
      <c r="P299" s="1067"/>
      <c r="Q299" s="1067"/>
      <c r="R299" s="1067"/>
      <c r="S299"/>
      <c r="T299" s="41" t="s">
        <v>374</v>
      </c>
      <c r="U299"/>
      <c r="V299" s="41"/>
      <c r="W299" s="41"/>
      <c r="X299" s="41"/>
      <c r="Y299" s="41"/>
      <c r="Z299"/>
      <c r="AA299" s="1067" t="s">
        <v>2488</v>
      </c>
      <c r="AB299" s="1067"/>
      <c r="AC299" s="1067"/>
      <c r="AD299" s="1067"/>
      <c r="AE299" s="1067"/>
      <c r="AF299" s="1067"/>
      <c r="AG299" s="1067"/>
      <c r="AH299" s="1067"/>
      <c r="AI299" s="1067"/>
      <c r="AJ299" s="1067"/>
      <c r="AK299" s="1067"/>
      <c r="AL299" s="10"/>
      <c r="AN299" s="279"/>
    </row>
    <row r="300" spans="1:42" s="4" customFormat="1" ht="12.75" customHeight="1">
      <c r="B300" s="41" t="s">
        <v>375</v>
      </c>
      <c r="C300" s="41"/>
      <c r="D300" s="41"/>
      <c r="E300" s="41"/>
      <c r="F300" s="41"/>
      <c r="G300" s="41"/>
      <c r="H300" s="1070" t="s">
        <v>2501</v>
      </c>
      <c r="I300" s="1070"/>
      <c r="J300" s="1070"/>
      <c r="K300" s="1070"/>
      <c r="L300" s="1070"/>
      <c r="M300" s="1070"/>
      <c r="N300" s="5" t="s">
        <v>817</v>
      </c>
      <c r="O300" s="5"/>
      <c r="P300" s="1066"/>
      <c r="Q300" s="1066"/>
      <c r="R300" s="1066"/>
      <c r="S300" s="41"/>
      <c r="T300" s="41" t="s">
        <v>375</v>
      </c>
      <c r="U300"/>
      <c r="V300" s="41"/>
      <c r="W300" s="41"/>
      <c r="X300" s="41"/>
      <c r="Y300" s="41"/>
      <c r="Z300"/>
      <c r="AA300" s="1070" t="s">
        <v>2489</v>
      </c>
      <c r="AB300" s="1070"/>
      <c r="AC300" s="1070"/>
      <c r="AD300" s="1070"/>
      <c r="AE300" s="1070"/>
      <c r="AF300" s="1070"/>
      <c r="AG300" s="5" t="s">
        <v>817</v>
      </c>
      <c r="AH300" s="5"/>
      <c r="AI300" s="1066"/>
      <c r="AJ300" s="1066"/>
      <c r="AK300" s="1066"/>
      <c r="AL300" s="10"/>
      <c r="AN300" s="279"/>
    </row>
    <row r="301" spans="1:42" s="4" customFormat="1" ht="12.75" customHeight="1">
      <c r="B301" s="41" t="s">
        <v>88</v>
      </c>
      <c r="C301" s="41"/>
      <c r="D301" s="41"/>
      <c r="E301" s="41"/>
      <c r="F301" s="41"/>
      <c r="G301" s="41"/>
      <c r="H301" s="1067" t="s">
        <v>347</v>
      </c>
      <c r="I301" s="1067"/>
      <c r="J301" s="1067"/>
      <c r="K301" s="1067"/>
      <c r="L301" s="1067"/>
      <c r="M301" s="1067"/>
      <c r="N301" s="1067"/>
      <c r="O301" s="1067"/>
      <c r="P301" s="1067"/>
      <c r="Q301" s="1067"/>
      <c r="R301" s="1067"/>
      <c r="S301" s="41"/>
      <c r="T301" s="41" t="s">
        <v>88</v>
      </c>
      <c r="U301"/>
      <c r="V301" s="41"/>
      <c r="W301" s="41"/>
      <c r="X301" s="41"/>
      <c r="Y301" s="41"/>
      <c r="Z301"/>
      <c r="AA301" s="1067" t="s">
        <v>97</v>
      </c>
      <c r="AB301" s="1067"/>
      <c r="AC301" s="1067"/>
      <c r="AD301" s="1067"/>
      <c r="AE301" s="1067"/>
      <c r="AF301" s="1067"/>
      <c r="AG301" s="1067"/>
      <c r="AH301" s="1067"/>
      <c r="AI301" s="1067"/>
      <c r="AJ301" s="1067"/>
      <c r="AK301" s="1067"/>
      <c r="AL301" s="10"/>
      <c r="AN301" s="279"/>
    </row>
    <row r="302" spans="1:42" s="4" customFormat="1" ht="12.75" customHeight="1">
      <c r="B302" s="41" t="s">
        <v>90</v>
      </c>
      <c r="C302" s="41"/>
      <c r="D302" s="41"/>
      <c r="E302" s="41"/>
      <c r="F302" s="41"/>
      <c r="G302" s="41"/>
      <c r="H302" s="1067" t="s">
        <v>2502</v>
      </c>
      <c r="I302" s="1067"/>
      <c r="J302" s="1067"/>
      <c r="K302" s="1067"/>
      <c r="L302" s="1067"/>
      <c r="M302" s="1067"/>
      <c r="N302" s="1067"/>
      <c r="O302" s="1067"/>
      <c r="P302" s="1067"/>
      <c r="Q302" s="1067"/>
      <c r="R302" s="1067"/>
      <c r="S302" s="41"/>
      <c r="T302" s="41" t="s">
        <v>90</v>
      </c>
      <c r="U302"/>
      <c r="V302" s="41"/>
      <c r="W302" s="41"/>
      <c r="X302" s="41"/>
      <c r="Y302" s="41"/>
      <c r="Z302"/>
      <c r="AA302" s="1067" t="s">
        <v>2507</v>
      </c>
      <c r="AB302" s="1067"/>
      <c r="AC302" s="1067"/>
      <c r="AD302" s="1067"/>
      <c r="AE302" s="1067"/>
      <c r="AF302" s="1067"/>
      <c r="AG302" s="1067"/>
      <c r="AH302" s="1067"/>
      <c r="AI302" s="1067"/>
      <c r="AJ302" s="1067"/>
      <c r="AK302" s="1067"/>
      <c r="AL302" s="10"/>
      <c r="AN302" s="279"/>
    </row>
    <row r="303" spans="1:42" s="4" customFormat="1" ht="12.75" customHeight="1">
      <c r="B303" s="41" t="s">
        <v>101</v>
      </c>
      <c r="C303" s="41"/>
      <c r="D303" s="41"/>
      <c r="E303" s="41"/>
      <c r="F303" s="41"/>
      <c r="G303" s="41"/>
      <c r="H303" s="1697" t="s">
        <v>2503</v>
      </c>
      <c r="I303" s="1697"/>
      <c r="J303" s="1697"/>
      <c r="K303" s="1697"/>
      <c r="L303" s="1697"/>
      <c r="M303" s="1697"/>
      <c r="N303" s="1697"/>
      <c r="O303" s="1697"/>
      <c r="P303" s="1697"/>
      <c r="Q303" s="1697"/>
      <c r="R303" s="1697"/>
      <c r="S303" s="41"/>
      <c r="T303" s="41" t="s">
        <v>101</v>
      </c>
      <c r="U303" s="41"/>
      <c r="V303" s="41"/>
      <c r="W303" s="41"/>
      <c r="X303" s="41"/>
      <c r="Y303" s="41"/>
      <c r="Z303" s="12"/>
      <c r="AA303" s="1697" t="s">
        <v>2497</v>
      </c>
      <c r="AB303" s="1697"/>
      <c r="AC303" s="1697"/>
      <c r="AD303" s="1697"/>
      <c r="AE303" s="1697"/>
      <c r="AF303" s="1697"/>
      <c r="AG303" s="1697"/>
      <c r="AH303" s="1697"/>
      <c r="AI303" s="1697"/>
      <c r="AJ303" s="1697"/>
      <c r="AK303" s="169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9" t="s">
        <v>2508</v>
      </c>
      <c r="I305" s="1069"/>
      <c r="J305" s="1069"/>
      <c r="K305" s="1069"/>
      <c r="L305" s="1069"/>
      <c r="M305" s="1069"/>
      <c r="N305" s="1069"/>
      <c r="O305" s="1069"/>
      <c r="P305" s="1069"/>
      <c r="Q305" s="1069"/>
      <c r="R305" s="1069"/>
      <c r="S305"/>
      <c r="T305" s="41" t="s">
        <v>89</v>
      </c>
      <c r="U305"/>
      <c r="V305" s="41"/>
      <c r="W305" s="41"/>
      <c r="X305" s="41"/>
      <c r="Y305" s="41"/>
      <c r="Z305"/>
      <c r="AA305" s="1069" t="s">
        <v>2513</v>
      </c>
      <c r="AB305" s="1069"/>
      <c r="AC305" s="1069"/>
      <c r="AD305" s="1069"/>
      <c r="AE305" s="1069"/>
      <c r="AF305" s="1069"/>
      <c r="AG305" s="1069"/>
      <c r="AH305" s="1069"/>
      <c r="AI305" s="1069"/>
      <c r="AJ305" s="1069"/>
      <c r="AK305" s="1069"/>
      <c r="AL305" s="10"/>
      <c r="AN305" s="279"/>
    </row>
    <row r="306" spans="2:40" s="4" customFormat="1" ht="12.75" customHeight="1">
      <c r="B306" s="41" t="s">
        <v>698</v>
      </c>
      <c r="C306" s="41"/>
      <c r="D306" s="41"/>
      <c r="E306" s="41"/>
      <c r="F306" s="41"/>
      <c r="G306"/>
      <c r="H306" s="1067" t="s">
        <v>2509</v>
      </c>
      <c r="I306" s="1067"/>
      <c r="J306" s="1067"/>
      <c r="K306" s="1067"/>
      <c r="L306" s="1067"/>
      <c r="M306" s="1067"/>
      <c r="N306" s="1067"/>
      <c r="O306" s="1067"/>
      <c r="P306" s="1067"/>
      <c r="Q306" s="1067"/>
      <c r="R306" s="1067"/>
      <c r="S306"/>
      <c r="T306" s="41" t="s">
        <v>698</v>
      </c>
      <c r="U306"/>
      <c r="V306" s="41"/>
      <c r="W306" s="41"/>
      <c r="X306" s="41"/>
      <c r="Y306" s="41"/>
      <c r="Z306"/>
      <c r="AA306" s="1067" t="s">
        <v>2514</v>
      </c>
      <c r="AB306" s="1067"/>
      <c r="AC306" s="1067"/>
      <c r="AD306" s="1067"/>
      <c r="AE306" s="1067"/>
      <c r="AF306" s="1067"/>
      <c r="AG306" s="1067"/>
      <c r="AH306" s="1067"/>
      <c r="AI306" s="1067"/>
      <c r="AJ306" s="1067"/>
      <c r="AK306" s="1067"/>
      <c r="AL306" s="10"/>
      <c r="AN306" s="279"/>
    </row>
    <row r="307" spans="2:40" s="4" customFormat="1" ht="12.75" customHeight="1">
      <c r="B307" s="41" t="s">
        <v>99</v>
      </c>
      <c r="C307" s="41"/>
      <c r="D307" s="41"/>
      <c r="E307" s="41"/>
      <c r="F307" s="41"/>
      <c r="G307"/>
      <c r="H307" s="1067" t="s">
        <v>2506</v>
      </c>
      <c r="I307" s="1067"/>
      <c r="J307" s="1067"/>
      <c r="K307" s="1067"/>
      <c r="L307" s="1067"/>
      <c r="M307" s="1067"/>
      <c r="N307" s="1067"/>
      <c r="O307" s="1067"/>
      <c r="P307" s="1067"/>
      <c r="Q307" s="1067"/>
      <c r="R307" s="1067"/>
      <c r="S307"/>
      <c r="T307" s="41" t="s">
        <v>99</v>
      </c>
      <c r="U307"/>
      <c r="V307" s="41"/>
      <c r="W307" s="41"/>
      <c r="X307" s="41"/>
      <c r="Y307" s="41"/>
      <c r="Z307"/>
      <c r="AA307" s="1067" t="s">
        <v>2487</v>
      </c>
      <c r="AB307" s="1067"/>
      <c r="AC307" s="1067"/>
      <c r="AD307" s="1067"/>
      <c r="AE307" s="1067"/>
      <c r="AF307" s="1067"/>
      <c r="AG307" s="1067"/>
      <c r="AH307" s="1067"/>
      <c r="AI307" s="1067"/>
      <c r="AJ307" s="1067"/>
      <c r="AK307" s="1067"/>
      <c r="AL307" s="10"/>
      <c r="AN307" s="279"/>
    </row>
    <row r="308" spans="2:40" s="4" customFormat="1" ht="12.75" customHeight="1">
      <c r="B308" s="41" t="s">
        <v>374</v>
      </c>
      <c r="C308" s="41"/>
      <c r="D308" s="41"/>
      <c r="E308" s="41"/>
      <c r="F308" s="41"/>
      <c r="G308"/>
      <c r="H308" s="1067" t="s">
        <v>2510</v>
      </c>
      <c r="I308" s="1067"/>
      <c r="J308" s="1067"/>
      <c r="K308" s="1067"/>
      <c r="L308" s="1067"/>
      <c r="M308" s="1067"/>
      <c r="N308" s="1067"/>
      <c r="O308" s="1067"/>
      <c r="P308" s="1067"/>
      <c r="Q308" s="1067"/>
      <c r="R308" s="1067"/>
      <c r="S308"/>
      <c r="T308" s="41" t="s">
        <v>374</v>
      </c>
      <c r="U308"/>
      <c r="V308" s="41"/>
      <c r="W308" s="41"/>
      <c r="X308" s="41"/>
      <c r="Y308" s="41"/>
      <c r="Z308"/>
      <c r="AA308" s="1067" t="s">
        <v>2515</v>
      </c>
      <c r="AB308" s="1067"/>
      <c r="AC308" s="1067"/>
      <c r="AD308" s="1067"/>
      <c r="AE308" s="1067"/>
      <c r="AF308" s="1067"/>
      <c r="AG308" s="1067"/>
      <c r="AH308" s="1067"/>
      <c r="AI308" s="1067"/>
      <c r="AJ308" s="1067"/>
      <c r="AK308" s="1067"/>
      <c r="AL308" s="10"/>
      <c r="AN308" s="279"/>
    </row>
    <row r="309" spans="2:40" s="4" customFormat="1" ht="12.75" customHeight="1">
      <c r="B309" s="41" t="s">
        <v>375</v>
      </c>
      <c r="C309" s="41"/>
      <c r="D309" s="41"/>
      <c r="E309" s="41"/>
      <c r="F309" s="41"/>
      <c r="G309" s="41"/>
      <c r="H309" s="1070" t="s">
        <v>2511</v>
      </c>
      <c r="I309" s="1070"/>
      <c r="J309" s="1070"/>
      <c r="K309" s="1070"/>
      <c r="L309" s="1070"/>
      <c r="M309" s="1070"/>
      <c r="N309" s="5" t="s">
        <v>817</v>
      </c>
      <c r="O309" s="5"/>
      <c r="P309" s="1066"/>
      <c r="Q309" s="1066"/>
      <c r="R309" s="1066"/>
      <c r="S309" s="41"/>
      <c r="T309" s="41" t="s">
        <v>375</v>
      </c>
      <c r="U309"/>
      <c r="V309" s="41"/>
      <c r="W309" s="41"/>
      <c r="X309" s="41"/>
      <c r="Y309" s="41"/>
      <c r="Z309"/>
      <c r="AA309" s="1070" t="s">
        <v>2516</v>
      </c>
      <c r="AB309" s="1070"/>
      <c r="AC309" s="1070"/>
      <c r="AD309" s="1070"/>
      <c r="AE309" s="1070"/>
      <c r="AF309" s="1070"/>
      <c r="AG309" s="5" t="s">
        <v>817</v>
      </c>
      <c r="AH309" s="5"/>
      <c r="AI309" s="1066"/>
      <c r="AJ309" s="1066"/>
      <c r="AK309" s="1066"/>
      <c r="AL309" s="10"/>
      <c r="AN309" s="279"/>
    </row>
    <row r="310" spans="2:40" s="4" customFormat="1" ht="12.75" customHeight="1">
      <c r="B310" s="41" t="s">
        <v>88</v>
      </c>
      <c r="C310" s="41"/>
      <c r="D310" s="41"/>
      <c r="E310" s="41"/>
      <c r="F310" s="41"/>
      <c r="G310" s="41"/>
      <c r="H310" s="1067" t="s">
        <v>95</v>
      </c>
      <c r="I310" s="1067"/>
      <c r="J310" s="1067"/>
      <c r="K310" s="1067"/>
      <c r="L310" s="1067"/>
      <c r="M310" s="1067"/>
      <c r="N310" s="1067"/>
      <c r="O310" s="1067"/>
      <c r="P310" s="1067"/>
      <c r="Q310" s="1067"/>
      <c r="R310" s="1067"/>
      <c r="S310" s="41"/>
      <c r="T310" s="41" t="s">
        <v>88</v>
      </c>
      <c r="U310"/>
      <c r="V310" s="41"/>
      <c r="W310" s="41"/>
      <c r="X310" s="41"/>
      <c r="Y310" s="41"/>
      <c r="Z310"/>
      <c r="AA310" s="1067" t="s">
        <v>96</v>
      </c>
      <c r="AB310" s="1067"/>
      <c r="AC310" s="1067"/>
      <c r="AD310" s="1067"/>
      <c r="AE310" s="1067"/>
      <c r="AF310" s="1067"/>
      <c r="AG310" s="1067"/>
      <c r="AH310" s="1067"/>
      <c r="AI310" s="1067"/>
      <c r="AJ310" s="1067"/>
      <c r="AK310" s="1067"/>
      <c r="AL310" s="10"/>
      <c r="AN310" s="279"/>
    </row>
    <row r="311" spans="2:40" s="4" customFormat="1" ht="12.75" customHeight="1">
      <c r="B311" s="41" t="s">
        <v>90</v>
      </c>
      <c r="C311" s="41"/>
      <c r="D311" s="41"/>
      <c r="E311" s="41"/>
      <c r="F311" s="41"/>
      <c r="G311" s="41"/>
      <c r="H311" s="1067" t="s">
        <v>2512</v>
      </c>
      <c r="I311" s="1067"/>
      <c r="J311" s="1067"/>
      <c r="K311" s="1067"/>
      <c r="L311" s="1067"/>
      <c r="M311" s="1067"/>
      <c r="N311" s="1067"/>
      <c r="O311" s="1067"/>
      <c r="P311" s="1067"/>
      <c r="Q311" s="1067"/>
      <c r="R311" s="1067"/>
      <c r="S311" s="41"/>
      <c r="T311" s="41" t="s">
        <v>90</v>
      </c>
      <c r="U311"/>
      <c r="V311" s="41"/>
      <c r="W311" s="41"/>
      <c r="X311" s="41"/>
      <c r="Y311" s="41"/>
      <c r="Z311"/>
      <c r="AA311" s="1067" t="s">
        <v>2517</v>
      </c>
      <c r="AB311" s="1067"/>
      <c r="AC311" s="1067"/>
      <c r="AD311" s="1067"/>
      <c r="AE311" s="1067"/>
      <c r="AF311" s="1067"/>
      <c r="AG311" s="1067"/>
      <c r="AH311" s="1067"/>
      <c r="AI311" s="1067"/>
      <c r="AJ311" s="1067"/>
      <c r="AK311" s="1067"/>
      <c r="AL311" s="10"/>
      <c r="AN311" s="279"/>
    </row>
    <row r="312" spans="2:40" s="4" customFormat="1" ht="12.75" customHeight="1">
      <c r="B312" s="41" t="s">
        <v>101</v>
      </c>
      <c r="C312" s="41"/>
      <c r="D312" s="41"/>
      <c r="E312" s="41"/>
      <c r="F312" s="41"/>
      <c r="G312" s="41"/>
      <c r="H312" s="1697" t="s">
        <v>2497</v>
      </c>
      <c r="I312" s="1697"/>
      <c r="J312" s="1697"/>
      <c r="K312" s="1697"/>
      <c r="L312" s="1697"/>
      <c r="M312" s="1697"/>
      <c r="N312" s="1697"/>
      <c r="O312" s="1697"/>
      <c r="P312" s="1697"/>
      <c r="Q312" s="1697"/>
      <c r="R312" s="1697"/>
      <c r="S312" s="41"/>
      <c r="T312" s="41" t="s">
        <v>101</v>
      </c>
      <c r="U312" s="41"/>
      <c r="V312" s="41"/>
      <c r="W312" s="41"/>
      <c r="X312" s="41"/>
      <c r="Y312" s="41"/>
      <c r="Z312" s="12"/>
      <c r="AA312" s="1697" t="s">
        <v>2497</v>
      </c>
      <c r="AB312" s="1697"/>
      <c r="AC312" s="1697"/>
      <c r="AD312" s="1697"/>
      <c r="AE312" s="1697"/>
      <c r="AF312" s="1697"/>
      <c r="AG312" s="1697"/>
      <c r="AH312" s="1697"/>
      <c r="AI312" s="1697"/>
      <c r="AJ312" s="1697"/>
      <c r="AK312" s="169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9"/>
      <c r="I314" s="1069"/>
      <c r="J314" s="1069"/>
      <c r="K314" s="1069"/>
      <c r="L314" s="1069"/>
      <c r="M314" s="1069"/>
      <c r="N314" s="1069"/>
      <c r="O314" s="1069"/>
      <c r="P314" s="1069"/>
      <c r="Q314" s="1069"/>
      <c r="R314" s="1069"/>
      <c r="S314"/>
      <c r="T314" s="41" t="s">
        <v>89</v>
      </c>
      <c r="U314"/>
      <c r="V314" s="41"/>
      <c r="W314" s="41"/>
      <c r="X314" s="41"/>
      <c r="Y314" s="41"/>
      <c r="Z314"/>
      <c r="AA314" s="1069"/>
      <c r="AB314" s="1069"/>
      <c r="AC314" s="1069"/>
      <c r="AD314" s="1069"/>
      <c r="AE314" s="1069"/>
      <c r="AF314" s="1069"/>
      <c r="AG314" s="1069"/>
      <c r="AH314" s="1069"/>
      <c r="AI314" s="1069"/>
      <c r="AJ314" s="1069"/>
      <c r="AK314" s="1069"/>
      <c r="AL314" s="10"/>
      <c r="AN314" s="279"/>
    </row>
    <row r="315" spans="2:40" s="4" customFormat="1" ht="12.75" customHeight="1">
      <c r="B315" s="41" t="s">
        <v>698</v>
      </c>
      <c r="C315" s="41"/>
      <c r="D315" s="41"/>
      <c r="E315" s="41"/>
      <c r="F315" s="41"/>
      <c r="G315"/>
      <c r="H315" s="1067"/>
      <c r="I315" s="1067"/>
      <c r="J315" s="1067"/>
      <c r="K315" s="1067"/>
      <c r="L315" s="1067"/>
      <c r="M315" s="1067"/>
      <c r="N315" s="1067"/>
      <c r="O315" s="1067"/>
      <c r="P315" s="1067"/>
      <c r="Q315" s="1067"/>
      <c r="R315" s="1067"/>
      <c r="S315"/>
      <c r="T315" s="41" t="s">
        <v>698</v>
      </c>
      <c r="U315"/>
      <c r="V315" s="41"/>
      <c r="W315" s="41"/>
      <c r="X315" s="41"/>
      <c r="Y315" s="41"/>
      <c r="Z315"/>
      <c r="AA315" s="1067"/>
      <c r="AB315" s="1067"/>
      <c r="AC315" s="1067"/>
      <c r="AD315" s="1067"/>
      <c r="AE315" s="1067"/>
      <c r="AF315" s="1067"/>
      <c r="AG315" s="1067"/>
      <c r="AH315" s="1067"/>
      <c r="AI315" s="1067"/>
      <c r="AJ315" s="1067"/>
      <c r="AK315" s="1067"/>
      <c r="AL315" s="10"/>
      <c r="AN315" s="279"/>
    </row>
    <row r="316" spans="2:40" s="4" customFormat="1" ht="12.75" customHeight="1">
      <c r="B316" s="41" t="s">
        <v>99</v>
      </c>
      <c r="C316" s="41"/>
      <c r="D316" s="41"/>
      <c r="E316" s="41"/>
      <c r="F316" s="41"/>
      <c r="G316"/>
      <c r="H316" s="1067"/>
      <c r="I316" s="1067"/>
      <c r="J316" s="1067"/>
      <c r="K316" s="1067"/>
      <c r="L316" s="1067"/>
      <c r="M316" s="1067"/>
      <c r="N316" s="1067"/>
      <c r="O316" s="1067"/>
      <c r="P316" s="1067"/>
      <c r="Q316" s="1067"/>
      <c r="R316" s="1067"/>
      <c r="S316"/>
      <c r="T316" s="41" t="s">
        <v>99</v>
      </c>
      <c r="U316"/>
      <c r="V316" s="41"/>
      <c r="W316" s="41"/>
      <c r="X316" s="41"/>
      <c r="Y316" s="41"/>
      <c r="Z316"/>
      <c r="AA316" s="1067"/>
      <c r="AB316" s="1067"/>
      <c r="AC316" s="1067"/>
      <c r="AD316" s="1067"/>
      <c r="AE316" s="1067"/>
      <c r="AF316" s="1067"/>
      <c r="AG316" s="1067"/>
      <c r="AH316" s="1067"/>
      <c r="AI316" s="1067"/>
      <c r="AJ316" s="1067"/>
      <c r="AK316" s="1067"/>
      <c r="AL316" s="10"/>
      <c r="AN316" s="279"/>
    </row>
    <row r="317" spans="2:40" s="4" customFormat="1" ht="12.75" customHeight="1">
      <c r="B317" s="41" t="s">
        <v>374</v>
      </c>
      <c r="C317" s="41"/>
      <c r="D317" s="41"/>
      <c r="E317" s="41"/>
      <c r="F317" s="41"/>
      <c r="G317"/>
      <c r="H317" s="1067"/>
      <c r="I317" s="1067"/>
      <c r="J317" s="1067"/>
      <c r="K317" s="1067"/>
      <c r="L317" s="1067"/>
      <c r="M317" s="1067"/>
      <c r="N317" s="1067"/>
      <c r="O317" s="1067"/>
      <c r="P317" s="1067"/>
      <c r="Q317" s="1067"/>
      <c r="R317" s="1067"/>
      <c r="S317"/>
      <c r="T317" s="41" t="s">
        <v>374</v>
      </c>
      <c r="U317"/>
      <c r="V317" s="41"/>
      <c r="W317" s="41"/>
      <c r="X317" s="41"/>
      <c r="Y317" s="41"/>
      <c r="Z317"/>
      <c r="AA317" s="1067"/>
      <c r="AB317" s="1067"/>
      <c r="AC317" s="1067"/>
      <c r="AD317" s="1067"/>
      <c r="AE317" s="1067"/>
      <c r="AF317" s="1067"/>
      <c r="AG317" s="1067"/>
      <c r="AH317" s="1067"/>
      <c r="AI317" s="1067"/>
      <c r="AJ317" s="1067"/>
      <c r="AK317" s="1067"/>
      <c r="AL317" s="10"/>
      <c r="AN317" s="279"/>
    </row>
    <row r="318" spans="2:40" s="4" customFormat="1" ht="12.75" customHeight="1">
      <c r="B318" s="41" t="s">
        <v>375</v>
      </c>
      <c r="C318" s="41"/>
      <c r="D318" s="41"/>
      <c r="E318" s="41"/>
      <c r="F318" s="41"/>
      <c r="G318" s="41"/>
      <c r="H318" s="1070"/>
      <c r="I318" s="1070"/>
      <c r="J318" s="1070"/>
      <c r="K318" s="1070"/>
      <c r="L318" s="1070"/>
      <c r="M318" s="1070"/>
      <c r="N318" s="5" t="s">
        <v>817</v>
      </c>
      <c r="O318" s="5"/>
      <c r="P318" s="1066"/>
      <c r="Q318" s="1066"/>
      <c r="R318" s="1066"/>
      <c r="S318" s="41"/>
      <c r="T318" s="41" t="s">
        <v>375</v>
      </c>
      <c r="U318"/>
      <c r="V318" s="41"/>
      <c r="W318" s="41"/>
      <c r="X318" s="41"/>
      <c r="Y318" s="41"/>
      <c r="Z318"/>
      <c r="AA318" s="1070"/>
      <c r="AB318" s="1070"/>
      <c r="AC318" s="1070"/>
      <c r="AD318" s="1070"/>
      <c r="AE318" s="1070"/>
      <c r="AF318" s="1070"/>
      <c r="AG318" s="5" t="s">
        <v>817</v>
      </c>
      <c r="AH318" s="5"/>
      <c r="AI318" s="1066"/>
      <c r="AJ318" s="1066"/>
      <c r="AK318" s="1066"/>
      <c r="AL318" s="10"/>
      <c r="AN318" s="279"/>
    </row>
    <row r="319" spans="2:40" s="4" customFormat="1" ht="12.75" customHeight="1">
      <c r="B319" s="41" t="s">
        <v>88</v>
      </c>
      <c r="C319" s="41"/>
      <c r="D319" s="41"/>
      <c r="E319" s="41"/>
      <c r="F319" s="41"/>
      <c r="G319" s="41"/>
      <c r="H319" s="1067"/>
      <c r="I319" s="1067"/>
      <c r="J319" s="1067"/>
      <c r="K319" s="1067"/>
      <c r="L319" s="1067"/>
      <c r="M319" s="1067"/>
      <c r="N319" s="1067"/>
      <c r="O319" s="1067"/>
      <c r="P319" s="1067"/>
      <c r="Q319" s="1067"/>
      <c r="R319" s="1067"/>
      <c r="S319" s="41"/>
      <c r="T319" s="41" t="s">
        <v>88</v>
      </c>
      <c r="U319"/>
      <c r="V319" s="41"/>
      <c r="W319" s="41"/>
      <c r="X319" s="41"/>
      <c r="Y319" s="41"/>
      <c r="Z319"/>
      <c r="AA319" s="1067"/>
      <c r="AB319" s="1067"/>
      <c r="AC319" s="1067"/>
      <c r="AD319" s="1067"/>
      <c r="AE319" s="1067"/>
      <c r="AF319" s="1067"/>
      <c r="AG319" s="1067"/>
      <c r="AH319" s="1067"/>
      <c r="AI319" s="1067"/>
      <c r="AJ319" s="1067"/>
      <c r="AK319" s="1067"/>
      <c r="AL319" s="10"/>
      <c r="AN319" s="279"/>
    </row>
    <row r="320" spans="2:40" s="4" customFormat="1" ht="12.75" customHeight="1">
      <c r="B320" s="41" t="s">
        <v>90</v>
      </c>
      <c r="C320" s="41"/>
      <c r="D320" s="41"/>
      <c r="E320" s="41"/>
      <c r="F320" s="41"/>
      <c r="G320" s="41"/>
      <c r="H320" s="1067"/>
      <c r="I320" s="1067"/>
      <c r="J320" s="1067"/>
      <c r="K320" s="1067"/>
      <c r="L320" s="1067"/>
      <c r="M320" s="1067"/>
      <c r="N320" s="1067"/>
      <c r="O320" s="1067"/>
      <c r="P320" s="1067"/>
      <c r="Q320" s="1067"/>
      <c r="R320" s="1067"/>
      <c r="S320" s="41"/>
      <c r="T320" s="41" t="s">
        <v>90</v>
      </c>
      <c r="U320"/>
      <c r="V320" s="41"/>
      <c r="W320" s="41"/>
      <c r="X320" s="41"/>
      <c r="Y320" s="41"/>
      <c r="Z320"/>
      <c r="AA320" s="1067"/>
      <c r="AB320" s="1067"/>
      <c r="AC320" s="1067"/>
      <c r="AD320" s="1067"/>
      <c r="AE320" s="1067"/>
      <c r="AF320" s="1067"/>
      <c r="AG320" s="1067"/>
      <c r="AH320" s="1067"/>
      <c r="AI320" s="1067"/>
      <c r="AJ320" s="1067"/>
      <c r="AK320" s="1067"/>
      <c r="AL320" s="10"/>
      <c r="AN320" s="279"/>
    </row>
    <row r="321" spans="1:76" s="4" customFormat="1" ht="12.75" customHeight="1">
      <c r="B321" s="41" t="s">
        <v>101</v>
      </c>
      <c r="C321" s="41"/>
      <c r="D321" s="41"/>
      <c r="E321" s="41"/>
      <c r="F321" s="41"/>
      <c r="G321" s="41"/>
      <c r="H321" s="1697"/>
      <c r="I321" s="1697"/>
      <c r="J321" s="1697"/>
      <c r="K321" s="1697"/>
      <c r="L321" s="1697"/>
      <c r="M321" s="1697"/>
      <c r="N321" s="1697"/>
      <c r="O321" s="1697"/>
      <c r="P321" s="1697"/>
      <c r="Q321" s="1697"/>
      <c r="R321" s="1697"/>
      <c r="S321" s="41"/>
      <c r="T321" s="41" t="s">
        <v>101</v>
      </c>
      <c r="U321" s="41"/>
      <c r="V321" s="41"/>
      <c r="W321" s="41"/>
      <c r="X321" s="41"/>
      <c r="Y321" s="41"/>
      <c r="Z321" s="12"/>
      <c r="AA321" s="1697"/>
      <c r="AB321" s="1697"/>
      <c r="AC321" s="1697"/>
      <c r="AD321" s="1697"/>
      <c r="AE321" s="1697"/>
      <c r="AF321" s="1697"/>
      <c r="AG321" s="1697"/>
      <c r="AH321" s="1697"/>
      <c r="AI321" s="1697"/>
      <c r="AJ321" s="1697"/>
      <c r="AK321" s="169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9"/>
      <c r="I323" s="1069"/>
      <c r="J323" s="1069"/>
      <c r="K323" s="1069"/>
      <c r="L323" s="1069"/>
      <c r="M323" s="1069"/>
      <c r="N323" s="1069"/>
      <c r="O323" s="1069"/>
      <c r="P323" s="1069"/>
      <c r="Q323" s="1069"/>
      <c r="R323" s="1069"/>
      <c r="S323"/>
      <c r="T323" s="41" t="s">
        <v>89</v>
      </c>
      <c r="U323"/>
      <c r="V323" s="41"/>
      <c r="W323" s="41"/>
      <c r="X323" s="41"/>
      <c r="Y323" s="41"/>
      <c r="Z323"/>
      <c r="AA323" s="1069"/>
      <c r="AB323" s="1069"/>
      <c r="AC323" s="1069"/>
      <c r="AD323" s="1069"/>
      <c r="AE323" s="1069"/>
      <c r="AF323" s="1069"/>
      <c r="AG323" s="1069"/>
      <c r="AH323" s="1069"/>
      <c r="AI323" s="1069"/>
      <c r="AJ323" s="1069"/>
      <c r="AK323" s="1069"/>
      <c r="AL323" s="41"/>
      <c r="AN323" s="279"/>
    </row>
    <row r="324" spans="1:76" s="4" customFormat="1" ht="12.75" customHeight="1">
      <c r="B324" s="41" t="s">
        <v>698</v>
      </c>
      <c r="C324" s="41"/>
      <c r="D324" s="41"/>
      <c r="E324" s="41"/>
      <c r="F324" s="41"/>
      <c r="G324"/>
      <c r="H324" s="1067"/>
      <c r="I324" s="1067"/>
      <c r="J324" s="1067"/>
      <c r="K324" s="1067"/>
      <c r="L324" s="1067"/>
      <c r="M324" s="1067"/>
      <c r="N324" s="1067"/>
      <c r="O324" s="1067"/>
      <c r="P324" s="1067"/>
      <c r="Q324" s="1067"/>
      <c r="R324" s="1067"/>
      <c r="S324"/>
      <c r="T324" s="41" t="s">
        <v>698</v>
      </c>
      <c r="U324"/>
      <c r="V324" s="41"/>
      <c r="W324" s="41"/>
      <c r="X324" s="41"/>
      <c r="Y324" s="41"/>
      <c r="Z324"/>
      <c r="AA324" s="1067"/>
      <c r="AB324" s="1067"/>
      <c r="AC324" s="1067"/>
      <c r="AD324" s="1067"/>
      <c r="AE324" s="1067"/>
      <c r="AF324" s="1067"/>
      <c r="AG324" s="1067"/>
      <c r="AH324" s="1067"/>
      <c r="AI324" s="1067"/>
      <c r="AJ324" s="1067"/>
      <c r="AK324" s="1067"/>
      <c r="AL324" s="41"/>
      <c r="AN324" s="279"/>
    </row>
    <row r="325" spans="1:76" s="4" customFormat="1" ht="18" customHeight="1">
      <c r="B325" s="41" t="s">
        <v>99</v>
      </c>
      <c r="C325" s="41"/>
      <c r="D325" s="41"/>
      <c r="E325" s="41"/>
      <c r="F325" s="41"/>
      <c r="G325"/>
      <c r="H325" s="1067"/>
      <c r="I325" s="1067"/>
      <c r="J325" s="1067"/>
      <c r="K325" s="1067"/>
      <c r="L325" s="1067"/>
      <c r="M325" s="1067"/>
      <c r="N325" s="1067"/>
      <c r="O325" s="1067"/>
      <c r="P325" s="1067"/>
      <c r="Q325" s="1067"/>
      <c r="R325" s="1067"/>
      <c r="S325"/>
      <c r="T325" s="41" t="s">
        <v>99</v>
      </c>
      <c r="U325"/>
      <c r="V325" s="41"/>
      <c r="W325" s="41"/>
      <c r="X325" s="41"/>
      <c r="Y325" s="41"/>
      <c r="Z325"/>
      <c r="AA325" s="1067"/>
      <c r="AB325" s="1067"/>
      <c r="AC325" s="1067"/>
      <c r="AD325" s="1067"/>
      <c r="AE325" s="1067"/>
      <c r="AF325" s="1067"/>
      <c r="AG325" s="1067"/>
      <c r="AH325" s="1067"/>
      <c r="AI325" s="1067"/>
      <c r="AJ325" s="1067"/>
      <c r="AK325" s="1067"/>
      <c r="AL325" s="41"/>
      <c r="AN325" s="279"/>
    </row>
    <row r="326" spans="1:76" s="4" customFormat="1" ht="12.75" customHeight="1">
      <c r="B326" s="41" t="s">
        <v>374</v>
      </c>
      <c r="C326" s="41"/>
      <c r="D326" s="41"/>
      <c r="E326" s="41"/>
      <c r="F326" s="41"/>
      <c r="G326"/>
      <c r="H326" s="1067"/>
      <c r="I326" s="1067"/>
      <c r="J326" s="1067"/>
      <c r="K326" s="1067"/>
      <c r="L326" s="1067"/>
      <c r="M326" s="1067"/>
      <c r="N326" s="1067"/>
      <c r="O326" s="1067"/>
      <c r="P326" s="1067"/>
      <c r="Q326" s="1067"/>
      <c r="R326" s="1067"/>
      <c r="S326"/>
      <c r="T326" s="41" t="s">
        <v>374</v>
      </c>
      <c r="U326"/>
      <c r="V326" s="41"/>
      <c r="W326" s="41"/>
      <c r="X326" s="41"/>
      <c r="Y326" s="41"/>
      <c r="Z326"/>
      <c r="AA326" s="1067"/>
      <c r="AB326" s="1067"/>
      <c r="AC326" s="1067"/>
      <c r="AD326" s="1067"/>
      <c r="AE326" s="1067"/>
      <c r="AF326" s="1067"/>
      <c r="AG326" s="1067"/>
      <c r="AH326" s="1067"/>
      <c r="AI326" s="1067"/>
      <c r="AJ326" s="1067"/>
      <c r="AK326" s="1067"/>
      <c r="AL326" s="41"/>
      <c r="AN326" s="279"/>
    </row>
    <row r="327" spans="1:76" s="4" customFormat="1" ht="12.75" customHeight="1">
      <c r="B327" s="41" t="s">
        <v>375</v>
      </c>
      <c r="C327" s="41"/>
      <c r="D327" s="41"/>
      <c r="E327" s="41"/>
      <c r="F327" s="41"/>
      <c r="G327" s="41"/>
      <c r="H327" s="1070"/>
      <c r="I327" s="1070"/>
      <c r="J327" s="1070"/>
      <c r="K327" s="1070"/>
      <c r="L327" s="1070"/>
      <c r="M327" s="1070"/>
      <c r="N327" s="5" t="s">
        <v>817</v>
      </c>
      <c r="O327" s="5"/>
      <c r="P327" s="1066"/>
      <c r="Q327" s="1066"/>
      <c r="R327" s="1066"/>
      <c r="S327" s="41"/>
      <c r="T327" s="41" t="s">
        <v>375</v>
      </c>
      <c r="U327"/>
      <c r="V327" s="41"/>
      <c r="W327" s="41"/>
      <c r="X327" s="41"/>
      <c r="Y327" s="41"/>
      <c r="Z327"/>
      <c r="AA327" s="1070"/>
      <c r="AB327" s="1070"/>
      <c r="AC327" s="1070"/>
      <c r="AD327" s="1070"/>
      <c r="AE327" s="1070"/>
      <c r="AF327" s="1070"/>
      <c r="AG327" s="5" t="s">
        <v>817</v>
      </c>
      <c r="AH327" s="5"/>
      <c r="AI327" s="1066"/>
      <c r="AJ327" s="1066"/>
      <c r="AK327" s="1066"/>
      <c r="AL327" s="41"/>
      <c r="AN327" s="279"/>
    </row>
    <row r="328" spans="1:76" s="4" customFormat="1" ht="12.75" customHeight="1">
      <c r="B328" s="41" t="s">
        <v>88</v>
      </c>
      <c r="C328" s="41"/>
      <c r="D328" s="41"/>
      <c r="E328" s="41"/>
      <c r="F328" s="41"/>
      <c r="G328" s="41"/>
      <c r="H328" s="1067"/>
      <c r="I328" s="1067"/>
      <c r="J328" s="1067"/>
      <c r="K328" s="1067"/>
      <c r="L328" s="1067"/>
      <c r="M328" s="1067"/>
      <c r="N328" s="1067"/>
      <c r="O328" s="1067"/>
      <c r="P328" s="1067"/>
      <c r="Q328" s="1067"/>
      <c r="R328" s="1067"/>
      <c r="S328" s="41"/>
      <c r="T328" s="41" t="s">
        <v>88</v>
      </c>
      <c r="U328"/>
      <c r="V328" s="41"/>
      <c r="W328" s="41"/>
      <c r="X328" s="41"/>
      <c r="Y328" s="41"/>
      <c r="Z328"/>
      <c r="AA328" s="1067"/>
      <c r="AB328" s="1067"/>
      <c r="AC328" s="1067"/>
      <c r="AD328" s="1067"/>
      <c r="AE328" s="1067"/>
      <c r="AF328" s="1067"/>
      <c r="AG328" s="1067"/>
      <c r="AH328" s="1067"/>
      <c r="AI328" s="1067"/>
      <c r="AJ328" s="1067"/>
      <c r="AK328" s="1067"/>
      <c r="AL328" s="41"/>
      <c r="AN328" s="279"/>
    </row>
    <row r="329" spans="1:76" s="4" customFormat="1" ht="12.75" customHeight="1">
      <c r="B329" s="41" t="s">
        <v>90</v>
      </c>
      <c r="C329" s="41"/>
      <c r="D329" s="41"/>
      <c r="E329" s="41"/>
      <c r="F329" s="41"/>
      <c r="G329" s="41"/>
      <c r="H329" s="1067"/>
      <c r="I329" s="1067"/>
      <c r="J329" s="1067"/>
      <c r="K329" s="1067"/>
      <c r="L329" s="1067"/>
      <c r="M329" s="1067"/>
      <c r="N329" s="1067"/>
      <c r="O329" s="1067"/>
      <c r="P329" s="1067"/>
      <c r="Q329" s="1067"/>
      <c r="R329" s="1067"/>
      <c r="S329" s="41"/>
      <c r="T329" s="41" t="s">
        <v>90</v>
      </c>
      <c r="U329"/>
      <c r="V329" s="41"/>
      <c r="W329" s="41"/>
      <c r="X329" s="41"/>
      <c r="Y329" s="41"/>
      <c r="Z329"/>
      <c r="AA329" s="1067"/>
      <c r="AB329" s="1067"/>
      <c r="AC329" s="1067"/>
      <c r="AD329" s="1067"/>
      <c r="AE329" s="1067"/>
      <c r="AF329" s="1067"/>
      <c r="AG329" s="1067"/>
      <c r="AH329" s="1067"/>
      <c r="AI329" s="1067"/>
      <c r="AJ329" s="1067"/>
      <c r="AK329" s="1067"/>
      <c r="AL329" s="41"/>
      <c r="AN329" s="279"/>
    </row>
    <row r="330" spans="1:76" s="4" customFormat="1" ht="12.75" customHeight="1">
      <c r="B330" s="41" t="s">
        <v>101</v>
      </c>
      <c r="C330" s="41"/>
      <c r="D330" s="41"/>
      <c r="E330" s="41"/>
      <c r="F330" s="41"/>
      <c r="G330" s="41"/>
      <c r="H330" s="1697"/>
      <c r="I330" s="1697"/>
      <c r="J330" s="1697"/>
      <c r="K330" s="1697"/>
      <c r="L330" s="1697"/>
      <c r="M330" s="1697"/>
      <c r="N330" s="1697"/>
      <c r="O330" s="1697"/>
      <c r="P330" s="1697"/>
      <c r="Q330" s="1697"/>
      <c r="R330" s="1697"/>
      <c r="S330" s="41"/>
      <c r="T330" s="41" t="s">
        <v>101</v>
      </c>
      <c r="U330" s="41"/>
      <c r="V330" s="41"/>
      <c r="W330" s="41"/>
      <c r="X330" s="41"/>
      <c r="Y330" s="41"/>
      <c r="Z330" s="12"/>
      <c r="AA330" s="1697"/>
      <c r="AB330" s="1697"/>
      <c r="AC330" s="1697"/>
      <c r="AD330" s="1697"/>
      <c r="AE330" s="1697"/>
      <c r="AF330" s="1697"/>
      <c r="AG330" s="1697"/>
      <c r="AH330" s="1697"/>
      <c r="AI330" s="1697"/>
      <c r="AJ330" s="1697"/>
      <c r="AK330" s="169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2" t="s">
        <v>364</v>
      </c>
      <c r="AF333" s="1802"/>
      <c r="AG333" s="1802"/>
      <c r="AH333" s="1802"/>
      <c r="AI333" s="1802"/>
      <c r="AJ333" s="1802"/>
      <c r="AK333" s="1802"/>
      <c r="AL333" s="3"/>
      <c r="AM333" s="824"/>
      <c r="AN333" s="3"/>
    </row>
    <row r="334" spans="1:76" s="4" customFormat="1" ht="12.75" customHeight="1">
      <c r="A334" s="3"/>
      <c r="B334" s="5"/>
      <c r="C334" s="1695" t="s">
        <v>1826</v>
      </c>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5"/>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79"/>
      <c r="AO341" s="183"/>
    </row>
    <row r="342" spans="1:76" s="4" customFormat="1" ht="12.75" customHeight="1">
      <c r="A342" s="27"/>
      <c r="B342" s="26"/>
      <c r="C342" s="1695" t="s">
        <v>1827</v>
      </c>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79"/>
    </row>
    <row r="343" spans="1:76" s="4" customFormat="1" ht="12.75"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79"/>
    </row>
    <row r="344" spans="1:76" s="4" customFormat="1" ht="12.75" customHeight="1">
      <c r="A344" s="27"/>
      <c r="B344" s="26"/>
      <c r="C344" s="1695"/>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79"/>
      <c r="AQ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79"/>
      <c r="AQ345"/>
    </row>
    <row r="346" spans="1:76" s="4" customFormat="1" ht="12.4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79"/>
      <c r="AQ346"/>
      <c r="AR346"/>
    </row>
    <row r="347" spans="1:76" s="4" customFormat="1" ht="12.75" customHeight="1">
      <c r="A347" s="27"/>
      <c r="B347" s="26"/>
      <c r="C347" s="1695" t="s">
        <v>2274</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79"/>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79"/>
      <c r="AR348"/>
    </row>
    <row r="349" spans="1:76" s="4" customFormat="1" ht="12.7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79"/>
      <c r="AR349"/>
    </row>
    <row r="350" spans="1:76" s="4" customFormat="1" ht="12.75" customHeight="1">
      <c r="A350" s="27"/>
      <c r="B350" s="26"/>
      <c r="C350" s="1695" t="s">
        <v>1828</v>
      </c>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79"/>
      <c r="AQ350"/>
      <c r="AR350"/>
    </row>
    <row r="351" spans="1:76" s="4" customFormat="1" ht="12.7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79"/>
      <c r="AQ351"/>
      <c r="AR351"/>
    </row>
    <row r="352" spans="1:76" s="4" customFormat="1" ht="13.2"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79"/>
      <c r="AQ352"/>
      <c r="AR352"/>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79"/>
      <c r="AO353" s="168"/>
      <c r="AP353" s="168"/>
      <c r="AQ353"/>
    </row>
    <row r="354" spans="1:46" s="4" customFormat="1" ht="11.9"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79"/>
      <c r="AO354" s="685" t="s">
        <v>899</v>
      </c>
      <c r="AP354" s="71">
        <f>IF(C379="Yes",5,0)</f>
        <v>0</v>
      </c>
      <c r="AS354" s="3" t="s">
        <v>1764</v>
      </c>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79"/>
      <c r="AO355" s="685"/>
      <c r="AP355" s="71"/>
      <c r="AS355" s="1886">
        <f>IF(AQ368=0,AQ381,AQ368)</f>
        <v>10</v>
      </c>
      <c r="AT355" s="1886"/>
    </row>
    <row r="356" spans="1:46" s="4" customFormat="1" ht="12.75" customHeight="1">
      <c r="A356" s="27"/>
      <c r="B356" s="26"/>
      <c r="C356" s="1695"/>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79"/>
      <c r="AO356" s="685" t="s">
        <v>900</v>
      </c>
      <c r="AP356" s="71">
        <f>IF(C389="Yes",5,0)</f>
        <v>0</v>
      </c>
      <c r="AS356" s="3" t="s">
        <v>1797</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79"/>
      <c r="AO357" s="685"/>
      <c r="AP357" s="71"/>
      <c r="AS357" s="1886">
        <f>IF(AND(AQ368&gt;0,AQ381&gt;0),(AQ368+AQ381)/2,0)</f>
        <v>0</v>
      </c>
      <c r="AT357" s="1886"/>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79"/>
      <c r="AO358" s="685" t="s">
        <v>906</v>
      </c>
      <c r="AP358" s="71">
        <f>IF(C399="Yes",7,0)</f>
        <v>7</v>
      </c>
    </row>
    <row r="359" spans="1:46" s="4" customFormat="1" ht="12.75" customHeight="1">
      <c r="A359" s="27"/>
      <c r="B359" s="26"/>
      <c r="C359" s="1695" t="s">
        <v>1829</v>
      </c>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79"/>
      <c r="AO359" s="279"/>
      <c r="AP359" s="71">
        <f>IF(C401="Yes",5,0)</f>
        <v>0</v>
      </c>
    </row>
    <row r="360" spans="1:46" s="4" customFormat="1" ht="12.75"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79"/>
      <c r="AO360" s="279"/>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79"/>
      <c r="AO361" s="685" t="s">
        <v>431</v>
      </c>
      <c r="AP361" s="71">
        <f>IF(C409="Yes",5,0)</f>
        <v>0</v>
      </c>
    </row>
    <row r="362" spans="1:46" s="4" customFormat="1" ht="11.9"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79"/>
      <c r="AO362" s="279"/>
      <c r="AP362" s="71">
        <f>IF(C411="Yes",3,0)</f>
        <v>3</v>
      </c>
    </row>
    <row r="363" spans="1:46" s="4" customFormat="1" ht="12.45" customHeight="1">
      <c r="A363" s="27"/>
      <c r="B363" s="26"/>
      <c r="C363" s="1695"/>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79"/>
      <c r="AO363" s="279"/>
      <c r="AP363" s="71"/>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79"/>
      <c r="AO364" s="685" t="s">
        <v>171</v>
      </c>
      <c r="AP364" s="71">
        <f>IF(C414="Yes",5,0)</f>
        <v>0</v>
      </c>
    </row>
    <row r="365" spans="1:46" s="4" customFormat="1" ht="12.75"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79"/>
      <c r="AO365" s="685" t="s">
        <v>434</v>
      </c>
      <c r="AP365" s="71">
        <f>IF(C423="Yes",5,0)</f>
        <v>0</v>
      </c>
    </row>
    <row r="366" spans="1:46" s="4" customFormat="1" ht="12.75" customHeight="1">
      <c r="A366" s="27"/>
      <c r="B366" s="26"/>
      <c r="C366" s="1695" t="s">
        <v>1830</v>
      </c>
      <c r="D366" s="1695"/>
      <c r="E366" s="1695"/>
      <c r="F366" s="1695"/>
      <c r="G366" s="1695"/>
      <c r="H366" s="1695"/>
      <c r="I366" s="1695"/>
      <c r="J366" s="1695"/>
      <c r="K366" s="1695"/>
      <c r="L366" s="1695"/>
      <c r="M366" s="1695"/>
      <c r="N366" s="1695"/>
      <c r="O366" s="1695"/>
      <c r="P366" s="1695"/>
      <c r="Q366" s="1695"/>
      <c r="R366" s="1695"/>
      <c r="S366" s="1695"/>
      <c r="T366" s="1695"/>
      <c r="U366" s="1695"/>
      <c r="V366" s="1695"/>
      <c r="W366" s="1695"/>
      <c r="X366" s="1695"/>
      <c r="Y366" s="1695"/>
      <c r="Z366" s="1695"/>
      <c r="AA366" s="1695"/>
      <c r="AB366" s="1695"/>
      <c r="AC366" s="1695"/>
      <c r="AD366" s="1695"/>
      <c r="AE366" s="1695"/>
      <c r="AF366" s="1695"/>
      <c r="AG366" s="1695"/>
      <c r="AH366" s="1695"/>
      <c r="AI366" s="1695"/>
      <c r="AJ366" s="1695"/>
      <c r="AK366" s="27"/>
      <c r="AL366" s="27"/>
      <c r="AM366" s="27"/>
      <c r="AN366" s="279"/>
      <c r="AO366" s="279"/>
      <c r="AP366" s="71">
        <f>IF(C425="Yes",3,0)</f>
        <v>0</v>
      </c>
    </row>
    <row r="367" spans="1:46" s="4" customFormat="1" ht="12.75" customHeight="1">
      <c r="A367" s="27"/>
      <c r="B367" s="26"/>
      <c r="C367" s="1695"/>
      <c r="D367" s="1695"/>
      <c r="E367" s="1695"/>
      <c r="F367" s="1695"/>
      <c r="G367" s="1695"/>
      <c r="H367" s="1695"/>
      <c r="I367" s="1695"/>
      <c r="J367" s="1695"/>
      <c r="K367" s="1695"/>
      <c r="L367" s="1695"/>
      <c r="M367" s="1695"/>
      <c r="N367" s="1695"/>
      <c r="O367" s="1695"/>
      <c r="P367" s="1695"/>
      <c r="Q367" s="1695"/>
      <c r="R367" s="1695"/>
      <c r="S367" s="1695"/>
      <c r="T367" s="1695"/>
      <c r="U367" s="1695"/>
      <c r="V367" s="1695"/>
      <c r="W367" s="1695"/>
      <c r="X367" s="1695"/>
      <c r="Y367" s="1695"/>
      <c r="Z367" s="1695"/>
      <c r="AA367" s="1695"/>
      <c r="AB367" s="1695"/>
      <c r="AC367" s="1695"/>
      <c r="AD367" s="1695"/>
      <c r="AE367" s="1695"/>
      <c r="AF367" s="1695"/>
      <c r="AG367" s="1695"/>
      <c r="AH367" s="1695"/>
      <c r="AI367" s="1695"/>
      <c r="AJ367" s="1695"/>
      <c r="AK367" s="27"/>
      <c r="AL367" s="27"/>
      <c r="AM367" s="27"/>
      <c r="AN367" s="279"/>
      <c r="AO367" s="686"/>
      <c r="AP367" s="55"/>
    </row>
    <row r="368" spans="1:46" s="4" customFormat="1" ht="68.150000000000006" customHeight="1">
      <c r="A368" s="27"/>
      <c r="B368" s="26"/>
      <c r="C368" s="1695"/>
      <c r="D368" s="1695"/>
      <c r="E368" s="1695"/>
      <c r="F368" s="1695"/>
      <c r="G368" s="1695"/>
      <c r="H368" s="1695"/>
      <c r="I368" s="1695"/>
      <c r="J368" s="1695"/>
      <c r="K368" s="1695"/>
      <c r="L368" s="1695"/>
      <c r="M368" s="1695"/>
      <c r="N368" s="1695"/>
      <c r="O368" s="1695"/>
      <c r="P368" s="1695"/>
      <c r="Q368" s="1695"/>
      <c r="R368" s="1695"/>
      <c r="S368" s="1695"/>
      <c r="T368" s="1695"/>
      <c r="U368" s="1695"/>
      <c r="V368" s="1695"/>
      <c r="W368" s="1695"/>
      <c r="X368" s="1695"/>
      <c r="Y368" s="1695"/>
      <c r="Z368" s="1695"/>
      <c r="AA368" s="1695"/>
      <c r="AB368" s="1695"/>
      <c r="AC368" s="1695"/>
      <c r="AD368" s="1695"/>
      <c r="AE368" s="1695"/>
      <c r="AF368" s="1695"/>
      <c r="AG368" s="1695"/>
      <c r="AH368" s="1695"/>
      <c r="AI368" s="1695"/>
      <c r="AJ368" s="1695"/>
      <c r="AK368" s="27"/>
      <c r="AL368" s="27"/>
      <c r="AM368" s="27"/>
      <c r="AN368" s="279"/>
      <c r="AO368" s="687" t="s">
        <v>609</v>
      </c>
      <c r="AP368" s="166">
        <f>SUM(AP354:AP367)</f>
        <v>10</v>
      </c>
      <c r="AQ368" s="1238">
        <f>IF(AP368&gt;0,AP368,0)</f>
        <v>10</v>
      </c>
      <c r="AR368" s="1238"/>
    </row>
    <row r="369" spans="1:153" s="4" customFormat="1" ht="12.45"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96">
        <f>Application!CQ657-U371</f>
        <v>100</v>
      </c>
      <c r="V370" s="1896"/>
      <c r="W370" s="189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97">
        <f>IF(Application!D214="SRO",Application!CQ636,Application!AG741)</f>
        <v>0</v>
      </c>
      <c r="V371" s="1897"/>
      <c r="W371" s="1897"/>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3" t="s">
        <v>1773</v>
      </c>
      <c r="G375" s="1693"/>
      <c r="H375" s="1693"/>
      <c r="I375" s="1693"/>
      <c r="J375" s="1693"/>
      <c r="K375" s="1693"/>
      <c r="L375" s="1693"/>
      <c r="M375" s="1693"/>
      <c r="N375" s="1693"/>
      <c r="O375" s="1693"/>
      <c r="P375" s="1693"/>
      <c r="Q375" s="1693"/>
      <c r="R375" s="1693"/>
      <c r="S375" s="1693"/>
      <c r="T375" s="1693"/>
      <c r="U375" s="1693"/>
      <c r="V375" s="1693"/>
      <c r="W375" s="1693"/>
      <c r="X375" s="1693"/>
      <c r="Y375" s="1693"/>
      <c r="Z375" s="1693"/>
      <c r="AA375" s="1693"/>
      <c r="AB375" s="1693"/>
      <c r="AC375" s="1693"/>
      <c r="AD375" s="1693"/>
      <c r="AE375" s="1693"/>
      <c r="AF375" s="1693"/>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124</v>
      </c>
      <c r="D379" s="1130"/>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9" t="s">
        <v>319</v>
      </c>
      <c r="AG379" s="1559"/>
      <c r="AH379" s="1559"/>
      <c r="AI379" s="1559"/>
      <c r="AJ379" s="1559"/>
      <c r="AK379" s="1559"/>
      <c r="AL379" s="169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238">
        <f>IF(AP381&gt;0,AP381,0)</f>
        <v>0</v>
      </c>
      <c r="AR381" s="123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3" t="s">
        <v>1772</v>
      </c>
      <c r="G384" s="1693"/>
      <c r="H384" s="1693"/>
      <c r="I384" s="1693"/>
      <c r="J384" s="1693"/>
      <c r="K384" s="1693"/>
      <c r="L384" s="1693"/>
      <c r="M384" s="1693"/>
      <c r="N384" s="1693"/>
      <c r="O384" s="1693"/>
      <c r="P384" s="1693"/>
      <c r="Q384" s="1693"/>
      <c r="R384" s="1693"/>
      <c r="S384" s="1693"/>
      <c r="T384" s="1693"/>
      <c r="U384" s="1693"/>
      <c r="V384" s="1693"/>
      <c r="W384" s="1693"/>
      <c r="X384" s="1693"/>
      <c r="Y384" s="1693"/>
      <c r="Z384" s="1693"/>
      <c r="AA384" s="1693"/>
      <c r="AB384" s="1693"/>
      <c r="AC384" s="1693"/>
      <c r="AD384" s="1693"/>
      <c r="AE384" s="1693"/>
      <c r="AF384" s="1693"/>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30"/>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9" t="s">
        <v>319</v>
      </c>
      <c r="AG389" s="1559"/>
      <c r="AH389" s="1559"/>
      <c r="AI389" s="1559"/>
      <c r="AJ389" s="1559"/>
      <c r="AK389" s="1559"/>
      <c r="AL389" s="169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9"/>
      <c r="D391" s="1329"/>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9"/>
      <c r="AG391" s="1559"/>
      <c r="AH391" s="1559"/>
      <c r="AI391" s="1559"/>
      <c r="AJ391" s="1559"/>
      <c r="AK391" s="1559"/>
      <c r="AL391" s="155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7" t="s">
        <v>1936</v>
      </c>
      <c r="G394" s="1887"/>
      <c r="H394" s="1887"/>
      <c r="I394" s="1887"/>
      <c r="J394" s="1887"/>
      <c r="K394" s="1887"/>
      <c r="L394" s="1887"/>
      <c r="M394" s="1887"/>
      <c r="N394" s="1887"/>
      <c r="O394" s="1887"/>
      <c r="P394" s="1887"/>
      <c r="Q394" s="1887"/>
      <c r="R394" s="1887"/>
      <c r="S394" s="1887"/>
      <c r="T394" s="1887"/>
      <c r="U394" s="1887"/>
      <c r="V394" s="1887"/>
      <c r="W394" s="1887"/>
      <c r="X394" s="1887"/>
      <c r="Y394" s="1887"/>
      <c r="Z394" s="1887"/>
      <c r="AA394" s="1887"/>
      <c r="AB394" s="1887"/>
      <c r="AC394" s="1887"/>
      <c r="AD394" s="1887"/>
      <c r="AE394" s="1887"/>
      <c r="AF394" s="188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3"/>
      <c r="G395" s="1703"/>
      <c r="H395" s="1703"/>
      <c r="I395" s="1703"/>
      <c r="J395" s="1703"/>
      <c r="K395" s="1703"/>
      <c r="L395" s="1703"/>
      <c r="M395" s="1703"/>
      <c r="N395" s="1703"/>
      <c r="O395" s="1703"/>
      <c r="P395" s="1703"/>
      <c r="Q395" s="1703"/>
      <c r="R395" s="1703"/>
      <c r="S395" s="1703"/>
      <c r="T395" s="1703"/>
      <c r="U395" s="1703"/>
      <c r="V395" s="1703"/>
      <c r="W395" s="1703"/>
      <c r="X395" s="1703"/>
      <c r="Y395" s="1703"/>
      <c r="Z395" s="1703"/>
      <c r="AA395" s="1703"/>
      <c r="AB395" s="1703"/>
      <c r="AC395" s="1703"/>
      <c r="AD395" s="1703"/>
      <c r="AE395" s="1703"/>
      <c r="AF395" s="170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3"/>
      <c r="G396" s="1703"/>
      <c r="H396" s="1703"/>
      <c r="I396" s="1703"/>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3"/>
      <c r="G397" s="1703"/>
      <c r="H397" s="1703"/>
      <c r="I397" s="1703"/>
      <c r="J397" s="1703"/>
      <c r="K397" s="1703"/>
      <c r="L397" s="1703"/>
      <c r="M397" s="1703"/>
      <c r="N397" s="1703"/>
      <c r="O397" s="1703"/>
      <c r="P397" s="1703"/>
      <c r="Q397" s="1703"/>
      <c r="R397" s="1703"/>
      <c r="S397" s="1703"/>
      <c r="T397" s="1703"/>
      <c r="U397" s="1703"/>
      <c r="V397" s="1703"/>
      <c r="W397" s="1703"/>
      <c r="X397" s="1703"/>
      <c r="Y397" s="1703"/>
      <c r="Z397" s="1703"/>
      <c r="AA397" s="1703"/>
      <c r="AB397" s="1703"/>
      <c r="AC397" s="1703"/>
      <c r="AD397" s="1703"/>
      <c r="AE397" s="1703"/>
      <c r="AF397" s="170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3"/>
      <c r="G398" s="1703"/>
      <c r="H398" s="1703"/>
      <c r="I398" s="1703"/>
      <c r="J398" s="1703"/>
      <c r="K398" s="1703"/>
      <c r="L398" s="1703"/>
      <c r="M398" s="1703"/>
      <c r="N398" s="1703"/>
      <c r="O398" s="1703"/>
      <c r="P398" s="1703"/>
      <c r="Q398" s="1703"/>
      <c r="R398" s="1703"/>
      <c r="S398" s="1703"/>
      <c r="T398" s="1703"/>
      <c r="U398" s="1703"/>
      <c r="V398" s="1703"/>
      <c r="W398" s="1703"/>
      <c r="X398" s="1703"/>
      <c r="Y398" s="1703"/>
      <c r="Z398" s="1703"/>
      <c r="AA398" s="1703"/>
      <c r="AB398" s="1703"/>
      <c r="AC398" s="1703"/>
      <c r="AD398" s="1703"/>
      <c r="AE398" s="1703"/>
      <c r="AF398" s="170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108</v>
      </c>
      <c r="D399" s="1130"/>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9" t="s">
        <v>962</v>
      </c>
      <c r="AG399" s="1559"/>
      <c r="AH399" s="1559"/>
      <c r="AI399" s="1559"/>
      <c r="AJ399" s="1559"/>
      <c r="AK399" s="1559"/>
      <c r="AL399" s="169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124</v>
      </c>
      <c r="D401" s="1130"/>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9" t="s">
        <v>319</v>
      </c>
      <c r="AG401" s="1559"/>
      <c r="AH401" s="1559"/>
      <c r="AI401" s="1559"/>
      <c r="AJ401" s="1559"/>
      <c r="AK401" s="1559"/>
      <c r="AL401" s="169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3" t="s">
        <v>1771</v>
      </c>
      <c r="G405" s="1693"/>
      <c r="H405" s="1693"/>
      <c r="I405" s="1693"/>
      <c r="J405" s="1693"/>
      <c r="K405" s="1693"/>
      <c r="L405" s="1693"/>
      <c r="M405" s="1693"/>
      <c r="N405" s="1693"/>
      <c r="O405" s="1693"/>
      <c r="P405" s="1693"/>
      <c r="Q405" s="1693"/>
      <c r="R405" s="1693"/>
      <c r="S405" s="1693"/>
      <c r="T405" s="1693"/>
      <c r="U405" s="1693"/>
      <c r="V405" s="1693"/>
      <c r="W405" s="1693"/>
      <c r="X405" s="1693"/>
      <c r="Y405" s="1693"/>
      <c r="Z405" s="1693"/>
      <c r="AA405" s="1693"/>
      <c r="AB405" s="1693"/>
      <c r="AC405" s="1693"/>
      <c r="AD405" s="1693"/>
      <c r="AE405" s="1693"/>
      <c r="AF405" s="1693"/>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30"/>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9" t="s">
        <v>319</v>
      </c>
      <c r="AG409" s="1559"/>
      <c r="AH409" s="1559"/>
      <c r="AI409" s="1559"/>
      <c r="AJ409" s="1559"/>
      <c r="AK409" s="1559"/>
      <c r="AL409" s="169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108</v>
      </c>
      <c r="D411" s="1130"/>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9" t="s">
        <v>961</v>
      </c>
      <c r="AG411" s="1559"/>
      <c r="AH411" s="1559"/>
      <c r="AI411" s="1559"/>
      <c r="AJ411" s="1559"/>
      <c r="AK411" s="1559"/>
      <c r="AL411" s="169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30"/>
      <c r="E414" s="695" t="s">
        <v>193</v>
      </c>
      <c r="F414" s="1693" t="s">
        <v>1775</v>
      </c>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698" t="s">
        <v>319</v>
      </c>
      <c r="AG415" s="1698"/>
      <c r="AH415" s="1698"/>
      <c r="AI415" s="1698"/>
      <c r="AJ415" s="1698"/>
      <c r="AK415" s="1698"/>
      <c r="AL415" s="1699"/>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3" t="s">
        <v>1777</v>
      </c>
      <c r="G419" s="1693"/>
      <c r="H419" s="1693"/>
      <c r="I419" s="1693"/>
      <c r="J419" s="1693"/>
      <c r="K419" s="1693"/>
      <c r="L419" s="1693"/>
      <c r="M419" s="1693"/>
      <c r="N419" s="1693"/>
      <c r="O419" s="1693"/>
      <c r="P419" s="1693"/>
      <c r="Q419" s="1693"/>
      <c r="R419" s="1693"/>
      <c r="S419" s="1693"/>
      <c r="T419" s="1693"/>
      <c r="U419" s="1693"/>
      <c r="V419" s="1693"/>
      <c r="W419" s="1693"/>
      <c r="X419" s="1693"/>
      <c r="Y419" s="1693"/>
      <c r="Z419" s="1693"/>
      <c r="AA419" s="1693"/>
      <c r="AB419" s="1693"/>
      <c r="AC419" s="1693"/>
      <c r="AD419" s="1693"/>
      <c r="AE419" s="1693"/>
      <c r="AF419" s="715"/>
      <c r="AG419" s="715"/>
      <c r="AH419" s="715"/>
      <c r="AI419" s="715"/>
      <c r="AJ419" s="715"/>
      <c r="AK419" s="715"/>
      <c r="AL419" s="716"/>
      <c r="AM419"/>
    </row>
    <row r="420" spans="1:55">
      <c r="A420" s="5"/>
      <c r="C420" s="701"/>
      <c r="E420" s="192"/>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2"/>
      <c r="AM420"/>
    </row>
    <row r="421" spans="1:55" s="4" customFormat="1" ht="12.75" customHeight="1">
      <c r="A421" s="5"/>
      <c r="B421" s="21"/>
      <c r="C421" s="701"/>
      <c r="D421" s="21"/>
      <c r="E421" s="192"/>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2"/>
      <c r="AM421"/>
      <c r="AN421" s="279"/>
    </row>
    <row r="422" spans="1:55" s="4" customFormat="1" ht="12.75" customHeight="1">
      <c r="A422" s="5"/>
      <c r="B422" s="21"/>
      <c r="C422" s="704"/>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2"/>
      <c r="AM422"/>
      <c r="AN422" s="279"/>
    </row>
    <row r="423" spans="1:55" s="4" customFormat="1" ht="12.75" customHeight="1">
      <c r="A423" s="5"/>
      <c r="B423" s="21"/>
      <c r="C423" s="1696" t="s">
        <v>124</v>
      </c>
      <c r="D423" s="1130"/>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319</v>
      </c>
      <c r="AG423" s="1698"/>
      <c r="AH423" s="1698"/>
      <c r="AI423" s="1698"/>
      <c r="AJ423" s="1698"/>
      <c r="AK423" s="1698"/>
      <c r="AL423" s="1699"/>
      <c r="AM423"/>
      <c r="AN423" s="279"/>
    </row>
    <row r="424" spans="1:55" s="4" customFormat="1" ht="12.75" customHeight="1">
      <c r="A424" s="5"/>
      <c r="B424" s="21"/>
      <c r="C424" s="704"/>
      <c r="AL424" s="702"/>
      <c r="AM424"/>
      <c r="AN424" s="279"/>
    </row>
    <row r="425" spans="1:55" s="4" customFormat="1" ht="12.75" customHeight="1">
      <c r="A425" s="5"/>
      <c r="B425" s="21"/>
      <c r="C425" s="1696" t="s">
        <v>124</v>
      </c>
      <c r="D425" s="1130"/>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961</v>
      </c>
      <c r="AG425" s="1698"/>
      <c r="AH425" s="1698"/>
      <c r="AI425" s="1698"/>
      <c r="AJ425" s="1698"/>
      <c r="AK425" s="1698"/>
      <c r="AL425" s="1699"/>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3" t="s">
        <v>1778</v>
      </c>
      <c r="G429" s="1693"/>
      <c r="H429" s="1693"/>
      <c r="I429" s="1693"/>
      <c r="J429" s="1693"/>
      <c r="K429" s="1693"/>
      <c r="L429" s="1693"/>
      <c r="M429" s="1693"/>
      <c r="N429" s="1693"/>
      <c r="O429" s="1693"/>
      <c r="P429" s="1693"/>
      <c r="Q429" s="1693"/>
      <c r="R429" s="1693"/>
      <c r="S429" s="1693"/>
      <c r="T429" s="1693"/>
      <c r="U429" s="1693"/>
      <c r="V429" s="1693"/>
      <c r="W429" s="1693"/>
      <c r="X429" s="1693"/>
      <c r="Y429" s="1693"/>
      <c r="Z429" s="1693"/>
      <c r="AA429" s="1693"/>
      <c r="AB429" s="1693"/>
      <c r="AC429" s="1693"/>
      <c r="AD429" s="1693"/>
      <c r="AE429" s="1693"/>
      <c r="AF429" s="694"/>
      <c r="AG429" s="694"/>
      <c r="AH429" s="694"/>
      <c r="AI429" s="694"/>
      <c r="AJ429" s="694"/>
      <c r="AK429" s="694"/>
      <c r="AL429" s="718"/>
      <c r="AM429"/>
      <c r="AN429" s="279"/>
    </row>
    <row r="430" spans="1:55" s="4" customFormat="1" ht="12.75" customHeight="1">
      <c r="A430" s="5"/>
      <c r="B430" s="73"/>
      <c r="C430" s="719"/>
      <c r="D430" s="73"/>
      <c r="E430" s="192"/>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2"/>
      <c r="AM430"/>
      <c r="AN430" s="279"/>
    </row>
    <row r="431" spans="1:55" s="4" customFormat="1" ht="12.45" customHeight="1">
      <c r="A431" s="5"/>
      <c r="B431" s="73"/>
      <c r="C431" s="719"/>
      <c r="D431" s="73"/>
      <c r="E431" s="192"/>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2"/>
      <c r="AM431"/>
      <c r="AN431" s="279"/>
    </row>
    <row r="432" spans="1:55" s="4" customFormat="1" ht="12.75" customHeight="1">
      <c r="A432" s="5"/>
      <c r="B432" s="73"/>
      <c r="C432" s="1696" t="s">
        <v>124</v>
      </c>
      <c r="D432" s="1130"/>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8" t="s">
        <v>319</v>
      </c>
      <c r="AG432" s="1698"/>
      <c r="AH432" s="1698"/>
      <c r="AI432" s="1698"/>
      <c r="AJ432" s="1698"/>
      <c r="AK432" s="1698"/>
      <c r="AL432" s="1699"/>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666</v>
      </c>
      <c r="F435" s="1693" t="s">
        <v>1779</v>
      </c>
      <c r="G435" s="1693"/>
      <c r="H435" s="1693"/>
      <c r="I435" s="1693"/>
      <c r="J435" s="1693"/>
      <c r="K435" s="1693"/>
      <c r="L435" s="1693"/>
      <c r="M435" s="1693"/>
      <c r="N435" s="1693"/>
      <c r="O435" s="1693"/>
      <c r="P435" s="1693"/>
      <c r="Q435" s="1693"/>
      <c r="R435" s="1693"/>
      <c r="S435" s="1693"/>
      <c r="T435" s="1693"/>
      <c r="U435" s="1693"/>
      <c r="V435" s="1693"/>
      <c r="W435" s="1693"/>
      <c r="X435" s="1693"/>
      <c r="Y435" s="1693"/>
      <c r="Z435" s="1693"/>
      <c r="AA435" s="1693"/>
      <c r="AB435" s="1693"/>
      <c r="AC435" s="1693"/>
      <c r="AD435" s="1693"/>
      <c r="AE435" s="1693"/>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6"/>
      <c r="AG436" s="106"/>
      <c r="AH436" s="106"/>
      <c r="AI436" s="106"/>
      <c r="AJ436" s="106"/>
      <c r="AK436" s="106"/>
      <c r="AL436" s="781"/>
      <c r="AM436"/>
      <c r="AO436" s="4"/>
      <c r="AP436" s="4"/>
    </row>
    <row r="437" spans="1:60" s="4" customFormat="1" ht="12.75" customHeight="1">
      <c r="A437" s="5"/>
      <c r="B437" s="73"/>
      <c r="C437" s="719"/>
      <c r="D437" s="73"/>
      <c r="E437" s="192"/>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6"/>
      <c r="AG437" s="106"/>
      <c r="AH437" s="106"/>
      <c r="AI437" s="106"/>
      <c r="AJ437" s="106"/>
      <c r="AK437" s="106"/>
      <c r="AL437" s="781"/>
      <c r="AM437"/>
      <c r="AN437" s="279"/>
    </row>
    <row r="438" spans="1:60" s="4" customFormat="1" ht="12.75" customHeight="1">
      <c r="A438" s="5"/>
      <c r="B438" s="73"/>
      <c r="C438" s="720"/>
      <c r="D438" s="1"/>
      <c r="E438" s="223"/>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6"/>
      <c r="AG439" s="106"/>
      <c r="AH439" s="106"/>
      <c r="AI439" s="106"/>
      <c r="AJ439" s="106"/>
      <c r="AK439" s="106"/>
      <c r="AL439" s="781"/>
      <c r="AM439"/>
      <c r="AN439" s="279"/>
    </row>
    <row r="440" spans="1:60" s="4" customFormat="1" ht="12.75" customHeight="1">
      <c r="A440" s="5"/>
      <c r="B440" s="73"/>
      <c r="C440" s="720"/>
      <c r="D440" s="1"/>
      <c r="E440" s="223"/>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6"/>
      <c r="AG440" s="106"/>
      <c r="AH440" s="106"/>
      <c r="AI440" s="106"/>
      <c r="AJ440" s="106"/>
      <c r="AK440" s="106"/>
      <c r="AL440" s="781"/>
      <c r="AM440"/>
      <c r="AN440" s="279"/>
    </row>
    <row r="441" spans="1:60" s="4" customFormat="1" ht="12.75" customHeight="1">
      <c r="A441" s="5"/>
      <c r="B441" s="73"/>
      <c r="C441" s="720"/>
      <c r="D441" s="1"/>
      <c r="E441" s="223"/>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6"/>
      <c r="AG441" s="106"/>
      <c r="AH441" s="106"/>
      <c r="AI441" s="106"/>
      <c r="AJ441" s="106"/>
      <c r="AK441" s="106"/>
      <c r="AL441" s="781"/>
      <c r="AM441"/>
      <c r="AN441" s="279"/>
    </row>
    <row r="442" spans="1:60" s="4" customFormat="1" ht="12.75" customHeight="1">
      <c r="A442" s="5"/>
      <c r="B442" s="73"/>
      <c r="C442" s="720"/>
      <c r="D442" s="1"/>
      <c r="E442" s="223"/>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6"/>
      <c r="AG442" s="106"/>
      <c r="AH442" s="106"/>
      <c r="AI442" s="106"/>
      <c r="AJ442" s="106"/>
      <c r="AK442" s="106"/>
      <c r="AL442" s="781"/>
      <c r="AM442"/>
      <c r="AN442" s="279"/>
    </row>
    <row r="443" spans="1:60" s="4" customFormat="1" ht="17.25" customHeight="1">
      <c r="A443" s="5"/>
      <c r="B443" s="73"/>
      <c r="C443" s="720"/>
      <c r="D443" s="1"/>
      <c r="E443" s="223"/>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2"/>
      <c r="AM443"/>
      <c r="AN443" s="279"/>
    </row>
    <row r="444" spans="1:60" s="4" customFormat="1" ht="12.75" customHeight="1">
      <c r="A444" s="5"/>
      <c r="B444" s="21"/>
      <c r="C444" s="1696" t="s">
        <v>124</v>
      </c>
      <c r="D444" s="1130"/>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319</v>
      </c>
      <c r="AG444" s="1698"/>
      <c r="AH444" s="1698"/>
      <c r="AI444" s="1698"/>
      <c r="AJ444" s="1698"/>
      <c r="AK444" s="1698"/>
      <c r="AL444" s="1699"/>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3" t="s">
        <v>1782</v>
      </c>
      <c r="G447" s="1693"/>
      <c r="H447" s="1693"/>
      <c r="I447" s="1693"/>
      <c r="J447" s="1693"/>
      <c r="K447" s="1693"/>
      <c r="L447" s="1693"/>
      <c r="M447" s="1693"/>
      <c r="N447" s="1693"/>
      <c r="O447" s="1693"/>
      <c r="P447" s="1693"/>
      <c r="Q447" s="1693"/>
      <c r="R447" s="1693"/>
      <c r="S447" s="1693"/>
      <c r="T447" s="1693"/>
      <c r="U447" s="1693"/>
      <c r="V447" s="1693"/>
      <c r="W447" s="1693"/>
      <c r="X447" s="1693"/>
      <c r="Y447" s="1693"/>
      <c r="Z447" s="1693"/>
      <c r="AA447" s="1693"/>
      <c r="AB447" s="1693"/>
      <c r="AC447" s="1693"/>
      <c r="AD447" s="1693"/>
      <c r="AE447" s="1693"/>
      <c r="AF447" s="694"/>
      <c r="AG447" s="694"/>
      <c r="AH447" s="694"/>
      <c r="AI447" s="694"/>
      <c r="AJ447" s="694"/>
      <c r="AK447" s="694"/>
      <c r="AL447" s="718"/>
      <c r="AM447"/>
      <c r="AN447" s="279"/>
    </row>
    <row r="448" spans="1:60" s="4" customFormat="1" ht="12.75" customHeight="1">
      <c r="A448" s="5"/>
      <c r="B448" s="73"/>
      <c r="C448" s="720"/>
      <c r="D448" s="1"/>
      <c r="E448" s="223"/>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78"/>
      <c r="AM448"/>
      <c r="AN448" s="279"/>
    </row>
    <row r="449" spans="1:49" s="4" customFormat="1" ht="12.75" customHeight="1">
      <c r="A449" s="5"/>
      <c r="B449" s="73"/>
      <c r="C449" s="720"/>
      <c r="D449" s="1"/>
      <c r="E449" s="223"/>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78"/>
      <c r="AM449"/>
      <c r="AN449" s="279"/>
    </row>
    <row r="450" spans="1:49" s="4" customFormat="1" ht="12.75" customHeight="1">
      <c r="A450" s="5"/>
      <c r="B450" s="73"/>
      <c r="C450" s="720"/>
      <c r="D450" s="1"/>
      <c r="E450" s="223"/>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2"/>
      <c r="AM450"/>
      <c r="AN450" s="279"/>
    </row>
    <row r="451" spans="1:49" s="4" customFormat="1" ht="12.75" customHeight="1">
      <c r="A451" s="5"/>
      <c r="B451" s="73"/>
      <c r="C451" s="1696" t="s">
        <v>124</v>
      </c>
      <c r="D451" s="1130"/>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319</v>
      </c>
      <c r="AG451" s="1698"/>
      <c r="AH451" s="1698"/>
      <c r="AI451" s="1698"/>
      <c r="AJ451" s="1698"/>
      <c r="AK451" s="1698"/>
      <c r="AL451" s="1699"/>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9" t="s">
        <v>124</v>
      </c>
      <c r="D455" s="1890"/>
      <c r="E455" s="695" t="s">
        <v>966</v>
      </c>
      <c r="F455" s="1693" t="s">
        <v>968</v>
      </c>
      <c r="G455" s="1693"/>
      <c r="H455" s="1693"/>
      <c r="I455" s="1693"/>
      <c r="J455" s="1693"/>
      <c r="K455" s="1693"/>
      <c r="L455" s="1693"/>
      <c r="M455" s="1693"/>
      <c r="N455" s="1693"/>
      <c r="O455" s="1693"/>
      <c r="P455" s="1693"/>
      <c r="Q455" s="1693"/>
      <c r="R455" s="1693"/>
      <c r="S455" s="1693"/>
      <c r="T455" s="1693"/>
      <c r="U455" s="1693"/>
      <c r="V455" s="1693"/>
      <c r="W455" s="1693"/>
      <c r="X455" s="1693"/>
      <c r="Y455" s="1693"/>
      <c r="Z455" s="1693"/>
      <c r="AA455" s="1693"/>
      <c r="AB455" s="1693"/>
      <c r="AC455" s="1693"/>
      <c r="AD455" s="1693"/>
      <c r="AE455" s="1693"/>
      <c r="AF455" s="1894" t="s">
        <v>319</v>
      </c>
      <c r="AG455" s="1894"/>
      <c r="AH455" s="1894"/>
      <c r="AI455" s="1894"/>
      <c r="AJ455" s="1894"/>
      <c r="AK455" s="1894"/>
      <c r="AL455" s="1895"/>
      <c r="AM455"/>
      <c r="AN455" s="671"/>
      <c r="AQ455" s="164"/>
    </row>
    <row r="456" spans="1:49" s="4" customFormat="1" ht="12.75" customHeight="1">
      <c r="A456" s="5"/>
      <c r="B456" s="73"/>
      <c r="C456" s="720"/>
      <c r="D456" s="1"/>
      <c r="E456" s="223"/>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89" t="s">
        <v>124</v>
      </c>
      <c r="D459" s="1890"/>
      <c r="E459" s="695" t="s">
        <v>967</v>
      </c>
      <c r="F459" s="1693" t="s">
        <v>1819</v>
      </c>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1894" t="s">
        <v>319</v>
      </c>
      <c r="AG459" s="1894"/>
      <c r="AH459" s="1894"/>
      <c r="AI459" s="1894"/>
      <c r="AJ459" s="1894"/>
      <c r="AK459" s="1894"/>
      <c r="AL459" s="1895"/>
      <c r="AM459"/>
      <c r="AN459" s="667"/>
      <c r="AO459" s="4" t="s">
        <v>1333</v>
      </c>
      <c r="AP459" s="4">
        <v>5</v>
      </c>
      <c r="AQ459" s="5"/>
    </row>
    <row r="460" spans="1:49" s="4" customFormat="1" ht="12.75" customHeight="1">
      <c r="A460" s="5"/>
      <c r="B460" s="21"/>
      <c r="C460" s="701"/>
      <c r="D460" s="21"/>
      <c r="E460" s="192"/>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2"/>
      <c r="AM460"/>
      <c r="AN460" s="667"/>
      <c r="AO460" s="4" t="s">
        <v>1329</v>
      </c>
      <c r="AP460" s="4">
        <v>5</v>
      </c>
    </row>
    <row r="461" spans="1:49" s="4" customFormat="1" ht="12.75" customHeight="1">
      <c r="A461" s="5"/>
      <c r="B461" s="21"/>
      <c r="C461" s="701"/>
      <c r="D461" s="21"/>
      <c r="E461" s="192"/>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2"/>
      <c r="AM461"/>
      <c r="AN461" s="667"/>
      <c r="AO461" s="4" t="s">
        <v>1330</v>
      </c>
      <c r="AP461" s="4">
        <v>5</v>
      </c>
    </row>
    <row r="462" spans="1:49" s="4" customFormat="1" ht="4.5" customHeight="1">
      <c r="A462" s="5"/>
      <c r="B462" s="73"/>
      <c r="C462" s="697"/>
      <c r="D462" s="698"/>
      <c r="E462" s="699"/>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3" t="s">
        <v>1820</v>
      </c>
      <c r="G464" s="1693"/>
      <c r="H464" s="1693"/>
      <c r="I464" s="1693"/>
      <c r="J464" s="1693"/>
      <c r="K464" s="1693"/>
      <c r="L464" s="1693"/>
      <c r="M464" s="1693"/>
      <c r="N464" s="1693"/>
      <c r="O464" s="1693"/>
      <c r="P464" s="1693"/>
      <c r="Q464" s="1693"/>
      <c r="R464" s="1693"/>
      <c r="S464" s="1693"/>
      <c r="T464" s="1693"/>
      <c r="U464" s="1693"/>
      <c r="V464" s="1693"/>
      <c r="W464" s="1693"/>
      <c r="X464" s="1693"/>
      <c r="Y464" s="1693"/>
      <c r="Z464" s="1693"/>
      <c r="AA464" s="1693"/>
      <c r="AB464" s="1693"/>
      <c r="AC464" s="1693"/>
      <c r="AD464" s="1693"/>
      <c r="AE464" s="1693"/>
      <c r="AF464" s="1693"/>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2"/>
      <c r="AM465"/>
      <c r="AN465" s="279"/>
      <c r="AS465" s="343"/>
      <c r="AW465" s="343" t="s">
        <v>974</v>
      </c>
      <c r="BA465" s="343" t="s">
        <v>975</v>
      </c>
    </row>
    <row r="466" spans="1:54" s="4" customFormat="1" ht="12.75" customHeight="1">
      <c r="A466" s="5"/>
      <c r="B466" s="21"/>
      <c r="C466" s="704"/>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6" t="s">
        <v>124</v>
      </c>
      <c r="D468" s="1130"/>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9" t="s">
        <v>319</v>
      </c>
      <c r="AG468" s="1559"/>
      <c r="AH468" s="1559"/>
      <c r="AI468" s="1559"/>
      <c r="AJ468" s="1559"/>
      <c r="AK468" s="1559"/>
      <c r="AL468" s="1694"/>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1">
        <f>IF(AS357=0,AS355,AS357)</f>
        <v>10</v>
      </c>
      <c r="AL474" s="1082"/>
      <c r="AM474" s="108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59" t="s">
        <v>1256</v>
      </c>
      <c r="AF477" s="1559"/>
      <c r="AG477" s="1559"/>
      <c r="AH477" s="1559"/>
      <c r="AI477" s="1559"/>
      <c r="AJ477" s="1559"/>
      <c r="AK477" s="1559"/>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57" t="s">
        <v>124</v>
      </c>
      <c r="D483" s="1858"/>
      <c r="E483" s="746" t="s">
        <v>195</v>
      </c>
      <c r="F483" s="1854" t="s">
        <v>971</v>
      </c>
      <c r="G483" s="1854"/>
      <c r="H483" s="1854"/>
      <c r="I483" s="1854"/>
      <c r="J483" s="1854"/>
      <c r="K483" s="1854"/>
      <c r="L483" s="1854"/>
      <c r="M483" s="1854"/>
      <c r="N483" s="1854"/>
      <c r="O483" s="1854"/>
      <c r="P483" s="1854"/>
      <c r="Q483" s="1854"/>
      <c r="R483" s="1854"/>
      <c r="S483" s="1854"/>
      <c r="T483" s="1854"/>
      <c r="U483" s="1854"/>
      <c r="V483" s="1854"/>
      <c r="W483" s="1854"/>
      <c r="X483" s="1854"/>
      <c r="Y483" s="1854"/>
      <c r="Z483" s="1854"/>
      <c r="AA483" s="1854"/>
      <c r="AB483" s="1854"/>
      <c r="AC483" s="1854"/>
      <c r="AD483" s="1854"/>
      <c r="AE483" s="1854"/>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5"/>
      <c r="G484" s="1855"/>
      <c r="H484" s="1855"/>
      <c r="I484" s="1855"/>
      <c r="J484" s="1855"/>
      <c r="K484" s="1855"/>
      <c r="L484" s="1855"/>
      <c r="M484" s="1855"/>
      <c r="N484" s="1855"/>
      <c r="O484" s="1855"/>
      <c r="P484" s="1855"/>
      <c r="Q484" s="1855"/>
      <c r="R484" s="1855"/>
      <c r="S484" s="1855"/>
      <c r="T484" s="1855"/>
      <c r="U484" s="1855"/>
      <c r="V484" s="1855"/>
      <c r="W484" s="1855"/>
      <c r="X484" s="1855"/>
      <c r="Y484" s="1855"/>
      <c r="Z484" s="1855"/>
      <c r="AA484" s="1855"/>
      <c r="AB484" s="1855"/>
      <c r="AC484" s="1855"/>
      <c r="AD484" s="1855"/>
      <c r="AE484" s="1855"/>
      <c r="AG484" s="19"/>
      <c r="AH484" s="19"/>
      <c r="AI484" s="19"/>
      <c r="AJ484" s="19"/>
      <c r="AK484" s="702"/>
      <c r="AN484" s="279"/>
      <c r="AO484" s="4" t="s">
        <v>1332</v>
      </c>
      <c r="AP484" s="4">
        <v>1</v>
      </c>
    </row>
    <row r="485" spans="1:50" s="4" customFormat="1" ht="12.75" hidden="1" customHeight="1">
      <c r="C485" s="724"/>
      <c r="D485" s="711"/>
      <c r="E485" s="725"/>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9" t="s">
        <v>108</v>
      </c>
      <c r="D487" s="1890"/>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56" t="s">
        <v>124</v>
      </c>
      <c r="W490" s="1856"/>
      <c r="X490" s="1856"/>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56" t="s">
        <v>124</v>
      </c>
      <c r="W492" s="1856"/>
      <c r="X492" s="1856"/>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56" t="s">
        <v>124</v>
      </c>
      <c r="W497" s="1856"/>
      <c r="X497" s="1856"/>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4"/>
      <c r="E500" s="1154"/>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56" t="s">
        <v>124</v>
      </c>
      <c r="W501" s="1856"/>
      <c r="X501" s="1856"/>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56" t="s">
        <v>124</v>
      </c>
      <c r="W503" s="1856"/>
      <c r="X503" s="1856"/>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0" t="s">
        <v>656</v>
      </c>
      <c r="AV504" s="1861"/>
      <c r="AW504" s="1861"/>
      <c r="AX504" s="1861"/>
      <c r="AY504" s="1861"/>
      <c r="AZ504" s="1861"/>
      <c r="BA504" s="1861"/>
      <c r="BB504" s="20"/>
      <c r="BC504" s="20"/>
      <c r="BE504" s="4"/>
      <c r="BF504" s="4"/>
      <c r="BG504" s="4"/>
      <c r="BH504" s="4"/>
      <c r="BI504" s="4"/>
      <c r="BJ504" s="1838" t="s">
        <v>30</v>
      </c>
      <c r="BK504" s="1839"/>
      <c r="BL504" s="1839"/>
      <c r="BM504" s="1839"/>
      <c r="BN504" s="1839"/>
      <c r="BO504" s="1839"/>
      <c r="BP504" s="183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0"/>
      <c r="AV505" s="1861"/>
      <c r="AW505" s="1861"/>
      <c r="AX505" s="1861"/>
      <c r="AY505" s="1861"/>
      <c r="AZ505" s="1861"/>
      <c r="BA505" s="1861"/>
      <c r="BB505" s="20"/>
      <c r="BC505" s="20"/>
      <c r="BE505" s="4"/>
      <c r="BF505" s="4"/>
      <c r="BG505" s="4"/>
      <c r="BH505" s="4"/>
      <c r="BI505" s="4"/>
      <c r="BJ505" s="1838"/>
      <c r="BK505" s="1839"/>
      <c r="BL505" s="1839"/>
      <c r="BM505" s="1839"/>
      <c r="BN505" s="1839"/>
      <c r="BO505" s="1839"/>
      <c r="BP505" s="1839"/>
      <c r="BQ505" s="20"/>
      <c r="BR505" s="4"/>
    </row>
    <row r="506" spans="1:147" customFormat="1" ht="12.75" hidden="1" customHeight="1">
      <c r="A506" s="118"/>
      <c r="B506" s="4"/>
      <c r="C506" s="1857" t="s">
        <v>124</v>
      </c>
      <c r="D506" s="1858"/>
      <c r="E506" s="739" t="s">
        <v>195</v>
      </c>
      <c r="F506" s="1854" t="s">
        <v>971</v>
      </c>
      <c r="G506" s="1854"/>
      <c r="H506" s="1854"/>
      <c r="I506" s="1854"/>
      <c r="J506" s="1854"/>
      <c r="K506" s="1854"/>
      <c r="L506" s="1854"/>
      <c r="M506" s="1854"/>
      <c r="N506" s="1854"/>
      <c r="O506" s="1854"/>
      <c r="P506" s="1854"/>
      <c r="Q506" s="1854"/>
      <c r="R506" s="1854"/>
      <c r="S506" s="1854"/>
      <c r="T506" s="1854"/>
      <c r="U506" s="1854"/>
      <c r="V506" s="1854"/>
      <c r="W506" s="1854"/>
      <c r="X506" s="1854"/>
      <c r="Y506" s="1854"/>
      <c r="Z506" s="1854"/>
      <c r="AA506" s="1854"/>
      <c r="AB506" s="1854"/>
      <c r="AC506" s="1854"/>
      <c r="AD506" s="1854"/>
      <c r="AE506" s="1854"/>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5"/>
      <c r="G507" s="1855"/>
      <c r="H507" s="1855"/>
      <c r="I507" s="1855"/>
      <c r="J507" s="1855"/>
      <c r="K507" s="1855"/>
      <c r="L507" s="1855"/>
      <c r="M507" s="1855"/>
      <c r="N507" s="1855"/>
      <c r="O507" s="1855"/>
      <c r="P507" s="1855"/>
      <c r="Q507" s="1855"/>
      <c r="R507" s="1855"/>
      <c r="S507" s="1855"/>
      <c r="T507" s="1855"/>
      <c r="U507" s="1855"/>
      <c r="V507" s="1855"/>
      <c r="W507" s="1855"/>
      <c r="X507" s="1855"/>
      <c r="Y507" s="1855"/>
      <c r="Z507" s="1855"/>
      <c r="AA507" s="1855"/>
      <c r="AB507" s="1855"/>
      <c r="AC507" s="1855"/>
      <c r="AD507" s="1855"/>
      <c r="AE507" s="1855"/>
      <c r="AF507" s="4"/>
      <c r="AG507" s="19"/>
      <c r="AH507" s="19"/>
      <c r="AI507" s="19"/>
      <c r="AJ507" s="19"/>
      <c r="AK507" s="702"/>
      <c r="AL507" s="4"/>
      <c r="AM507" s="4"/>
      <c r="AN507" s="666"/>
      <c r="AO507" s="38"/>
      <c r="AP507" s="1413" t="s">
        <v>1495</v>
      </c>
      <c r="AQ507" s="1414"/>
      <c r="AR507" s="1415"/>
      <c r="AS507" s="621">
        <v>80</v>
      </c>
      <c r="AT507" s="4">
        <v>0</v>
      </c>
      <c r="AU507" s="158">
        <v>10</v>
      </c>
      <c r="AV507" s="158">
        <v>25</v>
      </c>
      <c r="AW507" s="158">
        <v>37.5</v>
      </c>
      <c r="AX507" s="158">
        <v>35</v>
      </c>
      <c r="AY507" s="158">
        <v>37.5</v>
      </c>
      <c r="AZ507" s="158">
        <v>50</v>
      </c>
      <c r="BA507" s="158">
        <v>50</v>
      </c>
      <c r="BB507" s="21"/>
      <c r="BC507" s="21"/>
      <c r="BE507" s="1413" t="s">
        <v>1495</v>
      </c>
      <c r="BF507" s="1414"/>
      <c r="BG507" s="1415"/>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1" t="s">
        <v>124</v>
      </c>
      <c r="G508" s="1891"/>
      <c r="H508" s="1891"/>
      <c r="I508" s="1891"/>
      <c r="J508" s="1891"/>
      <c r="K508" s="1891"/>
      <c r="L508" s="1891"/>
      <c r="M508" s="1891"/>
      <c r="N508" s="1891"/>
      <c r="O508" s="1891"/>
      <c r="P508" s="1891"/>
      <c r="Q508" s="1891"/>
      <c r="R508" s="1891"/>
      <c r="S508" s="1891"/>
      <c r="T508" s="1891"/>
      <c r="U508" s="1891"/>
      <c r="V508" s="1891"/>
      <c r="W508" s="1891"/>
      <c r="X508" s="1891"/>
      <c r="Y508" s="1891"/>
      <c r="Z508" s="1891"/>
      <c r="AA508" s="726"/>
      <c r="AB508" s="727"/>
      <c r="AC508" s="727"/>
      <c r="AD508" s="711"/>
      <c r="AE508" s="711"/>
      <c r="AF508" s="711"/>
      <c r="AG508" s="728">
        <f>IF($C$506="Yes",(VLOOKUP($F$508,$AO$476:$AP$484,2,FALSE)),0)</f>
        <v>0</v>
      </c>
      <c r="AH508" s="729" t="s">
        <v>973</v>
      </c>
      <c r="AI508" s="728"/>
      <c r="AJ508" s="727"/>
      <c r="AK508" s="712"/>
      <c r="AL508" s="4"/>
      <c r="AM508" s="4"/>
      <c r="AN508" s="666"/>
      <c r="AO508" s="38"/>
      <c r="AP508" s="1416"/>
      <c r="AQ508" s="1417"/>
      <c r="AR508" s="1418"/>
      <c r="AS508" s="621">
        <v>75</v>
      </c>
      <c r="AT508" s="4">
        <v>0</v>
      </c>
      <c r="AU508" s="158">
        <v>10</v>
      </c>
      <c r="AV508" s="158">
        <v>25</v>
      </c>
      <c r="AW508" s="158">
        <v>37.5</v>
      </c>
      <c r="AX508" s="158">
        <v>35</v>
      </c>
      <c r="AY508" s="158">
        <v>37.5</v>
      </c>
      <c r="AZ508" s="158">
        <v>50</v>
      </c>
      <c r="BA508" s="158">
        <v>50</v>
      </c>
      <c r="BB508" s="21"/>
      <c r="BC508" s="21"/>
      <c r="BE508" s="1416"/>
      <c r="BF508" s="1417"/>
      <c r="BG508" s="1418"/>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6"/>
      <c r="AQ509" s="1417"/>
      <c r="AR509" s="1418"/>
      <c r="AS509" s="621">
        <v>70</v>
      </c>
      <c r="AT509" s="4">
        <v>0</v>
      </c>
      <c r="AU509" s="158">
        <v>10</v>
      </c>
      <c r="AV509" s="158">
        <v>25</v>
      </c>
      <c r="AW509" s="158">
        <v>37.5</v>
      </c>
      <c r="AX509" s="158">
        <v>35</v>
      </c>
      <c r="AY509" s="158">
        <v>37.5</v>
      </c>
      <c r="AZ509" s="158">
        <v>50</v>
      </c>
      <c r="BA509" s="158">
        <v>50</v>
      </c>
      <c r="BB509" s="21"/>
      <c r="BC509" s="21"/>
      <c r="BE509" s="1416"/>
      <c r="BF509" s="1417"/>
      <c r="BG509" s="1418"/>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7" t="s">
        <v>124</v>
      </c>
      <c r="D510" s="1858"/>
      <c r="E510" s="739" t="s">
        <v>302</v>
      </c>
      <c r="F510" s="1898" t="s">
        <v>1157</v>
      </c>
      <c r="G510" s="1898"/>
      <c r="H510" s="1898"/>
      <c r="I510" s="1898"/>
      <c r="J510" s="1898"/>
      <c r="K510" s="1898"/>
      <c r="L510" s="1898"/>
      <c r="M510" s="1898"/>
      <c r="N510" s="1898"/>
      <c r="O510" s="1898"/>
      <c r="P510" s="1898"/>
      <c r="Q510" s="1898"/>
      <c r="R510" s="1898"/>
      <c r="S510" s="1898"/>
      <c r="T510" s="1898"/>
      <c r="U510" s="1898"/>
      <c r="V510" s="1898"/>
      <c r="W510" s="1898"/>
      <c r="X510" s="1898"/>
      <c r="Y510" s="1898"/>
      <c r="Z510" s="1898"/>
      <c r="AA510" s="1898"/>
      <c r="AB510" s="1898"/>
      <c r="AC510" s="1898"/>
      <c r="AD510" s="1898"/>
      <c r="AE510" s="1898"/>
      <c r="AF510" s="694"/>
      <c r="AG510" s="731"/>
      <c r="AH510" s="731"/>
      <c r="AI510" s="731"/>
      <c r="AJ510" s="731"/>
      <c r="AK510" s="718"/>
      <c r="AL510" s="4"/>
      <c r="AM510" s="4"/>
      <c r="AN510" s="666"/>
      <c r="AO510" s="38"/>
      <c r="AP510" s="1416"/>
      <c r="AQ510" s="1417"/>
      <c r="AR510" s="1418"/>
      <c r="AS510" s="621">
        <v>65</v>
      </c>
      <c r="AT510" s="4">
        <v>0</v>
      </c>
      <c r="AU510" s="158">
        <v>10</v>
      </c>
      <c r="AV510" s="158">
        <v>25</v>
      </c>
      <c r="AW510" s="158">
        <v>37.5</v>
      </c>
      <c r="AX510" s="158">
        <v>35</v>
      </c>
      <c r="AY510" s="158">
        <v>37.5</v>
      </c>
      <c r="AZ510" s="158">
        <v>50</v>
      </c>
      <c r="BA510" s="158">
        <v>50</v>
      </c>
      <c r="BB510" s="21"/>
      <c r="BC510" s="21"/>
      <c r="BE510" s="1416"/>
      <c r="BF510" s="1417"/>
      <c r="BG510" s="1418"/>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9"/>
      <c r="G511" s="1899"/>
      <c r="H511" s="1899"/>
      <c r="I511" s="1899"/>
      <c r="J511" s="1899"/>
      <c r="K511" s="1899"/>
      <c r="L511" s="1899"/>
      <c r="M511" s="1899"/>
      <c r="N511" s="1899"/>
      <c r="O511" s="1899"/>
      <c r="P511" s="1899"/>
      <c r="Q511" s="1899"/>
      <c r="R511" s="1899"/>
      <c r="S511" s="1899"/>
      <c r="T511" s="1899"/>
      <c r="U511" s="1899"/>
      <c r="V511" s="1899"/>
      <c r="W511" s="1899"/>
      <c r="X511" s="1899"/>
      <c r="Y511" s="1899"/>
      <c r="Z511" s="1899"/>
      <c r="AA511" s="1899"/>
      <c r="AB511" s="1899"/>
      <c r="AC511" s="1899"/>
      <c r="AD511" s="1899"/>
      <c r="AE511" s="1899"/>
      <c r="AF511" s="4"/>
      <c r="AG511" s="19"/>
      <c r="AH511" s="19"/>
      <c r="AI511" s="19"/>
      <c r="AJ511" s="19"/>
      <c r="AK511" s="702"/>
      <c r="AL511" s="4"/>
      <c r="AM511" s="4"/>
      <c r="AN511" s="666"/>
      <c r="AO511" s="38"/>
      <c r="AP511" s="1416"/>
      <c r="AQ511" s="1417"/>
      <c r="AR511" s="1418"/>
      <c r="AS511" s="621">
        <v>60</v>
      </c>
      <c r="AT511" s="4">
        <v>0</v>
      </c>
      <c r="AU511" s="158">
        <v>10</v>
      </c>
      <c r="AV511" s="158">
        <v>25</v>
      </c>
      <c r="AW511" s="158">
        <v>37.5</v>
      </c>
      <c r="AX511" s="158">
        <v>35</v>
      </c>
      <c r="AY511" s="158">
        <v>37.5</v>
      </c>
      <c r="AZ511" s="158">
        <v>50</v>
      </c>
      <c r="BA511" s="158">
        <v>50</v>
      </c>
      <c r="BB511" s="21"/>
      <c r="BC511" s="21"/>
      <c r="BE511" s="1416"/>
      <c r="BF511" s="1417"/>
      <c r="BG511" s="1418"/>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6"/>
      <c r="AQ512" s="1417"/>
      <c r="AR512" s="1418"/>
      <c r="AS512" s="621">
        <v>55</v>
      </c>
      <c r="AT512" s="4">
        <v>0</v>
      </c>
      <c r="AU512" s="158">
        <v>10</v>
      </c>
      <c r="AV512" s="158">
        <v>25</v>
      </c>
      <c r="AW512" s="158">
        <v>37.5</v>
      </c>
      <c r="AX512" s="158">
        <v>35</v>
      </c>
      <c r="AY512" s="158">
        <v>37.5</v>
      </c>
      <c r="AZ512" s="158">
        <v>50</v>
      </c>
      <c r="BA512" s="158">
        <v>50</v>
      </c>
      <c r="BE512" s="1416"/>
      <c r="BF512" s="1417"/>
      <c r="BG512" s="1418"/>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2" t="s">
        <v>124</v>
      </c>
      <c r="G513" s="1892"/>
      <c r="H513" s="1892"/>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16"/>
      <c r="AQ513" s="1417"/>
      <c r="AR513" s="1418"/>
      <c r="AS513" s="157">
        <v>50</v>
      </c>
      <c r="AT513" s="4">
        <v>0</v>
      </c>
      <c r="AU513" s="158">
        <v>10</v>
      </c>
      <c r="AV513" s="158">
        <v>25</v>
      </c>
      <c r="AW513" s="158">
        <v>37.5</v>
      </c>
      <c r="AX513" s="158">
        <v>35</v>
      </c>
      <c r="AY513" s="158">
        <v>37.5</v>
      </c>
      <c r="AZ513" s="158">
        <v>50</v>
      </c>
      <c r="BA513" s="158">
        <v>50</v>
      </c>
      <c r="BE513" s="1416"/>
      <c r="BF513" s="1417"/>
      <c r="BG513" s="1418"/>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6"/>
      <c r="AQ514" s="1417"/>
      <c r="AR514" s="1418"/>
      <c r="AS514" s="157">
        <v>45</v>
      </c>
      <c r="AT514" s="4">
        <v>0</v>
      </c>
      <c r="AU514" s="158">
        <v>10</v>
      </c>
      <c r="AV514" s="158">
        <v>22.5</v>
      </c>
      <c r="AW514" s="158">
        <v>33.799999999999997</v>
      </c>
      <c r="AX514" s="158">
        <v>35</v>
      </c>
      <c r="AY514" s="158">
        <v>37.5</v>
      </c>
      <c r="AZ514" s="158">
        <v>50</v>
      </c>
      <c r="BA514" s="158">
        <v>50</v>
      </c>
      <c r="BE514" s="1416"/>
      <c r="BF514" s="1417"/>
      <c r="BG514" s="1418"/>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7" t="s">
        <v>124</v>
      </c>
      <c r="D515" s="1858"/>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6"/>
      <c r="AQ515" s="1417"/>
      <c r="AR515" s="1418"/>
      <c r="AS515" s="157">
        <v>40</v>
      </c>
      <c r="AT515" s="4">
        <v>0</v>
      </c>
      <c r="AU515" s="158">
        <v>10</v>
      </c>
      <c r="AV515" s="158">
        <v>20</v>
      </c>
      <c r="AW515" s="158">
        <v>30</v>
      </c>
      <c r="AX515" s="158">
        <v>35</v>
      </c>
      <c r="AY515" s="158">
        <v>37.5</v>
      </c>
      <c r="AZ515" s="158">
        <v>50</v>
      </c>
      <c r="BA515" s="158">
        <v>50</v>
      </c>
      <c r="BE515" s="1416"/>
      <c r="BF515" s="1417"/>
      <c r="BG515" s="1418"/>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6"/>
      <c r="AQ516" s="1417"/>
      <c r="AR516" s="1418"/>
      <c r="AS516" s="157">
        <v>35</v>
      </c>
      <c r="AT516" s="4">
        <v>0</v>
      </c>
      <c r="AU516" s="158">
        <v>8.8000000000000007</v>
      </c>
      <c r="AV516" s="158">
        <v>17.5</v>
      </c>
      <c r="AW516" s="158">
        <v>26.3</v>
      </c>
      <c r="AX516" s="158">
        <v>35</v>
      </c>
      <c r="AY516" s="158">
        <v>37.5</v>
      </c>
      <c r="AZ516" s="158">
        <v>50</v>
      </c>
      <c r="BA516" s="158">
        <v>50</v>
      </c>
      <c r="BE516" s="1416"/>
      <c r="BF516" s="1417"/>
      <c r="BG516" s="1418"/>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3"/>
      <c r="D517" s="1154"/>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16"/>
      <c r="AQ517" s="1417"/>
      <c r="AR517" s="1418"/>
      <c r="AS517" s="157">
        <v>30</v>
      </c>
      <c r="AT517" s="4">
        <v>0</v>
      </c>
      <c r="AU517" s="158">
        <v>7.5</v>
      </c>
      <c r="AV517" s="158">
        <v>15</v>
      </c>
      <c r="AW517" s="158">
        <v>22.5</v>
      </c>
      <c r="AX517" s="158">
        <v>30</v>
      </c>
      <c r="AY517" s="158">
        <v>37.5</v>
      </c>
      <c r="AZ517" s="158">
        <v>45</v>
      </c>
      <c r="BA517" s="158">
        <v>50</v>
      </c>
      <c r="BE517" s="1416"/>
      <c r="BF517" s="1417"/>
      <c r="BG517" s="1418"/>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8" t="s">
        <v>124</v>
      </c>
      <c r="H518" s="1888"/>
      <c r="I518" s="1888"/>
      <c r="J518" s="1888"/>
      <c r="K518" s="1888"/>
      <c r="L518" s="1888"/>
      <c r="M518" s="1888"/>
      <c r="N518" s="1888"/>
      <c r="O518" s="1888"/>
      <c r="P518" s="1888"/>
      <c r="Q518" s="1888"/>
      <c r="R518" s="1888"/>
      <c r="S518" s="1888"/>
      <c r="T518" s="1888"/>
      <c r="U518" s="1888"/>
      <c r="V518" s="1888"/>
      <c r="W518" s="1888"/>
      <c r="X518" s="1888"/>
      <c r="Y518" s="1888"/>
      <c r="Z518" s="1888"/>
      <c r="AA518" s="1888"/>
      <c r="AB518" s="1888"/>
      <c r="AC518" s="1888"/>
      <c r="AD518" s="1888"/>
      <c r="AE518" s="1888"/>
      <c r="AF518" s="1888"/>
      <c r="AG518" s="4"/>
      <c r="AH518" s="4"/>
      <c r="AI518" s="4"/>
      <c r="AJ518" s="19"/>
      <c r="AK518" s="702"/>
      <c r="AL518" s="4"/>
      <c r="AM518" s="4"/>
      <c r="AN518" s="666"/>
      <c r="AP518" s="1416"/>
      <c r="AQ518" s="1417"/>
      <c r="AR518" s="1418"/>
      <c r="AS518" s="157">
        <v>25</v>
      </c>
      <c r="AT518" s="4">
        <v>0</v>
      </c>
      <c r="AU518" s="158">
        <v>6.3</v>
      </c>
      <c r="AV518" s="158">
        <v>12.5</v>
      </c>
      <c r="AW518" s="158">
        <v>18.8</v>
      </c>
      <c r="AX518" s="158">
        <v>25</v>
      </c>
      <c r="AY518" s="158">
        <v>31.3</v>
      </c>
      <c r="AZ518" s="158">
        <v>37.5</v>
      </c>
      <c r="BA518" s="158">
        <v>50</v>
      </c>
      <c r="BE518" s="1416"/>
      <c r="BF518" s="1417"/>
      <c r="BG518" s="1418"/>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6"/>
      <c r="AQ519" s="1417"/>
      <c r="AR519" s="1418"/>
      <c r="AS519" s="157">
        <v>20</v>
      </c>
      <c r="AT519" s="4">
        <v>0</v>
      </c>
      <c r="AU519" s="158">
        <v>5</v>
      </c>
      <c r="AV519" s="158">
        <v>10</v>
      </c>
      <c r="AW519" s="158">
        <v>15</v>
      </c>
      <c r="AX519" s="158">
        <v>20</v>
      </c>
      <c r="AY519" s="158">
        <v>25</v>
      </c>
      <c r="AZ519" s="158">
        <v>30</v>
      </c>
      <c r="BA519" s="158">
        <v>40</v>
      </c>
      <c r="BE519" s="1416"/>
      <c r="BF519" s="1417"/>
      <c r="BG519" s="1418"/>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4" t="s">
        <v>124</v>
      </c>
      <c r="D520" s="188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16"/>
      <c r="AQ520" s="1417"/>
      <c r="AR520" s="1418"/>
      <c r="AS520" s="157">
        <v>15</v>
      </c>
      <c r="AT520" s="4">
        <v>0</v>
      </c>
      <c r="AU520" s="158">
        <v>3.8</v>
      </c>
      <c r="AV520" s="158">
        <v>7.5</v>
      </c>
      <c r="AW520" s="158">
        <v>11.3</v>
      </c>
      <c r="AX520" s="158">
        <v>15</v>
      </c>
      <c r="AY520" s="158">
        <v>18.8</v>
      </c>
      <c r="AZ520" s="158">
        <v>22.5</v>
      </c>
      <c r="BA520" s="158">
        <v>30</v>
      </c>
      <c r="BE520" s="1416"/>
      <c r="BF520" s="1417"/>
      <c r="BG520" s="1418"/>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19"/>
      <c r="AQ521" s="1420"/>
      <c r="AR521" s="1421"/>
      <c r="AS521" s="157">
        <v>10</v>
      </c>
      <c r="AT521" s="4">
        <v>0</v>
      </c>
      <c r="AU521" s="158">
        <v>2.5</v>
      </c>
      <c r="AV521" s="158">
        <v>5</v>
      </c>
      <c r="AW521" s="158">
        <v>7.5</v>
      </c>
      <c r="AX521" s="158">
        <v>10</v>
      </c>
      <c r="AY521" s="158">
        <v>12.5</v>
      </c>
      <c r="AZ521" s="158">
        <v>15</v>
      </c>
      <c r="BA521" s="158">
        <v>20</v>
      </c>
      <c r="BE521" s="1419"/>
      <c r="BF521" s="1420"/>
      <c r="BG521" s="1421"/>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4" t="s">
        <v>124</v>
      </c>
      <c r="D524" s="1885"/>
      <c r="F524" s="493" t="s">
        <v>873</v>
      </c>
      <c r="G524" s="1672" t="s">
        <v>982</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859">
        <f>BJ528</f>
        <v>100</v>
      </c>
      <c r="BE524" s="1859"/>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9">
        <f>SUM(E581:J589)</f>
        <v>90</v>
      </c>
      <c r="BE525" s="1859"/>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2">
        <v>0</v>
      </c>
      <c r="BK526" s="1853"/>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2">
        <f>Application!AG439</f>
        <v>0</v>
      </c>
      <c r="BK527" s="1853"/>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6" t="s">
        <v>124</v>
      </c>
      <c r="D528" s="1130"/>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2">
        <f>Application!AG441</f>
        <v>100</v>
      </c>
      <c r="BK528" s="1853"/>
      <c r="BM528" s="1749"/>
      <c r="BN528" s="1751"/>
      <c r="BO528" s="1749"/>
      <c r="BP528" s="1751"/>
      <c r="BQ528" s="1760"/>
      <c r="BR528" s="1762"/>
      <c r="BS528" s="1760"/>
      <c r="BT528" s="1762"/>
      <c r="BU528" s="1749">
        <f>IF(T611&gt;0,1,0)</f>
        <v>0</v>
      </c>
      <c r="BV528" s="1751"/>
      <c r="BW528" s="1749">
        <f>IF(Y611&gt;=0.1,1,0)</f>
        <v>0</v>
      </c>
      <c r="BX528" s="1751"/>
      <c r="BY528" s="1760"/>
      <c r="BZ528" s="1762"/>
      <c r="CA528" s="1760"/>
      <c r="CB528" s="1762"/>
      <c r="CC528" s="1749"/>
      <c r="CD528" s="1751"/>
      <c r="CE528" s="1749"/>
      <c r="CF528" s="1751"/>
      <c r="CG528"/>
      <c r="CH528"/>
      <c r="CI528"/>
      <c r="CJ528"/>
    </row>
    <row r="529" spans="1:101" s="4" customFormat="1" ht="12.75" hidden="1" customHeight="1">
      <c r="C529" s="696"/>
      <c r="E529" s="141"/>
      <c r="F529" s="1580" t="s">
        <v>124</v>
      </c>
      <c r="G529" s="1580"/>
      <c r="H529" s="1580"/>
      <c r="I529" s="1580"/>
      <c r="J529" s="1580"/>
      <c r="K529" s="1580"/>
      <c r="L529" s="1580"/>
      <c r="M529" s="1580"/>
      <c r="N529" s="1580"/>
      <c r="O529" s="1580"/>
      <c r="P529" s="1580"/>
      <c r="Q529" s="1580"/>
      <c r="R529" s="1580"/>
      <c r="S529" s="1580"/>
      <c r="T529" s="1580"/>
      <c r="U529" s="1580"/>
      <c r="V529" s="1580"/>
      <c r="W529" s="1580"/>
      <c r="X529" s="1580"/>
      <c r="Y529" s="1580"/>
      <c r="Z529" s="1580"/>
      <c r="AA529" s="1580"/>
      <c r="AB529" s="1580"/>
      <c r="AC529" s="1580"/>
      <c r="AD529" s="1580"/>
      <c r="AE529" s="1580"/>
      <c r="AF529" s="1580"/>
      <c r="AG529" s="19"/>
      <c r="AH529" s="19"/>
      <c r="AI529" s="19"/>
      <c r="AJ529" s="19"/>
      <c r="AK529" s="702"/>
      <c r="AN529" s="279"/>
      <c r="BM529" s="1749"/>
      <c r="BN529" s="1751"/>
      <c r="BO529" s="1749"/>
      <c r="BP529" s="1751"/>
      <c r="BQ529" s="1760"/>
      <c r="BR529" s="1762"/>
      <c r="BS529" s="1760"/>
      <c r="BT529" s="1762"/>
      <c r="BU529" s="1749"/>
      <c r="BV529" s="1751"/>
      <c r="BW529" s="1749"/>
      <c r="BX529" s="1751"/>
      <c r="BY529" s="1760">
        <f>IF(T612&gt;0,1,0)</f>
        <v>1</v>
      </c>
      <c r="BZ529" s="1762"/>
      <c r="CA529" s="1760">
        <f>IF(Y612&gt;=0.1,1,0)</f>
        <v>1</v>
      </c>
      <c r="CB529" s="1762"/>
      <c r="CC529" s="1749"/>
      <c r="CD529" s="1751"/>
      <c r="CE529" s="1749"/>
      <c r="CF529" s="1751"/>
      <c r="CG529"/>
      <c r="CH529"/>
      <c r="CI529"/>
      <c r="CJ529"/>
      <c r="CW529"/>
    </row>
    <row r="530" spans="1:101" s="4" customFormat="1" ht="12.75" hidden="1" customHeight="1">
      <c r="C530" s="744"/>
      <c r="D530" s="711"/>
      <c r="E530" s="725"/>
      <c r="F530" s="1902"/>
      <c r="G530" s="1902"/>
      <c r="H530" s="1902"/>
      <c r="I530" s="1902"/>
      <c r="J530" s="1902"/>
      <c r="K530" s="1902"/>
      <c r="L530" s="1902"/>
      <c r="M530" s="1902"/>
      <c r="N530" s="1902"/>
      <c r="O530" s="1902"/>
      <c r="P530" s="1902"/>
      <c r="Q530" s="1902"/>
      <c r="R530" s="1902"/>
      <c r="S530" s="1902"/>
      <c r="T530" s="1902"/>
      <c r="U530" s="1902"/>
      <c r="V530" s="1902"/>
      <c r="W530" s="1902"/>
      <c r="X530" s="1902"/>
      <c r="Y530" s="1902"/>
      <c r="Z530" s="1902"/>
      <c r="AA530" s="1902"/>
      <c r="AB530" s="1902"/>
      <c r="AC530" s="1902"/>
      <c r="AD530" s="1902"/>
      <c r="AE530" s="1902"/>
      <c r="AF530" s="1902"/>
      <c r="AG530" s="727"/>
      <c r="AH530" s="727"/>
      <c r="AI530" s="727"/>
      <c r="AJ530" s="727"/>
      <c r="AK530" s="712"/>
      <c r="AN530" s="279"/>
      <c r="BM530" s="1749"/>
      <c r="BN530" s="1751"/>
      <c r="BO530" s="1749"/>
      <c r="BP530" s="1751"/>
      <c r="BQ530" s="1760"/>
      <c r="BR530" s="1762"/>
      <c r="BS530" s="1760"/>
      <c r="BT530" s="1762"/>
      <c r="BU530" s="1749"/>
      <c r="BV530" s="1751"/>
      <c r="BW530" s="1749"/>
      <c r="BX530" s="1751"/>
      <c r="BY530" s="1760"/>
      <c r="BZ530" s="1762"/>
      <c r="CA530" s="1760"/>
      <c r="CB530" s="1762"/>
      <c r="CC530" s="1749">
        <f>IF(T613&gt;0,1,0)</f>
        <v>0</v>
      </c>
      <c r="CD530" s="1751"/>
      <c r="CE530" s="1749">
        <f>IF(Y613&gt;=0.1,1,0)</f>
        <v>0</v>
      </c>
      <c r="CF530" s="1751"/>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9">
        <f>SUM(BM526:BN530)</f>
        <v>0</v>
      </c>
      <c r="BN531" s="1751"/>
      <c r="BO531" s="1749">
        <f>SUM(BO526:BP530)</f>
        <v>0</v>
      </c>
      <c r="BP531" s="1751"/>
      <c r="BQ531" s="1749">
        <f>SUM(BQ526:BR530)</f>
        <v>0</v>
      </c>
      <c r="BR531" s="1751"/>
      <c r="BS531" s="1749">
        <f>SUM(BS526:BT530)</f>
        <v>0</v>
      </c>
      <c r="BT531" s="1751"/>
      <c r="BU531" s="1749">
        <f>SUM(BU526:BV530)</f>
        <v>0</v>
      </c>
      <c r="BV531" s="1751"/>
      <c r="BW531" s="1749">
        <f>SUM(BW526:BX530)</f>
        <v>0</v>
      </c>
      <c r="BX531" s="1751"/>
      <c r="BY531" s="1749">
        <f>SUM(BY526:BZ530)</f>
        <v>1</v>
      </c>
      <c r="BZ531" s="1751"/>
      <c r="CA531" s="1749">
        <f>SUM(CA526:CB530)</f>
        <v>1</v>
      </c>
      <c r="CB531" s="1751"/>
      <c r="CC531" s="1749">
        <f>SUM(CC526:CD530)</f>
        <v>0</v>
      </c>
      <c r="CD531" s="1751"/>
      <c r="CE531" s="1749">
        <f>SUM(CE526:CF530)</f>
        <v>0</v>
      </c>
      <c r="CF531" s="1751"/>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8" t="s">
        <v>455</v>
      </c>
      <c r="AQ532" s="1879"/>
      <c r="AR532" s="1879"/>
      <c r="AS532" s="1879"/>
      <c r="AT532" s="1880"/>
      <c r="AU532" s="1878" t="s">
        <v>456</v>
      </c>
      <c r="AV532" s="1879"/>
      <c r="AW532" s="1879"/>
      <c r="AX532" s="1879"/>
      <c r="AY532" s="1880"/>
      <c r="BM532" s="1760">
        <f>SUM(BM531:BP531)</f>
        <v>0</v>
      </c>
      <c r="BN532" s="1761"/>
      <c r="BO532" s="1761"/>
      <c r="BP532" s="1762"/>
      <c r="BQ532" s="1760">
        <f>SUM(BQ531:BT531)</f>
        <v>0</v>
      </c>
      <c r="BR532" s="1761"/>
      <c r="BS532" s="1761"/>
      <c r="BT532" s="1762"/>
      <c r="BU532" s="1760">
        <f>SUM(BU531:BX531)</f>
        <v>0</v>
      </c>
      <c r="BV532" s="1761"/>
      <c r="BW532" s="1761"/>
      <c r="BX532" s="1762"/>
      <c r="BY532" s="1760">
        <f>SUM(BY531:CB531)</f>
        <v>2</v>
      </c>
      <c r="BZ532" s="1761"/>
      <c r="CA532" s="1761"/>
      <c r="CB532" s="1762"/>
      <c r="CC532" s="1760">
        <f>SUM(CC531:CF531)</f>
        <v>0</v>
      </c>
      <c r="CD532" s="1761"/>
      <c r="CE532" s="1761"/>
      <c r="CF532" s="1762"/>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1">
        <f>RANK(T609,$T$609:$X$613,0)+COUNTIF($T$609:$X$613,T609)-1</f>
        <v>5</v>
      </c>
      <c r="AQ533" s="1882"/>
      <c r="AR533" s="1882"/>
      <c r="AS533" s="1882"/>
      <c r="AT533" s="1883"/>
      <c r="AU533" s="1881">
        <f>RANK(Y609,$Y$609:$AC$613,0)+COUNTIF($Y$609:$AC$613,Y609)-1</f>
        <v>5</v>
      </c>
      <c r="AV533" s="1882"/>
      <c r="AW533" s="1882"/>
      <c r="AX533" s="1882"/>
      <c r="AY533" s="1883"/>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1">
        <f>RANK(T610,$T$609:$X$613,0)+COUNTIF($T$609:$X$613,T610)-1</f>
        <v>5</v>
      </c>
      <c r="AQ534" s="1882"/>
      <c r="AR534" s="1882"/>
      <c r="AS534" s="1882"/>
      <c r="AT534" s="1883"/>
      <c r="AU534" s="1881">
        <f>RANK(Y610,$Y$609:$AC$613,0)+COUNTIF($Y$609:$AC$613,Y610)-1</f>
        <v>5</v>
      </c>
      <c r="AV534" s="1882"/>
      <c r="AW534" s="1882"/>
      <c r="AX534" s="1882"/>
      <c r="AY534" s="1883"/>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1">
        <f>RANK(T611,$T$609:$X$613,0)+COUNTIF($T$609:$X$613,T611)-1</f>
        <v>5</v>
      </c>
      <c r="AQ535" s="1882"/>
      <c r="AR535" s="1882"/>
      <c r="AS535" s="1882"/>
      <c r="AT535" s="1883"/>
      <c r="AU535" s="1881">
        <f>RANK(Y611,$Y$609:$AC$613,0)+COUNTIF($Y$609:$AC$613,Y611)-1</f>
        <v>5</v>
      </c>
      <c r="AV535" s="1882"/>
      <c r="AW535" s="1882"/>
      <c r="AX535" s="1882"/>
      <c r="AY535" s="1883"/>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1">
        <f>RANK(T612,$T$609:$X$613,0)+COUNTIF($T$609:$X$613,T612)-1</f>
        <v>1</v>
      </c>
      <c r="AQ536" s="1882"/>
      <c r="AR536" s="1882"/>
      <c r="AS536" s="1882"/>
      <c r="AT536" s="1883"/>
      <c r="AU536" s="1881">
        <f>RANK(Y612,$Y$609:$AC$613,0)+COUNTIF($Y$609:$AC$613,Y612)-1</f>
        <v>1</v>
      </c>
      <c r="AV536" s="1882"/>
      <c r="AW536" s="1882"/>
      <c r="AX536" s="1882"/>
      <c r="AY536" s="1883"/>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1">
        <f>RANK(T613,$T$609:$X$613,0)+COUNTIF($T$609:$X$613,T613)-1</f>
        <v>5</v>
      </c>
      <c r="AQ537" s="1882"/>
      <c r="AR537" s="1882"/>
      <c r="AS537" s="1882"/>
      <c r="AT537" s="1883"/>
      <c r="AU537" s="1881">
        <f>RANK(Y613,$Y$609:$AC$613,0)+COUNTIF($Y$609:$AC$613,Y613)-1</f>
        <v>5</v>
      </c>
      <c r="AV537" s="1882"/>
      <c r="AW537" s="1882"/>
      <c r="AX537" s="1882"/>
      <c r="AY537" s="1883"/>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1">
        <f>SUM(AG484:AG529)</f>
        <v>0</v>
      </c>
      <c r="AL540" s="1082"/>
      <c r="AM540" s="1084"/>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9">
        <f>SUM(O609:S613)</f>
        <v>100</v>
      </c>
      <c r="AZ541" s="1751"/>
      <c r="CG541"/>
      <c r="CH541" s="1782" t="s">
        <v>774</v>
      </c>
      <c r="CI541" s="1458"/>
      <c r="CJ541" s="1458"/>
      <c r="CK541" s="1459"/>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9" t="str">
        <f>IF(AY541=BK568,"passed","failed")</f>
        <v>passed</v>
      </c>
      <c r="AT542" s="1750"/>
      <c r="AU542" s="1751"/>
      <c r="AV542" s="149"/>
      <c r="AW542" s="149"/>
      <c r="AX542" s="149"/>
      <c r="AY542" s="149"/>
      <c r="AZ542" s="150"/>
      <c r="CG542"/>
      <c r="CH542" s="1460"/>
      <c r="CI542" s="1461"/>
      <c r="CJ542" s="1461"/>
      <c r="CK542" s="1462"/>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2" t="s">
        <v>365</v>
      </c>
      <c r="AF543" s="1802"/>
      <c r="AG543" s="1802"/>
      <c r="AH543" s="1802"/>
      <c r="AI543" s="1802"/>
      <c r="AJ543" s="1802"/>
      <c r="AK543" s="1802"/>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60"/>
      <c r="CI543" s="1461"/>
      <c r="CJ543" s="1461"/>
      <c r="CK543" s="1462"/>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182</v>
      </c>
      <c r="AH544" s="1698"/>
      <c r="AI544" s="1698"/>
      <c r="AJ544" s="1698"/>
      <c r="AK544" s="18"/>
      <c r="AL544" s="18"/>
      <c r="AM544" s="21"/>
      <c r="AN544" s="279"/>
      <c r="BE544" s="1760" t="s">
        <v>223</v>
      </c>
      <c r="BF544" s="1761"/>
      <c r="BG544" s="1761"/>
      <c r="BH544" s="1762"/>
      <c r="BI544" s="1760" t="s">
        <v>715</v>
      </c>
      <c r="BJ544" s="1761"/>
      <c r="BK544" s="1761"/>
      <c r="BL544" s="1762"/>
      <c r="BM544" s="1760" t="s">
        <v>716</v>
      </c>
      <c r="BN544" s="1761"/>
      <c r="BO544" s="1761"/>
      <c r="BP544" s="1762"/>
      <c r="BQ544" s="1760" t="s">
        <v>717</v>
      </c>
      <c r="BR544" s="1761"/>
      <c r="BS544" s="1761"/>
      <c r="BT544" s="1762"/>
      <c r="BU544" s="1760" t="s">
        <v>718</v>
      </c>
      <c r="BV544" s="1761"/>
      <c r="BW544" s="1761"/>
      <c r="BX544" s="1762"/>
      <c r="BY544" s="1760" t="s">
        <v>224</v>
      </c>
      <c r="BZ544" s="1761"/>
      <c r="CA544" s="1761"/>
      <c r="CB544" s="1762"/>
      <c r="CC544"/>
      <c r="CG544"/>
      <c r="CH544" s="1460"/>
      <c r="CI544" s="1461"/>
      <c r="CJ544" s="1461"/>
      <c r="CK544" s="1462"/>
    </row>
    <row r="545" spans="1:89" s="4" customFormat="1" ht="12.75" customHeight="1">
      <c r="A545" s="3"/>
      <c r="B545" s="1827" t="s">
        <v>2303</v>
      </c>
      <c r="C545" s="1827"/>
      <c r="D545" s="1827"/>
      <c r="E545" s="1827"/>
      <c r="F545" s="1827"/>
      <c r="G545" s="1827"/>
      <c r="H545" s="1827"/>
      <c r="I545" s="1827"/>
      <c r="J545" s="1827"/>
      <c r="K545" s="1827"/>
      <c r="L545" s="1827"/>
      <c r="M545" s="1827"/>
      <c r="N545" s="1827"/>
      <c r="O545" s="1827"/>
      <c r="P545" s="1827"/>
      <c r="Q545" s="1827"/>
      <c r="R545" s="1827"/>
      <c r="S545" s="1827"/>
      <c r="T545" s="1827"/>
      <c r="U545" s="1827"/>
      <c r="V545" s="1827"/>
      <c r="W545" s="1827"/>
      <c r="X545" s="1827"/>
      <c r="Y545" s="1827"/>
      <c r="Z545" s="1827"/>
      <c r="AA545" s="1827"/>
      <c r="AB545" s="1827"/>
      <c r="AC545" s="1827"/>
      <c r="AD545" s="1827"/>
      <c r="AE545" s="1827"/>
      <c r="AF545" s="1827"/>
      <c r="AG545" s="1827"/>
      <c r="AK545" s="21"/>
      <c r="AL545" s="21"/>
      <c r="AN545" s="279"/>
      <c r="AP545" s="431" t="s">
        <v>612</v>
      </c>
      <c r="AQ545" s="432"/>
      <c r="AR545" s="432"/>
      <c r="AS545" s="432"/>
      <c r="AT545" s="432"/>
      <c r="AU545" s="432"/>
      <c r="AV545" s="433"/>
      <c r="AW545" s="432"/>
      <c r="AX545" s="432"/>
      <c r="AY545" s="433"/>
      <c r="BE545" s="1749">
        <f>IF(CH546=1,0,1)</f>
        <v>0</v>
      </c>
      <c r="BF545" s="1750"/>
      <c r="BG545" s="1750"/>
      <c r="BH545" s="1751"/>
      <c r="BI545" s="1749"/>
      <c r="BJ545" s="1750"/>
      <c r="BK545" s="1750"/>
      <c r="BL545" s="1751"/>
      <c r="BM545" s="1749"/>
      <c r="BN545" s="1750"/>
      <c r="BO545" s="1750"/>
      <c r="BP545" s="1751"/>
      <c r="BQ545" s="1749"/>
      <c r="BR545" s="1750"/>
      <c r="BS545" s="1750"/>
      <c r="BT545" s="1751"/>
      <c r="BU545" s="1760"/>
      <c r="BV545" s="1761"/>
      <c r="BW545" s="1761"/>
      <c r="BX545" s="1762"/>
      <c r="BY545" s="1760"/>
      <c r="BZ545" s="1761"/>
      <c r="CA545" s="1761"/>
      <c r="CB545" s="1762"/>
      <c r="CC545"/>
      <c r="CG545"/>
      <c r="CH545" s="1519"/>
      <c r="CI545" s="1520"/>
      <c r="CJ545" s="1520"/>
      <c r="CK545" s="1521"/>
    </row>
    <row r="546" spans="1:89" s="4" customFormat="1" ht="12.75" customHeight="1">
      <c r="A546" s="20"/>
      <c r="B546" s="1827"/>
      <c r="C546" s="1827"/>
      <c r="D546" s="1827"/>
      <c r="E546" s="1827"/>
      <c r="F546" s="1827"/>
      <c r="G546" s="1827"/>
      <c r="H546" s="1827"/>
      <c r="I546" s="1827"/>
      <c r="J546" s="1827"/>
      <c r="K546" s="1827"/>
      <c r="L546" s="1827"/>
      <c r="M546" s="1827"/>
      <c r="N546" s="1827"/>
      <c r="O546" s="1827"/>
      <c r="P546" s="1827"/>
      <c r="Q546" s="1827"/>
      <c r="R546" s="1827"/>
      <c r="S546" s="1827"/>
      <c r="T546" s="1827"/>
      <c r="U546" s="1827"/>
      <c r="V546" s="1827"/>
      <c r="W546" s="1827"/>
      <c r="X546" s="1827"/>
      <c r="Y546" s="1827"/>
      <c r="Z546" s="1827"/>
      <c r="AA546" s="1827"/>
      <c r="AB546" s="1827"/>
      <c r="AC546" s="1827"/>
      <c r="AD546" s="1827"/>
      <c r="AE546" s="1827"/>
      <c r="AF546" s="1827"/>
      <c r="AG546" s="1827"/>
      <c r="AK546" s="161"/>
      <c r="AL546" s="161"/>
      <c r="AM546" s="161"/>
      <c r="AN546" s="279"/>
      <c r="AP546" s="434" t="s">
        <v>610</v>
      </c>
      <c r="AQ546" s="435"/>
      <c r="AR546" s="435"/>
      <c r="AS546" s="435"/>
      <c r="AT546" s="435"/>
      <c r="AU546" s="1872">
        <f>ROUNDUP(BK568*0.1,0)</f>
        <v>10</v>
      </c>
      <c r="AV546" s="1874"/>
      <c r="AW546" s="435"/>
      <c r="AX546" s="435">
        <f>AU546-AP548</f>
        <v>-5</v>
      </c>
      <c r="AY546" s="436"/>
      <c r="BE546" s="1749"/>
      <c r="BF546" s="1750"/>
      <c r="BG546" s="1750"/>
      <c r="BH546" s="1751"/>
      <c r="BI546" s="1749">
        <f>IF(AND(CH547=1,BE545=0),0,1)</f>
        <v>0</v>
      </c>
      <c r="BJ546" s="1750"/>
      <c r="BK546" s="1750"/>
      <c r="BL546" s="1751"/>
      <c r="BM546" s="1749"/>
      <c r="BN546" s="1750"/>
      <c r="BO546" s="1750"/>
      <c r="BP546" s="1751"/>
      <c r="BQ546" s="1749"/>
      <c r="BR546" s="1750"/>
      <c r="BS546" s="1750"/>
      <c r="BT546" s="1751"/>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27"/>
      <c r="C547" s="1827"/>
      <c r="D547" s="1827"/>
      <c r="E547" s="1827"/>
      <c r="F547" s="1827"/>
      <c r="G547" s="1827"/>
      <c r="H547" s="1827"/>
      <c r="I547" s="1827"/>
      <c r="J547" s="1827"/>
      <c r="K547" s="1827"/>
      <c r="L547" s="1827"/>
      <c r="M547" s="1827"/>
      <c r="N547" s="1827"/>
      <c r="O547" s="1827"/>
      <c r="P547" s="1827"/>
      <c r="Q547" s="1827"/>
      <c r="R547" s="1827"/>
      <c r="S547" s="1827"/>
      <c r="T547" s="1827"/>
      <c r="U547" s="1827"/>
      <c r="V547" s="1827"/>
      <c r="W547" s="1827"/>
      <c r="X547" s="1827"/>
      <c r="Y547" s="1827"/>
      <c r="Z547" s="1827"/>
      <c r="AA547" s="1827"/>
      <c r="AB547" s="1827"/>
      <c r="AC547" s="1827"/>
      <c r="AD547" s="1827"/>
      <c r="AE547" s="1827"/>
      <c r="AF547" s="1827"/>
      <c r="AG547" s="1827"/>
      <c r="AH547" s="160"/>
      <c r="AI547" s="160"/>
      <c r="AJ547" s="160"/>
      <c r="AK547" s="161"/>
      <c r="AL547" s="161"/>
      <c r="AM547" s="161"/>
      <c r="AN547" s="279"/>
      <c r="AP547" s="434"/>
      <c r="AQ547" s="435"/>
      <c r="AR547" s="435"/>
      <c r="AS547" s="435"/>
      <c r="AT547" s="435"/>
      <c r="AU547" s="435"/>
      <c r="AV547" s="436"/>
      <c r="AW547" s="435"/>
      <c r="AX547" s="435"/>
      <c r="AY547" s="436"/>
      <c r="BE547" s="1749"/>
      <c r="BF547" s="1750"/>
      <c r="BG547" s="1750"/>
      <c r="BH547" s="1751"/>
      <c r="BI547" s="1749"/>
      <c r="BJ547" s="1750"/>
      <c r="BK547" s="1750"/>
      <c r="BL547" s="1751"/>
      <c r="BM547" s="1749">
        <f>IF(AND(AND(CH548=1,BI546=0,BE545=0)),0,1)</f>
        <v>0</v>
      </c>
      <c r="BN547" s="1750"/>
      <c r="BO547" s="1750"/>
      <c r="BP547" s="1751"/>
      <c r="BQ547" s="1749"/>
      <c r="BR547" s="1750"/>
      <c r="BS547" s="1750"/>
      <c r="BT547" s="1751"/>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27"/>
      <c r="C548" s="1827"/>
      <c r="D548" s="1827"/>
      <c r="E548" s="1827"/>
      <c r="F548" s="1827"/>
      <c r="G548" s="1827"/>
      <c r="H548" s="1827"/>
      <c r="I548" s="1827"/>
      <c r="J548" s="1827"/>
      <c r="K548" s="1827"/>
      <c r="L548" s="1827"/>
      <c r="M548" s="1827"/>
      <c r="N548" s="1827"/>
      <c r="O548" s="1827"/>
      <c r="P548" s="1827"/>
      <c r="Q548" s="1827"/>
      <c r="R548" s="1827"/>
      <c r="S548" s="1827"/>
      <c r="T548" s="1827"/>
      <c r="U548" s="1827"/>
      <c r="V548" s="1827"/>
      <c r="W548" s="1827"/>
      <c r="X548" s="1827"/>
      <c r="Y548" s="1827"/>
      <c r="Z548" s="1827"/>
      <c r="AA548" s="1827"/>
      <c r="AB548" s="1827"/>
      <c r="AC548" s="1827"/>
      <c r="AD548" s="1827"/>
      <c r="AE548" s="1827"/>
      <c r="AF548" s="1827"/>
      <c r="AG548" s="1827"/>
      <c r="AH548" s="160"/>
      <c r="AI548" s="160"/>
      <c r="AJ548" s="160"/>
      <c r="AK548" s="161"/>
      <c r="AL548" s="161"/>
      <c r="AM548" s="161"/>
      <c r="AN548" s="279"/>
      <c r="AP548" s="1865">
        <f>SUM(T609:X613)</f>
        <v>15</v>
      </c>
      <c r="AQ548" s="1866"/>
      <c r="AR548" s="1866"/>
      <c r="AS548" s="1866"/>
      <c r="AT548" s="1867"/>
      <c r="AU548" s="435"/>
      <c r="AV548" s="436"/>
      <c r="AW548" s="435"/>
      <c r="AX548" s="435"/>
      <c r="AY548" s="436"/>
      <c r="BE548" s="1749"/>
      <c r="BF548" s="1750"/>
      <c r="BG548" s="1750"/>
      <c r="BH548" s="1751"/>
      <c r="BI548" s="1749"/>
      <c r="BJ548" s="1750"/>
      <c r="BK548" s="1750"/>
      <c r="BL548" s="1751"/>
      <c r="BM548" s="1749"/>
      <c r="BN548" s="1750"/>
      <c r="BO548" s="1750"/>
      <c r="BP548" s="1751"/>
      <c r="BQ548" s="1749">
        <f>IF(AND(AND(AND(CH549=1,BM547=0,BI546=0,BE545=0))),0,1)</f>
        <v>0</v>
      </c>
      <c r="BR548" s="1750"/>
      <c r="BS548" s="1750"/>
      <c r="BT548" s="1751"/>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27"/>
      <c r="C549" s="1827"/>
      <c r="D549" s="1827"/>
      <c r="E549" s="1827"/>
      <c r="F549" s="1827"/>
      <c r="G549" s="1827"/>
      <c r="H549" s="1827"/>
      <c r="I549" s="1827"/>
      <c r="J549" s="1827"/>
      <c r="K549" s="1827"/>
      <c r="L549" s="1827"/>
      <c r="M549" s="1827"/>
      <c r="N549" s="1827"/>
      <c r="O549" s="1827"/>
      <c r="P549" s="1827"/>
      <c r="Q549" s="1827"/>
      <c r="R549" s="1827"/>
      <c r="S549" s="1827"/>
      <c r="T549" s="1827"/>
      <c r="U549" s="1827"/>
      <c r="V549" s="1827"/>
      <c r="W549" s="1827"/>
      <c r="X549" s="1827"/>
      <c r="Y549" s="1827"/>
      <c r="Z549" s="1827"/>
      <c r="AA549" s="1827"/>
      <c r="AB549" s="1827"/>
      <c r="AC549" s="1827"/>
      <c r="AD549" s="1827"/>
      <c r="AE549" s="1827"/>
      <c r="AF549" s="1827"/>
      <c r="AG549" s="1827"/>
      <c r="AH549" s="160"/>
      <c r="AI549" s="160"/>
      <c r="AJ549" s="160"/>
      <c r="AK549" s="161"/>
      <c r="AL549" s="161"/>
      <c r="AM549" s="161"/>
      <c r="AN549" s="279"/>
      <c r="AP549" s="437"/>
      <c r="AQ549" s="438"/>
      <c r="AR549" s="438"/>
      <c r="AS549" s="438"/>
      <c r="AT549" s="439" t="s">
        <v>605</v>
      </c>
      <c r="AU549" s="1872" t="str">
        <f>IF(AP548&gt;=AU546,"passed","failed")</f>
        <v>passed</v>
      </c>
      <c r="AV549" s="1873"/>
      <c r="AW549" s="1874"/>
      <c r="AX549" s="440"/>
      <c r="AY549" s="441"/>
      <c r="BE549" s="1749"/>
      <c r="BF549" s="1750"/>
      <c r="BG549" s="1750"/>
      <c r="BH549" s="1751"/>
      <c r="BI549" s="1749"/>
      <c r="BJ549" s="1750"/>
      <c r="BK549" s="1750"/>
      <c r="BL549" s="1751"/>
      <c r="BM549" s="1749"/>
      <c r="BN549" s="1750"/>
      <c r="BO549" s="1750"/>
      <c r="BP549" s="1751"/>
      <c r="BQ549" s="1749"/>
      <c r="BR549" s="1750"/>
      <c r="BS549" s="1750"/>
      <c r="BT549" s="1751"/>
      <c r="BU549" s="1749">
        <f>IF(AND(AND(AND(AND(CH550=1,BQ548=0,BM547=0,BI546=0,BE545=0)))),0,1)</f>
        <v>0</v>
      </c>
      <c r="BV549" s="1750"/>
      <c r="BW549" s="1750"/>
      <c r="BX549" s="1751"/>
      <c r="BY549" s="1760"/>
      <c r="BZ549" s="1761"/>
      <c r="CA549" s="1761"/>
      <c r="CB549" s="1762"/>
      <c r="CC549"/>
      <c r="CD549"/>
      <c r="CE549"/>
      <c r="CF549"/>
      <c r="CG549"/>
      <c r="CH549" s="1760">
        <f>IF(OR(Y612=0,Y612&gt;=0.1),1,0)</f>
        <v>1</v>
      </c>
      <c r="CI549" s="1761"/>
      <c r="CJ549" s="1761"/>
      <c r="CK549" s="1762"/>
    </row>
    <row r="550" spans="1:89" s="4" customFormat="1" ht="13.65" customHeight="1">
      <c r="B550" s="1827"/>
      <c r="C550" s="1827"/>
      <c r="D550" s="1827"/>
      <c r="E550" s="1827"/>
      <c r="F550" s="1827"/>
      <c r="G550" s="1827"/>
      <c r="H550" s="1827"/>
      <c r="I550" s="1827"/>
      <c r="J550" s="1827"/>
      <c r="K550" s="1827"/>
      <c r="L550" s="1827"/>
      <c r="M550" s="1827"/>
      <c r="N550" s="1827"/>
      <c r="O550" s="1827"/>
      <c r="P550" s="1827"/>
      <c r="Q550" s="1827"/>
      <c r="R550" s="1827"/>
      <c r="S550" s="1827"/>
      <c r="T550" s="1827"/>
      <c r="U550" s="1827"/>
      <c r="V550" s="1827"/>
      <c r="W550" s="1827"/>
      <c r="X550" s="1827"/>
      <c r="Y550" s="1827"/>
      <c r="Z550" s="1827"/>
      <c r="AA550" s="1827"/>
      <c r="AB550" s="1827"/>
      <c r="AC550" s="1827"/>
      <c r="AD550" s="1827"/>
      <c r="AE550" s="1827"/>
      <c r="AF550" s="1827"/>
      <c r="AG550" s="1827"/>
      <c r="AH550" s="160"/>
      <c r="AI550" s="160"/>
      <c r="AJ550" s="160"/>
      <c r="AK550" s="161"/>
      <c r="AL550" s="161"/>
      <c r="AM550" s="161"/>
      <c r="AN550" s="279"/>
      <c r="BE550" s="1749">
        <f>SUM(BE545:BH549)</f>
        <v>0</v>
      </c>
      <c r="BF550" s="1750"/>
      <c r="BG550" s="1750"/>
      <c r="BH550" s="1751"/>
      <c r="BI550" s="1749">
        <f>SUM(BI545:BL549)</f>
        <v>0</v>
      </c>
      <c r="BJ550" s="1750"/>
      <c r="BK550" s="1750"/>
      <c r="BL550" s="1751"/>
      <c r="BM550" s="1749">
        <f>SUM(BM545:BP549)</f>
        <v>0</v>
      </c>
      <c r="BN550" s="1750"/>
      <c r="BO550" s="1750"/>
      <c r="BP550" s="1751"/>
      <c r="BQ550" s="1749">
        <f>SUM(BQ545:BT549)</f>
        <v>0</v>
      </c>
      <c r="BR550" s="1750"/>
      <c r="BS550" s="1750"/>
      <c r="BT550" s="1751"/>
      <c r="BU550" s="1749">
        <f>SUM(BU545:BX549)</f>
        <v>0</v>
      </c>
      <c r="BV550" s="1750"/>
      <c r="BW550" s="1750"/>
      <c r="BX550" s="1751"/>
      <c r="BY550" s="1749">
        <f>SUM(BY545:CB549)</f>
        <v>0</v>
      </c>
      <c r="BZ550" s="1750"/>
      <c r="CA550" s="1750"/>
      <c r="CB550" s="1751"/>
      <c r="CC550" s="1760">
        <f>IF(AND(CH546=1,T609&gt;0),0,SUM(BE550:CB550))</f>
        <v>0</v>
      </c>
      <c r="CD550" s="1761"/>
      <c r="CE550" s="1761"/>
      <c r="CF550" s="1762"/>
      <c r="CG550"/>
      <c r="CH550" s="1760">
        <f>IF(OR(Y613=0,Y613&gt;=0.1),1,0)</f>
        <v>1</v>
      </c>
      <c r="CI550" s="1761"/>
      <c r="CJ550" s="1761"/>
      <c r="CK550" s="1762"/>
    </row>
    <row r="551" spans="1:89" s="4" customFormat="1" ht="12.45" customHeight="1">
      <c r="B551" s="1763" t="s">
        <v>1496</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0"/>
      <c r="AI551" s="160"/>
      <c r="AJ551" s="160"/>
      <c r="AK551" s="161"/>
      <c r="AL551" s="161"/>
      <c r="AM551" s="161"/>
      <c r="AN551" s="279"/>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3" t="s">
        <v>1749</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0"/>
      <c r="AH554" s="160"/>
      <c r="AI554" s="160"/>
      <c r="AJ554" s="160"/>
      <c r="AK554" s="161"/>
      <c r="AL554" s="161"/>
      <c r="AM554" s="161"/>
      <c r="AN554" s="279"/>
      <c r="AP554" s="148"/>
      <c r="AQ554" s="149"/>
      <c r="AR554" s="149"/>
      <c r="AS554" s="149"/>
      <c r="AT554" s="155" t="s">
        <v>605</v>
      </c>
      <c r="AU554" s="149"/>
      <c r="AV554" s="1749" t="str">
        <f>IF(BJ590&gt;0,"failed","passed")</f>
        <v>passed</v>
      </c>
      <c r="AW554" s="1750"/>
      <c r="AX554" s="1750"/>
      <c r="AY554" s="1751"/>
    </row>
    <row r="555" spans="1:89" s="4" customFormat="1" ht="12.45"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3" t="s">
        <v>1497</v>
      </c>
      <c r="R557" s="1903"/>
      <c r="S557" s="1903"/>
      <c r="T557" s="1903"/>
      <c r="U557" s="1903"/>
      <c r="V557" s="1903"/>
      <c r="W557" s="1903"/>
      <c r="X557" s="1903"/>
      <c r="Y557" s="1903"/>
      <c r="Z557" s="1903"/>
      <c r="AA557" s="1903"/>
      <c r="AB557" s="1903"/>
      <c r="AC557" s="1903"/>
      <c r="AD557" s="1903"/>
      <c r="AE557" s="1903"/>
      <c r="AF557" s="1903"/>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3"/>
      <c r="R558" s="1903"/>
      <c r="S558" s="1903"/>
      <c r="T558" s="1903"/>
      <c r="U558" s="1903"/>
      <c r="V558" s="1903"/>
      <c r="W558" s="1903"/>
      <c r="X558" s="1903"/>
      <c r="Y558" s="1903"/>
      <c r="Z558" s="1903"/>
      <c r="AA558" s="1903"/>
      <c r="AB558" s="1903"/>
      <c r="AC558" s="1903"/>
      <c r="AD558" s="1903"/>
      <c r="AE558" s="1903"/>
      <c r="AF558" s="1903"/>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2" t="s">
        <v>1748</v>
      </c>
      <c r="R559" s="1773"/>
      <c r="S559" s="1901" t="s">
        <v>204</v>
      </c>
      <c r="T559" s="1901"/>
      <c r="U559" s="1772">
        <v>0.5</v>
      </c>
      <c r="V559" s="1773"/>
      <c r="W559" s="1772">
        <v>0.45</v>
      </c>
      <c r="X559" s="1773"/>
      <c r="Y559" s="1772">
        <v>0.4</v>
      </c>
      <c r="Z559" s="1773"/>
      <c r="AA559" s="1772">
        <v>0.35</v>
      </c>
      <c r="AB559" s="1773"/>
      <c r="AC559" s="1870">
        <v>0.3</v>
      </c>
      <c r="AD559" s="1871"/>
      <c r="AE559" s="1772">
        <v>0.2</v>
      </c>
      <c r="AF559" s="177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2"/>
      <c r="P560" s="1663"/>
      <c r="Q560" s="1904"/>
      <c r="R560" s="1752"/>
      <c r="S560" s="1764"/>
      <c r="T560" s="1764"/>
      <c r="U560" s="1752"/>
      <c r="V560" s="1752"/>
      <c r="W560" s="1752"/>
      <c r="X560" s="1752"/>
      <c r="Y560" s="1752"/>
      <c r="Z560" s="1752"/>
      <c r="AA560" s="1753"/>
      <c r="AB560" s="1753"/>
      <c r="AC560" s="1752"/>
      <c r="AD560" s="1752"/>
      <c r="AE560" s="1868"/>
      <c r="AF560" s="1869"/>
      <c r="AN560" s="279"/>
      <c r="AP560" s="142" t="s">
        <v>712</v>
      </c>
      <c r="AQ560" s="9"/>
      <c r="AR560" s="9"/>
      <c r="AS560" s="9"/>
      <c r="AT560" s="1760" t="str">
        <f>IF(OR(AV554="passed",BD558="passed"),"passed","failed")</f>
        <v>passed</v>
      </c>
      <c r="AU560" s="1761"/>
      <c r="AV560" s="1761"/>
      <c r="AW560" s="1761"/>
      <c r="AX560" s="1762"/>
    </row>
    <row r="561" spans="1:96" s="4" customFormat="1" ht="12.75" customHeight="1">
      <c r="B561" s="63"/>
      <c r="I561" s="218"/>
      <c r="J561" s="160"/>
      <c r="N561" s="5"/>
      <c r="O561" s="1662"/>
      <c r="P561" s="1663"/>
      <c r="Q561" s="1664"/>
      <c r="R561" s="1665"/>
      <c r="S561" s="1665"/>
      <c r="T561" s="1665"/>
      <c r="U561" s="1665"/>
      <c r="V561" s="1665"/>
      <c r="W561" s="1665"/>
      <c r="X561" s="1665"/>
      <c r="Y561" s="1666"/>
      <c r="Z561" s="1666"/>
      <c r="AA561" s="1665"/>
      <c r="AB561" s="1665"/>
      <c r="AC561" s="1666"/>
      <c r="AD561" s="1666"/>
      <c r="AE561" s="1700"/>
      <c r="AF561" s="1701"/>
      <c r="AN561" s="279"/>
      <c r="AP561"/>
      <c r="AQ561"/>
      <c r="AR561"/>
      <c r="AS561"/>
      <c r="AT561"/>
      <c r="AU561"/>
      <c r="AV561"/>
      <c r="AW561"/>
      <c r="AX561"/>
      <c r="AY561"/>
    </row>
    <row r="562" spans="1:96" s="4" customFormat="1" ht="12.75" customHeight="1">
      <c r="B562" s="63"/>
      <c r="I562" s="218"/>
      <c r="J562" s="160"/>
      <c r="N562" s="5"/>
      <c r="O562" s="1662"/>
      <c r="P562" s="1663"/>
      <c r="Q562" s="1664"/>
      <c r="R562" s="1665"/>
      <c r="S562" s="1665"/>
      <c r="T562" s="1665"/>
      <c r="U562" s="1665"/>
      <c r="V562" s="1665"/>
      <c r="W562" s="1665"/>
      <c r="X562" s="1665"/>
      <c r="Y562" s="1665"/>
      <c r="Z562" s="1665"/>
      <c r="AA562" s="1666"/>
      <c r="AB562" s="1666"/>
      <c r="AC562" s="1665"/>
      <c r="AD562" s="1665"/>
      <c r="AE562" s="1823"/>
      <c r="AF562" s="1824"/>
      <c r="AN562" s="279"/>
      <c r="AP562" s="151" t="s">
        <v>606</v>
      </c>
      <c r="AQ562" s="152"/>
      <c r="AR562" s="152"/>
      <c r="AS562" s="152"/>
      <c r="AT562" s="152"/>
      <c r="AU562" s="152"/>
      <c r="AV562" s="153"/>
      <c r="AW562" s="1875" t="str">
        <f>IF(AND(AND(AND(AND(AS542="passed",AU549="passed",BD558="passed",SUM(T609:X613)&gt;1)))),"YES","NO")</f>
        <v>YES</v>
      </c>
      <c r="AX562" s="1876"/>
      <c r="AY562" s="1877"/>
      <c r="AZ562" s="40"/>
      <c r="BA562" s="40"/>
      <c r="BB562" s="40"/>
      <c r="BC562" s="40"/>
      <c r="BD562" s="40"/>
      <c r="BE562" s="21"/>
      <c r="BF562" s="21"/>
      <c r="BG562" s="21"/>
    </row>
    <row r="563" spans="1:96" s="4" customFormat="1" ht="12.75" customHeight="1">
      <c r="B563" s="63"/>
      <c r="I563" s="218"/>
      <c r="J563" s="160"/>
      <c r="N563" s="5"/>
      <c r="O563" s="1662"/>
      <c r="P563" s="1663"/>
      <c r="Q563" s="1664"/>
      <c r="R563" s="1665"/>
      <c r="S563" s="1665"/>
      <c r="T563" s="1665"/>
      <c r="U563" s="1665"/>
      <c r="V563" s="1665"/>
      <c r="W563" s="1665"/>
      <c r="X563" s="1665"/>
      <c r="Y563" s="1666"/>
      <c r="Z563" s="1666"/>
      <c r="AA563" s="1665"/>
      <c r="AB563" s="1665"/>
      <c r="AC563" s="1666"/>
      <c r="AD563" s="1666"/>
      <c r="AE563" s="1700"/>
      <c r="AF563" s="1701"/>
      <c r="AN563" s="279"/>
    </row>
    <row r="564" spans="1:96" s="4" customFormat="1" ht="12.75" customHeight="1">
      <c r="B564" s="63"/>
      <c r="I564" s="218"/>
      <c r="J564" s="160"/>
      <c r="N564" s="5"/>
      <c r="O564" s="1662"/>
      <c r="P564" s="1663"/>
      <c r="Q564" s="1664"/>
      <c r="R564" s="1665"/>
      <c r="S564" s="1665"/>
      <c r="T564" s="1665"/>
      <c r="U564" s="1665"/>
      <c r="V564" s="1665"/>
      <c r="W564" s="1666"/>
      <c r="X564" s="1666"/>
      <c r="Y564" s="1665"/>
      <c r="Z564" s="1665"/>
      <c r="AA564" s="1666"/>
      <c r="AB564" s="1666"/>
      <c r="AC564" s="1665"/>
      <c r="AD564" s="1665"/>
      <c r="AE564" s="1823"/>
      <c r="AF564" s="1824"/>
      <c r="AN564" s="279"/>
    </row>
    <row r="565" spans="1:96" s="4" customFormat="1" ht="12.75" customHeight="1">
      <c r="B565" s="63"/>
      <c r="I565" s="218"/>
      <c r="J565" s="160"/>
      <c r="N565" s="5"/>
      <c r="O565" s="1662"/>
      <c r="P565" s="1663"/>
      <c r="Q565" s="1664"/>
      <c r="R565" s="1665"/>
      <c r="S565" s="1665"/>
      <c r="T565" s="1665"/>
      <c r="U565" s="1665"/>
      <c r="V565" s="1665"/>
      <c r="W565" s="1665"/>
      <c r="X565" s="1665"/>
      <c r="Y565" s="1666"/>
      <c r="Z565" s="1666"/>
      <c r="AA565" s="1665"/>
      <c r="AB565" s="1665"/>
      <c r="AC565" s="1666"/>
      <c r="AD565" s="1666"/>
      <c r="AE565" s="1700"/>
      <c r="AF565" s="1701"/>
      <c r="AN565" s="279"/>
      <c r="AU565" s="21"/>
      <c r="AV565" s="21"/>
      <c r="AW565" s="8"/>
      <c r="AX565" s="9"/>
      <c r="AY565" s="9"/>
      <c r="AZ565" s="60" t="s">
        <v>1125</v>
      </c>
      <c r="BA565" s="1792" t="s">
        <v>713</v>
      </c>
      <c r="BB565" s="1793"/>
      <c r="BC565" s="1793"/>
      <c r="BD565" s="1793"/>
      <c r="BE565" s="1794"/>
      <c r="BF565" s="1757">
        <f>SUM(O609:S613)</f>
        <v>100</v>
      </c>
      <c r="BG565" s="1758"/>
      <c r="BH565" s="1758"/>
      <c r="BI565" s="1758"/>
      <c r="BJ565" s="1759"/>
      <c r="BK565" s="1668">
        <f>SUM(T609:X613)</f>
        <v>15</v>
      </c>
      <c r="BL565" s="1669"/>
      <c r="BM565" s="1669"/>
      <c r="BN565" s="1669"/>
      <c r="BO565" s="1670"/>
    </row>
    <row r="566" spans="1:96" s="4" customFormat="1" ht="12.75" customHeight="1">
      <c r="B566" s="35"/>
      <c r="I566" s="1416" t="s">
        <v>1495</v>
      </c>
      <c r="J566" s="1417"/>
      <c r="K566" s="1417"/>
      <c r="L566" s="1417"/>
      <c r="M566" s="1417"/>
      <c r="N566" s="1418"/>
      <c r="O566" s="1662">
        <v>0.5</v>
      </c>
      <c r="P566" s="1663"/>
      <c r="Q566" s="1685"/>
      <c r="R566" s="1686"/>
      <c r="S566" s="1665"/>
      <c r="T566" s="1665"/>
      <c r="U566" s="1900" t="s">
        <v>1499</v>
      </c>
      <c r="V566" s="1900"/>
      <c r="W566" s="1667">
        <v>37.5</v>
      </c>
      <c r="X566" s="1667"/>
      <c r="Y566" s="1686"/>
      <c r="Z566" s="1686"/>
      <c r="AA566" s="1667"/>
      <c r="AB566" s="1667"/>
      <c r="AC566" s="1686"/>
      <c r="AD566" s="1686"/>
      <c r="AE566" s="1774"/>
      <c r="AF566" s="1775"/>
      <c r="AN566" s="279"/>
      <c r="CL566"/>
      <c r="CM566"/>
    </row>
    <row r="567" spans="1:96" s="4" customFormat="1" ht="12.75" customHeight="1">
      <c r="B567" s="118"/>
      <c r="C567" s="61"/>
      <c r="I567" s="1416"/>
      <c r="J567" s="1417"/>
      <c r="K567" s="1417"/>
      <c r="L567" s="1417"/>
      <c r="M567" s="1417"/>
      <c r="N567" s="1418"/>
      <c r="O567" s="1662">
        <v>0.45</v>
      </c>
      <c r="P567" s="1663"/>
      <c r="Q567" s="1664"/>
      <c r="R567" s="1665"/>
      <c r="S567" s="1665"/>
      <c r="T567" s="1665"/>
      <c r="U567" s="1687" t="s">
        <v>130</v>
      </c>
      <c r="V567" s="1687"/>
      <c r="W567" s="1666">
        <v>33.799999999999997</v>
      </c>
      <c r="X567" s="1666"/>
      <c r="Y567" s="1666"/>
      <c r="Z567" s="1666"/>
      <c r="AA567" s="1665"/>
      <c r="AB567" s="1665"/>
      <c r="AC567" s="1666"/>
      <c r="AD567" s="1666"/>
      <c r="AE567" s="1700"/>
      <c r="AF567" s="1701"/>
      <c r="AN567" s="279"/>
      <c r="CL567"/>
      <c r="CM567"/>
    </row>
    <row r="568" spans="1:96" s="4" customFormat="1" ht="12.75" customHeight="1">
      <c r="B568" s="5"/>
      <c r="C568" s="5"/>
      <c r="D568" s="5"/>
      <c r="E568" s="5"/>
      <c r="I568" s="1416"/>
      <c r="J568" s="1417"/>
      <c r="K568" s="1417"/>
      <c r="L568" s="1417"/>
      <c r="M568" s="1417"/>
      <c r="N568" s="1418"/>
      <c r="O568" s="1662">
        <v>0.4</v>
      </c>
      <c r="P568" s="1663"/>
      <c r="Q568" s="1664"/>
      <c r="R568" s="1665"/>
      <c r="S568" s="1687" t="s">
        <v>1498</v>
      </c>
      <c r="T568" s="1687"/>
      <c r="U568" s="1666">
        <v>20</v>
      </c>
      <c r="V568" s="1666"/>
      <c r="W568" s="1666">
        <v>30</v>
      </c>
      <c r="X568" s="1666"/>
      <c r="Y568" s="1666"/>
      <c r="Z568" s="1666"/>
      <c r="AA568" s="1666"/>
      <c r="AB568" s="1666"/>
      <c r="AC568" s="1666"/>
      <c r="AD568" s="1666"/>
      <c r="AE568" s="1700"/>
      <c r="AF568" s="1701"/>
      <c r="AN568" s="279"/>
      <c r="AP568" s="1786" t="s">
        <v>205</v>
      </c>
      <c r="AQ568" s="1787"/>
      <c r="AR568" s="1787"/>
      <c r="AS568" s="1787"/>
      <c r="AT568" s="1787"/>
      <c r="AU568" s="1787"/>
      <c r="AV568" s="1787"/>
      <c r="AW568" s="1787"/>
      <c r="AX568" s="1787"/>
      <c r="AY568" s="1787"/>
      <c r="AZ568" s="1787"/>
      <c r="BA568" s="1787"/>
      <c r="BB568" s="1787"/>
      <c r="BC568" s="1787"/>
      <c r="BD568" s="1787"/>
      <c r="BE568" s="1787"/>
      <c r="BF568" s="1787"/>
      <c r="BG568" s="1787"/>
      <c r="BH568" s="1787"/>
      <c r="BI568" s="1787"/>
      <c r="BJ568" s="1788"/>
      <c r="BK568" s="1776">
        <f>BF565</f>
        <v>100</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6"/>
      <c r="J569" s="1417"/>
      <c r="K569" s="1417"/>
      <c r="L569" s="1417"/>
      <c r="M569" s="1417"/>
      <c r="N569" s="1418"/>
      <c r="O569" s="1662">
        <v>0.35</v>
      </c>
      <c r="P569" s="1663"/>
      <c r="Q569" s="1664"/>
      <c r="R569" s="1665"/>
      <c r="S569" s="1687" t="s">
        <v>1750</v>
      </c>
      <c r="T569" s="1687"/>
      <c r="U569" s="1666">
        <v>17.5</v>
      </c>
      <c r="V569" s="1666"/>
      <c r="W569" s="1666">
        <v>26.3</v>
      </c>
      <c r="X569" s="1666"/>
      <c r="Y569" s="1666">
        <v>35</v>
      </c>
      <c r="Z569" s="1666"/>
      <c r="AA569" s="1666"/>
      <c r="AB569" s="1666"/>
      <c r="AC569" s="1666">
        <v>50</v>
      </c>
      <c r="AD569" s="1666"/>
      <c r="AE569" s="1700"/>
      <c r="AF569" s="1701"/>
      <c r="AN569" s="279"/>
      <c r="AP569" s="1789"/>
      <c r="AQ569" s="1790"/>
      <c r="AR569" s="1790"/>
      <c r="AS569" s="1790"/>
      <c r="AT569" s="1790"/>
      <c r="AU569" s="1790"/>
      <c r="AV569" s="1790"/>
      <c r="AW569" s="1790"/>
      <c r="AX569" s="1790"/>
      <c r="AY569" s="1790"/>
      <c r="AZ569" s="1790"/>
      <c r="BA569" s="1790"/>
      <c r="BB569" s="1790"/>
      <c r="BC569" s="1790"/>
      <c r="BD569" s="1790"/>
      <c r="BE569" s="1790"/>
      <c r="BF569" s="1790"/>
      <c r="BG569" s="1790"/>
      <c r="BH569" s="1790"/>
      <c r="BI569" s="1790"/>
      <c r="BJ569" s="1791"/>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6"/>
      <c r="J570" s="1417"/>
      <c r="K570" s="1417"/>
      <c r="L570" s="1417"/>
      <c r="M570" s="1417"/>
      <c r="N570" s="1418"/>
      <c r="O570" s="1662">
        <v>0.3</v>
      </c>
      <c r="P570" s="1663"/>
      <c r="Q570" s="1664"/>
      <c r="R570" s="1665"/>
      <c r="S570" s="1687" t="s">
        <v>1751</v>
      </c>
      <c r="T570" s="1687"/>
      <c r="U570" s="1666">
        <v>15</v>
      </c>
      <c r="V570" s="1666"/>
      <c r="W570" s="1666">
        <v>22.5</v>
      </c>
      <c r="X570" s="1666"/>
      <c r="Y570" s="1666">
        <v>30</v>
      </c>
      <c r="Z570" s="1666"/>
      <c r="AA570" s="1666">
        <v>37.5</v>
      </c>
      <c r="AB570" s="1666"/>
      <c r="AC570" s="1666">
        <v>45</v>
      </c>
      <c r="AD570" s="1666"/>
      <c r="AE570" s="1700"/>
      <c r="AF570" s="170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6">
        <v>5</v>
      </c>
      <c r="BK570" s="1277"/>
      <c r="BL570" s="1277"/>
      <c r="BM570" s="1277"/>
      <c r="BN570" s="1278"/>
      <c r="BO570" s="1276">
        <v>4</v>
      </c>
      <c r="BP570" s="1277"/>
      <c r="BQ570" s="1277"/>
      <c r="BR570" s="1277"/>
      <c r="BS570" s="1278"/>
      <c r="BT570" s="1276">
        <v>3</v>
      </c>
      <c r="BU570" s="1277"/>
      <c r="BV570" s="1277"/>
      <c r="BW570" s="1277"/>
      <c r="BX570" s="1278"/>
      <c r="BY570" s="1276">
        <v>2</v>
      </c>
      <c r="BZ570" s="1277"/>
      <c r="CA570" s="1277"/>
      <c r="CB570" s="1277"/>
      <c r="CC570" s="1278"/>
      <c r="CD570" s="1276">
        <v>1</v>
      </c>
      <c r="CE570" s="1277"/>
      <c r="CF570" s="1277"/>
      <c r="CG570" s="1277"/>
      <c r="CH570" s="1278"/>
      <c r="CI570" s="1276">
        <v>0</v>
      </c>
      <c r="CJ570" s="1277"/>
      <c r="CK570" s="1277"/>
      <c r="CL570" s="1277"/>
      <c r="CM570" s="1278"/>
      <c r="CN570" s="21"/>
      <c r="CO570" s="21"/>
      <c r="CP570" s="21"/>
      <c r="CQ570" s="21"/>
      <c r="CR570" s="21"/>
    </row>
    <row r="571" spans="1:96" s="4" customFormat="1" ht="12.75" customHeight="1">
      <c r="B571" s="5"/>
      <c r="C571" s="5"/>
      <c r="D571" s="5"/>
      <c r="E571" s="5"/>
      <c r="I571" s="1416"/>
      <c r="J571" s="1417"/>
      <c r="K571" s="1417"/>
      <c r="L571" s="1417"/>
      <c r="M571" s="1417"/>
      <c r="N571" s="1418"/>
      <c r="O571" s="1662">
        <v>0.25</v>
      </c>
      <c r="P571" s="1663"/>
      <c r="Q571" s="1664"/>
      <c r="R571" s="1665"/>
      <c r="S571" s="1687" t="s">
        <v>1752</v>
      </c>
      <c r="T571" s="1687"/>
      <c r="U571" s="1666">
        <v>12.5</v>
      </c>
      <c r="V571" s="1666"/>
      <c r="W571" s="1666">
        <v>18.8</v>
      </c>
      <c r="X571" s="1666"/>
      <c r="Y571" s="1666">
        <v>25</v>
      </c>
      <c r="Z571" s="1666"/>
      <c r="AA571" s="1666">
        <v>31.3</v>
      </c>
      <c r="AB571" s="1666"/>
      <c r="AC571" s="1666">
        <v>37.5</v>
      </c>
      <c r="AD571" s="1666"/>
      <c r="AE571" s="1700">
        <v>50</v>
      </c>
      <c r="AF571" s="1701"/>
      <c r="AN571" s="279"/>
      <c r="AP571" s="1754" t="str">
        <f t="shared" ref="AP571:AP577" si="0">J608</f>
        <v>5 BR</v>
      </c>
      <c r="AQ571" s="1755"/>
      <c r="AR571" s="1755"/>
      <c r="AS571" s="1755"/>
      <c r="AT571" s="1756"/>
      <c r="AU571" s="1363">
        <f t="shared" ref="AU571:AU576" si="1">O608</f>
        <v>0</v>
      </c>
      <c r="AV571" s="1364"/>
      <c r="AW571" s="1364"/>
      <c r="AX571" s="1364"/>
      <c r="AY571" s="1365"/>
      <c r="AZ571" s="1363">
        <f t="shared" ref="AZ571:AZ576" si="2">T608</f>
        <v>0</v>
      </c>
      <c r="BA571" s="1364"/>
      <c r="BB571" s="1364"/>
      <c r="BC571" s="1364"/>
      <c r="BD571" s="1365"/>
      <c r="BE571" s="1783">
        <f t="shared" ref="BE571:BE576" si="3">Y608</f>
        <v>0</v>
      </c>
      <c r="BF571" s="1784"/>
      <c r="BG571" s="1784"/>
      <c r="BH571" s="1784"/>
      <c r="BI571" s="1785"/>
      <c r="BJ571" s="1276">
        <f>IF(OR(AP581=0,BE571&gt;=0.1),0,1)</f>
        <v>0</v>
      </c>
      <c r="BK571" s="1277"/>
      <c r="BL571" s="1277"/>
      <c r="BM571" s="1277"/>
      <c r="BN571" s="1278"/>
      <c r="BO571" s="1276"/>
      <c r="BP571" s="1277"/>
      <c r="BQ571" s="1277"/>
      <c r="BR571" s="1277"/>
      <c r="BS571" s="1278"/>
      <c r="BT571" s="1276"/>
      <c r="BU571" s="1277"/>
      <c r="BV571" s="1277"/>
      <c r="BW571" s="1277"/>
      <c r="BX571" s="1278"/>
      <c r="BY571" s="1276"/>
      <c r="BZ571" s="1277"/>
      <c r="CA571" s="1277"/>
      <c r="CB571" s="1277"/>
      <c r="CC571" s="1278"/>
      <c r="CD571" s="1276"/>
      <c r="CE571" s="1277"/>
      <c r="CF571" s="1277"/>
      <c r="CG571" s="1277"/>
      <c r="CH571" s="1278"/>
      <c r="CI571" s="1276"/>
      <c r="CJ571" s="1277"/>
      <c r="CK571" s="1277"/>
      <c r="CL571" s="1277"/>
      <c r="CM571" s="1278"/>
      <c r="CN571" s="21"/>
      <c r="CO571" s="21"/>
      <c r="CP571" s="21"/>
      <c r="CQ571" s="21"/>
      <c r="CR571" s="21"/>
    </row>
    <row r="572" spans="1:96" s="4" customFormat="1" ht="12.75" customHeight="1">
      <c r="A572" s="118"/>
      <c r="B572" s="5"/>
      <c r="C572" s="5"/>
      <c r="D572" s="5"/>
      <c r="E572" s="5"/>
      <c r="I572" s="1416"/>
      <c r="J572" s="1417"/>
      <c r="K572" s="1417"/>
      <c r="L572" s="1417"/>
      <c r="M572" s="1417"/>
      <c r="N572" s="1418"/>
      <c r="O572" s="1662">
        <v>0.2</v>
      </c>
      <c r="P572" s="1663"/>
      <c r="Q572" s="1664"/>
      <c r="R572" s="1665"/>
      <c r="S572" s="1830" t="s">
        <v>1755</v>
      </c>
      <c r="T572" s="1830"/>
      <c r="U572" s="1666">
        <v>10</v>
      </c>
      <c r="V572" s="1666"/>
      <c r="W572" s="1666">
        <v>15</v>
      </c>
      <c r="X572" s="1666"/>
      <c r="Y572" s="1666">
        <v>20</v>
      </c>
      <c r="Z572" s="1666"/>
      <c r="AA572" s="1666">
        <v>25</v>
      </c>
      <c r="AB572" s="1666"/>
      <c r="AC572" s="1666">
        <v>30</v>
      </c>
      <c r="AD572" s="1666"/>
      <c r="AE572" s="1700">
        <v>40</v>
      </c>
      <c r="AF572" s="1701"/>
      <c r="AN572" s="279"/>
      <c r="AP572" s="1754" t="str">
        <f t="shared" si="0"/>
        <v>4 BR</v>
      </c>
      <c r="AQ572" s="1755"/>
      <c r="AR572" s="1755"/>
      <c r="AS572" s="1755"/>
      <c r="AT572" s="1756"/>
      <c r="AU572" s="1363">
        <f t="shared" si="1"/>
        <v>0</v>
      </c>
      <c r="AV572" s="1364"/>
      <c r="AW572" s="1364"/>
      <c r="AX572" s="1364"/>
      <c r="AY572" s="1365"/>
      <c r="AZ572" s="1363">
        <f t="shared" si="2"/>
        <v>0</v>
      </c>
      <c r="BA572" s="1364"/>
      <c r="BB572" s="1364"/>
      <c r="BC572" s="1364"/>
      <c r="BD572" s="1365"/>
      <c r="BE572" s="1783">
        <f t="shared" si="3"/>
        <v>0</v>
      </c>
      <c r="BF572" s="1784"/>
      <c r="BG572" s="1784"/>
      <c r="BH572" s="1784"/>
      <c r="BI572" s="1785"/>
      <c r="BJ572" s="1276"/>
      <c r="BK572" s="1277"/>
      <c r="BL572" s="1277"/>
      <c r="BM572" s="1277"/>
      <c r="BN572" s="1278"/>
      <c r="BO572" s="1276">
        <f>IF(AND(AND(AZ571=0,BJ571=0,AP582=1)),1,0)</f>
        <v>0</v>
      </c>
      <c r="BP572" s="1277"/>
      <c r="BQ572" s="1277"/>
      <c r="BR572" s="1277"/>
      <c r="BS572" s="1278"/>
      <c r="BT572" s="1276"/>
      <c r="BU572" s="1277"/>
      <c r="BV572" s="1277"/>
      <c r="BW572" s="1277"/>
      <c r="BX572" s="1278"/>
      <c r="BY572" s="1276"/>
      <c r="BZ572" s="1277"/>
      <c r="CA572" s="1277"/>
      <c r="CB572" s="1277"/>
      <c r="CC572" s="1278"/>
      <c r="CD572" s="1276"/>
      <c r="CE572" s="1277"/>
      <c r="CF572" s="1277"/>
      <c r="CG572" s="1277"/>
      <c r="CH572" s="1278"/>
      <c r="CI572" s="1276"/>
      <c r="CJ572" s="1277"/>
      <c r="CK572" s="1277"/>
      <c r="CL572" s="1277"/>
      <c r="CM572" s="1278"/>
      <c r="CN572" s="21"/>
      <c r="CO572" s="21"/>
      <c r="CP572" s="21"/>
      <c r="CQ572" s="21"/>
      <c r="CR572" s="21"/>
    </row>
    <row r="573" spans="1:96" s="4" customFormat="1" ht="12.75" customHeight="1">
      <c r="A573" s="118"/>
      <c r="B573" s="5"/>
      <c r="C573" s="5"/>
      <c r="D573" s="5"/>
      <c r="E573" s="5"/>
      <c r="I573" s="1416"/>
      <c r="J573" s="1417"/>
      <c r="K573" s="1417"/>
      <c r="L573" s="1417"/>
      <c r="M573" s="1417"/>
      <c r="N573" s="1418"/>
      <c r="O573" s="1662">
        <v>0.15</v>
      </c>
      <c r="P573" s="1663"/>
      <c r="Q573" s="1664"/>
      <c r="R573" s="1665"/>
      <c r="S573" s="1687" t="s">
        <v>1753</v>
      </c>
      <c r="T573" s="1687"/>
      <c r="U573" s="1666">
        <v>7.5</v>
      </c>
      <c r="V573" s="1666"/>
      <c r="W573" s="1666">
        <v>11.3</v>
      </c>
      <c r="X573" s="1666"/>
      <c r="Y573" s="1666">
        <v>15</v>
      </c>
      <c r="Z573" s="1666"/>
      <c r="AA573" s="1666">
        <v>18.8</v>
      </c>
      <c r="AB573" s="1666"/>
      <c r="AC573" s="1666">
        <v>22.5</v>
      </c>
      <c r="AD573" s="1666"/>
      <c r="AE573" s="1700">
        <v>30</v>
      </c>
      <c r="AF573" s="1701"/>
      <c r="AN573" s="279"/>
      <c r="AP573" s="1754" t="str">
        <f t="shared" si="0"/>
        <v>3 BR</v>
      </c>
      <c r="AQ573" s="1755"/>
      <c r="AR573" s="1755"/>
      <c r="AS573" s="1755"/>
      <c r="AT573" s="1756"/>
      <c r="AU573" s="1363">
        <f t="shared" si="1"/>
        <v>0</v>
      </c>
      <c r="AV573" s="1364"/>
      <c r="AW573" s="1364"/>
      <c r="AX573" s="1364"/>
      <c r="AY573" s="1365"/>
      <c r="AZ573" s="1363">
        <f t="shared" si="2"/>
        <v>0</v>
      </c>
      <c r="BA573" s="1364"/>
      <c r="BB573" s="1364"/>
      <c r="BC573" s="1364"/>
      <c r="BD573" s="1365"/>
      <c r="BE573" s="1783">
        <f t="shared" si="3"/>
        <v>0</v>
      </c>
      <c r="BF573" s="1784"/>
      <c r="BG573" s="1784"/>
      <c r="BH573" s="1784"/>
      <c r="BI573" s="1785"/>
      <c r="BJ573" s="1276"/>
      <c r="BK573" s="1277"/>
      <c r="BL573" s="1277"/>
      <c r="BM573" s="1277"/>
      <c r="BN573" s="1278"/>
      <c r="BO573" s="1276"/>
      <c r="BP573" s="1277"/>
      <c r="BQ573" s="1277"/>
      <c r="BR573" s="1277"/>
      <c r="BS573" s="1278"/>
      <c r="BT573" s="1276">
        <f>IF(AND(AND(AZ571+AZ572=0,BJ571+BO572=0,AP583=1)),1,0)</f>
        <v>0</v>
      </c>
      <c r="BU573" s="1277"/>
      <c r="BV573" s="1277"/>
      <c r="BW573" s="1277"/>
      <c r="BX573" s="1278"/>
      <c r="BY573" s="1276"/>
      <c r="BZ573" s="1277"/>
      <c r="CA573" s="1277"/>
      <c r="CB573" s="1277"/>
      <c r="CC573" s="1278"/>
      <c r="CD573" s="1276"/>
      <c r="CE573" s="1277"/>
      <c r="CF573" s="1277"/>
      <c r="CG573" s="1277"/>
      <c r="CH573" s="1278"/>
      <c r="CI573" s="1276"/>
      <c r="CJ573" s="1277"/>
      <c r="CK573" s="1277"/>
      <c r="CL573" s="1277"/>
      <c r="CM573" s="1278"/>
      <c r="CN573" s="21"/>
      <c r="CO573" s="21"/>
      <c r="CP573" s="21"/>
      <c r="CQ573" s="21"/>
      <c r="CR573" s="21"/>
    </row>
    <row r="574" spans="1:96" s="4" customFormat="1" ht="12.75" customHeight="1" thickBot="1">
      <c r="B574" s="5"/>
      <c r="C574" s="5"/>
      <c r="D574" s="5"/>
      <c r="E574" s="5"/>
      <c r="I574" s="1419"/>
      <c r="J574" s="1420"/>
      <c r="K574" s="1420"/>
      <c r="L574" s="1420"/>
      <c r="M574" s="1420"/>
      <c r="N574" s="1421"/>
      <c r="O574" s="1662">
        <v>0.1</v>
      </c>
      <c r="P574" s="1663"/>
      <c r="Q574" s="1828"/>
      <c r="R574" s="1829"/>
      <c r="S574" s="1687" t="s">
        <v>1754</v>
      </c>
      <c r="T574" s="1687"/>
      <c r="U574" s="1708">
        <v>5</v>
      </c>
      <c r="V574" s="1708"/>
      <c r="W574" s="1708">
        <v>7.5</v>
      </c>
      <c r="X574" s="1708"/>
      <c r="Y574" s="1708">
        <v>10</v>
      </c>
      <c r="Z574" s="1708"/>
      <c r="AA574" s="1708">
        <v>12.5</v>
      </c>
      <c r="AB574" s="1708"/>
      <c r="AC574" s="1708">
        <v>15</v>
      </c>
      <c r="AD574" s="1708"/>
      <c r="AE574" s="1825">
        <v>20</v>
      </c>
      <c r="AF574" s="1826"/>
      <c r="AK574" s="165"/>
      <c r="AL574" s="165"/>
      <c r="AM574" s="5"/>
      <c r="AN574" s="279"/>
      <c r="AP574" s="1754" t="str">
        <f t="shared" si="0"/>
        <v>2 BR</v>
      </c>
      <c r="AQ574" s="1755"/>
      <c r="AR574" s="1755"/>
      <c r="AS574" s="1755"/>
      <c r="AT574" s="1756"/>
      <c r="AU574" s="1363">
        <f t="shared" si="1"/>
        <v>0</v>
      </c>
      <c r="AV574" s="1364"/>
      <c r="AW574" s="1364"/>
      <c r="AX574" s="1364"/>
      <c r="AY574" s="1365"/>
      <c r="AZ574" s="1363">
        <f t="shared" si="2"/>
        <v>0</v>
      </c>
      <c r="BA574" s="1364"/>
      <c r="BB574" s="1364"/>
      <c r="BC574" s="1364"/>
      <c r="BD574" s="1365"/>
      <c r="BE574" s="1783">
        <f t="shared" si="3"/>
        <v>0</v>
      </c>
      <c r="BF574" s="1784"/>
      <c r="BG574" s="1784"/>
      <c r="BH574" s="1784"/>
      <c r="BI574" s="1785"/>
      <c r="BJ574" s="1276"/>
      <c r="BK574" s="1277"/>
      <c r="BL574" s="1277"/>
      <c r="BM574" s="1277"/>
      <c r="BN574" s="1278"/>
      <c r="BO574" s="1276"/>
      <c r="BP574" s="1277"/>
      <c r="BQ574" s="1277"/>
      <c r="BR574" s="1277"/>
      <c r="BS574" s="1278"/>
      <c r="BT574" s="1276"/>
      <c r="BU574" s="1277"/>
      <c r="BV574" s="1277"/>
      <c r="BW574" s="1277"/>
      <c r="BX574" s="1278"/>
      <c r="BY574" s="1276">
        <f>IF(AND(AND(AZ571+AZ572+AZ573=0,BO572+BT573+BJ571=0,AP584=1)),1,0)</f>
        <v>0</v>
      </c>
      <c r="BZ574" s="1277"/>
      <c r="CA574" s="1277"/>
      <c r="CB574" s="1277"/>
      <c r="CC574" s="1278"/>
      <c r="CD574" s="1276"/>
      <c r="CE574" s="1277"/>
      <c r="CF574" s="1277"/>
      <c r="CG574" s="1277"/>
      <c r="CH574" s="1278"/>
      <c r="CI574" s="1276"/>
      <c r="CJ574" s="1277"/>
      <c r="CK574" s="1277"/>
      <c r="CL574" s="1277"/>
      <c r="CM574" s="1278"/>
      <c r="CN574" s="21"/>
      <c r="CO574" s="21"/>
      <c r="CP574" s="21"/>
      <c r="CQ574" s="21"/>
      <c r="CR574" s="21"/>
    </row>
    <row r="575" spans="1:96" s="4" customFormat="1" ht="12.75" customHeight="1">
      <c r="B575" s="5"/>
      <c r="C575" s="5"/>
      <c r="D575" s="5"/>
      <c r="E575" s="1197" t="s">
        <v>938</v>
      </c>
      <c r="F575" s="1233"/>
      <c r="G575" s="1233"/>
      <c r="H575" s="1233"/>
      <c r="I575" s="1233"/>
      <c r="J575" s="1233"/>
      <c r="K575" s="1233"/>
      <c r="L575" s="1233"/>
      <c r="M575" s="1233"/>
      <c r="N575" s="1233"/>
      <c r="O575" s="1233"/>
      <c r="P575" s="1233"/>
      <c r="Q575" s="1233"/>
      <c r="R575" s="1233"/>
      <c r="S575" s="1233"/>
      <c r="T575" s="1233"/>
      <c r="U575" s="1233"/>
      <c r="V575" s="1233"/>
      <c r="W575" s="1233"/>
      <c r="X575" s="1233"/>
      <c r="Y575" s="1233"/>
      <c r="Z575" s="1233"/>
      <c r="AA575" s="1233"/>
      <c r="AB575" s="1233"/>
      <c r="AC575" s="1233"/>
      <c r="AD575" s="1233"/>
      <c r="AE575" s="1233"/>
      <c r="AF575" s="1233"/>
      <c r="AG575" s="1233"/>
      <c r="AH575" s="1234"/>
      <c r="AK575" s="165"/>
      <c r="AL575" s="165"/>
      <c r="AM575" s="5"/>
      <c r="AN575" s="279"/>
      <c r="AP575" s="1754" t="str">
        <f t="shared" si="0"/>
        <v>1 BR</v>
      </c>
      <c r="AQ575" s="1755"/>
      <c r="AR575" s="1755"/>
      <c r="AS575" s="1755"/>
      <c r="AT575" s="1756"/>
      <c r="AU575" s="1363">
        <f t="shared" si="1"/>
        <v>100</v>
      </c>
      <c r="AV575" s="1364"/>
      <c r="AW575" s="1364"/>
      <c r="AX575" s="1364"/>
      <c r="AY575" s="1365"/>
      <c r="AZ575" s="1363">
        <f t="shared" si="2"/>
        <v>15</v>
      </c>
      <c r="BA575" s="1364"/>
      <c r="BB575" s="1364"/>
      <c r="BC575" s="1364"/>
      <c r="BD575" s="1365"/>
      <c r="BE575" s="1783">
        <f t="shared" si="3"/>
        <v>0.15</v>
      </c>
      <c r="BF575" s="1784"/>
      <c r="BG575" s="1784"/>
      <c r="BH575" s="1784"/>
      <c r="BI575" s="1785"/>
      <c r="BJ575" s="1276"/>
      <c r="BK575" s="1277"/>
      <c r="BL575" s="1277"/>
      <c r="BM575" s="1277"/>
      <c r="BN575" s="1278"/>
      <c r="BO575" s="1276"/>
      <c r="BP575" s="1277"/>
      <c r="BQ575" s="1277"/>
      <c r="BR575" s="1277"/>
      <c r="BS575" s="1278"/>
      <c r="BT575" s="1276"/>
      <c r="BU575" s="1277"/>
      <c r="BV575" s="1277"/>
      <c r="BW575" s="1277"/>
      <c r="BX575" s="1278"/>
      <c r="BY575" s="1276"/>
      <c r="BZ575" s="1277"/>
      <c r="CA575" s="1277"/>
      <c r="CB575" s="1277"/>
      <c r="CC575" s="1278"/>
      <c r="CD575" s="1276">
        <f>IF(AND(AND(BE572+BE573+BE574+BE571=0,BT573+BY574+BO572+BJ571=0,AP585=1)),1,0)</f>
        <v>0</v>
      </c>
      <c r="CE575" s="1277"/>
      <c r="CF575" s="1277"/>
      <c r="CG575" s="1277"/>
      <c r="CH575" s="1278"/>
      <c r="CI575" s="1276"/>
      <c r="CJ575" s="1277"/>
      <c r="CK575" s="1277"/>
      <c r="CL575" s="1277"/>
      <c r="CM575" s="1278"/>
      <c r="CN575" s="21"/>
      <c r="CO575" s="21"/>
      <c r="CP575" s="21"/>
      <c r="CQ575" s="21"/>
      <c r="CR575" s="21"/>
    </row>
    <row r="576" spans="1:96" s="4" customFormat="1" ht="12.75" customHeight="1">
      <c r="E576" s="1850"/>
      <c r="F576" s="1551"/>
      <c r="G576" s="1551"/>
      <c r="H576" s="1551"/>
      <c r="I576" s="1551"/>
      <c r="J576" s="1551"/>
      <c r="K576" s="1551"/>
      <c r="L576" s="1551"/>
      <c r="M576" s="1551"/>
      <c r="N576" s="1551"/>
      <c r="O576" s="1551"/>
      <c r="P576" s="1551"/>
      <c r="Q576" s="1551"/>
      <c r="R576" s="1551"/>
      <c r="S576" s="1551"/>
      <c r="T576" s="1551"/>
      <c r="U576" s="1551"/>
      <c r="V576" s="1551"/>
      <c r="W576" s="1551"/>
      <c r="X576" s="1551"/>
      <c r="Y576" s="1551"/>
      <c r="Z576" s="1551"/>
      <c r="AA576" s="1551"/>
      <c r="AB576" s="1551"/>
      <c r="AC576" s="1551"/>
      <c r="AD576" s="1551"/>
      <c r="AE576" s="1551"/>
      <c r="AF576" s="1551"/>
      <c r="AG576" s="1551"/>
      <c r="AH576" s="1851"/>
      <c r="AN576" s="279"/>
      <c r="AP576" s="1754" t="str">
        <f t="shared" si="0"/>
        <v>SRO</v>
      </c>
      <c r="AQ576" s="1755"/>
      <c r="AR576" s="1755"/>
      <c r="AS576" s="1755"/>
      <c r="AT576" s="1756"/>
      <c r="AU576" s="1363">
        <f t="shared" si="1"/>
        <v>0</v>
      </c>
      <c r="AV576" s="1364"/>
      <c r="AW576" s="1364"/>
      <c r="AX576" s="1364"/>
      <c r="AY576" s="1365"/>
      <c r="AZ576" s="1363">
        <f t="shared" si="2"/>
        <v>0</v>
      </c>
      <c r="BA576" s="1364"/>
      <c r="BB576" s="1364"/>
      <c r="BC576" s="1364"/>
      <c r="BD576" s="1365"/>
      <c r="BE576" s="1783">
        <f t="shared" si="3"/>
        <v>0</v>
      </c>
      <c r="BF576" s="1784"/>
      <c r="BG576" s="1784"/>
      <c r="BH576" s="1784"/>
      <c r="BI576" s="1785"/>
      <c r="BJ576" s="1276"/>
      <c r="BK576" s="1277"/>
      <c r="BL576" s="1277"/>
      <c r="BM576" s="1277"/>
      <c r="BN576" s="1278"/>
      <c r="BO576" s="1276"/>
      <c r="BP576" s="1277"/>
      <c r="BQ576" s="1277"/>
      <c r="BR576" s="1277"/>
      <c r="BS576" s="1278"/>
      <c r="BT576" s="1276"/>
      <c r="BU576" s="1277"/>
      <c r="BV576" s="1277"/>
      <c r="BW576" s="1277"/>
      <c r="BX576" s="1278"/>
      <c r="BY576" s="1276"/>
      <c r="BZ576" s="1277"/>
      <c r="CA576" s="1277"/>
      <c r="CB576" s="1277"/>
      <c r="CC576" s="1278"/>
      <c r="CD576" s="1276"/>
      <c r="CE576" s="1277"/>
      <c r="CF576" s="1277"/>
      <c r="CG576" s="1277"/>
      <c r="CH576" s="1278"/>
      <c r="CI576" s="1276">
        <f>IF(AND(AND(AZ573+AZ574+AZ575+AZ572+AZ571=0,BY574+CD575+BT573+BO572+BJ571=0,AP586=1)),1,0)</f>
        <v>0</v>
      </c>
      <c r="CJ576" s="1277"/>
      <c r="CK576" s="1277"/>
      <c r="CL576" s="1277"/>
      <c r="CM576" s="1278"/>
      <c r="CN576" s="21"/>
      <c r="CO576" s="21"/>
      <c r="CP576" s="21"/>
      <c r="CQ576" s="21"/>
      <c r="CR576" s="21"/>
    </row>
    <row r="577" spans="5:96" s="4" customFormat="1" ht="12.75" customHeight="1">
      <c r="E577" s="1841" t="s">
        <v>1505</v>
      </c>
      <c r="F577" s="1842"/>
      <c r="G577" s="1842"/>
      <c r="H577" s="1842"/>
      <c r="I577" s="1842"/>
      <c r="J577" s="1843"/>
      <c r="K577" s="1841" t="s">
        <v>2304</v>
      </c>
      <c r="L577" s="1842"/>
      <c r="M577" s="1842"/>
      <c r="N577" s="1842"/>
      <c r="O577" s="1842"/>
      <c r="P577" s="1843"/>
      <c r="Q577" s="1413" t="s">
        <v>1501</v>
      </c>
      <c r="R577" s="1414"/>
      <c r="S577" s="1414"/>
      <c r="T577" s="1414"/>
      <c r="U577" s="1414"/>
      <c r="V577" s="1415"/>
      <c r="W577" s="1413" t="str">
        <f>I566</f>
        <v>Percent of Low-Income Units (exclusive of manager’s units)</v>
      </c>
      <c r="X577" s="1414"/>
      <c r="Y577" s="1414"/>
      <c r="Z577" s="1414"/>
      <c r="AA577" s="1414"/>
      <c r="AB577" s="1415"/>
      <c r="AC577" s="1413" t="s">
        <v>1504</v>
      </c>
      <c r="AD577" s="1414"/>
      <c r="AE577" s="1414"/>
      <c r="AF577" s="1414"/>
      <c r="AG577" s="1414"/>
      <c r="AH577" s="1415"/>
      <c r="AN577" s="279"/>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76">
        <f>SUM(BJ571:BN576)</f>
        <v>0</v>
      </c>
      <c r="BK577" s="1277"/>
      <c r="BL577" s="1277"/>
      <c r="BM577" s="1277"/>
      <c r="BN577" s="1278"/>
      <c r="BO577" s="1276">
        <f>SUM(BO571:BS576)</f>
        <v>0</v>
      </c>
      <c r="BP577" s="1277"/>
      <c r="BQ577" s="1277"/>
      <c r="BR577" s="1277"/>
      <c r="BS577" s="1278"/>
      <c r="BT577" s="1276">
        <f>SUM(BT571:BX576)</f>
        <v>0</v>
      </c>
      <c r="BU577" s="1277"/>
      <c r="BV577" s="1277"/>
      <c r="BW577" s="1277"/>
      <c r="BX577" s="1278"/>
      <c r="BY577" s="1276">
        <f>SUM(BY571:CC576)</f>
        <v>0</v>
      </c>
      <c r="BZ577" s="1277"/>
      <c r="CA577" s="1277"/>
      <c r="CB577" s="1277"/>
      <c r="CC577" s="1278"/>
      <c r="CD577" s="1276">
        <f>SUM(CD571:CH576)</f>
        <v>0</v>
      </c>
      <c r="CE577" s="1277"/>
      <c r="CF577" s="1277"/>
      <c r="CG577" s="1277"/>
      <c r="CH577" s="1278"/>
      <c r="CI577" s="1276">
        <f>SUM(CI571:CM576)</f>
        <v>0</v>
      </c>
      <c r="CJ577" s="1277"/>
      <c r="CK577" s="1277"/>
      <c r="CL577" s="1277"/>
      <c r="CM577" s="1278"/>
      <c r="CN577" s="1276">
        <f>SUM(BJ577:CM577)</f>
        <v>0</v>
      </c>
      <c r="CO577" s="1277"/>
      <c r="CP577" s="1277"/>
      <c r="CQ577" s="1277"/>
      <c r="CR577" s="1278"/>
    </row>
    <row r="578" spans="5:96" s="4" customFormat="1" ht="12.75" customHeight="1">
      <c r="E578" s="1844"/>
      <c r="F578" s="1845"/>
      <c r="G578" s="1845"/>
      <c r="H578" s="1845"/>
      <c r="I578" s="1845"/>
      <c r="J578" s="1846"/>
      <c r="K578" s="1844"/>
      <c r="L578" s="1845"/>
      <c r="M578" s="1845"/>
      <c r="N578" s="1845"/>
      <c r="O578" s="1845"/>
      <c r="P578" s="1846"/>
      <c r="Q578" s="1416"/>
      <c r="R578" s="1417"/>
      <c r="S578" s="1417"/>
      <c r="T578" s="1417"/>
      <c r="U578" s="1417"/>
      <c r="V578" s="1418"/>
      <c r="W578" s="1416"/>
      <c r="X578" s="1417"/>
      <c r="Y578" s="1417"/>
      <c r="Z578" s="1417"/>
      <c r="AA578" s="1417"/>
      <c r="AB578" s="1418"/>
      <c r="AC578" s="1416"/>
      <c r="AD578" s="1417"/>
      <c r="AE578" s="1417"/>
      <c r="AF578" s="1417"/>
      <c r="AG578" s="1417"/>
      <c r="AH578" s="1418"/>
      <c r="AN578" s="279"/>
    </row>
    <row r="579" spans="5:96" s="4" customFormat="1" ht="12.75" customHeight="1">
      <c r="E579" s="1844"/>
      <c r="F579" s="1845"/>
      <c r="G579" s="1845"/>
      <c r="H579" s="1845"/>
      <c r="I579" s="1845"/>
      <c r="J579" s="1846"/>
      <c r="K579" s="1844"/>
      <c r="L579" s="1845"/>
      <c r="M579" s="1845"/>
      <c r="N579" s="1845"/>
      <c r="O579" s="1845"/>
      <c r="P579" s="1846"/>
      <c r="Q579" s="1416"/>
      <c r="R579" s="1417"/>
      <c r="S579" s="1417"/>
      <c r="T579" s="1417"/>
      <c r="U579" s="1417"/>
      <c r="V579" s="1418"/>
      <c r="W579" s="1416"/>
      <c r="X579" s="1417"/>
      <c r="Y579" s="1417"/>
      <c r="Z579" s="1417"/>
      <c r="AA579" s="1417"/>
      <c r="AB579" s="1418"/>
      <c r="AC579" s="1416"/>
      <c r="AD579" s="1417"/>
      <c r="AE579" s="1417"/>
      <c r="AF579" s="1417"/>
      <c r="AG579" s="1417"/>
      <c r="AH579" s="1418"/>
      <c r="AN579" s="279"/>
    </row>
    <row r="580" spans="5:96" s="4" customFormat="1" ht="12.75" customHeight="1">
      <c r="E580" s="1844"/>
      <c r="F580" s="1845"/>
      <c r="G580" s="1845"/>
      <c r="H580" s="1845"/>
      <c r="I580" s="1845"/>
      <c r="J580" s="1846"/>
      <c r="K580" s="1844"/>
      <c r="L580" s="1845"/>
      <c r="M580" s="1845"/>
      <c r="N580" s="1845"/>
      <c r="O580" s="1845"/>
      <c r="P580" s="1846"/>
      <c r="Q580" s="1416"/>
      <c r="R580" s="1417"/>
      <c r="S580" s="1417"/>
      <c r="T580" s="1417"/>
      <c r="U580" s="1417"/>
      <c r="V580" s="1418"/>
      <c r="W580" s="1416"/>
      <c r="X580" s="1417"/>
      <c r="Y580" s="1417"/>
      <c r="Z580" s="1417"/>
      <c r="AA580" s="1417"/>
      <c r="AB580" s="1418"/>
      <c r="AC580" s="1416"/>
      <c r="AD580" s="1417"/>
      <c r="AE580" s="1417"/>
      <c r="AF580" s="1417"/>
      <c r="AG580" s="1417"/>
      <c r="AH580" s="1418"/>
      <c r="AN580" s="279"/>
      <c r="AP580" s="3" t="s">
        <v>1126</v>
      </c>
      <c r="BH580" s="3" t="s">
        <v>1127</v>
      </c>
    </row>
    <row r="581" spans="5:96" s="4" customFormat="1" ht="12.75" customHeight="1">
      <c r="E581" s="1673"/>
      <c r="F581" s="1674"/>
      <c r="G581" s="1674"/>
      <c r="H581" s="1674"/>
      <c r="I581" s="1674"/>
      <c r="J581" s="1675"/>
      <c r="K581" s="1668">
        <v>20</v>
      </c>
      <c r="L581" s="1669"/>
      <c r="M581" s="1669"/>
      <c r="N581" s="1669"/>
      <c r="O581" s="1669"/>
      <c r="P581" s="1670"/>
      <c r="Q581" s="1656">
        <f>IF(ISERROR(IF((((E581/$BJ$528)*100)&gt;100),"EXCESSIVE VALUE",(E581/$BJ$528)*100)),0,IF((((E581/$BJ$528)*100)&gt;100),"EXCESSIVE VALUE",(E581/$BJ$528)*100))</f>
        <v>0</v>
      </c>
      <c r="R581" s="1657"/>
      <c r="S581" s="1657"/>
      <c r="T581" s="1657"/>
      <c r="U581" s="1657"/>
      <c r="V581" s="1658"/>
      <c r="W581" s="1659">
        <f>IF(FLOOR(Q581,5)&gt;80,80,FLOOR(Q581,5))</f>
        <v>0</v>
      </c>
      <c r="X581" s="1660"/>
      <c r="Y581" s="1660"/>
      <c r="Z581" s="1660"/>
      <c r="AA581" s="1660"/>
      <c r="AB581" s="1661"/>
      <c r="AC581" s="1659">
        <f>IFERROR(IF(W581&gt;0,INDEX($BI$507:$BP$521,MATCH(W581,$BH$507:$BH$521,0),MATCH(K581,$BI$506:$BP$506,0)),0),0)</f>
        <v>0</v>
      </c>
      <c r="AD581" s="1660"/>
      <c r="AE581" s="1660"/>
      <c r="AF581" s="1660"/>
      <c r="AG581" s="1660"/>
      <c r="AH581" s="1661"/>
      <c r="AN581" s="279"/>
      <c r="AO581" s="4">
        <v>5</v>
      </c>
      <c r="AP581" s="1668">
        <f t="shared" ref="AP581:AP586" si="4">IF(OR(BE571&gt;=0.1,BE571=0),0,1)</f>
        <v>0</v>
      </c>
      <c r="AQ581" s="1669"/>
      <c r="AR581" s="1669"/>
      <c r="AS581" s="1669"/>
      <c r="AT581" s="1670"/>
      <c r="AX581" s="1749" t="s">
        <v>793</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51"/>
    </row>
    <row r="582" spans="5:96" s="4" customFormat="1" ht="12.75" customHeight="1">
      <c r="E582" s="1673">
        <v>15</v>
      </c>
      <c r="F582" s="1674"/>
      <c r="G582" s="1674"/>
      <c r="H582" s="1674"/>
      <c r="I582" s="1674"/>
      <c r="J582" s="1675"/>
      <c r="K582" s="1668">
        <v>30</v>
      </c>
      <c r="L582" s="1669"/>
      <c r="M582" s="1669"/>
      <c r="N582" s="1669"/>
      <c r="O582" s="1669"/>
      <c r="P582" s="1670"/>
      <c r="Q582" s="1656">
        <f>IF(ISERROR(IF((((E582/$BJ$528)*100)&gt;100),"EXCESSIVE VALUE",(E582/$BJ$528)*100)),0,IF((((E582/$BJ$528)*100)&gt;100),"EXCESSIVE VALUE",(E582/$BJ$528)*100))</f>
        <v>15</v>
      </c>
      <c r="R582" s="1657"/>
      <c r="S582" s="1657"/>
      <c r="T582" s="1657"/>
      <c r="U582" s="1657"/>
      <c r="V582" s="1658"/>
      <c r="W582" s="1659">
        <f>IF(FLOOR(Q582,5)&gt;80,80,FLOOR(Q582,5))</f>
        <v>15</v>
      </c>
      <c r="X582" s="1660"/>
      <c r="Y582" s="1660"/>
      <c r="Z582" s="1660"/>
      <c r="AA582" s="1660"/>
      <c r="AB582" s="1661"/>
      <c r="AC582" s="1659">
        <f t="shared" ref="AC582:AC586" si="5">IFERROR(IF(W582&gt;0,INDEX($BI$507:$BP$521,MATCH(W582,$BH$507:$BH$521,0),MATCH(K582,$BI$506:$BP$506,0)),0),0)</f>
        <v>22.5</v>
      </c>
      <c r="AD582" s="1660"/>
      <c r="AE582" s="1660"/>
      <c r="AF582" s="1660"/>
      <c r="AG582" s="1660"/>
      <c r="AH582" s="1661"/>
      <c r="AN582" s="279"/>
      <c r="AO582" s="4">
        <v>4</v>
      </c>
      <c r="AP582" s="1668">
        <f t="shared" si="4"/>
        <v>0</v>
      </c>
      <c r="AQ582" s="1669"/>
      <c r="AR582" s="1669"/>
      <c r="AS582" s="1669"/>
      <c r="AT582" s="1670"/>
      <c r="AX582" s="1770" t="s">
        <v>615</v>
      </c>
      <c r="AY582" s="1771"/>
      <c r="AZ582" s="1087" t="s">
        <v>615</v>
      </c>
      <c r="BA582" s="1088"/>
      <c r="BB582" s="1770" t="s">
        <v>265</v>
      </c>
      <c r="BC582" s="1771"/>
      <c r="BD582" s="1760" t="s">
        <v>265</v>
      </c>
      <c r="BE582" s="1762"/>
      <c r="BF582" s="1770" t="s">
        <v>264</v>
      </c>
      <c r="BG582" s="1771"/>
      <c r="BH582" s="1760" t="s">
        <v>264</v>
      </c>
      <c r="BI582" s="1762"/>
      <c r="BJ582" s="1770" t="s">
        <v>263</v>
      </c>
      <c r="BK582" s="1771"/>
      <c r="BL582" s="1760" t="s">
        <v>263</v>
      </c>
      <c r="BM582" s="1762"/>
      <c r="BN582" s="1770" t="s">
        <v>614</v>
      </c>
      <c r="BO582" s="1771"/>
      <c r="BP582" s="1760" t="s">
        <v>614</v>
      </c>
      <c r="BQ582" s="1762"/>
    </row>
    <row r="583" spans="5:96" s="4" customFormat="1" ht="12.75" customHeight="1">
      <c r="E583" s="1673"/>
      <c r="F583" s="1674"/>
      <c r="G583" s="1674"/>
      <c r="H583" s="1674"/>
      <c r="I583" s="1674"/>
      <c r="J583" s="1675"/>
      <c r="K583" s="1668">
        <v>35</v>
      </c>
      <c r="L583" s="1669"/>
      <c r="M583" s="1669"/>
      <c r="N583" s="1669"/>
      <c r="O583" s="1669"/>
      <c r="P583" s="1670"/>
      <c r="Q583" s="1656">
        <f t="shared" ref="Q583:Q589" si="6">IF(ISERROR(IF((((E583/$BJ$528)*100)&gt;100),"EXCESSIVE VALUE",(E583/$BJ$528)*100)),0,IF((((E583/$BJ$528)*100)&gt;100),"EXCESSIVE VALUE",(E583/$BJ$528)*100))</f>
        <v>0</v>
      </c>
      <c r="R583" s="1657"/>
      <c r="S583" s="1657"/>
      <c r="T583" s="1657"/>
      <c r="U583" s="1657"/>
      <c r="V583" s="1658"/>
      <c r="W583" s="1659">
        <f t="shared" ref="W583:W589" si="7">IF(FLOOR(Q583,5)&gt;80,80,FLOOR(Q583,5))</f>
        <v>0</v>
      </c>
      <c r="X583" s="1660"/>
      <c r="Y583" s="1660"/>
      <c r="Z583" s="1660"/>
      <c r="AA583" s="1660"/>
      <c r="AB583" s="1661"/>
      <c r="AC583" s="1659">
        <f t="shared" si="5"/>
        <v>0</v>
      </c>
      <c r="AD583" s="1660"/>
      <c r="AE583" s="1660"/>
      <c r="AF583" s="1660"/>
      <c r="AG583" s="1660"/>
      <c r="AH583" s="1661"/>
      <c r="AN583" s="279"/>
      <c r="AO583" s="4">
        <v>3</v>
      </c>
      <c r="AP583" s="1668">
        <f t="shared" si="4"/>
        <v>0</v>
      </c>
      <c r="AQ583" s="1669"/>
      <c r="AR583" s="1669"/>
      <c r="AS583" s="1669"/>
      <c r="AT583" s="1670"/>
      <c r="AX583" s="1770">
        <f>IF(AP533=1,1,0)</f>
        <v>0</v>
      </c>
      <c r="AY583" s="1771"/>
      <c r="AZ583" s="1749"/>
      <c r="BA583" s="1751"/>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73">
        <v>25</v>
      </c>
      <c r="F584" s="1674"/>
      <c r="G584" s="1674"/>
      <c r="H584" s="1674"/>
      <c r="I584" s="1674"/>
      <c r="J584" s="1675"/>
      <c r="K584" s="1668">
        <v>40</v>
      </c>
      <c r="L584" s="1669"/>
      <c r="M584" s="1669"/>
      <c r="N584" s="1669"/>
      <c r="O584" s="1669"/>
      <c r="P584" s="1670"/>
      <c r="Q584" s="1656">
        <f t="shared" si="6"/>
        <v>25</v>
      </c>
      <c r="R584" s="1657"/>
      <c r="S584" s="1657"/>
      <c r="T584" s="1657"/>
      <c r="U584" s="1657"/>
      <c r="V584" s="1658"/>
      <c r="W584" s="1659">
        <f t="shared" si="7"/>
        <v>25</v>
      </c>
      <c r="X584" s="1660"/>
      <c r="Y584" s="1660"/>
      <c r="Z584" s="1660"/>
      <c r="AA584" s="1660"/>
      <c r="AB584" s="1661"/>
      <c r="AC584" s="1659">
        <f t="shared" si="5"/>
        <v>25</v>
      </c>
      <c r="AD584" s="1660"/>
      <c r="AE584" s="1660"/>
      <c r="AF584" s="1660"/>
      <c r="AG584" s="1660"/>
      <c r="AH584" s="1661"/>
      <c r="AN584" s="279"/>
      <c r="AO584" s="4">
        <v>2</v>
      </c>
      <c r="AP584" s="1668">
        <f t="shared" si="4"/>
        <v>0</v>
      </c>
      <c r="AQ584" s="1669"/>
      <c r="AR584" s="1669"/>
      <c r="AS584" s="1669"/>
      <c r="AT584" s="1670"/>
      <c r="AX584" s="1768"/>
      <c r="AY584" s="1769"/>
      <c r="AZ584" s="1749"/>
      <c r="BA584" s="1751"/>
      <c r="BB584" s="1770">
        <f>IF(AP534=1,1,0)</f>
        <v>0</v>
      </c>
      <c r="BC584" s="1771"/>
      <c r="BD584" s="1749"/>
      <c r="BE584" s="1751"/>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73"/>
      <c r="F585" s="1674"/>
      <c r="G585" s="1674"/>
      <c r="H585" s="1674"/>
      <c r="I585" s="1674"/>
      <c r="J585" s="1675"/>
      <c r="K585" s="1668">
        <v>45</v>
      </c>
      <c r="L585" s="1669"/>
      <c r="M585" s="1669"/>
      <c r="N585" s="1669"/>
      <c r="O585" s="1669"/>
      <c r="P585" s="1670"/>
      <c r="Q585" s="1656">
        <f t="shared" si="6"/>
        <v>0</v>
      </c>
      <c r="R585" s="1657"/>
      <c r="S585" s="1657"/>
      <c r="T585" s="1657"/>
      <c r="U585" s="1657"/>
      <c r="V585" s="1658"/>
      <c r="W585" s="1659">
        <f>IF(FLOOR(Q585,5)&gt;65,65,FLOOR(Q585,5))</f>
        <v>0</v>
      </c>
      <c r="X585" s="1660"/>
      <c r="Y585" s="1660"/>
      <c r="Z585" s="1660"/>
      <c r="AA585" s="1660"/>
      <c r="AB585" s="1661"/>
      <c r="AC585" s="1659">
        <f t="shared" si="5"/>
        <v>0</v>
      </c>
      <c r="AD585" s="1660"/>
      <c r="AE585" s="1660"/>
      <c r="AF585" s="1660"/>
      <c r="AG585" s="1660"/>
      <c r="AH585" s="1661"/>
      <c r="AN585" s="279"/>
      <c r="AO585" s="4">
        <v>1</v>
      </c>
      <c r="AP585" s="1668">
        <f t="shared" si="4"/>
        <v>0</v>
      </c>
      <c r="AQ585" s="1669"/>
      <c r="AR585" s="1669"/>
      <c r="AS585" s="1669"/>
      <c r="AT585" s="1670"/>
      <c r="AX585" s="1768"/>
      <c r="AY585" s="1769"/>
      <c r="AZ585" s="1749"/>
      <c r="BA585" s="1751"/>
      <c r="BB585" s="1768"/>
      <c r="BC585" s="1769"/>
      <c r="BD585" s="1749"/>
      <c r="BE585" s="1751"/>
      <c r="BF585" s="1770">
        <f>IF(AP535=1,1,0)</f>
        <v>0</v>
      </c>
      <c r="BG585" s="1771"/>
      <c r="BH585" s="1749"/>
      <c r="BI585" s="1751"/>
      <c r="BJ585" s="1768"/>
      <c r="BK585" s="1769"/>
      <c r="BL585" s="1760">
        <f>IF(AND(T611&gt;0,AP535&gt;0),1,0)</f>
        <v>0</v>
      </c>
      <c r="BM585" s="1762"/>
      <c r="BN585" s="1768"/>
      <c r="BO585" s="1769"/>
      <c r="BP585" s="1760">
        <f>IF(AND(T611&gt;0,AP535&gt;0),1,0)</f>
        <v>0</v>
      </c>
      <c r="BQ585" s="1762"/>
    </row>
    <row r="586" spans="5:96" s="4" customFormat="1" ht="12.75" customHeight="1">
      <c r="E586" s="1673"/>
      <c r="F586" s="1674"/>
      <c r="G586" s="1674"/>
      <c r="H586" s="1674"/>
      <c r="I586" s="1674"/>
      <c r="J586" s="1675"/>
      <c r="K586" s="1668" t="str">
        <f>IF(OR(Application!D211="Rural",Application!D211="Rural apportionment (Section 514)",Application!D211="Rural apportionment (Section 515)",Application!D211="Rural apportionment (CDBG-DR)",Application!D211="Rural apportionment (HOME)",Application!D211="Rural (Native American apportionment)"),"",50)</f>
        <v/>
      </c>
      <c r="L586" s="1669"/>
      <c r="M586" s="1669"/>
      <c r="N586" s="1669"/>
      <c r="O586" s="1669"/>
      <c r="P586" s="1670"/>
      <c r="Q586" s="1656">
        <f t="shared" si="6"/>
        <v>0</v>
      </c>
      <c r="R586" s="1657"/>
      <c r="S586" s="1657"/>
      <c r="T586" s="1657"/>
      <c r="U586" s="1657"/>
      <c r="V586" s="1658"/>
      <c r="W586" s="1659">
        <f>IF(FLOOR(Q586,5)&gt;40,40,FLOOR(Q586,5))</f>
        <v>0</v>
      </c>
      <c r="X586" s="1660"/>
      <c r="Y586" s="1660"/>
      <c r="Z586" s="1660"/>
      <c r="AA586" s="1660"/>
      <c r="AB586" s="1661"/>
      <c r="AC586" s="1659">
        <f t="shared" si="5"/>
        <v>0</v>
      </c>
      <c r="AD586" s="1660"/>
      <c r="AE586" s="1660"/>
      <c r="AF586" s="1660"/>
      <c r="AG586" s="1660"/>
      <c r="AH586" s="1661"/>
      <c r="AN586" s="279"/>
      <c r="AO586" s="4">
        <v>0</v>
      </c>
      <c r="AP586" s="1668">
        <f t="shared" si="4"/>
        <v>0</v>
      </c>
      <c r="AQ586" s="1669"/>
      <c r="AR586" s="1669"/>
      <c r="AS586" s="1669"/>
      <c r="AT586" s="1670"/>
      <c r="AX586" s="1768"/>
      <c r="AY586" s="1769"/>
      <c r="AZ586" s="1749"/>
      <c r="BA586" s="1751"/>
      <c r="BB586" s="1768"/>
      <c r="BC586" s="1769"/>
      <c r="BD586" s="1749"/>
      <c r="BE586" s="1751"/>
      <c r="BF586" s="1768"/>
      <c r="BG586" s="1769"/>
      <c r="BH586" s="1749"/>
      <c r="BI586" s="1751"/>
      <c r="BJ586" s="1770">
        <f>IF(AP536=1,1,0)</f>
        <v>1</v>
      </c>
      <c r="BK586" s="1771"/>
      <c r="BL586" s="1768"/>
      <c r="BM586" s="1769"/>
      <c r="BN586" s="1768"/>
      <c r="BO586" s="1769"/>
      <c r="BP586" s="1760">
        <f>IF(AND(T612&gt;0,AP536&gt;0),1,0)</f>
        <v>1</v>
      </c>
      <c r="BQ586" s="1762"/>
    </row>
    <row r="587" spans="5:96" s="4" customFormat="1" ht="12.75" customHeight="1">
      <c r="E587" s="1746">
        <v>25</v>
      </c>
      <c r="F587" s="1747"/>
      <c r="G587" s="1747"/>
      <c r="H587" s="1747"/>
      <c r="I587" s="1747"/>
      <c r="J587" s="1748"/>
      <c r="K587" s="1742">
        <f>IF(OR(Application!D211="Rural",Application!D211="Rural apportionment (Section 514)",Application!D211="Rural apportionment (Section 515)",Application!D211="Rural apportionment (HOME)",Application!D211="Rural apportionment (CDBG-DR)",Application!D211="Rural (Native American apportionment)"),50,"")</f>
        <v>50</v>
      </c>
      <c r="L587" s="1743"/>
      <c r="M587" s="1744" t="s">
        <v>2285</v>
      </c>
      <c r="N587" s="1744"/>
      <c r="O587" s="1744"/>
      <c r="P587" s="1745"/>
      <c r="Q587" s="1656">
        <f t="shared" si="6"/>
        <v>25</v>
      </c>
      <c r="R587" s="1657"/>
      <c r="S587" s="1657"/>
      <c r="T587" s="1657"/>
      <c r="U587" s="1657"/>
      <c r="V587" s="1658"/>
      <c r="W587" s="1659">
        <f>IF(FLOOR(Q587,5)&gt;50,50,FLOOR(Q587,5))</f>
        <v>25</v>
      </c>
      <c r="X587" s="1660"/>
      <c r="Y587" s="1660"/>
      <c r="Z587" s="1660"/>
      <c r="AA587" s="1660"/>
      <c r="AB587" s="1661"/>
      <c r="AC587" s="1659">
        <f>IFERROR(IF(W587&gt;0,INDEX($AT$507:$BA$521,MATCH(W587,$AS$507:$AS$521,0),MATCH(K587,$AT$506:$BA$506,0)),0),0)</f>
        <v>12.5</v>
      </c>
      <c r="AD587" s="1660"/>
      <c r="AE587" s="1660"/>
      <c r="AF587" s="1660"/>
      <c r="AG587" s="1660"/>
      <c r="AH587" s="1661"/>
      <c r="AN587" s="279"/>
      <c r="AP587" s="1668"/>
      <c r="AQ587" s="1669"/>
      <c r="AR587" s="1669"/>
      <c r="AS587" s="1669"/>
      <c r="AT587" s="1670"/>
      <c r="AX587" s="1768"/>
      <c r="AY587" s="1769"/>
      <c r="AZ587" s="1749"/>
      <c r="BA587" s="1751"/>
      <c r="BB587" s="1768"/>
      <c r="BC587" s="1769"/>
      <c r="BD587" s="1749"/>
      <c r="BE587" s="1751"/>
      <c r="BF587" s="1768"/>
      <c r="BG587" s="1769"/>
      <c r="BH587" s="1749"/>
      <c r="BI587" s="1751"/>
      <c r="BJ587" s="1768"/>
      <c r="BK587" s="1769"/>
      <c r="BL587" s="1768"/>
      <c r="BM587" s="1769"/>
      <c r="BN587" s="1770">
        <f>IF(AP537=1,1,0)</f>
        <v>0</v>
      </c>
      <c r="BO587" s="1771"/>
      <c r="BP587" s="1749"/>
      <c r="BQ587" s="1751"/>
    </row>
    <row r="588" spans="5:96" s="4" customFormat="1" ht="12.75" customHeight="1">
      <c r="E588" s="1746"/>
      <c r="F588" s="1747"/>
      <c r="G588" s="1747"/>
      <c r="H588" s="1747"/>
      <c r="I588" s="1747"/>
      <c r="J588" s="1748"/>
      <c r="K588" s="1742">
        <f>IF(OR(Application!D211="Rural",Application!D211="Rural apportionment (Section 514)",Application!D211="Rural apportionment (Section 515)",Application!D211="Rural apportionment (HOME)",Application!D211="Rural apportionment (CDBG-DR)",Application!D211="Rural (Native American apportionment)"),55,"")</f>
        <v>55</v>
      </c>
      <c r="L588" s="1743"/>
      <c r="M588" s="1744" t="s">
        <v>2285</v>
      </c>
      <c r="N588" s="1744"/>
      <c r="O588" s="1744"/>
      <c r="P588" s="1745"/>
      <c r="Q588" s="1656">
        <f t="shared" si="6"/>
        <v>0</v>
      </c>
      <c r="R588" s="1657"/>
      <c r="S588" s="1657"/>
      <c r="T588" s="1657"/>
      <c r="U588" s="1657"/>
      <c r="V588" s="1658"/>
      <c r="W588" s="1659">
        <f>IF(FLOOR(Q588,5)&gt;40,40,FLOOR(Q588,5))</f>
        <v>0</v>
      </c>
      <c r="X588" s="1660"/>
      <c r="Y588" s="1660"/>
      <c r="Z588" s="1660"/>
      <c r="AA588" s="1660"/>
      <c r="AB588" s="1661"/>
      <c r="AC588" s="1659">
        <f>IFERROR(IF(W588&gt;0,INDEX($AT$507:$BA$521,MATCH(W588,$AS$507:$AS$521,0),MATCH(K588,$AT$506:$BA$506,0)),0),0)</f>
        <v>0</v>
      </c>
      <c r="AD588" s="1660"/>
      <c r="AE588" s="1660"/>
      <c r="AF588" s="1660"/>
      <c r="AG588" s="1660"/>
      <c r="AH588" s="1661"/>
      <c r="AN588" s="279"/>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0</v>
      </c>
      <c r="BI588" s="1762"/>
      <c r="BJ588" s="1770">
        <f>SUM(BJ583:BK587)</f>
        <v>1</v>
      </c>
      <c r="BK588" s="1771"/>
      <c r="BL588" s="1760">
        <f>SUM(BL583:BM587)</f>
        <v>0</v>
      </c>
      <c r="BM588" s="1762"/>
      <c r="BN588" s="1770">
        <f>SUM(BN583:BO587)</f>
        <v>0</v>
      </c>
      <c r="BO588" s="1771"/>
      <c r="BP588" s="1760">
        <f>SUM(BP583:BQ587)</f>
        <v>1</v>
      </c>
      <c r="BQ588" s="1762"/>
    </row>
    <row r="589" spans="5:96" s="4" customFormat="1" ht="12.75" customHeight="1">
      <c r="E589" s="1673">
        <v>25</v>
      </c>
      <c r="F589" s="1674"/>
      <c r="G589" s="1674"/>
      <c r="H589" s="1674"/>
      <c r="I589" s="1674"/>
      <c r="J589" s="1675"/>
      <c r="K589" s="1668" t="s">
        <v>2113</v>
      </c>
      <c r="L589" s="1669"/>
      <c r="M589" s="1669"/>
      <c r="N589" s="1669"/>
      <c r="O589" s="1669"/>
      <c r="P589" s="1670"/>
      <c r="Q589" s="1656">
        <f t="shared" si="6"/>
        <v>25</v>
      </c>
      <c r="R589" s="1657"/>
      <c r="S589" s="1657"/>
      <c r="T589" s="1657"/>
      <c r="U589" s="1657"/>
      <c r="V589" s="1658"/>
      <c r="W589" s="1659">
        <f t="shared" si="7"/>
        <v>25</v>
      </c>
      <c r="X589" s="1660"/>
      <c r="Y589" s="1660"/>
      <c r="Z589" s="1660"/>
      <c r="AA589" s="1660"/>
      <c r="AB589" s="1661"/>
      <c r="AC589" s="1659">
        <v>0</v>
      </c>
      <c r="AD589" s="1660"/>
      <c r="AE589" s="1660"/>
      <c r="AF589" s="1660"/>
      <c r="AG589" s="1660"/>
      <c r="AH589" s="1661"/>
      <c r="AN589" s="279"/>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0</v>
      </c>
      <c r="BO589" s="1766"/>
      <c r="BP589" s="1766"/>
      <c r="BQ589" s="1767"/>
    </row>
    <row r="590" spans="5:96" s="4" customFormat="1" ht="12.75" customHeight="1">
      <c r="E590" s="1673"/>
      <c r="F590" s="1674"/>
      <c r="G590" s="1674"/>
      <c r="H590" s="1674"/>
      <c r="I590" s="1674"/>
      <c r="J590" s="1675"/>
      <c r="K590" s="1668" t="s">
        <v>2114</v>
      </c>
      <c r="L590" s="1669"/>
      <c r="M590" s="1669"/>
      <c r="N590" s="1669"/>
      <c r="O590" s="1669"/>
      <c r="P590" s="1670"/>
      <c r="Q590" s="1656">
        <f>IF(ISERROR(IF((((E590/$BJ$528)*100)&gt;100),"EXCESSIVE VALUE",(E590/$BJ$528)*100)),0,IF((((E590/$BJ$528)*100)&gt;100),"EXCESSIVE VALUE",(E590/$BJ$528)*100))</f>
        <v>0</v>
      </c>
      <c r="R590" s="1657"/>
      <c r="S590" s="1657"/>
      <c r="T590" s="1657"/>
      <c r="U590" s="1657"/>
      <c r="V590" s="1658"/>
      <c r="W590" s="1659">
        <f>IF(FLOOR(Q590,5)&gt;80,80,FLOOR(Q590,5))</f>
        <v>0</v>
      </c>
      <c r="X590" s="1660"/>
      <c r="Y590" s="1660"/>
      <c r="Z590" s="1660"/>
      <c r="AA590" s="1660"/>
      <c r="AB590" s="1661"/>
      <c r="AC590" s="1659">
        <v>0</v>
      </c>
      <c r="AD590" s="1660"/>
      <c r="AE590" s="1660"/>
      <c r="AF590" s="1660"/>
      <c r="AG590" s="1660"/>
      <c r="AH590" s="1661"/>
      <c r="AN590" s="279"/>
      <c r="AX590"/>
      <c r="AY590"/>
      <c r="AZ590"/>
      <c r="BA590"/>
      <c r="BB590"/>
      <c r="BC590"/>
      <c r="BD590"/>
      <c r="BE590"/>
      <c r="BF590"/>
      <c r="BG590"/>
      <c r="BH590"/>
      <c r="BI590" s="34" t="s">
        <v>609</v>
      </c>
      <c r="BJ590" s="1765">
        <f>AX589+BB589+BF589+BJ589+BN589</f>
        <v>0</v>
      </c>
      <c r="BK590" s="1766"/>
      <c r="BL590" s="1766"/>
      <c r="BM590" s="1767"/>
      <c r="BN590"/>
      <c r="BO590"/>
      <c r="BP590"/>
      <c r="BQ590"/>
    </row>
    <row r="591" spans="5:96" s="4" customFormat="1" ht="12.75" customHeight="1">
      <c r="E591" s="1673">
        <v>10</v>
      </c>
      <c r="F591" s="1674"/>
      <c r="G591" s="1674"/>
      <c r="H591" s="1674"/>
      <c r="I591" s="1674"/>
      <c r="J591" s="1675"/>
      <c r="K591" s="1668" t="s">
        <v>2115</v>
      </c>
      <c r="L591" s="1669"/>
      <c r="M591" s="1669"/>
      <c r="N591" s="1669"/>
      <c r="O591" s="1669"/>
      <c r="P591" s="1670"/>
      <c r="Q591" s="1656">
        <f>IF(ISERROR(IF((((E591/$BJ$528)*100)&gt;100),"EXCESSIVE VALUE",(E591/$BJ$528)*100)),0,IF((((E591/$BJ$528)*100)&gt;100),"EXCESSIVE VALUE",(E591/$BJ$528)*100))</f>
        <v>10</v>
      </c>
      <c r="R591" s="1657"/>
      <c r="S591" s="1657"/>
      <c r="T591" s="1657"/>
      <c r="U591" s="1657"/>
      <c r="V591" s="1658"/>
      <c r="W591" s="1659">
        <f>IF(FLOOR(Q591,5)&gt;80,80,FLOOR(Q591,5))</f>
        <v>10</v>
      </c>
      <c r="X591" s="1660"/>
      <c r="Y591" s="1660"/>
      <c r="Z591" s="1660"/>
      <c r="AA591" s="1660"/>
      <c r="AB591" s="1661"/>
      <c r="AC591" s="1659">
        <v>0</v>
      </c>
      <c r="AD591" s="1660"/>
      <c r="AE591" s="1660"/>
      <c r="AF591" s="1660"/>
      <c r="AG591" s="1660"/>
      <c r="AH591" s="1661"/>
      <c r="AN591" s="279"/>
      <c r="AX591"/>
      <c r="AY591"/>
      <c r="AZ591"/>
      <c r="BA591"/>
      <c r="BB591"/>
      <c r="BC591"/>
      <c r="BD591"/>
      <c r="BE591"/>
      <c r="BF591"/>
      <c r="BG591"/>
      <c r="BI591"/>
      <c r="BJ591" t="s">
        <v>608</v>
      </c>
      <c r="BK591"/>
      <c r="BL591"/>
      <c r="BM591"/>
      <c r="BN591"/>
      <c r="BO591"/>
      <c r="BP591"/>
      <c r="BQ591"/>
    </row>
    <row r="592" spans="5:96" s="4" customFormat="1" ht="12.75" customHeight="1">
      <c r="E592" s="1713">
        <f>SUM(E581:J591)</f>
        <v>100</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604</v>
      </c>
      <c r="AC592" s="1847">
        <f>IF(SUM(AC581:AH591)&gt;0,SUM(AC581:AH591),0)</f>
        <v>60</v>
      </c>
      <c r="AD592" s="1848"/>
      <c r="AE592" s="1848"/>
      <c r="AF592" s="1848"/>
      <c r="AG592" s="1848"/>
      <c r="AH592" s="1849"/>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8" t="s">
        <v>103</v>
      </c>
      <c r="AH596" s="1698"/>
      <c r="AI596" s="1698"/>
      <c r="AJ596" s="1698"/>
      <c r="AK596" s="5"/>
      <c r="AL596" s="5"/>
      <c r="AM596" s="5"/>
      <c r="AN596" s="279"/>
    </row>
    <row r="597" spans="1:64" s="4" customFormat="1" ht="12.75" customHeight="1">
      <c r="B597" s="1827" t="s">
        <v>2103</v>
      </c>
      <c r="C597" s="1827"/>
      <c r="D597" s="1827"/>
      <c r="E597" s="1827"/>
      <c r="F597" s="1827"/>
      <c r="G597" s="1827"/>
      <c r="H597" s="1827"/>
      <c r="I597" s="1827"/>
      <c r="J597" s="1827"/>
      <c r="K597" s="1827"/>
      <c r="L597" s="1827"/>
      <c r="M597" s="1827"/>
      <c r="N597" s="1827"/>
      <c r="O597" s="1827"/>
      <c r="P597" s="1827"/>
      <c r="Q597" s="1827"/>
      <c r="R597" s="1827"/>
      <c r="S597" s="1827"/>
      <c r="T597" s="1827"/>
      <c r="U597" s="1827"/>
      <c r="V597" s="1827"/>
      <c r="W597" s="1827"/>
      <c r="X597" s="1827"/>
      <c r="Y597" s="1827"/>
      <c r="Z597" s="1827"/>
      <c r="AA597" s="1827"/>
      <c r="AB597" s="1827"/>
      <c r="AC597" s="1827"/>
      <c r="AD597" s="1827"/>
      <c r="AE597" s="1827"/>
      <c r="AF597" s="1827"/>
      <c r="AG597" s="1827"/>
      <c r="AH597" s="1827"/>
      <c r="AI597" s="21"/>
      <c r="AJ597" s="21"/>
      <c r="AK597"/>
      <c r="AL597"/>
      <c r="AM597"/>
      <c r="AN597" s="279"/>
    </row>
    <row r="598" spans="1:64" s="4" customFormat="1" ht="12.75" customHeight="1">
      <c r="A598" s="21"/>
      <c r="B598" s="1827"/>
      <c r="C598" s="1827"/>
      <c r="D598" s="1827"/>
      <c r="E598" s="1827"/>
      <c r="F598" s="1827"/>
      <c r="G598" s="1827"/>
      <c r="H598" s="1827"/>
      <c r="I598" s="1827"/>
      <c r="J598" s="1827"/>
      <c r="K598" s="1827"/>
      <c r="L598" s="1827"/>
      <c r="M598" s="1827"/>
      <c r="N598" s="1827"/>
      <c r="O598" s="1827"/>
      <c r="P598" s="1827"/>
      <c r="Q598" s="1827"/>
      <c r="R598" s="1827"/>
      <c r="S598" s="1827"/>
      <c r="T598" s="1827"/>
      <c r="U598" s="1827"/>
      <c r="V598" s="1827"/>
      <c r="W598" s="1827"/>
      <c r="X598" s="1827"/>
      <c r="Y598" s="1827"/>
      <c r="Z598" s="1827"/>
      <c r="AA598" s="1827"/>
      <c r="AB598" s="1827"/>
      <c r="AC598" s="1827"/>
      <c r="AD598" s="1827"/>
      <c r="AE598" s="1827"/>
      <c r="AF598" s="1827"/>
      <c r="AG598" s="1827"/>
      <c r="AH598" s="1827"/>
      <c r="AI598" s="21"/>
      <c r="AJ598" s="21"/>
      <c r="AK598"/>
      <c r="AL598"/>
      <c r="AM598"/>
      <c r="AN598" s="279"/>
    </row>
    <row r="599" spans="1:64" s="4" customFormat="1" ht="12.75" customHeight="1">
      <c r="A599" s="21"/>
      <c r="B599" s="1827"/>
      <c r="C599" s="1827"/>
      <c r="D599" s="1827"/>
      <c r="E599" s="1827"/>
      <c r="F599" s="1827"/>
      <c r="G599" s="1827"/>
      <c r="H599" s="1827"/>
      <c r="I599" s="1827"/>
      <c r="J599" s="1827"/>
      <c r="K599" s="1827"/>
      <c r="L599" s="1827"/>
      <c r="M599" s="1827"/>
      <c r="N599" s="1827"/>
      <c r="O599" s="1827"/>
      <c r="P599" s="1827"/>
      <c r="Q599" s="1827"/>
      <c r="R599" s="1827"/>
      <c r="S599" s="1827"/>
      <c r="T599" s="1827"/>
      <c r="U599" s="1827"/>
      <c r="V599" s="1827"/>
      <c r="W599" s="1827"/>
      <c r="X599" s="1827"/>
      <c r="Y599" s="1827"/>
      <c r="Z599" s="1827"/>
      <c r="AA599" s="1827"/>
      <c r="AB599" s="1827"/>
      <c r="AC599" s="1827"/>
      <c r="AD599" s="1827"/>
      <c r="AE599" s="1827"/>
      <c r="AF599" s="1827"/>
      <c r="AG599" s="1827"/>
      <c r="AH599" s="1827"/>
      <c r="AI599" s="21"/>
      <c r="AJ599" s="21"/>
      <c r="AK599"/>
      <c r="AL599"/>
      <c r="AM599"/>
      <c r="AN599" s="279"/>
    </row>
    <row r="600" spans="1:64" s="4" customFormat="1" ht="12.75" customHeight="1">
      <c r="A600" s="21"/>
      <c r="B600" s="1827"/>
      <c r="C600" s="1827"/>
      <c r="D600" s="1827"/>
      <c r="E600" s="1827"/>
      <c r="F600" s="1827"/>
      <c r="G600" s="1827"/>
      <c r="H600" s="1827"/>
      <c r="I600" s="1827"/>
      <c r="J600" s="1827"/>
      <c r="K600" s="1827"/>
      <c r="L600" s="1827"/>
      <c r="M600" s="1827"/>
      <c r="N600" s="1827"/>
      <c r="O600" s="1827"/>
      <c r="P600" s="1827"/>
      <c r="Q600" s="1827"/>
      <c r="R600" s="1827"/>
      <c r="S600" s="1827"/>
      <c r="T600" s="1827"/>
      <c r="U600" s="1827"/>
      <c r="V600" s="1827"/>
      <c r="W600" s="1827"/>
      <c r="X600" s="1827"/>
      <c r="Y600" s="1827"/>
      <c r="Z600" s="1827"/>
      <c r="AA600" s="1827"/>
      <c r="AB600" s="1827"/>
      <c r="AC600" s="1827"/>
      <c r="AD600" s="1827"/>
      <c r="AE600" s="1827"/>
      <c r="AF600" s="1827"/>
      <c r="AG600" s="1827"/>
      <c r="AH600" s="1827"/>
      <c r="AI600" s="21"/>
      <c r="AJ600" s="21"/>
      <c r="AK600"/>
      <c r="AL600"/>
      <c r="AM600"/>
      <c r="AN600" s="666"/>
    </row>
    <row r="601" spans="1:64">
      <c r="B601" s="1827"/>
      <c r="C601" s="1827"/>
      <c r="D601" s="1827"/>
      <c r="E601" s="1827"/>
      <c r="F601" s="1827"/>
      <c r="G601" s="1827"/>
      <c r="H601" s="1827"/>
      <c r="I601" s="1827"/>
      <c r="J601" s="1827"/>
      <c r="K601" s="1827"/>
      <c r="L601" s="1827"/>
      <c r="M601" s="1827"/>
      <c r="N601" s="1827"/>
      <c r="O601" s="1827"/>
      <c r="P601" s="1827"/>
      <c r="Q601" s="1827"/>
      <c r="R601" s="1827"/>
      <c r="S601" s="1827"/>
      <c r="T601" s="1827"/>
      <c r="U601" s="1827"/>
      <c r="V601" s="1827"/>
      <c r="W601" s="1827"/>
      <c r="X601" s="1827"/>
      <c r="Y601" s="1827"/>
      <c r="Z601" s="1827"/>
      <c r="AA601" s="1827"/>
      <c r="AB601" s="1827"/>
      <c r="AC601" s="1827"/>
      <c r="AD601" s="1827"/>
      <c r="AE601" s="1827"/>
      <c r="AF601" s="1827"/>
      <c r="AG601" s="1827"/>
      <c r="AH601" s="1827"/>
      <c r="AK601"/>
      <c r="AL601"/>
      <c r="AM601"/>
      <c r="BD601" s="21"/>
      <c r="BE601" s="21"/>
      <c r="BF601" s="21"/>
      <c r="BG601" s="21"/>
      <c r="BH601" s="21"/>
    </row>
    <row r="602" spans="1:64" ht="12.75" customHeight="1">
      <c r="B602" s="1827"/>
      <c r="C602" s="1827"/>
      <c r="D602" s="1827"/>
      <c r="E602" s="1827"/>
      <c r="F602" s="1827"/>
      <c r="G602" s="1827"/>
      <c r="H602" s="1827"/>
      <c r="I602" s="1827"/>
      <c r="J602" s="1827"/>
      <c r="K602" s="1827"/>
      <c r="L602" s="1827"/>
      <c r="M602" s="1827"/>
      <c r="N602" s="1827"/>
      <c r="O602" s="1827"/>
      <c r="P602" s="1827"/>
      <c r="Q602" s="1827"/>
      <c r="R602" s="1827"/>
      <c r="S602" s="1827"/>
      <c r="T602" s="1827"/>
      <c r="U602" s="1827"/>
      <c r="V602" s="1827"/>
      <c r="W602" s="1827"/>
      <c r="X602" s="1827"/>
      <c r="Y602" s="1827"/>
      <c r="Z602" s="1827"/>
      <c r="AA602" s="1827"/>
      <c r="AB602" s="1827"/>
      <c r="AC602" s="1827"/>
      <c r="AD602" s="1827"/>
      <c r="AE602" s="1827"/>
      <c r="AF602" s="1827"/>
      <c r="AG602" s="1827"/>
      <c r="AH602" s="1827"/>
    </row>
    <row r="603" spans="1:64" ht="12.75" customHeight="1">
      <c r="E603" s="160"/>
    </row>
    <row r="604" spans="1:64">
      <c r="J604" s="1835" t="s">
        <v>794</v>
      </c>
      <c r="K604" s="1836"/>
      <c r="L604" s="1836"/>
      <c r="M604" s="1836"/>
      <c r="N604" s="1837"/>
      <c r="O604" s="1413" t="s">
        <v>1502</v>
      </c>
      <c r="P604" s="1414"/>
      <c r="Q604" s="1414"/>
      <c r="R604" s="1414"/>
      <c r="S604" s="1415"/>
      <c r="T604" s="1413" t="s">
        <v>1756</v>
      </c>
      <c r="U604" s="1414"/>
      <c r="V604" s="1414"/>
      <c r="W604" s="1414"/>
      <c r="X604" s="1415"/>
      <c r="Y604" s="1413" t="s">
        <v>1503</v>
      </c>
      <c r="Z604" s="1414"/>
      <c r="AA604" s="1414"/>
      <c r="AB604" s="1414"/>
      <c r="AC604" s="1415"/>
      <c r="AF604"/>
      <c r="AG604"/>
      <c r="AH604"/>
      <c r="AI604"/>
      <c r="AJ604"/>
    </row>
    <row r="605" spans="1:64">
      <c r="D605"/>
      <c r="E605"/>
      <c r="F605"/>
      <c r="G605"/>
      <c r="H605"/>
      <c r="I605"/>
      <c r="J605" s="1838"/>
      <c r="K605" s="1839"/>
      <c r="L605" s="1839"/>
      <c r="M605" s="1839"/>
      <c r="N605" s="1840"/>
      <c r="O605" s="1416"/>
      <c r="P605" s="1417"/>
      <c r="Q605" s="1417"/>
      <c r="R605" s="1417"/>
      <c r="S605" s="1418"/>
      <c r="T605" s="1416"/>
      <c r="U605" s="1417"/>
      <c r="V605" s="1417"/>
      <c r="W605" s="1417"/>
      <c r="X605" s="1418"/>
      <c r="Y605" s="1416"/>
      <c r="Z605" s="1417"/>
      <c r="AA605" s="1417"/>
      <c r="AB605" s="1417"/>
      <c r="AC605" s="1418"/>
      <c r="AF605"/>
      <c r="AG605"/>
      <c r="AH605"/>
      <c r="AI605"/>
      <c r="AJ605"/>
      <c r="AO605" s="38" t="s">
        <v>2210</v>
      </c>
      <c r="AR605" s="21" t="b">
        <f>$Y$614&gt;=10%</f>
        <v>1</v>
      </c>
    </row>
    <row r="606" spans="1:64">
      <c r="I606"/>
      <c r="J606" s="1838"/>
      <c r="K606" s="1839"/>
      <c r="L606" s="1839"/>
      <c r="M606" s="1839"/>
      <c r="N606" s="1840"/>
      <c r="O606" s="1416"/>
      <c r="P606" s="1417"/>
      <c r="Q606" s="1417"/>
      <c r="R606" s="1417"/>
      <c r="S606" s="1418"/>
      <c r="T606" s="1416"/>
      <c r="U606" s="1417"/>
      <c r="V606" s="1417"/>
      <c r="W606" s="1417"/>
      <c r="X606" s="1418"/>
      <c r="Y606" s="1416"/>
      <c r="Z606" s="1417"/>
      <c r="AA606" s="1417"/>
      <c r="AB606" s="1417"/>
      <c r="AC606" s="1418"/>
      <c r="AD606"/>
      <c r="AF606"/>
      <c r="AG606"/>
      <c r="AH606"/>
      <c r="AI606"/>
      <c r="AJ606"/>
      <c r="AO606" s="38" t="s">
        <v>2211</v>
      </c>
      <c r="AR606" s="951">
        <f>ROUNDUP(($O$614*10%),0)</f>
        <v>10</v>
      </c>
    </row>
    <row r="607" spans="1:64" ht="19.5" customHeight="1">
      <c r="D607"/>
      <c r="E607"/>
      <c r="F607"/>
      <c r="G607"/>
      <c r="H607"/>
      <c r="I607"/>
      <c r="J607" s="1838"/>
      <c r="K607" s="1839"/>
      <c r="L607" s="1839"/>
      <c r="M607" s="1839"/>
      <c r="N607" s="1840"/>
      <c r="O607" s="1416"/>
      <c r="P607" s="1417"/>
      <c r="Q607" s="1417"/>
      <c r="R607" s="1417"/>
      <c r="S607" s="1418"/>
      <c r="T607" s="1416"/>
      <c r="U607" s="1417"/>
      <c r="V607" s="1417"/>
      <c r="W607" s="1417"/>
      <c r="X607" s="1418"/>
      <c r="Y607" s="1416"/>
      <c r="Z607" s="1417"/>
      <c r="AA607" s="1417"/>
      <c r="AB607" s="1417"/>
      <c r="AC607" s="1418"/>
      <c r="AD607"/>
      <c r="AF607"/>
      <c r="AG607"/>
      <c r="AH607"/>
      <c r="AI607"/>
      <c r="AJ607"/>
      <c r="AO607" s="38" t="s">
        <v>2212</v>
      </c>
      <c r="AR607" s="21" t="s">
        <v>2213</v>
      </c>
    </row>
    <row r="608" spans="1:64">
      <c r="D608"/>
      <c r="E608"/>
      <c r="F608"/>
      <c r="G608"/>
      <c r="H608"/>
      <c r="I608"/>
      <c r="J608" s="1710" t="s">
        <v>225</v>
      </c>
      <c r="K608" s="1711"/>
      <c r="L608" s="1711"/>
      <c r="M608" s="1711"/>
      <c r="N608" s="1712"/>
      <c r="O608" s="1668">
        <f>Application!CM634</f>
        <v>0</v>
      </c>
      <c r="P608" s="1669"/>
      <c r="Q608" s="1669"/>
      <c r="R608" s="1669"/>
      <c r="S608" s="1670"/>
      <c r="T608" s="1668">
        <f>Application!DR635</f>
        <v>0</v>
      </c>
      <c r="U608" s="1669"/>
      <c r="V608" s="1669"/>
      <c r="W608" s="1669"/>
      <c r="X608" s="1670"/>
      <c r="Y608" s="1721">
        <f t="shared" ref="Y608:Y614" si="8">IF(T608&gt;0,T608/O608,0)</f>
        <v>0</v>
      </c>
      <c r="Z608" s="1722"/>
      <c r="AA608" s="1722"/>
      <c r="AB608" s="1722"/>
      <c r="AC608" s="1723"/>
      <c r="AD608"/>
      <c r="AF608"/>
      <c r="AG608"/>
      <c r="AH608"/>
      <c r="AI608"/>
      <c r="AJ608"/>
      <c r="AO608" s="951">
        <f t="shared" ref="AO608:AO613" si="9">ROUNDUP((O608*10%),0)</f>
        <v>0</v>
      </c>
      <c r="AP608" s="204"/>
      <c r="AR608" s="952" t="b">
        <f>OR(SUM($T$608:T608)&gt;=$AR$606,T608&gt;=AO608)</f>
        <v>1</v>
      </c>
    </row>
    <row r="609" spans="1:60">
      <c r="D609"/>
      <c r="E609"/>
      <c r="F609"/>
      <c r="G609"/>
      <c r="H609"/>
      <c r="I609"/>
      <c r="J609" s="1710" t="s">
        <v>31</v>
      </c>
      <c r="K609" s="1711"/>
      <c r="L609" s="1711"/>
      <c r="M609" s="1711"/>
      <c r="N609" s="1712"/>
      <c r="O609" s="1668">
        <f>Application!CH634</f>
        <v>0</v>
      </c>
      <c r="P609" s="1669"/>
      <c r="Q609" s="1669"/>
      <c r="R609" s="1669"/>
      <c r="S609" s="1670"/>
      <c r="T609" s="1668">
        <f>Application!DM635</f>
        <v>0</v>
      </c>
      <c r="U609" s="1669"/>
      <c r="V609" s="1669"/>
      <c r="W609" s="1669"/>
      <c r="X609" s="1670"/>
      <c r="Y609" s="1721">
        <f t="shared" si="8"/>
        <v>0</v>
      </c>
      <c r="Z609" s="1722"/>
      <c r="AA609" s="1722"/>
      <c r="AB609" s="1722"/>
      <c r="AC609" s="1723"/>
      <c r="AD609"/>
      <c r="AF609"/>
      <c r="AG609"/>
      <c r="AH609"/>
      <c r="AI609"/>
      <c r="AJ609"/>
      <c r="AO609" s="951">
        <f t="shared" si="9"/>
        <v>0</v>
      </c>
      <c r="AP609" s="204"/>
      <c r="AR609" s="952" t="b">
        <f>OR(SUM($T$608:T609)&gt;=$AR$606,T609&gt;=AO609)</f>
        <v>1</v>
      </c>
    </row>
    <row r="610" spans="1:60">
      <c r="D610"/>
      <c r="E610"/>
      <c r="F610"/>
      <c r="G610"/>
      <c r="H610"/>
      <c r="I610"/>
      <c r="J610" s="1710" t="s">
        <v>265</v>
      </c>
      <c r="K610" s="1711"/>
      <c r="L610" s="1711"/>
      <c r="M610" s="1711"/>
      <c r="N610" s="1712"/>
      <c r="O610" s="1668">
        <f>Application!CC634</f>
        <v>0</v>
      </c>
      <c r="P610" s="1669"/>
      <c r="Q610" s="1669"/>
      <c r="R610" s="1669"/>
      <c r="S610" s="1670"/>
      <c r="T610" s="1668">
        <f>Application!DH635</f>
        <v>0</v>
      </c>
      <c r="U610" s="1669"/>
      <c r="V610" s="1669"/>
      <c r="W610" s="1669"/>
      <c r="X610" s="1670"/>
      <c r="Y610" s="1721">
        <f t="shared" si="8"/>
        <v>0</v>
      </c>
      <c r="Z610" s="1722"/>
      <c r="AA610" s="1722"/>
      <c r="AB610" s="1722"/>
      <c r="AC610" s="1723"/>
      <c r="AD610"/>
      <c r="AF610"/>
      <c r="AG610"/>
      <c r="AH610"/>
      <c r="AI610"/>
      <c r="AJ610"/>
      <c r="AO610" s="951">
        <f t="shared" si="9"/>
        <v>0</v>
      </c>
      <c r="AP610" s="204"/>
      <c r="AR610" s="952" t="b">
        <f>OR(SUM($T$608:T610)&gt;=$AR$606,T610&gt;=AO610)</f>
        <v>1</v>
      </c>
    </row>
    <row r="611" spans="1:60">
      <c r="D611"/>
      <c r="E611"/>
      <c r="F611"/>
      <c r="G611"/>
      <c r="H611"/>
      <c r="I611"/>
      <c r="J611" s="1710" t="s">
        <v>264</v>
      </c>
      <c r="K611" s="1711"/>
      <c r="L611" s="1711"/>
      <c r="M611" s="1711"/>
      <c r="N611" s="1712"/>
      <c r="O611" s="1668">
        <f>Application!BX634</f>
        <v>0</v>
      </c>
      <c r="P611" s="1669"/>
      <c r="Q611" s="1669"/>
      <c r="R611" s="1669"/>
      <c r="S611" s="1670"/>
      <c r="T611" s="1668">
        <f>Application!DC635</f>
        <v>0</v>
      </c>
      <c r="U611" s="1669"/>
      <c r="V611" s="1669"/>
      <c r="W611" s="1669"/>
      <c r="X611" s="1670"/>
      <c r="Y611" s="1721">
        <f t="shared" si="8"/>
        <v>0</v>
      </c>
      <c r="Z611" s="1722"/>
      <c r="AA611" s="1722"/>
      <c r="AB611" s="1722"/>
      <c r="AC611" s="1723"/>
      <c r="AD611"/>
      <c r="AF611"/>
      <c r="AG611"/>
      <c r="AH611"/>
      <c r="AI611"/>
      <c r="AJ611"/>
      <c r="AO611" s="951">
        <f t="shared" si="9"/>
        <v>0</v>
      </c>
      <c r="AP611" s="204"/>
      <c r="AR611" s="952" t="b">
        <f>OR(SUM($T$608:T611)&gt;=$AR$606,T611&gt;=AO611)</f>
        <v>1</v>
      </c>
    </row>
    <row r="612" spans="1:60">
      <c r="D612"/>
      <c r="E612"/>
      <c r="F612"/>
      <c r="G612"/>
      <c r="H612"/>
      <c r="I612"/>
      <c r="J612" s="1710" t="s">
        <v>263</v>
      </c>
      <c r="K612" s="1711"/>
      <c r="L612" s="1711"/>
      <c r="M612" s="1711"/>
      <c r="N612" s="1712"/>
      <c r="O612" s="1668">
        <f>Application!BS634</f>
        <v>100</v>
      </c>
      <c r="P612" s="1669"/>
      <c r="Q612" s="1669"/>
      <c r="R612" s="1669"/>
      <c r="S612" s="1670"/>
      <c r="T612" s="1668">
        <f>Application!CX635</f>
        <v>15</v>
      </c>
      <c r="U612" s="1669"/>
      <c r="V612" s="1669"/>
      <c r="W612" s="1669"/>
      <c r="X612" s="1670"/>
      <c r="Y612" s="1721">
        <f t="shared" si="8"/>
        <v>0.15</v>
      </c>
      <c r="Z612" s="1722"/>
      <c r="AA612" s="1722"/>
      <c r="AB612" s="1722"/>
      <c r="AC612" s="1723"/>
      <c r="AD612"/>
      <c r="AF612"/>
      <c r="AG612"/>
      <c r="AH612"/>
      <c r="AI612"/>
      <c r="AJ612"/>
      <c r="AO612" s="951">
        <f t="shared" si="9"/>
        <v>10</v>
      </c>
      <c r="AP612" s="204"/>
      <c r="AR612" s="952" t="b">
        <f>OR(SUM($T$608:T612)&gt;=$AR$606,T612&gt;=AO612)</f>
        <v>1</v>
      </c>
    </row>
    <row r="613" spans="1:60">
      <c r="D613"/>
      <c r="E613"/>
      <c r="F613"/>
      <c r="G613"/>
      <c r="H613"/>
      <c r="I613"/>
      <c r="J613" s="1710" t="s">
        <v>614</v>
      </c>
      <c r="K613" s="1711"/>
      <c r="L613" s="1711"/>
      <c r="M613" s="1711"/>
      <c r="N613" s="1712"/>
      <c r="O613" s="1668">
        <f>Application!BN634</f>
        <v>0</v>
      </c>
      <c r="P613" s="1669"/>
      <c r="Q613" s="1669"/>
      <c r="R613" s="1669"/>
      <c r="S613" s="1670"/>
      <c r="T613" s="1668">
        <f>Application!CS635</f>
        <v>0</v>
      </c>
      <c r="U613" s="1669"/>
      <c r="V613" s="1669"/>
      <c r="W613" s="1669"/>
      <c r="X613" s="1670"/>
      <c r="Y613" s="1721">
        <f t="shared" si="8"/>
        <v>0</v>
      </c>
      <c r="Z613" s="1722"/>
      <c r="AA613" s="1722"/>
      <c r="AB613" s="1722"/>
      <c r="AC613" s="1723"/>
      <c r="AD613"/>
      <c r="AF613"/>
      <c r="AG613"/>
      <c r="AH613"/>
      <c r="AI613"/>
      <c r="AJ613"/>
      <c r="AO613" s="951">
        <f t="shared" si="9"/>
        <v>0</v>
      </c>
      <c r="AP613" s="204"/>
      <c r="AR613" s="952" t="b">
        <f>OR(SUM($T$608:T613)&gt;=$AR$606,T613&gt;=AO613)</f>
        <v>1</v>
      </c>
    </row>
    <row r="614" spans="1:60">
      <c r="D614"/>
      <c r="E614"/>
      <c r="F614"/>
      <c r="G614"/>
      <c r="H614"/>
      <c r="I614"/>
      <c r="J614" s="1574" t="s">
        <v>875</v>
      </c>
      <c r="K614" s="1575"/>
      <c r="L614" s="1575"/>
      <c r="M614" s="1575"/>
      <c r="N614" s="1576"/>
      <c r="O614" s="1862">
        <f>SUM(O608:S613)</f>
        <v>100</v>
      </c>
      <c r="P614" s="1863"/>
      <c r="Q614" s="1863"/>
      <c r="R614" s="1863"/>
      <c r="S614" s="1864"/>
      <c r="T614" s="1862">
        <f>SUM(T608:X613)</f>
        <v>15</v>
      </c>
      <c r="U614" s="1863"/>
      <c r="V614" s="1863"/>
      <c r="W614" s="1863"/>
      <c r="X614" s="1864"/>
      <c r="Y614" s="1831">
        <f t="shared" si="8"/>
        <v>0.15</v>
      </c>
      <c r="Z614" s="1832"/>
      <c r="AA614" s="1832"/>
      <c r="AB614" s="1832"/>
      <c r="AC614" s="183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8" t="s">
        <v>1506</v>
      </c>
      <c r="B617" s="1119"/>
      <c r="C617" s="1119"/>
      <c r="D617" s="1119"/>
      <c r="E617" s="1119"/>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1119"/>
      <c r="AF617" s="1119"/>
      <c r="AG617" s="1119"/>
      <c r="AH617" s="1119"/>
      <c r="AI617" s="1121"/>
      <c r="AJ617" s="1816">
        <f>IF(AND(AR605,AR608,AR609,AR610,AR611,AR612,AR613),2,0)</f>
        <v>2</v>
      </c>
      <c r="AK617" s="1817"/>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4" t="s">
        <v>180</v>
      </c>
      <c r="B619" s="1834"/>
      <c r="C619" s="1834"/>
      <c r="D619" s="1834"/>
      <c r="E619" s="1834"/>
      <c r="F619" s="1834"/>
      <c r="G619" s="1834"/>
      <c r="H619" s="1834"/>
      <c r="I619" s="1834"/>
      <c r="J619" s="1834"/>
      <c r="K619" s="1834"/>
      <c r="L619" s="1834"/>
      <c r="M619" s="1834"/>
      <c r="N619" s="1834"/>
      <c r="O619" s="1834"/>
      <c r="P619" s="1834"/>
      <c r="Q619" s="1834"/>
      <c r="R619" s="1834"/>
      <c r="S619" s="1834"/>
      <c r="T619" s="1834"/>
      <c r="U619" s="1834"/>
      <c r="V619" s="1834"/>
      <c r="W619" s="1834"/>
      <c r="X619" s="1834"/>
      <c r="Y619" s="1834"/>
      <c r="Z619" s="1834"/>
      <c r="AA619" s="1834"/>
      <c r="AB619" s="1834"/>
      <c r="AC619" s="1834"/>
      <c r="AD619" s="1834"/>
      <c r="AE619" s="1834"/>
      <c r="AF619" s="1834"/>
      <c r="AG619" s="1834"/>
      <c r="AH619" s="1834"/>
      <c r="AI619" s="1834"/>
      <c r="AJ619" s="1834"/>
      <c r="AK619" s="1081">
        <f>IF($E$592=Application!G738,$AC$592+$AJ$617,0)</f>
        <v>62</v>
      </c>
      <c r="AL619" s="1082"/>
      <c r="AM619" s="1084"/>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2" t="s">
        <v>1507</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6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0" t="s">
        <v>108</v>
      </c>
      <c r="D627" s="1130"/>
      <c r="E627" s="183"/>
      <c r="F627" s="1676" t="s">
        <v>2203</v>
      </c>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8"/>
      <c r="AF627" s="173"/>
      <c r="AG627" s="1020" t="s">
        <v>937</v>
      </c>
      <c r="AH627" s="1020"/>
      <c r="AI627" s="1020"/>
      <c r="AJ627" s="1020"/>
      <c r="AK627" s="4"/>
      <c r="AL627" s="4"/>
      <c r="AM627" s="4"/>
      <c r="AO627" s="4"/>
      <c r="AP627" s="35"/>
    </row>
    <row r="628" spans="1:44">
      <c r="A628" s="4"/>
      <c r="B628" s="20"/>
      <c r="C628" s="45"/>
      <c r="D628" s="4"/>
      <c r="E628" s="183"/>
      <c r="F628" s="1679"/>
      <c r="G628" s="1680"/>
      <c r="H628" s="1680"/>
      <c r="I628" s="1680"/>
      <c r="J628" s="1680"/>
      <c r="K628" s="1680"/>
      <c r="L628" s="1680"/>
      <c r="M628" s="1680"/>
      <c r="N628" s="1680"/>
      <c r="O628" s="1680"/>
      <c r="P628" s="1680"/>
      <c r="Q628" s="1680"/>
      <c r="R628" s="1680"/>
      <c r="S628" s="1680"/>
      <c r="T628" s="1680"/>
      <c r="U628" s="1680"/>
      <c r="V628" s="1680"/>
      <c r="W628" s="1680"/>
      <c r="X628" s="1680"/>
      <c r="Y628" s="1680"/>
      <c r="Z628" s="1680"/>
      <c r="AA628" s="1680"/>
      <c r="AB628" s="1680"/>
      <c r="AC628" s="1680"/>
      <c r="AD628" s="1680"/>
      <c r="AE628" s="1681"/>
      <c r="AF628" s="173"/>
      <c r="AG628" s="173"/>
      <c r="AH628" s="173"/>
      <c r="AI628" s="173"/>
      <c r="AJ628" s="4"/>
      <c r="AK628" s="4"/>
      <c r="AL628" s="4"/>
      <c r="AM628" s="4"/>
    </row>
    <row r="629" spans="1:44" ht="13.65" customHeight="1">
      <c r="A629" s="4"/>
      <c r="B629" s="20"/>
      <c r="C629" s="45"/>
      <c r="D629" s="4"/>
      <c r="E629" s="183"/>
      <c r="F629" s="1682"/>
      <c r="G629" s="1683"/>
      <c r="H629" s="1683"/>
      <c r="I629" s="1683"/>
      <c r="J629" s="1683"/>
      <c r="K629" s="1683"/>
      <c r="L629" s="1683"/>
      <c r="M629" s="1683"/>
      <c r="N629" s="1683"/>
      <c r="O629" s="1683"/>
      <c r="P629" s="1683"/>
      <c r="Q629" s="1683"/>
      <c r="R629" s="1683"/>
      <c r="S629" s="1683"/>
      <c r="T629" s="1683"/>
      <c r="U629" s="1683"/>
      <c r="V629" s="1683"/>
      <c r="W629" s="1683"/>
      <c r="X629" s="1683"/>
      <c r="Y629" s="1683"/>
      <c r="Z629" s="1683"/>
      <c r="AA629" s="1683"/>
      <c r="AB629" s="1683"/>
      <c r="AC629" s="1683"/>
      <c r="AD629" s="1683"/>
      <c r="AE629" s="1684"/>
      <c r="AF629" s="173"/>
      <c r="AG629" s="173"/>
      <c r="AH629" s="173"/>
      <c r="AI629" s="173"/>
      <c r="AJ629" s="4"/>
      <c r="AK629" s="4"/>
      <c r="AL629" s="4"/>
      <c r="AM629" s="4"/>
    </row>
    <row r="630" spans="1:44" ht="13.6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65" customHeight="1">
      <c r="A631" s="4"/>
      <c r="B631" s="1672" t="s">
        <v>2208</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3"/>
      <c r="AJ631" s="4"/>
      <c r="AK631" s="4"/>
      <c r="AL631" s="4"/>
      <c r="AM631" s="4"/>
      <c r="AN631" s="79"/>
    </row>
    <row r="632" spans="1:44" ht="13.65"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0"/>
      <c r="AJ632" s="4"/>
      <c r="AK632" s="4"/>
      <c r="AL632" s="4"/>
      <c r="AM632" s="4"/>
      <c r="AN632" s="79"/>
      <c r="AR632" s="41"/>
    </row>
    <row r="633" spans="1:44" ht="13.6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0"/>
      <c r="AJ633" s="4"/>
      <c r="AK633" s="4"/>
      <c r="AL633" s="4"/>
      <c r="AM633" s="4"/>
      <c r="AN633" s="79"/>
    </row>
    <row r="634" spans="1:44" ht="13.65"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0"/>
      <c r="AJ634" s="4"/>
      <c r="AK634" s="4"/>
      <c r="AL634" s="4"/>
      <c r="AM634" s="4"/>
      <c r="AN634" s="79"/>
    </row>
    <row r="635" spans="1:44" ht="13.65"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0"/>
      <c r="AJ635" s="4"/>
      <c r="AK635" s="4"/>
      <c r="AL635" s="4"/>
      <c r="AM635" s="4"/>
      <c r="AN635" s="79"/>
    </row>
    <row r="636" spans="1:44" ht="13.65"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0"/>
      <c r="AJ636" s="4"/>
      <c r="AK636" s="4"/>
      <c r="AL636" s="4"/>
      <c r="AM636" s="4"/>
      <c r="AN636" s="79"/>
    </row>
    <row r="637" spans="1:44" ht="13.65"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0"/>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0"/>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0"/>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0"/>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0"/>
      <c r="AJ641" s="4"/>
      <c r="AK641" s="4"/>
      <c r="AL641" s="4"/>
      <c r="AM641" s="4"/>
      <c r="AN641" s="79"/>
    </row>
    <row r="642" spans="1:60" s="641" customFormat="1" ht="12.45"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0"/>
      <c r="AJ642" s="4"/>
      <c r="AK642" s="4"/>
      <c r="AL642" s="4"/>
      <c r="AM642" s="4"/>
      <c r="AN642" s="675"/>
      <c r="BD642" s="643"/>
      <c r="BE642" s="643"/>
      <c r="BF642" s="643"/>
      <c r="BG642" s="643"/>
      <c r="BH642" s="643"/>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1">
        <f>IF($C$627="yes",10,0)</f>
        <v>10</v>
      </c>
      <c r="AL645" s="1082"/>
      <c r="AM645" s="1084"/>
      <c r="AN645" s="79"/>
      <c r="AO645" s="4"/>
    </row>
    <row r="646" spans="1:60" ht="12.9"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2.9"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0" t="s">
        <v>108</v>
      </c>
      <c r="D650" s="1130"/>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0" t="s">
        <v>124</v>
      </c>
      <c r="D655" s="1130"/>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0" t="s">
        <v>124</v>
      </c>
      <c r="D659" s="1130"/>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0" t="s">
        <v>124</v>
      </c>
      <c r="D663" s="1130"/>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0" t="s">
        <v>124</v>
      </c>
      <c r="D665" s="1130"/>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0" t="s">
        <v>124</v>
      </c>
      <c r="D670" s="1130"/>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0" t="s">
        <v>124</v>
      </c>
      <c r="D673" s="1130"/>
      <c r="E673" s="183" t="s">
        <v>281</v>
      </c>
      <c r="F673" s="1672" t="s">
        <v>2196</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1">
        <f>$AO$655</f>
        <v>2</v>
      </c>
      <c r="AL688" s="1082"/>
      <c r="AM688" s="108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3" t="s">
        <v>721</v>
      </c>
      <c r="B691" s="1733"/>
      <c r="C691" s="1733"/>
      <c r="D691" s="1733"/>
      <c r="E691" s="1733"/>
      <c r="F691" s="1733"/>
      <c r="G691" s="1733"/>
      <c r="H691" s="1733"/>
      <c r="I691" s="1733"/>
      <c r="J691" s="1733"/>
      <c r="K691" s="1733"/>
      <c r="L691" s="1733"/>
      <c r="M691" s="1733"/>
      <c r="N691" s="1733"/>
      <c r="O691" s="1733"/>
      <c r="P691" s="1733"/>
      <c r="Q691" s="1733"/>
      <c r="R691" s="1733"/>
      <c r="S691" s="1733"/>
      <c r="T691" s="1733"/>
      <c r="U691" s="1733"/>
      <c r="V691" s="1733"/>
      <c r="W691" s="1733"/>
      <c r="X691" s="1733"/>
      <c r="Y691" s="1733"/>
      <c r="Z691" s="1733"/>
      <c r="AA691" s="1733"/>
      <c r="AB691" s="1733"/>
      <c r="AC691" s="1733"/>
      <c r="AD691" s="1733"/>
      <c r="AE691" s="1733"/>
      <c r="AF691" s="1733"/>
      <c r="AG691" s="1733"/>
      <c r="AH691" s="1733"/>
      <c r="AI691" s="1733"/>
      <c r="AJ691" s="1733"/>
      <c r="AK691" s="1733"/>
      <c r="AL691" s="1733"/>
      <c r="AM691" s="1733"/>
      <c r="AO691" s="204"/>
      <c r="AP691" s="204"/>
      <c r="AQ691" s="204"/>
    </row>
    <row r="692" spans="1:43">
      <c r="A692" s="1734"/>
      <c r="B692" s="1734"/>
      <c r="C692" s="1734"/>
      <c r="D692" s="1734"/>
      <c r="E692" s="1734"/>
      <c r="F692" s="1734"/>
      <c r="G692" s="1734"/>
      <c r="H692" s="1734"/>
      <c r="I692" s="1734"/>
      <c r="J692" s="1734"/>
      <c r="K692" s="1734"/>
      <c r="L692" s="1734"/>
      <c r="M692" s="1734"/>
      <c r="N692" s="1734"/>
      <c r="O692" s="1734"/>
      <c r="P692" s="1734"/>
      <c r="Q692" s="1734"/>
      <c r="R692" s="1734"/>
      <c r="S692" s="1734"/>
      <c r="T692" s="1734"/>
      <c r="U692" s="1734"/>
      <c r="V692" s="1734"/>
      <c r="W692" s="1734"/>
      <c r="X692" s="1734"/>
      <c r="Y692" s="1734"/>
      <c r="Z692" s="1734"/>
      <c r="AA692" s="1734"/>
      <c r="AB692" s="1734"/>
      <c r="AC692" s="1734"/>
      <c r="AD692" s="1734"/>
      <c r="AE692" s="1734"/>
      <c r="AF692" s="1734"/>
      <c r="AG692" s="1734"/>
      <c r="AH692" s="1734"/>
      <c r="AI692" s="1734"/>
      <c r="AJ692" s="1734"/>
      <c r="AK692" s="1734"/>
      <c r="AL692" s="1734"/>
      <c r="AM692" s="1734"/>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9" t="s">
        <v>1929</v>
      </c>
      <c r="B694" s="1559"/>
      <c r="C694" s="1559"/>
      <c r="D694" s="1559"/>
      <c r="E694" s="1559"/>
      <c r="F694" s="1559"/>
      <c r="G694" s="1559"/>
      <c r="H694" s="1559"/>
      <c r="I694" s="1559"/>
      <c r="J694" s="1559"/>
      <c r="K694" s="1559"/>
      <c r="L694" s="1559"/>
      <c r="M694" s="1559"/>
      <c r="N694" s="1559"/>
      <c r="O694" s="1559"/>
      <c r="P694" s="1559"/>
      <c r="Q694" s="1559"/>
      <c r="R694" s="1559"/>
      <c r="S694" s="1559"/>
      <c r="T694" s="1559"/>
      <c r="U694" s="1559"/>
      <c r="V694" s="1559"/>
      <c r="W694" s="1559"/>
      <c r="X694" s="1559"/>
      <c r="Y694" s="1559"/>
      <c r="Z694" s="1559"/>
      <c r="AA694" s="1559"/>
      <c r="AB694" s="1559"/>
      <c r="AC694" s="1559"/>
      <c r="AD694" s="1559"/>
      <c r="AE694" s="1559"/>
      <c r="AF694" s="1559"/>
      <c r="AG694" s="1559"/>
      <c r="AH694" s="1559"/>
      <c r="AI694" s="1559"/>
      <c r="AJ694" s="1559"/>
      <c r="AK694" s="1559"/>
      <c r="AL694" s="1559"/>
      <c r="AM694" s="1559"/>
      <c r="AO694" s="204">
        <f>IF(T703&gt;15,15,T703)</f>
        <v>15</v>
      </c>
      <c r="AP694" s="204"/>
      <c r="AQ694" s="204"/>
    </row>
    <row r="695" spans="1:43">
      <c r="A695" s="1559" t="s">
        <v>1930</v>
      </c>
      <c r="B695" s="1559"/>
      <c r="C695" s="1559"/>
      <c r="D695" s="1559"/>
      <c r="E695" s="1559"/>
      <c r="F695" s="1559"/>
      <c r="G695" s="1559"/>
      <c r="H695" s="1559"/>
      <c r="I695" s="1559"/>
      <c r="J695" s="1559"/>
      <c r="K695" s="1559"/>
      <c r="L695" s="1559"/>
      <c r="M695" s="1559"/>
      <c r="N695" s="1559"/>
      <c r="O695" s="1559"/>
      <c r="P695" s="1559"/>
      <c r="Q695" s="1559"/>
      <c r="R695" s="1559"/>
      <c r="S695" s="1559"/>
      <c r="T695" s="1559"/>
      <c r="U695" s="1559"/>
      <c r="V695" s="1559"/>
      <c r="W695" s="1559"/>
      <c r="X695" s="1559"/>
      <c r="Y695" s="1559"/>
      <c r="Z695" s="1559"/>
      <c r="AA695" s="1559"/>
      <c r="AB695" s="1559"/>
      <c r="AC695" s="1559"/>
      <c r="AD695" s="1559"/>
      <c r="AE695" s="1559"/>
      <c r="AF695" s="1559"/>
      <c r="AG695" s="1559"/>
      <c r="AH695" s="1559"/>
      <c r="AI695" s="1559"/>
      <c r="AJ695" s="1559"/>
      <c r="AK695" s="1559"/>
      <c r="AL695" s="1559"/>
      <c r="AM695" s="155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7" t="s">
        <v>234</v>
      </c>
      <c r="U696" s="1198"/>
      <c r="V696" s="1198"/>
      <c r="W696" s="1198"/>
      <c r="X696" s="1198"/>
      <c r="Y696" s="1236"/>
      <c r="Z696" s="1197" t="s">
        <v>233</v>
      </c>
      <c r="AA696" s="1198"/>
      <c r="AB696" s="1198"/>
      <c r="AC696" s="1198"/>
      <c r="AD696" s="1198"/>
      <c r="AE696" s="1236"/>
      <c r="AF696" s="1197" t="s">
        <v>235</v>
      </c>
      <c r="AG696" s="1198"/>
      <c r="AH696" s="1198"/>
      <c r="AI696" s="1198"/>
      <c r="AJ696" s="1198"/>
      <c r="AK696" s="1236"/>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1"/>
      <c r="U697" s="1202"/>
      <c r="V697" s="1202"/>
      <c r="W697" s="1202"/>
      <c r="X697" s="1202"/>
      <c r="Y697" s="1237"/>
      <c r="Z697" s="1201"/>
      <c r="AA697" s="1202"/>
      <c r="AB697" s="1202"/>
      <c r="AC697" s="1202"/>
      <c r="AD697" s="1202"/>
      <c r="AE697" s="1237"/>
      <c r="AF697" s="1201"/>
      <c r="AG697" s="1202"/>
      <c r="AH697" s="1202"/>
      <c r="AI697" s="1202"/>
      <c r="AJ697" s="1202"/>
      <c r="AK697" s="1237"/>
      <c r="AL697" s="775"/>
      <c r="AM697" s="20"/>
    </row>
    <row r="698" spans="1:43">
      <c r="A698" s="591" t="s">
        <v>652</v>
      </c>
      <c r="B698" s="1689" t="s">
        <v>270</v>
      </c>
      <c r="C698" s="1689"/>
      <c r="D698" s="1689"/>
      <c r="E698" s="1689"/>
      <c r="F698" s="1689"/>
      <c r="G698" s="1689"/>
      <c r="H698" s="1689"/>
      <c r="I698" s="1689"/>
      <c r="J698" s="1689"/>
      <c r="K698" s="1689"/>
      <c r="L698" s="1689"/>
      <c r="M698" s="1689"/>
      <c r="N698" s="1689"/>
      <c r="O698" s="1689"/>
      <c r="P698" s="1689"/>
      <c r="Q698" s="1689"/>
      <c r="R698" s="1689"/>
      <c r="S698" s="1690"/>
      <c r="T698" s="1732">
        <f>SUM(T699:Y700)</f>
        <v>10</v>
      </c>
      <c r="U698" s="1732"/>
      <c r="V698" s="1732"/>
      <c r="W698" s="1732"/>
      <c r="X698" s="1732"/>
      <c r="Y698" s="1732"/>
      <c r="Z698" s="1238">
        <v>10</v>
      </c>
      <c r="AA698" s="1238"/>
      <c r="AB698" s="1238"/>
      <c r="AC698" s="1238"/>
      <c r="AD698" s="1238"/>
      <c r="AE698" s="1238"/>
      <c r="AF698" s="1238">
        <f>IF(T698&gt;Z698,Z698,T698)</f>
        <v>10</v>
      </c>
      <c r="AG698" s="1238"/>
      <c r="AH698" s="1238"/>
      <c r="AI698" s="1238"/>
      <c r="AJ698" s="1238"/>
      <c r="AK698" s="1238"/>
      <c r="AL698" s="775"/>
      <c r="AM698" s="20"/>
      <c r="AO698" s="4">
        <f>IF(T707&gt;50,50,T707)</f>
        <v>50</v>
      </c>
    </row>
    <row r="699" spans="1:43">
      <c r="A699" s="611"/>
      <c r="B699" s="612"/>
      <c r="C699" s="617"/>
      <c r="D699" s="304" t="s">
        <v>210</v>
      </c>
      <c r="E699" s="1691" t="s">
        <v>236</v>
      </c>
      <c r="F699" s="1691"/>
      <c r="G699" s="1691"/>
      <c r="H699" s="1691"/>
      <c r="I699" s="1691"/>
      <c r="J699" s="1691"/>
      <c r="K699" s="1691"/>
      <c r="L699" s="1691"/>
      <c r="M699" s="1691"/>
      <c r="N699" s="1691"/>
      <c r="O699" s="1691"/>
      <c r="P699" s="1691"/>
      <c r="Q699" s="1691"/>
      <c r="R699" s="1691"/>
      <c r="S699" s="1692"/>
      <c r="T699" s="1728">
        <f>AJ31</f>
        <v>7</v>
      </c>
      <c r="U699" s="1728"/>
      <c r="V699" s="1728"/>
      <c r="W699" s="1728"/>
      <c r="X699" s="1728"/>
      <c r="Y699" s="1728"/>
      <c r="Z699" s="1735">
        <v>7</v>
      </c>
      <c r="AA699" s="1735"/>
      <c r="AB699" s="1735"/>
      <c r="AC699" s="1735"/>
      <c r="AD699" s="1735"/>
      <c r="AE699" s="1735"/>
      <c r="AF699" s="1727"/>
      <c r="AG699" s="1727"/>
      <c r="AH699" s="1727"/>
      <c r="AI699" s="1727"/>
      <c r="AJ699" s="1727"/>
      <c r="AK699" s="1727"/>
      <c r="AL699" s="775"/>
      <c r="AM699" s="20"/>
    </row>
    <row r="700" spans="1:43">
      <c r="A700" s="613"/>
      <c r="B700" s="612"/>
      <c r="C700" s="612"/>
      <c r="D700" s="304" t="s">
        <v>428</v>
      </c>
      <c r="E700" s="1691" t="s">
        <v>237</v>
      </c>
      <c r="F700" s="1691"/>
      <c r="G700" s="1691"/>
      <c r="H700" s="1691"/>
      <c r="I700" s="1691"/>
      <c r="J700" s="1691"/>
      <c r="K700" s="1691"/>
      <c r="L700" s="1691"/>
      <c r="M700" s="1691"/>
      <c r="N700" s="1691"/>
      <c r="O700" s="1691"/>
      <c r="P700" s="1691"/>
      <c r="Q700" s="1691"/>
      <c r="R700" s="1691"/>
      <c r="S700" s="1692"/>
      <c r="T700" s="1728">
        <f>AJ47</f>
        <v>3</v>
      </c>
      <c r="U700" s="1728"/>
      <c r="V700" s="1728"/>
      <c r="W700" s="1728"/>
      <c r="X700" s="1728"/>
      <c r="Y700" s="1728"/>
      <c r="Z700" s="1735">
        <v>3</v>
      </c>
      <c r="AA700" s="1735"/>
      <c r="AB700" s="1735"/>
      <c r="AC700" s="1735"/>
      <c r="AD700" s="1735"/>
      <c r="AE700" s="1735"/>
      <c r="AF700" s="1727"/>
      <c r="AG700" s="1727"/>
      <c r="AH700" s="1727"/>
      <c r="AI700" s="1727"/>
      <c r="AJ700" s="1727"/>
      <c r="AK700" s="1727"/>
      <c r="AL700" s="775"/>
      <c r="AM700" s="20"/>
    </row>
    <row r="701" spans="1:43">
      <c r="A701" s="591" t="s">
        <v>8</v>
      </c>
      <c r="B701" s="1689" t="s">
        <v>271</v>
      </c>
      <c r="C701" s="1689"/>
      <c r="D701" s="1689"/>
      <c r="E701" s="1689"/>
      <c r="F701" s="1689"/>
      <c r="G701" s="1689"/>
      <c r="H701" s="1689"/>
      <c r="I701" s="1689"/>
      <c r="J701" s="1689"/>
      <c r="K701" s="1689"/>
      <c r="L701" s="1689"/>
      <c r="M701" s="1689"/>
      <c r="N701" s="1689"/>
      <c r="O701" s="1689"/>
      <c r="P701" s="1689"/>
      <c r="Q701" s="1689"/>
      <c r="R701" s="1689"/>
      <c r="S701" s="1690"/>
      <c r="T701" s="1732">
        <f>AK68</f>
        <v>10</v>
      </c>
      <c r="U701" s="1732"/>
      <c r="V701" s="1732"/>
      <c r="W701" s="1732"/>
      <c r="X701" s="1732"/>
      <c r="Y701" s="1732"/>
      <c r="Z701" s="1238">
        <v>10</v>
      </c>
      <c r="AA701" s="1238"/>
      <c r="AB701" s="1238"/>
      <c r="AC701" s="1238"/>
      <c r="AD701" s="1238"/>
      <c r="AE701" s="1238"/>
      <c r="AF701" s="1238">
        <f>IF(T701&gt;Z701,Z701,T701)</f>
        <v>10</v>
      </c>
      <c r="AG701" s="1238"/>
      <c r="AH701" s="1238"/>
      <c r="AI701" s="1238"/>
      <c r="AJ701" s="1238"/>
      <c r="AK701" s="1238"/>
      <c r="AL701" s="775"/>
      <c r="AM701" s="20"/>
    </row>
    <row r="702" spans="1:43">
      <c r="A702" s="591" t="s">
        <v>119</v>
      </c>
      <c r="B702" s="1689" t="s">
        <v>272</v>
      </c>
      <c r="C702" s="1689"/>
      <c r="D702" s="1689"/>
      <c r="E702" s="1689"/>
      <c r="F702" s="1689"/>
      <c r="G702" s="1689"/>
      <c r="H702" s="1689"/>
      <c r="I702" s="1689"/>
      <c r="J702" s="1689"/>
      <c r="K702" s="1689"/>
      <c r="L702" s="1689"/>
      <c r="M702" s="1689"/>
      <c r="N702" s="1689"/>
      <c r="O702" s="1689"/>
      <c r="P702" s="1689"/>
      <c r="Q702" s="1689"/>
      <c r="R702" s="1689"/>
      <c r="S702" s="1690"/>
      <c r="T702" s="1732">
        <f>AO693</f>
        <v>25</v>
      </c>
      <c r="U702" s="1732">
        <f>IF(AND(AND(A703&gt;15,15+A704),A704&gt;10,A703+10),A702,0)</f>
        <v>0</v>
      </c>
      <c r="V702" s="1732">
        <f>IF(AND(AND(B703&gt;15,15+B704),B704&gt;10,B703+10),#REF!,0)</f>
        <v>0</v>
      </c>
      <c r="W702" s="1732">
        <f>IF(AND(AND(C703&gt;15,15+C704),C704&gt;10,C703+10),B702,0)</f>
        <v>0</v>
      </c>
      <c r="X702" s="1732" t="e">
        <f>IF(AND(AND(D703&gt;15,15+D704),D704&gt;10,D703+10),D702,0)</f>
        <v>#VALUE!</v>
      </c>
      <c r="Y702" s="1732" t="e">
        <f>IF(AND(AND(E703&gt;15,15+E704),E704&gt;10,E703+10),E702,0)</f>
        <v>#VALUE!</v>
      </c>
      <c r="Z702" s="1238">
        <v>25</v>
      </c>
      <c r="AA702" s="1238"/>
      <c r="AB702" s="1238"/>
      <c r="AC702" s="1238"/>
      <c r="AD702" s="1238"/>
      <c r="AE702" s="1238"/>
      <c r="AF702" s="1238">
        <f>IF(T702&gt;Z702,Z702,T702)</f>
        <v>25</v>
      </c>
      <c r="AG702" s="1238"/>
      <c r="AH702" s="1238"/>
      <c r="AI702" s="1238"/>
      <c r="AJ702" s="1238"/>
      <c r="AK702" s="1238"/>
      <c r="AL702" s="775"/>
      <c r="AM702" s="20"/>
    </row>
    <row r="703" spans="1:43">
      <c r="A703" s="591"/>
      <c r="B703" s="612"/>
      <c r="C703" s="612"/>
      <c r="D703" s="304" t="s">
        <v>1465</v>
      </c>
      <c r="E703" s="1691" t="s">
        <v>294</v>
      </c>
      <c r="F703" s="1691"/>
      <c r="G703" s="1691"/>
      <c r="H703" s="1691"/>
      <c r="I703" s="1691"/>
      <c r="J703" s="1691"/>
      <c r="K703" s="1691"/>
      <c r="L703" s="1691"/>
      <c r="M703" s="1691"/>
      <c r="N703" s="1691"/>
      <c r="O703" s="1691"/>
      <c r="P703" s="1691"/>
      <c r="Q703" s="1691"/>
      <c r="R703" s="1691"/>
      <c r="S703" s="1692"/>
      <c r="T703" s="1728">
        <f>AK283</f>
        <v>19</v>
      </c>
      <c r="U703" s="1728"/>
      <c r="V703" s="1728"/>
      <c r="W703" s="1728"/>
      <c r="X703" s="1728"/>
      <c r="Y703" s="1728"/>
      <c r="Z703" s="1735">
        <v>15</v>
      </c>
      <c r="AA703" s="1735"/>
      <c r="AB703" s="1735"/>
      <c r="AC703" s="1735"/>
      <c r="AD703" s="1735"/>
      <c r="AE703" s="1735"/>
      <c r="AF703" s="1727"/>
      <c r="AG703" s="1727"/>
      <c r="AH703" s="1727"/>
      <c r="AI703" s="1727"/>
      <c r="AJ703" s="1727"/>
      <c r="AK703" s="1727"/>
      <c r="AL703" s="775"/>
      <c r="AM703" s="20"/>
    </row>
    <row r="704" spans="1:43">
      <c r="A704" s="614"/>
      <c r="B704" s="90"/>
      <c r="C704" s="90"/>
      <c r="D704" s="615" t="s">
        <v>1466</v>
      </c>
      <c r="E704" s="1691" t="s">
        <v>295</v>
      </c>
      <c r="F704" s="1691"/>
      <c r="G704" s="1691"/>
      <c r="H704" s="1691"/>
      <c r="I704" s="1691"/>
      <c r="J704" s="1691"/>
      <c r="K704" s="1691"/>
      <c r="L704" s="1691"/>
      <c r="M704" s="1691"/>
      <c r="N704" s="1691"/>
      <c r="O704" s="1691"/>
      <c r="P704" s="1691"/>
      <c r="Q704" s="1691"/>
      <c r="R704" s="1691"/>
      <c r="S704" s="1692"/>
      <c r="T704" s="1728">
        <f>AK474</f>
        <v>10</v>
      </c>
      <c r="U704" s="1728"/>
      <c r="V704" s="1728"/>
      <c r="W704" s="1728"/>
      <c r="X704" s="1728"/>
      <c r="Y704" s="1728"/>
      <c r="Z704" s="1735">
        <v>10</v>
      </c>
      <c r="AA704" s="1735"/>
      <c r="AB704" s="1735"/>
      <c r="AC704" s="1735"/>
      <c r="AD704" s="1735"/>
      <c r="AE704" s="1735"/>
      <c r="AF704" s="1727"/>
      <c r="AG704" s="1727"/>
      <c r="AH704" s="1727"/>
      <c r="AI704" s="1727"/>
      <c r="AJ704" s="1727"/>
      <c r="AK704" s="1727"/>
      <c r="AL704" s="775"/>
      <c r="AM704" s="20"/>
    </row>
    <row r="705" spans="1:39" hidden="1">
      <c r="A705" s="591" t="s">
        <v>122</v>
      </c>
      <c r="B705" s="1689" t="s">
        <v>540</v>
      </c>
      <c r="C705" s="1689"/>
      <c r="D705" s="1689"/>
      <c r="E705" s="1689"/>
      <c r="F705" s="1689"/>
      <c r="G705" s="1689"/>
      <c r="H705" s="1689"/>
      <c r="I705" s="1689"/>
      <c r="J705" s="1689"/>
      <c r="K705" s="1689"/>
      <c r="L705" s="1689"/>
      <c r="M705" s="1689"/>
      <c r="N705" s="1689"/>
      <c r="O705" s="1689"/>
      <c r="P705" s="1689"/>
      <c r="Q705" s="1689"/>
      <c r="R705" s="1689"/>
      <c r="S705" s="1690"/>
      <c r="T705" s="1732"/>
      <c r="U705" s="1732"/>
      <c r="V705" s="1732"/>
      <c r="W705" s="1732"/>
      <c r="X705" s="1732"/>
      <c r="Y705" s="1732"/>
      <c r="Z705" s="1238"/>
      <c r="AA705" s="1238"/>
      <c r="AB705" s="1238"/>
      <c r="AC705" s="1238"/>
      <c r="AD705" s="1238"/>
      <c r="AE705" s="1238"/>
      <c r="AF705" s="1238"/>
      <c r="AG705" s="1238"/>
      <c r="AH705" s="1238"/>
      <c r="AI705" s="1238"/>
      <c r="AJ705" s="1238"/>
      <c r="AK705" s="1238"/>
      <c r="AL705" s="775"/>
      <c r="AM705" s="20"/>
    </row>
    <row r="706" spans="1:39">
      <c r="A706" s="591" t="s">
        <v>122</v>
      </c>
      <c r="B706" s="1689" t="s">
        <v>541</v>
      </c>
      <c r="C706" s="1689"/>
      <c r="D706" s="1689"/>
      <c r="E706" s="1689"/>
      <c r="F706" s="1689"/>
      <c r="G706" s="1689"/>
      <c r="H706" s="1689"/>
      <c r="I706" s="1689"/>
      <c r="J706" s="1689"/>
      <c r="K706" s="1689"/>
      <c r="L706" s="1689"/>
      <c r="M706" s="1689"/>
      <c r="N706" s="1689"/>
      <c r="O706" s="1689"/>
      <c r="P706" s="1689"/>
      <c r="Q706" s="1689"/>
      <c r="R706" s="1689"/>
      <c r="S706" s="1690"/>
      <c r="T706" s="1716">
        <f>IF(SUM(T707:Y708)&gt;52,52,SUM(T707:Y708))</f>
        <v>52</v>
      </c>
      <c r="U706" s="1717"/>
      <c r="V706" s="1717"/>
      <c r="W706" s="1717"/>
      <c r="X706" s="1717"/>
      <c r="Y706" s="1717"/>
      <c r="Z706" s="1717">
        <v>52</v>
      </c>
      <c r="AA706" s="1717"/>
      <c r="AB706" s="1717"/>
      <c r="AC706" s="1717"/>
      <c r="AD706" s="1717"/>
      <c r="AE706" s="1717"/>
      <c r="AF706" s="1717">
        <f>$AO$698+$T$708</f>
        <v>52</v>
      </c>
      <c r="AG706" s="1717"/>
      <c r="AH706" s="1717"/>
      <c r="AI706" s="1717"/>
      <c r="AJ706" s="1717"/>
      <c r="AK706" s="1717"/>
      <c r="AL706" s="775"/>
      <c r="AM706" s="20"/>
    </row>
    <row r="707" spans="1:39">
      <c r="A707" s="616"/>
      <c r="B707" s="618"/>
      <c r="C707" s="618"/>
      <c r="D707" s="619" t="s">
        <v>2200</v>
      </c>
      <c r="E707" s="1691" t="s">
        <v>183</v>
      </c>
      <c r="F707" s="1691"/>
      <c r="G707" s="1691"/>
      <c r="H707" s="1691"/>
      <c r="I707" s="1691"/>
      <c r="J707" s="1691"/>
      <c r="K707" s="1691"/>
      <c r="L707" s="1691"/>
      <c r="M707" s="1691"/>
      <c r="N707" s="1691"/>
      <c r="O707" s="1691"/>
      <c r="P707" s="1691"/>
      <c r="Q707" s="1691"/>
      <c r="R707" s="1691"/>
      <c r="S707" s="1692"/>
      <c r="T707" s="1729">
        <f>AC592</f>
        <v>60</v>
      </c>
      <c r="U707" s="1730"/>
      <c r="V707" s="1730"/>
      <c r="W707" s="1730"/>
      <c r="X707" s="1730"/>
      <c r="Y707" s="1731"/>
      <c r="Z707" s="1729">
        <v>50</v>
      </c>
      <c r="AA707" s="1730"/>
      <c r="AB707" s="1730"/>
      <c r="AC707" s="1730"/>
      <c r="AD707" s="1730"/>
      <c r="AE707" s="1731"/>
      <c r="AF707" s="1724"/>
      <c r="AG707" s="1725"/>
      <c r="AH707" s="1725"/>
      <c r="AI707" s="1725"/>
      <c r="AJ707" s="1725"/>
      <c r="AK707" s="1726"/>
      <c r="AL707" s="775"/>
      <c r="AM707" s="4"/>
    </row>
    <row r="708" spans="1:39">
      <c r="A708" s="620"/>
      <c r="B708" s="612"/>
      <c r="C708" s="612"/>
      <c r="D708" s="304" t="s">
        <v>2201</v>
      </c>
      <c r="E708" s="1691" t="s">
        <v>269</v>
      </c>
      <c r="F708" s="1691"/>
      <c r="G708" s="1691"/>
      <c r="H708" s="1691"/>
      <c r="I708" s="1691"/>
      <c r="J708" s="1691"/>
      <c r="K708" s="1691"/>
      <c r="L708" s="1691"/>
      <c r="M708" s="1691"/>
      <c r="N708" s="1691"/>
      <c r="O708" s="1691"/>
      <c r="P708" s="1691"/>
      <c r="Q708" s="1691"/>
      <c r="R708" s="1691"/>
      <c r="S708" s="1692"/>
      <c r="T708" s="1713">
        <f>IF(AJ617&gt;0,2,0)</f>
        <v>2</v>
      </c>
      <c r="U708" s="1714"/>
      <c r="V708" s="1714"/>
      <c r="W708" s="1714"/>
      <c r="X708" s="1714"/>
      <c r="Y708" s="1715"/>
      <c r="Z708" s="1081">
        <v>2</v>
      </c>
      <c r="AA708" s="1082"/>
      <c r="AB708" s="1082"/>
      <c r="AC708" s="1082"/>
      <c r="AD708" s="1082"/>
      <c r="AE708" s="1084"/>
      <c r="AF708" s="1820"/>
      <c r="AG708" s="1821"/>
      <c r="AH708" s="1821"/>
      <c r="AI708" s="1821"/>
      <c r="AJ708" s="1821"/>
      <c r="AK708" s="1822"/>
      <c r="AL708" s="775"/>
      <c r="AM708" s="4"/>
    </row>
    <row r="709" spans="1:39">
      <c r="A709" s="616" t="s">
        <v>123</v>
      </c>
      <c r="B709" s="1689" t="s">
        <v>542</v>
      </c>
      <c r="C709" s="1689"/>
      <c r="D709" s="1689"/>
      <c r="E709" s="1689"/>
      <c r="F709" s="1689"/>
      <c r="G709" s="1689"/>
      <c r="H709" s="1689"/>
      <c r="I709" s="1689"/>
      <c r="J709" s="1689"/>
      <c r="K709" s="1689"/>
      <c r="L709" s="1689"/>
      <c r="M709" s="1689"/>
      <c r="N709" s="1689"/>
      <c r="O709" s="1689"/>
      <c r="P709" s="1689"/>
      <c r="Q709" s="1689"/>
      <c r="R709" s="1689"/>
      <c r="S709" s="1690"/>
      <c r="T709" s="1732">
        <f>AK645</f>
        <v>10</v>
      </c>
      <c r="U709" s="1732"/>
      <c r="V709" s="1732"/>
      <c r="W709" s="1732"/>
      <c r="X709" s="1732"/>
      <c r="Y709" s="1732"/>
      <c r="Z709" s="1238">
        <v>10</v>
      </c>
      <c r="AA709" s="1238"/>
      <c r="AB709" s="1238"/>
      <c r="AC709" s="1238"/>
      <c r="AD709" s="1238"/>
      <c r="AE709" s="1238"/>
      <c r="AF709" s="1152">
        <f>IF(T709&gt;Z709,Z709,T709)</f>
        <v>10</v>
      </c>
      <c r="AG709" s="1138"/>
      <c r="AH709" s="1138"/>
      <c r="AI709" s="1138"/>
      <c r="AJ709" s="1138"/>
      <c r="AK709" s="1139"/>
      <c r="AL709" s="775"/>
      <c r="AM709" s="20"/>
    </row>
    <row r="710" spans="1:39">
      <c r="A710" s="616" t="s">
        <v>125</v>
      </c>
      <c r="B710" s="1689" t="s">
        <v>984</v>
      </c>
      <c r="C710" s="1689"/>
      <c r="D710" s="1689"/>
      <c r="E710" s="1689"/>
      <c r="F710" s="1689"/>
      <c r="G710" s="1689"/>
      <c r="H710" s="1689"/>
      <c r="I710" s="1689"/>
      <c r="J710" s="1689"/>
      <c r="K710" s="1689"/>
      <c r="L710" s="1689"/>
      <c r="M710" s="1689"/>
      <c r="N710" s="1689"/>
      <c r="O710" s="1689"/>
      <c r="P710" s="1689"/>
      <c r="Q710" s="1689"/>
      <c r="R710" s="1689"/>
      <c r="S710" s="1690"/>
      <c r="T710" s="1718">
        <f>IF(AK688&gt;2,2,AK688)</f>
        <v>2</v>
      </c>
      <c r="U710" s="1719"/>
      <c r="V710" s="1719"/>
      <c r="W710" s="1719"/>
      <c r="X710" s="1719"/>
      <c r="Y710" s="1720"/>
      <c r="Z710" s="1152">
        <v>2</v>
      </c>
      <c r="AA710" s="1138"/>
      <c r="AB710" s="1138"/>
      <c r="AC710" s="1138"/>
      <c r="AD710" s="1138"/>
      <c r="AE710" s="1139"/>
      <c r="AF710" s="1152">
        <f>IF(T710&gt;Z710,Z710,T710)</f>
        <v>2</v>
      </c>
      <c r="AG710" s="1818"/>
      <c r="AH710" s="1818"/>
      <c r="AI710" s="1818"/>
      <c r="AJ710" s="1818"/>
      <c r="AK710" s="1819"/>
      <c r="AL710" s="3"/>
      <c r="AM710" s="20"/>
    </row>
    <row r="711" spans="1:39">
      <c r="A711" s="1688" t="s">
        <v>297</v>
      </c>
      <c r="B711" s="1689"/>
      <c r="C711" s="1689"/>
      <c r="D711" s="1689"/>
      <c r="E711" s="1689"/>
      <c r="F711" s="1689"/>
      <c r="G711" s="1689"/>
      <c r="H711" s="1689"/>
      <c r="I711" s="1689"/>
      <c r="J711" s="1689"/>
      <c r="K711" s="1689"/>
      <c r="L711" s="1689"/>
      <c r="M711" s="1689"/>
      <c r="N711" s="1689"/>
      <c r="O711" s="1689"/>
      <c r="P711" s="1689"/>
      <c r="Q711" s="1689"/>
      <c r="R711" s="1689"/>
      <c r="S711" s="1690"/>
      <c r="T711" s="1497"/>
      <c r="U711" s="1497"/>
      <c r="V711" s="1497"/>
      <c r="W711" s="1497"/>
      <c r="X711" s="1497"/>
      <c r="Y711" s="1497"/>
      <c r="Z711" s="1735" t="s">
        <v>296</v>
      </c>
      <c r="AA711" s="1735"/>
      <c r="AB711" s="1735"/>
      <c r="AC711" s="1735"/>
      <c r="AD711" s="1735"/>
      <c r="AE711" s="1735"/>
      <c r="AF711" s="1152">
        <f>IF(T711&gt;0,T711,0)</f>
        <v>0</v>
      </c>
      <c r="AG711" s="1138"/>
      <c r="AH711" s="1138"/>
      <c r="AI711" s="1138"/>
      <c r="AJ711" s="1138"/>
      <c r="AK711" s="1139"/>
      <c r="AL711" s="18"/>
      <c r="AM711" s="20"/>
    </row>
    <row r="712" spans="1:39" ht="15.45">
      <c r="A712" s="1736" t="s">
        <v>720</v>
      </c>
      <c r="B712" s="1737"/>
      <c r="C712" s="1737"/>
      <c r="D712" s="1737"/>
      <c r="E712" s="1737"/>
      <c r="F712" s="1737"/>
      <c r="G712" s="1737"/>
      <c r="H712" s="1737"/>
      <c r="I712" s="1737"/>
      <c r="J712" s="1737"/>
      <c r="K712" s="1737"/>
      <c r="L712" s="1737"/>
      <c r="M712" s="1737"/>
      <c r="N712" s="1737"/>
      <c r="O712" s="1737"/>
      <c r="P712" s="1737"/>
      <c r="Q712" s="1737"/>
      <c r="R712" s="1737"/>
      <c r="S712" s="1737"/>
      <c r="T712" s="1737"/>
      <c r="U712" s="1737"/>
      <c r="V712" s="1737"/>
      <c r="W712" s="1737"/>
      <c r="X712" s="1737"/>
      <c r="Y712" s="1737"/>
      <c r="Z712" s="1737"/>
      <c r="AA712" s="1737"/>
      <c r="AB712" s="1737"/>
      <c r="AC712" s="1737"/>
      <c r="AD712" s="1737"/>
      <c r="AE712" s="1738"/>
      <c r="AF712" s="1810">
        <f>SUM(AF698:AK710)-AF711</f>
        <v>109</v>
      </c>
      <c r="AG712" s="1811"/>
      <c r="AH712" s="1811"/>
      <c r="AI712" s="1811"/>
      <c r="AJ712" s="1811"/>
      <c r="AK712" s="1812"/>
      <c r="AL712" s="776"/>
      <c r="AM712" s="4"/>
    </row>
    <row r="713" spans="1:39" ht="12.45" customHeight="1">
      <c r="A713" s="1739"/>
      <c r="B713" s="1740"/>
      <c r="C713" s="1740"/>
      <c r="D713" s="1740"/>
      <c r="E713" s="1740"/>
      <c r="F713" s="1740"/>
      <c r="G713" s="1740"/>
      <c r="H713" s="1740"/>
      <c r="I713" s="1740"/>
      <c r="J713" s="1740"/>
      <c r="K713" s="1740"/>
      <c r="L713" s="1740"/>
      <c r="M713" s="1740"/>
      <c r="N713" s="1740"/>
      <c r="O713" s="1740"/>
      <c r="P713" s="1740"/>
      <c r="Q713" s="1740"/>
      <c r="R713" s="1740"/>
      <c r="S713" s="1740"/>
      <c r="T713" s="1740"/>
      <c r="U713" s="1740"/>
      <c r="V713" s="1740"/>
      <c r="W713" s="1740"/>
      <c r="X713" s="1740"/>
      <c r="Y713" s="1740"/>
      <c r="Z713" s="1740"/>
      <c r="AA713" s="1740"/>
      <c r="AB713" s="1740"/>
      <c r="AC713" s="1740"/>
      <c r="AD713" s="1740"/>
      <c r="AE713" s="1741"/>
      <c r="AF713" s="1813"/>
      <c r="AG713" s="1814"/>
      <c r="AH713" s="1814"/>
      <c r="AI713" s="1814"/>
      <c r="AJ713" s="1814"/>
      <c r="AK713" s="1815"/>
      <c r="AL713" s="776"/>
      <c r="AM713" s="4"/>
    </row>
    <row r="714" spans="1:39" ht="56.25" customHeight="1">
      <c r="A714" s="990" t="s">
        <v>7</v>
      </c>
      <c r="B714" s="990"/>
      <c r="C714" s="990"/>
      <c r="D714" s="990"/>
      <c r="E714" s="990"/>
      <c r="F714" s="990"/>
      <c r="G714" s="990"/>
      <c r="H714" s="990"/>
      <c r="I714" s="990"/>
      <c r="J714" s="990"/>
      <c r="K714" s="990"/>
      <c r="L714" s="990"/>
      <c r="M714" s="990"/>
      <c r="N714" s="990"/>
      <c r="O714" s="990"/>
      <c r="P714" s="990"/>
      <c r="Q714" s="990"/>
      <c r="R714" s="990"/>
      <c r="S714" s="990"/>
      <c r="T714" s="990"/>
      <c r="U714" s="990"/>
      <c r="V714" s="990"/>
      <c r="W714" s="990"/>
      <c r="X714" s="990"/>
      <c r="Y714" s="990"/>
      <c r="Z714" s="990"/>
      <c r="AA714" s="990"/>
      <c r="AB714" s="990"/>
      <c r="AC714" s="990"/>
      <c r="AD714" s="990"/>
      <c r="AE714" s="990"/>
      <c r="AF714" s="990"/>
      <c r="AG714" s="990"/>
      <c r="AH714" s="990"/>
      <c r="AI714" s="990"/>
      <c r="AJ714" s="990"/>
      <c r="AK714" s="990"/>
      <c r="AL714" s="990"/>
      <c r="AM714" s="1671"/>
    </row>
    <row r="715" spans="1:39" ht="12.45" customHeight="1">
      <c r="A715" s="990"/>
      <c r="B715" s="990"/>
      <c r="C715" s="990"/>
      <c r="D715" s="990"/>
      <c r="E715" s="990"/>
      <c r="F715" s="990"/>
      <c r="G715" s="990"/>
      <c r="H715" s="990"/>
      <c r="I715" s="990"/>
      <c r="J715" s="990"/>
      <c r="K715" s="990"/>
      <c r="L715" s="990"/>
      <c r="M715" s="990"/>
      <c r="N715" s="990"/>
      <c r="O715" s="990"/>
      <c r="P715" s="990"/>
      <c r="Q715" s="990"/>
      <c r="R715" s="990"/>
      <c r="S715" s="990"/>
      <c r="T715" s="990"/>
      <c r="U715" s="990"/>
      <c r="V715" s="990"/>
      <c r="W715" s="990"/>
      <c r="X715" s="990"/>
      <c r="Y715" s="990"/>
      <c r="Z715" s="990"/>
      <c r="AA715" s="990"/>
      <c r="AB715" s="990"/>
      <c r="AC715" s="990"/>
      <c r="AD715" s="990"/>
      <c r="AE715" s="990"/>
      <c r="AF715" s="990"/>
      <c r="AG715" s="990"/>
      <c r="AH715" s="990"/>
      <c r="AI715" s="990"/>
      <c r="AJ715" s="990"/>
      <c r="AK715" s="990"/>
      <c r="AL715" s="990"/>
      <c r="AM715" s="1671"/>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45"/>
  <cols>
    <col min="1" max="10" width="2.53515625" style="892" customWidth="1"/>
    <col min="11" max="11" width="2.53515625" style="893" customWidth="1"/>
    <col min="12" max="43" width="2.53515625" style="892" customWidth="1"/>
    <col min="44" max="47" width="2.53515625" style="892" hidden="1" customWidth="1"/>
    <col min="48" max="16384" width="9.07421875" style="892" hidden="1"/>
  </cols>
  <sheetData>
    <row r="1" spans="1:57" ht="15" customHeight="1">
      <c r="A1" s="1917" t="s">
        <v>2021</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4"/>
      <c r="B3" s="894"/>
      <c r="I3" s="895"/>
      <c r="K3" s="896"/>
    </row>
    <row r="4" spans="1:57" ht="14.25" customHeight="1">
      <c r="A4" s="1916" t="s">
        <v>2022</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4"/>
      <c r="B5" s="894"/>
      <c r="I5" s="895"/>
      <c r="K5" s="896"/>
    </row>
    <row r="6" spans="1:57">
      <c r="A6" s="894"/>
      <c r="B6" s="894"/>
      <c r="D6" s="892" t="s">
        <v>2025</v>
      </c>
      <c r="I6" s="895"/>
      <c r="K6" s="896"/>
      <c r="U6" s="1915"/>
      <c r="V6" s="1915"/>
      <c r="W6" s="1915"/>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23"/>
      <c r="Q9" s="1923"/>
      <c r="R9" s="1923"/>
      <c r="S9" s="1923"/>
      <c r="T9" s="1923"/>
    </row>
    <row r="10" spans="1:57">
      <c r="A10" s="894"/>
      <c r="B10" s="894"/>
      <c r="I10" s="895"/>
      <c r="K10" s="896"/>
    </row>
    <row r="11" spans="1:57">
      <c r="A11" s="1916" t="s">
        <v>2028</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2" t="s">
        <v>108</v>
      </c>
    </row>
    <row r="12" spans="1:57">
      <c r="A12" s="894"/>
      <c r="B12" s="894"/>
      <c r="I12" s="895"/>
      <c r="K12" s="896"/>
      <c r="BC12" s="892" t="s">
        <v>482</v>
      </c>
    </row>
    <row r="13" spans="1:57">
      <c r="A13" s="894"/>
      <c r="B13" s="894"/>
      <c r="D13" s="892" t="s">
        <v>2029</v>
      </c>
      <c r="I13" s="895"/>
      <c r="K13" s="896"/>
      <c r="T13" s="1915"/>
      <c r="U13" s="1915"/>
      <c r="V13" s="1915"/>
    </row>
    <row r="14" spans="1:57">
      <c r="A14" s="894"/>
      <c r="B14" s="894"/>
      <c r="E14" s="892" t="s">
        <v>2036</v>
      </c>
      <c r="I14" s="895"/>
      <c r="K14" s="896"/>
      <c r="N14" s="1921"/>
      <c r="O14" s="1921"/>
      <c r="P14" s="1921"/>
      <c r="Q14" s="1921"/>
      <c r="R14" s="1921"/>
      <c r="S14" s="1921"/>
      <c r="T14" s="1921"/>
      <c r="U14" s="1921"/>
      <c r="V14" s="1921"/>
      <c r="W14" s="1921"/>
      <c r="X14" s="1921"/>
      <c r="Y14" s="1921"/>
      <c r="Z14" s="1921"/>
      <c r="AA14" s="1921"/>
      <c r="AB14" s="1921"/>
      <c r="AC14" s="1921"/>
      <c r="AD14" s="1921"/>
      <c r="AE14" s="1921"/>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985350</v>
      </c>
    </row>
    <row r="16" spans="1:57">
      <c r="A16" s="894"/>
      <c r="B16" s="894"/>
      <c r="BC16" s="892" t="s">
        <v>2040</v>
      </c>
      <c r="BE16" s="892">
        <f>'Basis &amp; Credits'!T11+'Basis &amp; Credits'!AD11</f>
        <v>10948333</v>
      </c>
    </row>
    <row r="17" spans="1:43">
      <c r="A17" s="894"/>
      <c r="B17" s="894"/>
      <c r="D17" s="892" t="s">
        <v>2031</v>
      </c>
      <c r="I17" s="895"/>
      <c r="K17" s="896"/>
      <c r="U17" s="1922" t="str">
        <f>IF(T13="yes",(BE15/BE16)," ")</f>
        <v xml:space="preserve"> </v>
      </c>
      <c r="V17" s="1922"/>
      <c r="W17" s="1922"/>
      <c r="X17" s="1922"/>
      <c r="Y17" s="1922"/>
    </row>
    <row r="18" spans="1:43">
      <c r="A18" s="894"/>
      <c r="B18" s="894"/>
      <c r="I18" s="895"/>
      <c r="K18" s="896"/>
    </row>
    <row r="19" spans="1:43">
      <c r="A19" s="1916" t="s">
        <v>2033</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4"/>
      <c r="D20" s="894"/>
      <c r="K20" s="895"/>
      <c r="M20" s="896"/>
    </row>
    <row r="21" spans="1:43">
      <c r="C21" s="894"/>
      <c r="D21" s="894"/>
      <c r="K21" s="895"/>
      <c r="M21" s="896"/>
    </row>
    <row r="22" spans="1:43">
      <c r="C22" s="897" t="s">
        <v>727</v>
      </c>
      <c r="D22" s="897"/>
      <c r="E22" s="892" t="s">
        <v>2034</v>
      </c>
      <c r="H22" s="898"/>
      <c r="K22" s="892"/>
      <c r="Q22" s="1924">
        <f>ROUND('Basis &amp; Credits'!AB55,0)</f>
        <v>985350</v>
      </c>
      <c r="R22" s="1924"/>
      <c r="S22" s="1924"/>
      <c r="T22" s="1924"/>
      <c r="U22" s="1924"/>
      <c r="V22" s="1924"/>
      <c r="W22" s="1924"/>
      <c r="X22" s="1924"/>
      <c r="Y22" s="912"/>
    </row>
    <row r="23" spans="1:43">
      <c r="C23" s="894"/>
      <c r="D23" s="894"/>
      <c r="G23" s="899"/>
      <c r="H23" s="899"/>
      <c r="I23" s="900"/>
      <c r="J23" s="900"/>
      <c r="K23" s="899"/>
      <c r="M23" s="893"/>
    </row>
    <row r="24" spans="1:43">
      <c r="C24" s="901"/>
      <c r="D24" s="901"/>
      <c r="E24" s="902"/>
      <c r="J24" s="900"/>
      <c r="K24" s="892"/>
      <c r="L24" s="1927" t="s">
        <v>2011</v>
      </c>
      <c r="M24" s="1927"/>
      <c r="N24" s="1927"/>
      <c r="P24" s="1912" t="s">
        <v>2012</v>
      </c>
      <c r="Q24" s="1912"/>
      <c r="R24" s="1912"/>
      <c r="S24" s="1912"/>
      <c r="T24" s="1912"/>
      <c r="V24" s="1912" t="s">
        <v>2013</v>
      </c>
      <c r="W24" s="1912"/>
      <c r="X24" s="1912"/>
    </row>
    <row r="25" spans="1:43">
      <c r="C25" s="897" t="s">
        <v>190</v>
      </c>
      <c r="D25" s="897"/>
      <c r="E25" s="892" t="s">
        <v>985</v>
      </c>
      <c r="J25" s="900"/>
      <c r="L25" s="1913" t="s">
        <v>2014</v>
      </c>
      <c r="M25" s="1913"/>
      <c r="N25" s="1913"/>
      <c r="P25" s="1913" t="s">
        <v>2015</v>
      </c>
      <c r="Q25" s="1913"/>
      <c r="R25" s="1913"/>
      <c r="S25" s="1913"/>
      <c r="T25" s="1913"/>
      <c r="V25" s="1913" t="s">
        <v>2014</v>
      </c>
      <c r="W25" s="1913"/>
      <c r="X25" s="1913"/>
    </row>
    <row r="26" spans="1:43">
      <c r="C26" s="894"/>
      <c r="D26" s="894"/>
      <c r="E26" s="903" t="s">
        <v>2016</v>
      </c>
      <c r="F26" s="903"/>
      <c r="J26" s="904"/>
      <c r="L26" s="1925">
        <f>Application!BN634</f>
        <v>0</v>
      </c>
      <c r="M26" s="1925"/>
      <c r="N26" s="1925"/>
      <c r="P26" s="1914">
        <v>0.9</v>
      </c>
      <c r="Q26" s="1914"/>
      <c r="R26" s="1914"/>
      <c r="S26" s="1914"/>
      <c r="T26" s="1914"/>
      <c r="V26" s="1914">
        <f>L26*P26</f>
        <v>0</v>
      </c>
      <c r="W26" s="1914"/>
      <c r="X26" s="1914"/>
    </row>
    <row r="27" spans="1:43">
      <c r="C27" s="894"/>
      <c r="D27" s="894"/>
      <c r="E27" s="892" t="s">
        <v>2017</v>
      </c>
      <c r="J27" s="904"/>
      <c r="L27" s="1905">
        <f>Application!BS634</f>
        <v>100</v>
      </c>
      <c r="M27" s="1905">
        <f>Application!BS642+Application!BS651+Application!CX665</f>
        <v>0</v>
      </c>
      <c r="N27" s="1905"/>
      <c r="P27" s="1910">
        <v>1</v>
      </c>
      <c r="Q27" s="1910"/>
      <c r="R27" s="1910"/>
      <c r="S27" s="1910"/>
      <c r="T27" s="1910"/>
      <c r="V27" s="1910">
        <f>L27*P27</f>
        <v>100</v>
      </c>
      <c r="W27" s="1910"/>
      <c r="X27" s="1910"/>
    </row>
    <row r="28" spans="1:43">
      <c r="C28" s="894"/>
      <c r="D28" s="894"/>
      <c r="E28" s="892" t="s">
        <v>2018</v>
      </c>
      <c r="J28" s="904"/>
      <c r="L28" s="1905">
        <f>Application!BX634</f>
        <v>0</v>
      </c>
      <c r="M28" s="1905">
        <f>Application!BX642+Application!BX651+Application!DC665</f>
        <v>0</v>
      </c>
      <c r="N28" s="1905"/>
      <c r="P28" s="1910">
        <v>1.25</v>
      </c>
      <c r="Q28" s="1910"/>
      <c r="R28" s="1910"/>
      <c r="S28" s="1910"/>
      <c r="T28" s="1910"/>
      <c r="V28" s="1910">
        <f>L28*P28</f>
        <v>0</v>
      </c>
      <c r="W28" s="1910"/>
      <c r="X28" s="1910"/>
    </row>
    <row r="29" spans="1:43">
      <c r="C29" s="894"/>
      <c r="D29" s="894"/>
      <c r="E29" s="892" t="s">
        <v>2019</v>
      </c>
      <c r="J29" s="904"/>
      <c r="L29" s="1905">
        <f>Application!CC634</f>
        <v>0</v>
      </c>
      <c r="M29" s="1905">
        <f>Application!CC642+Application!CC651+Application!DH665</f>
        <v>0</v>
      </c>
      <c r="N29" s="1905"/>
      <c r="P29" s="1910">
        <v>1.5</v>
      </c>
      <c r="Q29" s="1910"/>
      <c r="R29" s="1910"/>
      <c r="S29" s="1910"/>
      <c r="T29" s="1910"/>
      <c r="V29" s="1910">
        <f>L29*P29</f>
        <v>0</v>
      </c>
      <c r="W29" s="1910"/>
      <c r="X29" s="1910"/>
    </row>
    <row r="30" spans="1:43">
      <c r="C30" s="894"/>
      <c r="D30" s="894"/>
      <c r="E30" s="892" t="s">
        <v>2020</v>
      </c>
      <c r="J30" s="904"/>
      <c r="L30" s="1906">
        <f>Application!CH634+Application!CM634</f>
        <v>0</v>
      </c>
      <c r="M30" s="1906"/>
      <c r="N30" s="1906"/>
      <c r="P30" s="1910">
        <v>1.75</v>
      </c>
      <c r="Q30" s="1910"/>
      <c r="R30" s="1910">
        <f>1.75+0.25*0</f>
        <v>1.75</v>
      </c>
      <c r="S30" s="1910"/>
      <c r="T30" s="1910"/>
      <c r="V30" s="1911">
        <f>L30*P30</f>
        <v>0</v>
      </c>
      <c r="W30" s="1911"/>
      <c r="X30" s="1911"/>
    </row>
    <row r="31" spans="1:43">
      <c r="C31" s="894"/>
      <c r="D31" s="894"/>
      <c r="L31" s="1925">
        <f>SUM(L26:N30)</f>
        <v>100</v>
      </c>
      <c r="M31" s="1926"/>
      <c r="N31" s="1926"/>
      <c r="V31" s="1914">
        <f>SUM(V26:X30)</f>
        <v>100</v>
      </c>
      <c r="W31" s="1914"/>
      <c r="X31" s="1914"/>
    </row>
    <row r="32" spans="1:43">
      <c r="C32" s="894"/>
      <c r="D32" s="894"/>
      <c r="K32" s="905"/>
    </row>
    <row r="33" spans="1:27">
      <c r="C33" s="897" t="s">
        <v>191</v>
      </c>
      <c r="D33" s="897"/>
      <c r="E33" s="894" t="s">
        <v>2035</v>
      </c>
      <c r="H33" s="906"/>
      <c r="I33" s="907"/>
      <c r="J33" s="908"/>
      <c r="K33" s="905"/>
      <c r="M33" s="893"/>
      <c r="V33" s="1907">
        <f>IF(V31&gt;0,V31/Q22," ")</f>
        <v>1.0148678134672958E-4</v>
      </c>
      <c r="W33" s="1908"/>
      <c r="X33" s="1908"/>
      <c r="Y33" s="1908"/>
      <c r="Z33" s="1908"/>
      <c r="AA33" s="1909"/>
    </row>
    <row r="34" spans="1:27">
      <c r="K34" s="892"/>
      <c r="M34" s="893"/>
    </row>
    <row r="35" spans="1:27">
      <c r="E35" s="894" t="s">
        <v>2041</v>
      </c>
      <c r="F35" s="894"/>
      <c r="G35" s="894"/>
      <c r="H35" s="894"/>
      <c r="I35" s="894"/>
      <c r="J35" s="894"/>
      <c r="K35" s="894"/>
      <c r="L35" s="894"/>
      <c r="M35" s="914"/>
      <c r="N35" s="894"/>
      <c r="O35" s="894"/>
      <c r="P35" s="894"/>
      <c r="Q35" s="894"/>
      <c r="R35" s="894"/>
      <c r="V35" s="1918">
        <f>IF(V31&gt;0,1/V33," ")</f>
        <v>9853.5</v>
      </c>
      <c r="W35" s="1919"/>
      <c r="X35" s="1919"/>
      <c r="Y35" s="1919"/>
      <c r="Z35" s="1919"/>
      <c r="AA35" s="192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Cameron Chubbuck</cp:lastModifiedBy>
  <cp:lastPrinted>2025-03-18T18:06:30Z</cp:lastPrinted>
  <dcterms:created xsi:type="dcterms:W3CDTF">2007-12-27T18:26:28Z</dcterms:created>
  <dcterms:modified xsi:type="dcterms:W3CDTF">2025-03-18T21:58:10Z</dcterms:modified>
</cp:coreProperties>
</file>